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0.xml" ContentType="application/vnd.openxmlformats-officedocument.drawing+xml"/>
  <Override PartName="/xl/comments3.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SmithKR/Documents/GitHub/ghg-cprg/_waste/data-raw/wastewater_v2/data-raw/"/>
    </mc:Choice>
  </mc:AlternateContent>
  <xr:revisionPtr revIDLastSave="0" documentId="8_{29AF491B-6894-1B49-8F26-860185BE80A1}" xr6:coauthVersionLast="47" xr6:coauthVersionMax="47" xr10:uidLastSave="{00000000-0000-0000-0000-000000000000}"/>
  <bookViews>
    <workbookView xWindow="24140" yWindow="-21100" windowWidth="38400" windowHeight="21100" tabRatio="835" xr2:uid="{00000000-000D-0000-FFFF-FFFF00000000}"/>
  </bookViews>
  <sheets>
    <sheet name="Control" sheetId="8" r:id="rId1"/>
    <sheet name="Dataframe" sheetId="33" state="hidden" r:id="rId2"/>
    <sheet name="Dataframe_Sum" sheetId="34" state="hidden" r:id="rId3"/>
    <sheet name="Municipal WW, CH4" sheetId="9" r:id="rId4"/>
    <sheet name="Municipal WW, N2O, direct" sheetId="25" r:id="rId5"/>
    <sheet name="Municipal WW, N2O, effluent" sheetId="22" r:id="rId6"/>
    <sheet name="Ind WW Fruit" sheetId="1" r:id="rId7"/>
    <sheet name="Ind WW Meat" sheetId="2" r:id="rId8"/>
    <sheet name="Ind WW Poultry" sheetId="29" r:id="rId9"/>
    <sheet name="Ind WW P&amp;P" sheetId="3" r:id="rId10"/>
    <sheet name="Summary" sheetId="23" r:id="rId11"/>
    <sheet name="Tracker" sheetId="28" state="hidden" r:id="rId12"/>
    <sheet name="Uncertainty" sheetId="27" r:id="rId13"/>
    <sheet name="Population" sheetId="4" r:id="rId14"/>
    <sheet name="Vegetable Data" sheetId="32" state="hidden" r:id="rId15"/>
    <sheet name="Red Meat Data" sheetId="30" r:id="rId16"/>
    <sheet name="Data Sources" sheetId="24" r:id="rId17"/>
    <sheet name="Lookups" sheetId="11" r:id="rId18"/>
    <sheet name="Notes" sheetId="26" r:id="rId19"/>
  </sheets>
  <definedNames>
    <definedName name="_Order1" hidden="1">255</definedName>
    <definedName name="_Toc23825263" localSheetId="16">'Data Sources'!$B$6</definedName>
    <definedName name="_Toc23825264" localSheetId="16">'Data Sources'!$B$13</definedName>
    <definedName name="_Toc23825265" localSheetId="16">'Data Sources'!$B$20</definedName>
    <definedName name="as">'Municipal WW, N2O, direct'!$C$6</definedName>
    <definedName name="C_CO2">Lookups!$G$21</definedName>
    <definedName name="ChartRange_FruitVeg">OFFSET(Summary!$C$9,0,0,1,MAX(Summary!$C$14:$AL$14))</definedName>
    <definedName name="ChartRange_Industrial_CH4">OFFSET(Summary!$C$8,0,0,1,MAX(Summary!$C$14:$AL$14))</definedName>
    <definedName name="ChartRange_Municipal_CH4">OFFSET(Summary!$C$6,0,0,1,MAX(Summary!$C$14:$AL$14))</definedName>
    <definedName name="ChartRange_Municipal_N2O">OFFSET(Summary!$C$7,0,0,1,MAX(Summary!$C$14:$AL$14))</definedName>
    <definedName name="ChartRange_Poultry">OFFSET(Summary!$C$11,0,0,1,MAX(Summary!$C$14:$AL$14))</definedName>
    <definedName name="ChartRange_PulpPaper">OFFSET(Summary!$C$12,0,0,1,MAX(Summary!$C$14:$AL$14))</definedName>
    <definedName name="ChartRange_Red_Meat">OFFSET(Summary!$C$10,0,0,1,MAX(Summary!$C$14:$AL$14))</definedName>
    <definedName name="ChartRange_Year">OFFSET(Summary!$C$5,0,0,1,MAX(Summary!$C$14:$AL$14))</definedName>
    <definedName name="ControlInput">Control!$F$19:$F$21,Control!$F$25:$F$27,Control!$F$32:$F$33,Control!$F$37:$F$40,Control!$F$44:$F$47,Control!$F$57:$F$60</definedName>
    <definedName name="ExportData">Summary!$C$6:$AL$12</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MT_Hundredweight">'Vegetable Data'!$B$52</definedName>
    <definedName name="MT_Lbs">'Red Meat Data'!$C$54</definedName>
    <definedName name="MT_Ton">'Vegetable Data'!$R$52</definedName>
    <definedName name="_xlnm.Print_Area" localSheetId="0">Control!$A$1:$G$108</definedName>
    <definedName name="RedMeatDefault">'Ind WW Meat'!$C$6,'Ind WW Meat'!$C$8,'Ind WW Meat'!$C$10,'Ind WW Meat'!$C$12,'Ind WW Meat'!$C$14,'Ind WW Meat'!$C$16,'Ind WW Meat'!$C$18,'Ind WW Meat'!$C$20,'Ind WW Meat'!$C$22,'Ind WW Meat'!$C$24,'Ind WW Meat'!$C$26,'Ind WW Meat'!$C$28,'Ind WW Meat'!$C$30,'Ind WW Meat'!$C$32,'Ind WW Meat'!$C$34,'Ind WW Meat'!$C$36</definedName>
    <definedName name="RedMeatProduction">'Red Meat Data'!$B$7:$AH$52</definedName>
    <definedName name="SelectedSheet">Lookups!$F$1</definedName>
    <definedName name="SelectedSheetName">Lookups!$H$1</definedName>
    <definedName name="SelectedState">Lookups!$B$1</definedName>
    <definedName name="SelectedStateAbbr">Lookups!$C$1</definedName>
    <definedName name="SelectedStateID">Lookups!$D$1</definedName>
    <definedName name="StateList">Lookups!$B$3:$B$54</definedName>
    <definedName name="States">Lookups!$B$3:$C$55</definedName>
    <definedName name="VegetableProduction">'Vegetable Data'!$A$6:$I$46</definedName>
    <definedName name="VersionDate">Lookups!$K$3</definedName>
    <definedName name="VersionNumber">Lookups!$K$2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8" l="1"/>
  <c r="AH8" i="30" l="1"/>
  <c r="AH9" i="30"/>
  <c r="AH10" i="30"/>
  <c r="AH11" i="30"/>
  <c r="AH12" i="30"/>
  <c r="AH13" i="30"/>
  <c r="AH14" i="30"/>
  <c r="AH15" i="30"/>
  <c r="AH16" i="30"/>
  <c r="AH17" i="30"/>
  <c r="AH18" i="30"/>
  <c r="AH19" i="30"/>
  <c r="AH20" i="30"/>
  <c r="AH21" i="30"/>
  <c r="AH22" i="30"/>
  <c r="AH23" i="30"/>
  <c r="AH24" i="30"/>
  <c r="AH25" i="30"/>
  <c r="AH26" i="30"/>
  <c r="AH27" i="30"/>
  <c r="AH28" i="30"/>
  <c r="AH29" i="30"/>
  <c r="AH30" i="30"/>
  <c r="AH31" i="30"/>
  <c r="AH32" i="30"/>
  <c r="AH33" i="30"/>
  <c r="AH34" i="30"/>
  <c r="AH35" i="30"/>
  <c r="AH36" i="30"/>
  <c r="AH37" i="30"/>
  <c r="AH38" i="30"/>
  <c r="AH39" i="30"/>
  <c r="AH40" i="30"/>
  <c r="AH41" i="30"/>
  <c r="AH42" i="30"/>
  <c r="AH43" i="30"/>
  <c r="AH44" i="30"/>
  <c r="AH45" i="30"/>
  <c r="AH46" i="30"/>
  <c r="AH47" i="30"/>
  <c r="AH48" i="30"/>
  <c r="AH49" i="30"/>
  <c r="AH50" i="30"/>
  <c r="AH51" i="30"/>
  <c r="AH52" i="30"/>
  <c r="AH7" i="30"/>
  <c r="AG57" i="4" l="1"/>
  <c r="D20" i="8"/>
  <c r="E76" i="9" l="1"/>
  <c r="K68" i="9"/>
  <c r="I76" i="22"/>
  <c r="E68" i="25"/>
  <c r="G74" i="25"/>
  <c r="U72" i="22"/>
  <c r="G76" i="22"/>
  <c r="K68" i="1"/>
  <c r="M76" i="29"/>
  <c r="P74" i="3"/>
  <c r="L74" i="3"/>
  <c r="K76" i="2"/>
  <c r="K70" i="1"/>
  <c r="I74" i="1"/>
  <c r="I72" i="22"/>
  <c r="K74" i="29"/>
  <c r="I74" i="29"/>
  <c r="E74" i="29"/>
  <c r="N74" i="3"/>
  <c r="L76" i="3"/>
  <c r="H70" i="3"/>
  <c r="I76" i="2"/>
  <c r="E74" i="2"/>
  <c r="M74" i="1"/>
  <c r="E76" i="1"/>
  <c r="Z76" i="3"/>
  <c r="X76" i="3"/>
  <c r="T76" i="3"/>
  <c r="J76" i="3"/>
  <c r="H76" i="3"/>
  <c r="B76" i="3"/>
  <c r="Z74" i="3"/>
  <c r="X74" i="3"/>
  <c r="T74" i="3"/>
  <c r="J74" i="3"/>
  <c r="H74" i="3"/>
  <c r="B74" i="3"/>
  <c r="Z72" i="3"/>
  <c r="X72" i="3"/>
  <c r="T72" i="3"/>
  <c r="P72" i="3"/>
  <c r="L72" i="3"/>
  <c r="J72" i="3"/>
  <c r="H72" i="3"/>
  <c r="B72" i="3"/>
  <c r="Z70" i="3"/>
  <c r="X70" i="3"/>
  <c r="T70" i="3"/>
  <c r="P70" i="3"/>
  <c r="L70" i="3"/>
  <c r="J70" i="3"/>
  <c r="B70" i="3"/>
  <c r="Z68" i="3"/>
  <c r="X68" i="3"/>
  <c r="T68" i="3"/>
  <c r="P68" i="3"/>
  <c r="N68" i="3"/>
  <c r="L68" i="3"/>
  <c r="J68" i="3"/>
  <c r="B68" i="3"/>
  <c r="W76" i="29"/>
  <c r="U76" i="29"/>
  <c r="Q76" i="29"/>
  <c r="K76" i="29"/>
  <c r="I76" i="29"/>
  <c r="G76" i="29"/>
  <c r="E76" i="29"/>
  <c r="B76" i="29"/>
  <c r="A76" i="29"/>
  <c r="W74" i="29"/>
  <c r="U74" i="29"/>
  <c r="Q74" i="29"/>
  <c r="M74" i="29"/>
  <c r="G74" i="29"/>
  <c r="B74" i="29"/>
  <c r="A74" i="29"/>
  <c r="W72" i="29"/>
  <c r="U72" i="29"/>
  <c r="Q72" i="29"/>
  <c r="M72" i="29"/>
  <c r="K72" i="29"/>
  <c r="G72" i="29"/>
  <c r="B72" i="29"/>
  <c r="A72" i="29"/>
  <c r="W70" i="29"/>
  <c r="U70" i="29"/>
  <c r="Q70" i="29"/>
  <c r="M70" i="29"/>
  <c r="K70" i="29"/>
  <c r="G70" i="29"/>
  <c r="E70" i="29"/>
  <c r="B70" i="29"/>
  <c r="A70" i="29"/>
  <c r="W68" i="29"/>
  <c r="U68" i="29"/>
  <c r="Q68" i="29"/>
  <c r="M68" i="29"/>
  <c r="K68" i="29"/>
  <c r="G68" i="29"/>
  <c r="E68" i="29"/>
  <c r="B68" i="29"/>
  <c r="A68" i="29"/>
  <c r="W76" i="2"/>
  <c r="U76" i="2"/>
  <c r="Q76" i="2"/>
  <c r="M76" i="2"/>
  <c r="G76" i="2"/>
  <c r="E76" i="2"/>
  <c r="B76" i="2"/>
  <c r="W74" i="2"/>
  <c r="U74" i="2"/>
  <c r="Q74" i="2"/>
  <c r="M74" i="2"/>
  <c r="I74" i="2"/>
  <c r="G74" i="2"/>
  <c r="B74" i="2"/>
  <c r="W72" i="2"/>
  <c r="U72" i="2"/>
  <c r="Q72" i="2"/>
  <c r="M72" i="2"/>
  <c r="I72" i="2"/>
  <c r="G72" i="2"/>
  <c r="B72" i="2"/>
  <c r="W70" i="2"/>
  <c r="U70" i="2"/>
  <c r="Q70" i="2"/>
  <c r="M70" i="2"/>
  <c r="I70" i="2"/>
  <c r="G70" i="2"/>
  <c r="B70" i="2"/>
  <c r="W68" i="2"/>
  <c r="U68" i="2"/>
  <c r="Q68" i="2"/>
  <c r="M68" i="2"/>
  <c r="I68" i="2"/>
  <c r="G68" i="2"/>
  <c r="B68" i="2"/>
  <c r="W76" i="1"/>
  <c r="U76" i="1"/>
  <c r="Q76" i="1"/>
  <c r="M76" i="1"/>
  <c r="G76" i="1"/>
  <c r="B76" i="1"/>
  <c r="W74" i="1"/>
  <c r="U74" i="1"/>
  <c r="Q74" i="1"/>
  <c r="G74" i="1"/>
  <c r="B74" i="1"/>
  <c r="W72" i="1"/>
  <c r="U72" i="1"/>
  <c r="Q72" i="1"/>
  <c r="M72" i="1"/>
  <c r="G72" i="1"/>
  <c r="B72" i="1"/>
  <c r="W70" i="1"/>
  <c r="U70" i="1"/>
  <c r="Q70" i="1"/>
  <c r="M70" i="1"/>
  <c r="G70" i="1"/>
  <c r="B70" i="1"/>
  <c r="W68" i="1"/>
  <c r="U68" i="1"/>
  <c r="Q68" i="1"/>
  <c r="M68" i="1"/>
  <c r="G68" i="1"/>
  <c r="B68" i="1"/>
  <c r="AE76" i="22"/>
  <c r="AC76" i="22"/>
  <c r="AA76" i="22"/>
  <c r="W76" i="22"/>
  <c r="K76" i="22"/>
  <c r="B76" i="22"/>
  <c r="AE74" i="22"/>
  <c r="AC74" i="22"/>
  <c r="AA74" i="22"/>
  <c r="W74" i="22"/>
  <c r="K74" i="22"/>
  <c r="B74" i="22"/>
  <c r="AE72" i="22"/>
  <c r="AC72" i="22"/>
  <c r="AA72" i="22"/>
  <c r="W72" i="22"/>
  <c r="K72" i="22"/>
  <c r="B72" i="22"/>
  <c r="AE70" i="22"/>
  <c r="AC70" i="22"/>
  <c r="AA70" i="22"/>
  <c r="W70" i="22"/>
  <c r="U70" i="22"/>
  <c r="K70" i="22"/>
  <c r="B70" i="22"/>
  <c r="AE68" i="22"/>
  <c r="AC68" i="22"/>
  <c r="AA68" i="22"/>
  <c r="W68" i="22"/>
  <c r="U68" i="22"/>
  <c r="K68" i="22"/>
  <c r="B68" i="22"/>
  <c r="Q76" i="25"/>
  <c r="O76" i="25"/>
  <c r="M76" i="25"/>
  <c r="I76" i="25"/>
  <c r="B76" i="25"/>
  <c r="Q74" i="25"/>
  <c r="O74" i="25"/>
  <c r="M74" i="25"/>
  <c r="I74" i="25"/>
  <c r="B74" i="25"/>
  <c r="Q72" i="25"/>
  <c r="O72" i="25"/>
  <c r="M72" i="25"/>
  <c r="I72" i="25"/>
  <c r="G72" i="25"/>
  <c r="B72" i="25"/>
  <c r="Q70" i="25"/>
  <c r="O70" i="25"/>
  <c r="M70" i="25"/>
  <c r="I70" i="25"/>
  <c r="B70" i="25"/>
  <c r="Q68" i="25"/>
  <c r="O68" i="25"/>
  <c r="M68" i="25"/>
  <c r="I68" i="25"/>
  <c r="U76" i="9"/>
  <c r="S76" i="9"/>
  <c r="Q76" i="9"/>
  <c r="I76" i="9"/>
  <c r="G76" i="9"/>
  <c r="U74" i="9"/>
  <c r="S74" i="9"/>
  <c r="Q74" i="9"/>
  <c r="I74" i="9"/>
  <c r="G74" i="9"/>
  <c r="U72" i="9"/>
  <c r="S72" i="9"/>
  <c r="Q72" i="9"/>
  <c r="I72" i="9"/>
  <c r="G72" i="9"/>
  <c r="U70" i="9"/>
  <c r="S70" i="9"/>
  <c r="Q70" i="9"/>
  <c r="I70" i="9"/>
  <c r="G70" i="9"/>
  <c r="E70" i="9"/>
  <c r="U68" i="9"/>
  <c r="S68" i="9"/>
  <c r="Q68" i="9"/>
  <c r="I68" i="9"/>
  <c r="G68" i="9"/>
  <c r="E74" i="9" l="1"/>
  <c r="E72" i="9"/>
  <c r="E68" i="9"/>
  <c r="M76" i="9"/>
  <c r="K76" i="9"/>
  <c r="K72" i="9"/>
  <c r="K74" i="9"/>
  <c r="K70" i="9"/>
  <c r="G70" i="25"/>
  <c r="G68" i="25"/>
  <c r="G76" i="25"/>
  <c r="U76" i="22"/>
  <c r="U74" i="22"/>
  <c r="G68" i="22"/>
  <c r="G70" i="22"/>
  <c r="G72" i="22"/>
  <c r="G74" i="22"/>
  <c r="K72" i="1"/>
  <c r="P76" i="3"/>
  <c r="K68" i="2"/>
  <c r="K70" i="2"/>
  <c r="K72" i="2"/>
  <c r="K74" i="2"/>
  <c r="K76" i="1"/>
  <c r="K74" i="1"/>
  <c r="I76" i="1"/>
  <c r="I68" i="1"/>
  <c r="I70" i="1"/>
  <c r="I72" i="1"/>
  <c r="E76" i="25"/>
  <c r="E74" i="25"/>
  <c r="E72" i="25"/>
  <c r="E70" i="25"/>
  <c r="I70" i="22"/>
  <c r="I68" i="29"/>
  <c r="I70" i="29"/>
  <c r="I72" i="29"/>
  <c r="E72" i="29"/>
  <c r="N72" i="3"/>
  <c r="N76" i="3"/>
  <c r="N70" i="3"/>
  <c r="H68" i="3"/>
  <c r="E68" i="2"/>
  <c r="E70" i="2"/>
  <c r="E72" i="2"/>
  <c r="E68" i="1"/>
  <c r="E70" i="1"/>
  <c r="E72" i="1"/>
  <c r="E74" i="1"/>
  <c r="I68" i="22"/>
  <c r="I74" i="22"/>
  <c r="M70" i="9"/>
  <c r="M68" i="9"/>
  <c r="M72" i="9"/>
  <c r="M74" i="9"/>
  <c r="AF57" i="4" l="1"/>
  <c r="AE57" i="4" l="1"/>
  <c r="AD57" i="4" l="1"/>
  <c r="V57" i="4"/>
  <c r="W57" i="4"/>
  <c r="X57" i="4"/>
  <c r="Y57" i="4"/>
  <c r="Z57" i="4"/>
  <c r="AA57" i="4"/>
  <c r="AB57" i="4"/>
  <c r="AC57" i="4"/>
  <c r="D1" i="11" l="1"/>
  <c r="I48" i="2" l="1"/>
  <c r="K16" i="1"/>
  <c r="I62" i="1"/>
  <c r="E54" i="1"/>
  <c r="G66" i="22"/>
  <c r="I20" i="22"/>
  <c r="K8" i="9"/>
  <c r="P62" i="3"/>
  <c r="K60" i="29"/>
  <c r="L14" i="3"/>
  <c r="M38" i="2"/>
  <c r="U40" i="22"/>
  <c r="G52" i="25"/>
  <c r="E24" i="25"/>
  <c r="M62" i="29"/>
  <c r="N20" i="3"/>
  <c r="K6" i="2"/>
  <c r="I42" i="1"/>
  <c r="E66" i="2"/>
  <c r="C1" i="4"/>
  <c r="I66" i="29"/>
  <c r="H58" i="3"/>
  <c r="M58" i="9"/>
  <c r="O7" i="32"/>
  <c r="O8" i="32"/>
  <c r="O9" i="32"/>
  <c r="O10" i="32"/>
  <c r="O11" i="32"/>
  <c r="O12" i="32"/>
  <c r="O13" i="32"/>
  <c r="O14"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O41" i="32"/>
  <c r="O42" i="32"/>
  <c r="O43" i="32"/>
  <c r="O44" i="32"/>
  <c r="O45" i="32"/>
  <c r="O46" i="32"/>
  <c r="N7" i="32"/>
  <c r="N8" i="32"/>
  <c r="N9" i="32"/>
  <c r="N10" i="32"/>
  <c r="N11" i="32"/>
  <c r="N12" i="32"/>
  <c r="N13" i="32"/>
  <c r="N14" i="32"/>
  <c r="N15" i="32"/>
  <c r="N16" i="32"/>
  <c r="N17" i="32"/>
  <c r="N18" i="32"/>
  <c r="N19" i="32"/>
  <c r="N20" i="32"/>
  <c r="N21" i="32"/>
  <c r="N22" i="32"/>
  <c r="N23" i="32"/>
  <c r="N24" i="32"/>
  <c r="N25" i="32"/>
  <c r="N26" i="32"/>
  <c r="N27" i="32"/>
  <c r="N28" i="32"/>
  <c r="N29" i="32"/>
  <c r="N30" i="32"/>
  <c r="N31" i="32"/>
  <c r="N32" i="32"/>
  <c r="N33" i="32"/>
  <c r="N34" i="32"/>
  <c r="N35" i="32"/>
  <c r="N36" i="32"/>
  <c r="N37" i="32"/>
  <c r="N38" i="32"/>
  <c r="N39" i="32"/>
  <c r="N40" i="32"/>
  <c r="N41" i="32"/>
  <c r="N42" i="32"/>
  <c r="N43" i="32"/>
  <c r="N44" i="32"/>
  <c r="N45" i="32"/>
  <c r="N46" i="32"/>
  <c r="N6" i="32"/>
  <c r="O6" i="32"/>
  <c r="M9" i="32"/>
  <c r="I37" i="32"/>
  <c r="M46" i="32"/>
  <c r="M7" i="32"/>
  <c r="M8" i="32"/>
  <c r="M10" i="32"/>
  <c r="M11" i="32"/>
  <c r="M12" i="32"/>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6" i="32"/>
  <c r="B6" i="32"/>
  <c r="U57" i="4"/>
  <c r="J6" i="32"/>
  <c r="K6" i="32"/>
  <c r="L6" i="32"/>
  <c r="J7" i="32"/>
  <c r="K7" i="32"/>
  <c r="L7" i="32"/>
  <c r="J8" i="32"/>
  <c r="K8" i="32"/>
  <c r="L8" i="32"/>
  <c r="J9" i="32"/>
  <c r="K9" i="32"/>
  <c r="L9" i="32"/>
  <c r="J10" i="32"/>
  <c r="K10" i="32"/>
  <c r="L10" i="32"/>
  <c r="J11" i="32"/>
  <c r="K11" i="32"/>
  <c r="L11" i="32"/>
  <c r="J12" i="32"/>
  <c r="K12" i="32"/>
  <c r="L12" i="32"/>
  <c r="J13" i="32"/>
  <c r="K13" i="32"/>
  <c r="L13" i="32"/>
  <c r="J14" i="32"/>
  <c r="K14" i="32"/>
  <c r="L14" i="32"/>
  <c r="J15" i="32"/>
  <c r="K15" i="32"/>
  <c r="L15" i="32"/>
  <c r="J16" i="32"/>
  <c r="K16" i="32"/>
  <c r="L16" i="32"/>
  <c r="J17" i="32"/>
  <c r="K17" i="32"/>
  <c r="L17" i="32"/>
  <c r="J18" i="32"/>
  <c r="K18" i="32"/>
  <c r="L18" i="32"/>
  <c r="J19" i="32"/>
  <c r="K19" i="32"/>
  <c r="L19" i="32"/>
  <c r="J20" i="32"/>
  <c r="K20" i="32"/>
  <c r="L20" i="32"/>
  <c r="J21" i="32"/>
  <c r="K21" i="32"/>
  <c r="L21" i="32"/>
  <c r="J22" i="32"/>
  <c r="K22" i="32"/>
  <c r="L22" i="32"/>
  <c r="J23" i="32"/>
  <c r="K23" i="32"/>
  <c r="L23" i="32"/>
  <c r="J24" i="32"/>
  <c r="K24" i="32"/>
  <c r="L24" i="32"/>
  <c r="J25" i="32"/>
  <c r="K25" i="32"/>
  <c r="L25" i="32"/>
  <c r="J26" i="32"/>
  <c r="K26" i="32"/>
  <c r="L26" i="32"/>
  <c r="J27" i="32"/>
  <c r="K27" i="32"/>
  <c r="L27" i="32"/>
  <c r="J28" i="32"/>
  <c r="K28" i="32"/>
  <c r="L28" i="32"/>
  <c r="J29" i="32"/>
  <c r="K29" i="32"/>
  <c r="L29" i="32"/>
  <c r="J30" i="32"/>
  <c r="K30" i="32"/>
  <c r="L30" i="32"/>
  <c r="J31" i="32"/>
  <c r="K31" i="32"/>
  <c r="L31" i="32"/>
  <c r="J32" i="32"/>
  <c r="K32" i="32"/>
  <c r="L32" i="32"/>
  <c r="J33" i="32"/>
  <c r="K33" i="32"/>
  <c r="L33" i="32"/>
  <c r="J34" i="32"/>
  <c r="K34" i="32"/>
  <c r="L34" i="32"/>
  <c r="J35" i="32"/>
  <c r="K35" i="32"/>
  <c r="L35" i="32"/>
  <c r="J36" i="32"/>
  <c r="K36" i="32"/>
  <c r="L36" i="32"/>
  <c r="J37" i="32"/>
  <c r="K37" i="32"/>
  <c r="L37" i="32"/>
  <c r="J38" i="32"/>
  <c r="K38" i="32"/>
  <c r="L38" i="32"/>
  <c r="J39" i="32"/>
  <c r="K39" i="32"/>
  <c r="L39" i="32"/>
  <c r="J40" i="32"/>
  <c r="K40" i="32"/>
  <c r="L40" i="32"/>
  <c r="J41" i="32"/>
  <c r="K41" i="32"/>
  <c r="L41" i="32"/>
  <c r="J42" i="32"/>
  <c r="K42" i="32"/>
  <c r="L42" i="32"/>
  <c r="J43" i="32"/>
  <c r="K43" i="32"/>
  <c r="L43" i="32"/>
  <c r="J44" i="32"/>
  <c r="K44" i="32"/>
  <c r="L44" i="32"/>
  <c r="J45" i="32"/>
  <c r="K45" i="32"/>
  <c r="L45" i="32"/>
  <c r="J46" i="32"/>
  <c r="K46" i="32"/>
  <c r="L46" i="32"/>
  <c r="C1" i="11"/>
  <c r="G6" i="9"/>
  <c r="I6" i="9"/>
  <c r="Q6" i="9"/>
  <c r="S6" i="9"/>
  <c r="K6" i="22"/>
  <c r="G6" i="25"/>
  <c r="AA6" i="22"/>
  <c r="AC6" i="22"/>
  <c r="M6" i="25"/>
  <c r="O6" i="25"/>
  <c r="K8" i="22"/>
  <c r="M8" i="25"/>
  <c r="O8" i="25"/>
  <c r="K10" i="22"/>
  <c r="M10" i="25"/>
  <c r="O10" i="25"/>
  <c r="K12" i="22"/>
  <c r="M12" i="25"/>
  <c r="O12" i="25"/>
  <c r="K14" i="22"/>
  <c r="M14" i="25"/>
  <c r="O14" i="25"/>
  <c r="K16" i="22"/>
  <c r="M16" i="25"/>
  <c r="O16" i="25"/>
  <c r="K18" i="22"/>
  <c r="M18" i="25"/>
  <c r="O18" i="25"/>
  <c r="K20" i="22"/>
  <c r="M20" i="25"/>
  <c r="O20" i="25"/>
  <c r="K22" i="22"/>
  <c r="M22" i="25"/>
  <c r="O22" i="25"/>
  <c r="K24" i="22"/>
  <c r="M24" i="25"/>
  <c r="O24" i="25"/>
  <c r="K26" i="22"/>
  <c r="M26" i="25"/>
  <c r="O26" i="25"/>
  <c r="K28" i="22"/>
  <c r="M28" i="25"/>
  <c r="O28" i="25"/>
  <c r="K30" i="22"/>
  <c r="M30" i="25"/>
  <c r="O30" i="25"/>
  <c r="K32" i="22"/>
  <c r="M32" i="25"/>
  <c r="O32" i="25"/>
  <c r="K34" i="22"/>
  <c r="M34" i="25"/>
  <c r="O34" i="25"/>
  <c r="K36" i="22"/>
  <c r="M36" i="25"/>
  <c r="O36" i="25"/>
  <c r="G6" i="1"/>
  <c r="U6" i="1"/>
  <c r="G6" i="2"/>
  <c r="U6" i="2"/>
  <c r="P6" i="3"/>
  <c r="J6" i="3"/>
  <c r="X6" i="3"/>
  <c r="G6" i="29"/>
  <c r="U6" i="29"/>
  <c r="C54" i="30"/>
  <c r="AF7" i="30" s="1"/>
  <c r="T57" i="4"/>
  <c r="S57" i="4"/>
  <c r="R57" i="4"/>
  <c r="Q57" i="4"/>
  <c r="P57" i="4"/>
  <c r="O57" i="4"/>
  <c r="N57" i="4"/>
  <c r="M57" i="4"/>
  <c r="L57" i="4"/>
  <c r="K38" i="22"/>
  <c r="M38" i="25"/>
  <c r="O38" i="25"/>
  <c r="K40" i="22"/>
  <c r="M40" i="25"/>
  <c r="O40" i="25"/>
  <c r="K42" i="22"/>
  <c r="M42" i="25"/>
  <c r="O42" i="25"/>
  <c r="K44" i="22"/>
  <c r="M44" i="25"/>
  <c r="O44" i="25"/>
  <c r="K46" i="22"/>
  <c r="M46" i="25"/>
  <c r="O46" i="25"/>
  <c r="K48" i="22"/>
  <c r="M48" i="25"/>
  <c r="O48" i="25"/>
  <c r="K50" i="22"/>
  <c r="M50" i="25"/>
  <c r="O50" i="25"/>
  <c r="K52" i="22"/>
  <c r="M52" i="25"/>
  <c r="O52" i="25"/>
  <c r="K54" i="22"/>
  <c r="M54" i="25"/>
  <c r="O54" i="25"/>
  <c r="K56" i="22"/>
  <c r="M56" i="25"/>
  <c r="O56" i="25"/>
  <c r="K58" i="22"/>
  <c r="M58" i="25"/>
  <c r="O58" i="25"/>
  <c r="K60" i="22"/>
  <c r="M60" i="25"/>
  <c r="O60" i="25"/>
  <c r="K62" i="22"/>
  <c r="M62" i="25"/>
  <c r="O62" i="25"/>
  <c r="K64" i="22"/>
  <c r="M64" i="25"/>
  <c r="O64" i="25"/>
  <c r="K66" i="22"/>
  <c r="M66" i="25"/>
  <c r="O66" i="25"/>
  <c r="X66" i="3"/>
  <c r="J66" i="3"/>
  <c r="X64" i="3"/>
  <c r="J64" i="3"/>
  <c r="X62" i="3"/>
  <c r="J62" i="3"/>
  <c r="H62" i="3"/>
  <c r="X60" i="3"/>
  <c r="J60" i="3"/>
  <c r="H60" i="3"/>
  <c r="X58" i="3"/>
  <c r="J58" i="3"/>
  <c r="X56" i="3"/>
  <c r="J56" i="3"/>
  <c r="X54" i="3"/>
  <c r="P54" i="3"/>
  <c r="J54" i="3"/>
  <c r="X52" i="3"/>
  <c r="J52" i="3"/>
  <c r="X50" i="3"/>
  <c r="J50" i="3"/>
  <c r="X48" i="3"/>
  <c r="J48" i="3"/>
  <c r="X46" i="3"/>
  <c r="J46" i="3"/>
  <c r="H46" i="3"/>
  <c r="X44" i="3"/>
  <c r="J44" i="3"/>
  <c r="H44" i="3"/>
  <c r="X42" i="3"/>
  <c r="J42" i="3"/>
  <c r="X40" i="3"/>
  <c r="J40" i="3"/>
  <c r="X38" i="3"/>
  <c r="J38" i="3"/>
  <c r="U66" i="29"/>
  <c r="G66" i="29"/>
  <c r="A66" i="29"/>
  <c r="U64" i="29"/>
  <c r="M64" i="29"/>
  <c r="G64" i="29"/>
  <c r="A64" i="29"/>
  <c r="U62" i="29"/>
  <c r="G62" i="29"/>
  <c r="A62" i="29"/>
  <c r="U60" i="29"/>
  <c r="G60" i="29"/>
  <c r="A60" i="29"/>
  <c r="U58" i="29"/>
  <c r="G58" i="29"/>
  <c r="A58" i="29"/>
  <c r="U56" i="29"/>
  <c r="I56" i="29"/>
  <c r="G56" i="29"/>
  <c r="A56" i="29"/>
  <c r="U54" i="29"/>
  <c r="M54" i="29"/>
  <c r="G54" i="29"/>
  <c r="A54" i="29"/>
  <c r="U52" i="29"/>
  <c r="G52" i="29"/>
  <c r="A52" i="29"/>
  <c r="U50" i="29"/>
  <c r="G50" i="29"/>
  <c r="A50" i="29"/>
  <c r="U48" i="29"/>
  <c r="G48" i="29"/>
  <c r="A48" i="29"/>
  <c r="U46" i="29"/>
  <c r="G46" i="29"/>
  <c r="A46" i="29"/>
  <c r="U44" i="29"/>
  <c r="G44" i="29"/>
  <c r="A44" i="29"/>
  <c r="U42" i="29"/>
  <c r="M42" i="29"/>
  <c r="I42" i="29"/>
  <c r="G42" i="29"/>
  <c r="A42" i="29"/>
  <c r="U40" i="29"/>
  <c r="G40" i="29"/>
  <c r="A40" i="29"/>
  <c r="U38" i="29"/>
  <c r="G38" i="29"/>
  <c r="A38" i="29"/>
  <c r="U66" i="2"/>
  <c r="G66" i="2"/>
  <c r="U64" i="2"/>
  <c r="K64" i="2"/>
  <c r="G64" i="2"/>
  <c r="U62" i="2"/>
  <c r="G62" i="2"/>
  <c r="U60" i="2"/>
  <c r="G60" i="2"/>
  <c r="U58" i="2"/>
  <c r="G58" i="2"/>
  <c r="U56" i="2"/>
  <c r="G56" i="2"/>
  <c r="U54" i="2"/>
  <c r="G54" i="2"/>
  <c r="U52" i="2"/>
  <c r="G52" i="2"/>
  <c r="U50" i="2"/>
  <c r="G50" i="2"/>
  <c r="U48" i="2"/>
  <c r="G48" i="2"/>
  <c r="U46" i="2"/>
  <c r="G46" i="2"/>
  <c r="U44" i="2"/>
  <c r="G44" i="2"/>
  <c r="U42" i="2"/>
  <c r="M42" i="2"/>
  <c r="G42" i="2"/>
  <c r="U40" i="2"/>
  <c r="M40" i="2"/>
  <c r="G40" i="2"/>
  <c r="U38" i="2"/>
  <c r="G38" i="2"/>
  <c r="U66" i="1"/>
  <c r="G66" i="1"/>
  <c r="U64" i="1"/>
  <c r="G64" i="1"/>
  <c r="U62" i="1"/>
  <c r="G62" i="1"/>
  <c r="U60" i="1"/>
  <c r="G60" i="1"/>
  <c r="U58" i="1"/>
  <c r="I58" i="1"/>
  <c r="G58" i="1"/>
  <c r="U56" i="1"/>
  <c r="G56" i="1"/>
  <c r="U54" i="1"/>
  <c r="G54" i="1"/>
  <c r="U52" i="1"/>
  <c r="G52" i="1"/>
  <c r="U50" i="1"/>
  <c r="G50" i="1"/>
  <c r="U48" i="1"/>
  <c r="G48" i="1"/>
  <c r="U46" i="1"/>
  <c r="G46" i="1"/>
  <c r="E46" i="1"/>
  <c r="U44" i="1"/>
  <c r="G44" i="1"/>
  <c r="U42" i="1"/>
  <c r="G42" i="1"/>
  <c r="U40" i="1"/>
  <c r="G40" i="1"/>
  <c r="U38" i="1"/>
  <c r="G38" i="1"/>
  <c r="AC66" i="22"/>
  <c r="AA66" i="22"/>
  <c r="AC64" i="22"/>
  <c r="AA64" i="22"/>
  <c r="AC62" i="22"/>
  <c r="AA62" i="22"/>
  <c r="AC60" i="22"/>
  <c r="AA60" i="22"/>
  <c r="AC58" i="22"/>
  <c r="AA58" i="22"/>
  <c r="AC56" i="22"/>
  <c r="AA56" i="22"/>
  <c r="AC54" i="22"/>
  <c r="AA54" i="22"/>
  <c r="AC52" i="22"/>
  <c r="AA52" i="22"/>
  <c r="AC50" i="22"/>
  <c r="AA50" i="22"/>
  <c r="AC48" i="22"/>
  <c r="AA48" i="22"/>
  <c r="AC46" i="22"/>
  <c r="AA46" i="22"/>
  <c r="AC44" i="22"/>
  <c r="AA44" i="22"/>
  <c r="AC42" i="22"/>
  <c r="AA42" i="22"/>
  <c r="AC40" i="22"/>
  <c r="AA40" i="22"/>
  <c r="AC38" i="22"/>
  <c r="AA38" i="22"/>
  <c r="I66" i="25"/>
  <c r="I64" i="25"/>
  <c r="I62" i="25"/>
  <c r="I60" i="25"/>
  <c r="I58" i="25"/>
  <c r="I56" i="25"/>
  <c r="I54" i="25"/>
  <c r="I52" i="25"/>
  <c r="I50" i="25"/>
  <c r="I48" i="25"/>
  <c r="I46" i="25"/>
  <c r="I44" i="25"/>
  <c r="I42" i="25"/>
  <c r="I40" i="25"/>
  <c r="I38" i="25"/>
  <c r="S66" i="9"/>
  <c r="Q66" i="9"/>
  <c r="I66" i="9"/>
  <c r="G66" i="9"/>
  <c r="AC65" i="9"/>
  <c r="S64" i="9"/>
  <c r="Q64" i="9"/>
  <c r="I64" i="9"/>
  <c r="G64" i="9"/>
  <c r="AC63" i="9"/>
  <c r="S62" i="9"/>
  <c r="Q62" i="9"/>
  <c r="I62" i="9"/>
  <c r="G62" i="9"/>
  <c r="AC61" i="9"/>
  <c r="S60" i="9"/>
  <c r="Q60" i="9"/>
  <c r="I60" i="9"/>
  <c r="G60" i="9"/>
  <c r="AC59" i="9"/>
  <c r="S58" i="9"/>
  <c r="Q58" i="9"/>
  <c r="I58" i="9"/>
  <c r="G58" i="9"/>
  <c r="AC57" i="9"/>
  <c r="S56" i="9"/>
  <c r="Q56" i="9"/>
  <c r="I56" i="9"/>
  <c r="G56" i="9"/>
  <c r="AC55" i="9"/>
  <c r="S54" i="9"/>
  <c r="Q54" i="9"/>
  <c r="M54" i="9"/>
  <c r="I54" i="9"/>
  <c r="G54" i="9"/>
  <c r="AC53" i="9"/>
  <c r="S52" i="9"/>
  <c r="Q52" i="9"/>
  <c r="I52" i="9"/>
  <c r="G52" i="9"/>
  <c r="AC51" i="9"/>
  <c r="S50" i="9"/>
  <c r="Q50" i="9"/>
  <c r="I50" i="9"/>
  <c r="G50" i="9"/>
  <c r="AC49" i="9"/>
  <c r="S48" i="9"/>
  <c r="Q48" i="9"/>
  <c r="I48" i="9"/>
  <c r="G48" i="9"/>
  <c r="AC47" i="9"/>
  <c r="S46" i="9"/>
  <c r="Q46" i="9"/>
  <c r="I46" i="9"/>
  <c r="G46" i="9"/>
  <c r="AC45" i="9"/>
  <c r="S44" i="9"/>
  <c r="Q44" i="9"/>
  <c r="I44" i="9"/>
  <c r="G44" i="9"/>
  <c r="AC43" i="9"/>
  <c r="S42" i="9"/>
  <c r="Q42" i="9"/>
  <c r="I42" i="9"/>
  <c r="G42" i="9"/>
  <c r="AC41" i="9"/>
  <c r="S40" i="9"/>
  <c r="Q40" i="9"/>
  <c r="I40" i="9"/>
  <c r="G40" i="9"/>
  <c r="AC39" i="9"/>
  <c r="S38" i="9"/>
  <c r="Q38" i="9"/>
  <c r="I38" i="9"/>
  <c r="G38" i="9"/>
  <c r="AC37" i="9"/>
  <c r="B1" i="23"/>
  <c r="B1" i="3"/>
  <c r="B1" i="29"/>
  <c r="B1" i="2"/>
  <c r="B1" i="1"/>
  <c r="B1" i="22"/>
  <c r="B1" i="25"/>
  <c r="B1" i="9"/>
  <c r="D100" i="8"/>
  <c r="Q26" i="25" s="1"/>
  <c r="D99" i="8"/>
  <c r="W48" i="22" s="1"/>
  <c r="D107" i="8"/>
  <c r="Q60" i="2" s="1"/>
  <c r="G21" i="11"/>
  <c r="B8" i="32"/>
  <c r="C8" i="32"/>
  <c r="D8" i="32"/>
  <c r="E8" i="32"/>
  <c r="F8" i="32"/>
  <c r="G8" i="32"/>
  <c r="H8" i="32"/>
  <c r="I8" i="32"/>
  <c r="B9" i="32"/>
  <c r="C9" i="32"/>
  <c r="D9" i="32"/>
  <c r="E9" i="32"/>
  <c r="F9" i="32"/>
  <c r="G9" i="32"/>
  <c r="H9" i="32"/>
  <c r="I9" i="32"/>
  <c r="B10" i="32"/>
  <c r="C10" i="32"/>
  <c r="D10" i="32"/>
  <c r="E10" i="32"/>
  <c r="F10" i="32"/>
  <c r="G10" i="32"/>
  <c r="H10" i="32"/>
  <c r="I10" i="32"/>
  <c r="B11" i="32"/>
  <c r="C11" i="32"/>
  <c r="D11" i="32"/>
  <c r="E11" i="32"/>
  <c r="F11" i="32"/>
  <c r="G11" i="32"/>
  <c r="H11" i="32"/>
  <c r="I11" i="32"/>
  <c r="B12" i="32"/>
  <c r="C12" i="32"/>
  <c r="D12" i="32"/>
  <c r="E12" i="32"/>
  <c r="F12" i="32"/>
  <c r="G12" i="32"/>
  <c r="H12" i="32"/>
  <c r="I12" i="32"/>
  <c r="B13" i="32"/>
  <c r="C13" i="32"/>
  <c r="D13" i="32"/>
  <c r="E13" i="32"/>
  <c r="F13" i="32"/>
  <c r="G13" i="32"/>
  <c r="H13" i="32"/>
  <c r="I13" i="32"/>
  <c r="B14" i="32"/>
  <c r="C14" i="32"/>
  <c r="D14" i="32"/>
  <c r="E14" i="32"/>
  <c r="F14" i="32"/>
  <c r="G14" i="32"/>
  <c r="H14" i="32"/>
  <c r="I14" i="32"/>
  <c r="B15" i="32"/>
  <c r="C15" i="32"/>
  <c r="D15" i="32"/>
  <c r="E15" i="32"/>
  <c r="F15" i="32"/>
  <c r="G15" i="32"/>
  <c r="H15" i="32"/>
  <c r="I15" i="32"/>
  <c r="B16" i="32"/>
  <c r="C16" i="32"/>
  <c r="D16" i="32"/>
  <c r="E16" i="32"/>
  <c r="F16" i="32"/>
  <c r="G16" i="32"/>
  <c r="H16" i="32"/>
  <c r="I16" i="32"/>
  <c r="B17" i="32"/>
  <c r="C17" i="32"/>
  <c r="D17" i="32"/>
  <c r="E17" i="32"/>
  <c r="F17" i="32"/>
  <c r="G17" i="32"/>
  <c r="H17" i="32"/>
  <c r="I17" i="32"/>
  <c r="B18" i="32"/>
  <c r="C18" i="32"/>
  <c r="D18" i="32"/>
  <c r="E18" i="32"/>
  <c r="F18" i="32"/>
  <c r="G18" i="32"/>
  <c r="H18" i="32"/>
  <c r="I18" i="32"/>
  <c r="B19" i="32"/>
  <c r="C19" i="32"/>
  <c r="D19" i="32"/>
  <c r="E19" i="32"/>
  <c r="F19" i="32"/>
  <c r="G19" i="32"/>
  <c r="H19" i="32"/>
  <c r="I19" i="32"/>
  <c r="B20" i="32"/>
  <c r="C20" i="32"/>
  <c r="D20" i="32"/>
  <c r="E20" i="32"/>
  <c r="F20" i="32"/>
  <c r="G20" i="32"/>
  <c r="H20" i="32"/>
  <c r="I20" i="32"/>
  <c r="B21" i="32"/>
  <c r="C21" i="32"/>
  <c r="D21" i="32"/>
  <c r="E21" i="32"/>
  <c r="F21" i="32"/>
  <c r="G21" i="32"/>
  <c r="H21" i="32"/>
  <c r="I21" i="32"/>
  <c r="B22" i="32"/>
  <c r="C22" i="32"/>
  <c r="D22" i="32"/>
  <c r="E22" i="32"/>
  <c r="F22" i="32"/>
  <c r="G22" i="32"/>
  <c r="H22" i="32"/>
  <c r="I22" i="32"/>
  <c r="B23" i="32"/>
  <c r="C23" i="32"/>
  <c r="D23" i="32"/>
  <c r="E23" i="32"/>
  <c r="F23" i="32"/>
  <c r="G23" i="32"/>
  <c r="H23" i="32"/>
  <c r="I23" i="32"/>
  <c r="B24" i="32"/>
  <c r="C24" i="32"/>
  <c r="D24" i="32"/>
  <c r="E24" i="32"/>
  <c r="F24" i="32"/>
  <c r="G24" i="32"/>
  <c r="H24" i="32"/>
  <c r="I24" i="32"/>
  <c r="B25" i="32"/>
  <c r="C25" i="32"/>
  <c r="D25" i="32"/>
  <c r="E25" i="32"/>
  <c r="F25" i="32"/>
  <c r="G25" i="32"/>
  <c r="H25" i="32"/>
  <c r="I25" i="32"/>
  <c r="B26" i="32"/>
  <c r="C26" i="32"/>
  <c r="D26" i="32"/>
  <c r="E26" i="32"/>
  <c r="F26" i="32"/>
  <c r="G26" i="32"/>
  <c r="H26" i="32"/>
  <c r="I26" i="32"/>
  <c r="B27" i="32"/>
  <c r="C27" i="32"/>
  <c r="D27" i="32"/>
  <c r="E27" i="32"/>
  <c r="F27" i="32"/>
  <c r="G27" i="32"/>
  <c r="H27" i="32"/>
  <c r="I27" i="32"/>
  <c r="B28" i="32"/>
  <c r="C28" i="32"/>
  <c r="D28" i="32"/>
  <c r="E28" i="32"/>
  <c r="F28" i="32"/>
  <c r="G28" i="32"/>
  <c r="H28" i="32"/>
  <c r="I28" i="32"/>
  <c r="B29" i="32"/>
  <c r="C29" i="32"/>
  <c r="D29" i="32"/>
  <c r="E29" i="32"/>
  <c r="F29" i="32"/>
  <c r="G29" i="32"/>
  <c r="H29" i="32"/>
  <c r="I29" i="32"/>
  <c r="B30" i="32"/>
  <c r="C30" i="32"/>
  <c r="D30" i="32"/>
  <c r="E30" i="32"/>
  <c r="F30" i="32"/>
  <c r="G30" i="32"/>
  <c r="H30" i="32"/>
  <c r="I30" i="32"/>
  <c r="B31" i="32"/>
  <c r="C31" i="32"/>
  <c r="D31" i="32"/>
  <c r="E31" i="32"/>
  <c r="F31" i="32"/>
  <c r="G31" i="32"/>
  <c r="H31" i="32"/>
  <c r="I31" i="32"/>
  <c r="B32" i="32"/>
  <c r="C32" i="32"/>
  <c r="D32" i="32"/>
  <c r="E32" i="32"/>
  <c r="F32" i="32"/>
  <c r="G32" i="32"/>
  <c r="H32" i="32"/>
  <c r="I32" i="32"/>
  <c r="B33" i="32"/>
  <c r="C33" i="32"/>
  <c r="D33" i="32"/>
  <c r="E33" i="32"/>
  <c r="F33" i="32"/>
  <c r="G33" i="32"/>
  <c r="H33" i="32"/>
  <c r="I33" i="32"/>
  <c r="B34" i="32"/>
  <c r="C34" i="32"/>
  <c r="D34" i="32"/>
  <c r="E34" i="32"/>
  <c r="F34" i="32"/>
  <c r="G34" i="32"/>
  <c r="H34" i="32"/>
  <c r="I34" i="32"/>
  <c r="B35" i="32"/>
  <c r="C35" i="32"/>
  <c r="D35" i="32"/>
  <c r="E35" i="32"/>
  <c r="F35" i="32"/>
  <c r="G35" i="32"/>
  <c r="H35" i="32"/>
  <c r="I35" i="32"/>
  <c r="B36" i="32"/>
  <c r="C36" i="32"/>
  <c r="D36" i="32"/>
  <c r="E36" i="32"/>
  <c r="F36" i="32"/>
  <c r="G36" i="32"/>
  <c r="H36" i="32"/>
  <c r="I36" i="32"/>
  <c r="B37" i="32"/>
  <c r="C37" i="32"/>
  <c r="D37" i="32"/>
  <c r="E37" i="32"/>
  <c r="F37" i="32"/>
  <c r="G37" i="32"/>
  <c r="H37" i="32"/>
  <c r="B38" i="32"/>
  <c r="C38" i="32"/>
  <c r="D38" i="32"/>
  <c r="E38" i="32"/>
  <c r="F38" i="32"/>
  <c r="G38" i="32"/>
  <c r="H38" i="32"/>
  <c r="I38" i="32"/>
  <c r="B39" i="32"/>
  <c r="C39" i="32"/>
  <c r="D39" i="32"/>
  <c r="E39" i="32"/>
  <c r="F39" i="32"/>
  <c r="G39" i="32"/>
  <c r="H39" i="32"/>
  <c r="I39" i="32"/>
  <c r="B40" i="32"/>
  <c r="C40" i="32"/>
  <c r="D40" i="32"/>
  <c r="E40" i="32"/>
  <c r="F40" i="32"/>
  <c r="G40" i="32"/>
  <c r="H40" i="32"/>
  <c r="I40" i="32"/>
  <c r="B41" i="32"/>
  <c r="C41" i="32"/>
  <c r="D41" i="32"/>
  <c r="E41" i="32"/>
  <c r="F41" i="32"/>
  <c r="G41" i="32"/>
  <c r="H41" i="32"/>
  <c r="I41" i="32"/>
  <c r="B42" i="32"/>
  <c r="C42" i="32"/>
  <c r="D42" i="32"/>
  <c r="E42" i="32"/>
  <c r="F42" i="32"/>
  <c r="G42" i="32"/>
  <c r="H42" i="32"/>
  <c r="I42" i="32"/>
  <c r="B43" i="32"/>
  <c r="C43" i="32"/>
  <c r="D43" i="32"/>
  <c r="E43" i="32"/>
  <c r="F43" i="32"/>
  <c r="G43" i="32"/>
  <c r="H43" i="32"/>
  <c r="I43" i="32"/>
  <c r="B44" i="32"/>
  <c r="C44" i="32"/>
  <c r="D44" i="32"/>
  <c r="E44" i="32"/>
  <c r="F44" i="32"/>
  <c r="G44" i="32"/>
  <c r="H44" i="32"/>
  <c r="I44" i="32"/>
  <c r="B45" i="32"/>
  <c r="C45" i="32"/>
  <c r="D45" i="32"/>
  <c r="E45" i="32"/>
  <c r="F45" i="32"/>
  <c r="G45" i="32"/>
  <c r="H45" i="32"/>
  <c r="I45" i="32"/>
  <c r="B46" i="32"/>
  <c r="C46" i="32"/>
  <c r="D46" i="32"/>
  <c r="E46" i="32"/>
  <c r="F46" i="32"/>
  <c r="G46" i="32"/>
  <c r="H46" i="32"/>
  <c r="I46" i="32"/>
  <c r="B7" i="32"/>
  <c r="C7" i="32"/>
  <c r="D7" i="32"/>
  <c r="E7" i="32"/>
  <c r="F7" i="32"/>
  <c r="G7" i="32"/>
  <c r="H7" i="32"/>
  <c r="I7" i="32"/>
  <c r="F6" i="32"/>
  <c r="G6" i="32"/>
  <c r="H6" i="32"/>
  <c r="I6" i="32"/>
  <c r="C6" i="32"/>
  <c r="D6" i="32"/>
  <c r="E6" i="32"/>
  <c r="M36" i="29"/>
  <c r="G36" i="29"/>
  <c r="G34" i="29"/>
  <c r="G32" i="29"/>
  <c r="G30" i="29"/>
  <c r="G28" i="29"/>
  <c r="M26" i="29"/>
  <c r="G26" i="29"/>
  <c r="G24" i="29"/>
  <c r="G22" i="29"/>
  <c r="G20" i="29"/>
  <c r="G18" i="29"/>
  <c r="M16" i="29"/>
  <c r="G16" i="29"/>
  <c r="G14" i="29"/>
  <c r="I12" i="29"/>
  <c r="G12" i="29"/>
  <c r="I10" i="29"/>
  <c r="G10" i="29"/>
  <c r="I8" i="29"/>
  <c r="G8" i="29"/>
  <c r="A6" i="29"/>
  <c r="A8" i="29"/>
  <c r="B8" i="29"/>
  <c r="B10" i="29" s="1"/>
  <c r="B12" i="29" s="1"/>
  <c r="B14" i="29" s="1"/>
  <c r="B16" i="29" s="1"/>
  <c r="B18" i="29" s="1"/>
  <c r="B20" i="29" s="1"/>
  <c r="B22" i="29" s="1"/>
  <c r="B24" i="29" s="1"/>
  <c r="B26" i="29" s="1"/>
  <c r="B28" i="29" s="1"/>
  <c r="B30" i="29" s="1"/>
  <c r="B32" i="29" s="1"/>
  <c r="B34" i="29" s="1"/>
  <c r="B36" i="29" s="1"/>
  <c r="B38" i="29" s="1"/>
  <c r="B40" i="29" s="1"/>
  <c r="B42" i="29" s="1"/>
  <c r="B44" i="29" s="1"/>
  <c r="B46" i="29" s="1"/>
  <c r="B48" i="29" s="1"/>
  <c r="B50" i="29" s="1"/>
  <c r="B52" i="29" s="1"/>
  <c r="B54" i="29" s="1"/>
  <c r="B56" i="29" s="1"/>
  <c r="B58" i="29" s="1"/>
  <c r="B60" i="29" s="1"/>
  <c r="B62" i="29" s="1"/>
  <c r="B64" i="29" s="1"/>
  <c r="B66" i="29" s="1"/>
  <c r="U8" i="29"/>
  <c r="A10" i="29"/>
  <c r="U10" i="29"/>
  <c r="A12" i="29"/>
  <c r="U12" i="29"/>
  <c r="A14" i="29"/>
  <c r="U14" i="29"/>
  <c r="A16" i="29"/>
  <c r="U16" i="29"/>
  <c r="A18" i="29"/>
  <c r="U18" i="29"/>
  <c r="A20" i="29"/>
  <c r="U20" i="29"/>
  <c r="A22" i="29"/>
  <c r="U22" i="29"/>
  <c r="A24" i="29"/>
  <c r="U24" i="29"/>
  <c r="A26" i="29"/>
  <c r="U26" i="29"/>
  <c r="A28" i="29"/>
  <c r="U28" i="29"/>
  <c r="A30" i="29"/>
  <c r="U30" i="29"/>
  <c r="A32" i="29"/>
  <c r="U32" i="29"/>
  <c r="A34" i="29"/>
  <c r="U34" i="29"/>
  <c r="A36" i="29"/>
  <c r="U36" i="29"/>
  <c r="I6" i="25"/>
  <c r="I8" i="25"/>
  <c r="I10" i="25"/>
  <c r="I12" i="25"/>
  <c r="I14" i="25"/>
  <c r="I16" i="25"/>
  <c r="I18" i="25"/>
  <c r="I20" i="25"/>
  <c r="I22" i="25"/>
  <c r="I24" i="25"/>
  <c r="I26" i="25"/>
  <c r="I28" i="25"/>
  <c r="I30" i="25"/>
  <c r="I32" i="25"/>
  <c r="I34" i="25"/>
  <c r="I36" i="25"/>
  <c r="X36" i="3"/>
  <c r="J36" i="3"/>
  <c r="B8" i="3"/>
  <c r="B10" i="3" s="1"/>
  <c r="B12" i="3" s="1"/>
  <c r="B14" i="3" s="1"/>
  <c r="B16" i="3" s="1"/>
  <c r="B18" i="3" s="1"/>
  <c r="B20" i="3" s="1"/>
  <c r="B22" i="3" s="1"/>
  <c r="B24" i="3" s="1"/>
  <c r="B26" i="3" s="1"/>
  <c r="B28" i="3" s="1"/>
  <c r="B30" i="3" s="1"/>
  <c r="B32" i="3" s="1"/>
  <c r="B34" i="3" s="1"/>
  <c r="B36" i="3" s="1"/>
  <c r="B38" i="3" s="1"/>
  <c r="B40" i="3" s="1"/>
  <c r="B42" i="3" s="1"/>
  <c r="B44" i="3" s="1"/>
  <c r="B46" i="3" s="1"/>
  <c r="B48" i="3" s="1"/>
  <c r="B50" i="3" s="1"/>
  <c r="B52" i="3" s="1"/>
  <c r="B54" i="3" s="1"/>
  <c r="B56" i="3" s="1"/>
  <c r="B58" i="3" s="1"/>
  <c r="B60" i="3" s="1"/>
  <c r="B62" i="3" s="1"/>
  <c r="B64" i="3" s="1"/>
  <c r="B66" i="3" s="1"/>
  <c r="X34" i="3"/>
  <c r="J34" i="3"/>
  <c r="X32" i="3"/>
  <c r="J32" i="3"/>
  <c r="X30" i="3"/>
  <c r="J30" i="3"/>
  <c r="X28" i="3"/>
  <c r="J28" i="3"/>
  <c r="U36" i="2"/>
  <c r="G36" i="2"/>
  <c r="B8" i="2"/>
  <c r="B10" i="2" s="1"/>
  <c r="B12" i="2" s="1"/>
  <c r="B14" i="2" s="1"/>
  <c r="B16" i="2" s="1"/>
  <c r="B18" i="2" s="1"/>
  <c r="B20" i="2" s="1"/>
  <c r="B22" i="2" s="1"/>
  <c r="B24" i="2" s="1"/>
  <c r="B26" i="2" s="1"/>
  <c r="B28" i="2" s="1"/>
  <c r="B30" i="2" s="1"/>
  <c r="B32" i="2" s="1"/>
  <c r="B34" i="2" s="1"/>
  <c r="B36" i="2" s="1"/>
  <c r="B38" i="2" s="1"/>
  <c r="B40" i="2" s="1"/>
  <c r="B42" i="2" s="1"/>
  <c r="B44" i="2" s="1"/>
  <c r="B46" i="2" s="1"/>
  <c r="B48" i="2" s="1"/>
  <c r="B50" i="2" s="1"/>
  <c r="B52" i="2" s="1"/>
  <c r="B54" i="2" s="1"/>
  <c r="B56" i="2" s="1"/>
  <c r="B58" i="2" s="1"/>
  <c r="B60" i="2" s="1"/>
  <c r="B62" i="2" s="1"/>
  <c r="B64" i="2" s="1"/>
  <c r="B66" i="2" s="1"/>
  <c r="U34" i="2"/>
  <c r="G34" i="2"/>
  <c r="U32" i="2"/>
  <c r="G32" i="2"/>
  <c r="U30" i="2"/>
  <c r="G30" i="2"/>
  <c r="U28" i="2"/>
  <c r="G28" i="2"/>
  <c r="U36" i="1"/>
  <c r="G36" i="1"/>
  <c r="B8" i="1"/>
  <c r="B10" i="1" s="1"/>
  <c r="B12" i="1" s="1"/>
  <c r="B14" i="1" s="1"/>
  <c r="B16" i="1" s="1"/>
  <c r="B18" i="1" s="1"/>
  <c r="B20" i="1" s="1"/>
  <c r="B22" i="1" s="1"/>
  <c r="B24" i="1" s="1"/>
  <c r="B26" i="1" s="1"/>
  <c r="B28" i="1" s="1"/>
  <c r="B30" i="1" s="1"/>
  <c r="B32" i="1" s="1"/>
  <c r="B34" i="1" s="1"/>
  <c r="B36" i="1" s="1"/>
  <c r="B38" i="1" s="1"/>
  <c r="B40" i="1" s="1"/>
  <c r="B42" i="1" s="1"/>
  <c r="B44" i="1" s="1"/>
  <c r="B46" i="1" s="1"/>
  <c r="B48" i="1" s="1"/>
  <c r="B50" i="1" s="1"/>
  <c r="B52" i="1" s="1"/>
  <c r="B54" i="1" s="1"/>
  <c r="B56" i="1" s="1"/>
  <c r="B58" i="1" s="1"/>
  <c r="B60" i="1" s="1"/>
  <c r="B62" i="1" s="1"/>
  <c r="B64" i="1" s="1"/>
  <c r="B66" i="1" s="1"/>
  <c r="U34" i="1"/>
  <c r="I34" i="1"/>
  <c r="G34" i="1"/>
  <c r="U32" i="1"/>
  <c r="G32" i="1"/>
  <c r="U30" i="1"/>
  <c r="M30" i="1"/>
  <c r="G30" i="1"/>
  <c r="U28" i="1"/>
  <c r="I28" i="1"/>
  <c r="G28" i="1"/>
  <c r="E28" i="1"/>
  <c r="AC36" i="22"/>
  <c r="AA36" i="22"/>
  <c r="B8" i="22"/>
  <c r="B10" i="22" s="1"/>
  <c r="B12" i="22" s="1"/>
  <c r="B14" i="22" s="1"/>
  <c r="B16" i="22" s="1"/>
  <c r="B18" i="22" s="1"/>
  <c r="B20" i="22" s="1"/>
  <c r="B22" i="22" s="1"/>
  <c r="B24" i="22" s="1"/>
  <c r="B26" i="22" s="1"/>
  <c r="B28" i="22" s="1"/>
  <c r="B30" i="22" s="1"/>
  <c r="B32" i="22" s="1"/>
  <c r="B34" i="22" s="1"/>
  <c r="B36" i="22" s="1"/>
  <c r="B38" i="22" s="1"/>
  <c r="B40" i="22" s="1"/>
  <c r="B42" i="22" s="1"/>
  <c r="B44" i="22" s="1"/>
  <c r="B46" i="22" s="1"/>
  <c r="B48" i="22" s="1"/>
  <c r="B50" i="22" s="1"/>
  <c r="B52" i="22" s="1"/>
  <c r="B54" i="22" s="1"/>
  <c r="B56" i="22" s="1"/>
  <c r="B58" i="22" s="1"/>
  <c r="B60" i="22" s="1"/>
  <c r="B62" i="22" s="1"/>
  <c r="B64" i="22" s="1"/>
  <c r="B66" i="22" s="1"/>
  <c r="AC34" i="22"/>
  <c r="AA34" i="22"/>
  <c r="AC32" i="22"/>
  <c r="AA32" i="22"/>
  <c r="AC30" i="22"/>
  <c r="AA30" i="22"/>
  <c r="AC28" i="22"/>
  <c r="AA28" i="22"/>
  <c r="B8" i="25"/>
  <c r="B10" i="25" s="1"/>
  <c r="B12" i="25" s="1"/>
  <c r="B14" i="25" s="1"/>
  <c r="B16" i="25" s="1"/>
  <c r="B18" i="25" s="1"/>
  <c r="B20" i="25" s="1"/>
  <c r="B22" i="25" s="1"/>
  <c r="B24" i="25" s="1"/>
  <c r="B26" i="25" s="1"/>
  <c r="B28" i="25" s="1"/>
  <c r="B30" i="25" s="1"/>
  <c r="B32" i="25" s="1"/>
  <c r="B34" i="25" s="1"/>
  <c r="B36" i="25" s="1"/>
  <c r="B38" i="25" s="1"/>
  <c r="B40" i="25" s="1"/>
  <c r="B42" i="25" s="1"/>
  <c r="B44" i="25" s="1"/>
  <c r="B46" i="25" s="1"/>
  <c r="B48" i="25" s="1"/>
  <c r="B50" i="25" s="1"/>
  <c r="B52" i="25" s="1"/>
  <c r="B54" i="25" s="1"/>
  <c r="B56" i="25" s="1"/>
  <c r="B58" i="25" s="1"/>
  <c r="B60" i="25" s="1"/>
  <c r="B62" i="25" s="1"/>
  <c r="B64" i="25" s="1"/>
  <c r="B66" i="25" s="1"/>
  <c r="B68" i="25" s="1"/>
  <c r="S36" i="9"/>
  <c r="Q36" i="9"/>
  <c r="M36" i="9"/>
  <c r="I36" i="9"/>
  <c r="G36" i="9"/>
  <c r="B8" i="9"/>
  <c r="B10" i="9" s="1"/>
  <c r="B12" i="9" s="1"/>
  <c r="B14" i="9" s="1"/>
  <c r="B16" i="9" s="1"/>
  <c r="B18" i="9" s="1"/>
  <c r="B20" i="9" s="1"/>
  <c r="B22" i="9" s="1"/>
  <c r="B24" i="9" s="1"/>
  <c r="B26" i="9" s="1"/>
  <c r="B28" i="9" s="1"/>
  <c r="B30" i="9" s="1"/>
  <c r="B32" i="9" s="1"/>
  <c r="B34" i="9" s="1"/>
  <c r="B36" i="9" s="1"/>
  <c r="B38" i="9" s="1"/>
  <c r="B40" i="9" s="1"/>
  <c r="B42" i="9" s="1"/>
  <c r="B44" i="9" s="1"/>
  <c r="B46" i="9" s="1"/>
  <c r="B48" i="9" s="1"/>
  <c r="B50" i="9" s="1"/>
  <c r="B52" i="9" s="1"/>
  <c r="B54" i="9" s="1"/>
  <c r="B56" i="9" s="1"/>
  <c r="B58" i="9" s="1"/>
  <c r="B60" i="9" s="1"/>
  <c r="B62" i="9" s="1"/>
  <c r="B64" i="9" s="1"/>
  <c r="B66" i="9" s="1"/>
  <c r="B68" i="9" s="1"/>
  <c r="B70" i="9" s="1"/>
  <c r="B72" i="9" s="1"/>
  <c r="B74" i="9" s="1"/>
  <c r="B76" i="9" s="1"/>
  <c r="AC35" i="9"/>
  <c r="S34" i="9"/>
  <c r="Q34" i="9"/>
  <c r="M34" i="9"/>
  <c r="I34" i="9"/>
  <c r="G34" i="9"/>
  <c r="AC33" i="9"/>
  <c r="S32" i="9"/>
  <c r="Q32" i="9"/>
  <c r="I32" i="9"/>
  <c r="G32" i="9"/>
  <c r="AC31" i="9"/>
  <c r="S30" i="9"/>
  <c r="Q30" i="9"/>
  <c r="I30" i="9"/>
  <c r="G30" i="9"/>
  <c r="AC29" i="9"/>
  <c r="S28" i="9"/>
  <c r="Q28" i="9"/>
  <c r="I28" i="9"/>
  <c r="G28" i="9"/>
  <c r="AC27" i="9"/>
  <c r="G8" i="1"/>
  <c r="G10" i="1"/>
  <c r="G12" i="1"/>
  <c r="G14" i="1"/>
  <c r="G16" i="1"/>
  <c r="G18" i="1"/>
  <c r="G20" i="1"/>
  <c r="G22" i="1"/>
  <c r="G24" i="1"/>
  <c r="G26" i="1"/>
  <c r="U26" i="1"/>
  <c r="M26" i="1"/>
  <c r="U24" i="1"/>
  <c r="U22" i="1"/>
  <c r="E22" i="1"/>
  <c r="U20" i="1"/>
  <c r="I20" i="1"/>
  <c r="U18" i="1"/>
  <c r="I18" i="1"/>
  <c r="U16" i="1"/>
  <c r="I16" i="1"/>
  <c r="U14" i="1"/>
  <c r="I14" i="1"/>
  <c r="E14" i="1"/>
  <c r="U12" i="1"/>
  <c r="U10" i="1"/>
  <c r="U8" i="1"/>
  <c r="G8" i="2"/>
  <c r="G10" i="2"/>
  <c r="G12" i="2"/>
  <c r="G14" i="2"/>
  <c r="G16" i="2"/>
  <c r="G18" i="2"/>
  <c r="G20" i="2"/>
  <c r="G22" i="2"/>
  <c r="G24" i="2"/>
  <c r="G26" i="2"/>
  <c r="U8" i="2"/>
  <c r="M10" i="2"/>
  <c r="U10" i="2"/>
  <c r="M12" i="2"/>
  <c r="U12" i="2"/>
  <c r="M14" i="2"/>
  <c r="U14" i="2"/>
  <c r="U16" i="2"/>
  <c r="M18" i="2"/>
  <c r="U18" i="2"/>
  <c r="M20" i="2"/>
  <c r="U20" i="2"/>
  <c r="M22" i="2"/>
  <c r="U22" i="2"/>
  <c r="U24" i="2"/>
  <c r="M26" i="2"/>
  <c r="U26" i="2"/>
  <c r="J8" i="3"/>
  <c r="J10" i="3"/>
  <c r="J12" i="3"/>
  <c r="J14" i="3"/>
  <c r="J16" i="3"/>
  <c r="J18" i="3"/>
  <c r="J20" i="3"/>
  <c r="J22" i="3"/>
  <c r="J24" i="3"/>
  <c r="J26" i="3"/>
  <c r="H8" i="3"/>
  <c r="X8" i="3"/>
  <c r="H10" i="3"/>
  <c r="P10" i="3"/>
  <c r="X10" i="3"/>
  <c r="X12" i="3"/>
  <c r="P14" i="3"/>
  <c r="X14" i="3"/>
  <c r="L16" i="3"/>
  <c r="X16" i="3"/>
  <c r="X18" i="3"/>
  <c r="X20" i="3"/>
  <c r="X22" i="3"/>
  <c r="H24" i="3"/>
  <c r="P24" i="3"/>
  <c r="X24" i="3"/>
  <c r="H26" i="3"/>
  <c r="X26" i="3"/>
  <c r="H1" i="11"/>
  <c r="AC25" i="9"/>
  <c r="AC23" i="9"/>
  <c r="AC21" i="9"/>
  <c r="AC19" i="9"/>
  <c r="AC17" i="9"/>
  <c r="AC15" i="9"/>
  <c r="AC13" i="9"/>
  <c r="AC11" i="9"/>
  <c r="AC9" i="9"/>
  <c r="AC7" i="9"/>
  <c r="Q8" i="9"/>
  <c r="S8" i="9"/>
  <c r="Q10" i="9"/>
  <c r="S10" i="9"/>
  <c r="Q12" i="9"/>
  <c r="S12" i="9"/>
  <c r="Q14" i="9"/>
  <c r="S14" i="9"/>
  <c r="Q16" i="9"/>
  <c r="S16" i="9"/>
  <c r="Q18" i="9"/>
  <c r="S18" i="9"/>
  <c r="Q20" i="9"/>
  <c r="S20" i="9"/>
  <c r="Q22" i="9"/>
  <c r="S22" i="9"/>
  <c r="Q24" i="9"/>
  <c r="S24" i="9"/>
  <c r="Q26" i="9"/>
  <c r="S26" i="9"/>
  <c r="I26" i="9"/>
  <c r="G26" i="9"/>
  <c r="I24" i="9"/>
  <c r="G24" i="9"/>
  <c r="I22" i="9"/>
  <c r="G22" i="9"/>
  <c r="I20" i="9"/>
  <c r="G20" i="9"/>
  <c r="I18" i="9"/>
  <c r="G18" i="9"/>
  <c r="I16" i="9"/>
  <c r="G16" i="9"/>
  <c r="M14" i="9"/>
  <c r="I14" i="9"/>
  <c r="G14" i="9"/>
  <c r="I12" i="9"/>
  <c r="G12" i="9"/>
  <c r="I10" i="9"/>
  <c r="G10" i="9"/>
  <c r="I8" i="9"/>
  <c r="G8" i="9"/>
  <c r="AA8" i="22"/>
  <c r="AC8" i="22"/>
  <c r="AA10" i="22"/>
  <c r="AC10" i="22"/>
  <c r="AA12" i="22"/>
  <c r="AC12" i="22"/>
  <c r="AA14" i="22"/>
  <c r="AC14" i="22"/>
  <c r="AA16" i="22"/>
  <c r="AC16" i="22"/>
  <c r="AA18" i="22"/>
  <c r="AC18" i="22"/>
  <c r="AA20" i="22"/>
  <c r="AC20" i="22"/>
  <c r="AA22" i="22"/>
  <c r="AC22" i="22"/>
  <c r="AA24" i="22"/>
  <c r="AC24" i="22"/>
  <c r="AA26" i="22"/>
  <c r="AC26" i="22"/>
  <c r="C57" i="4"/>
  <c r="D57" i="4"/>
  <c r="E57" i="4"/>
  <c r="F57" i="4"/>
  <c r="G57" i="4"/>
  <c r="H57" i="4"/>
  <c r="I57" i="4"/>
  <c r="J57" i="4"/>
  <c r="K57" i="4"/>
  <c r="B57" i="4"/>
  <c r="L48" i="3"/>
  <c r="K52" i="9"/>
  <c r="G16" i="25"/>
  <c r="I64" i="2"/>
  <c r="I20" i="2"/>
  <c r="U30" i="22"/>
  <c r="U52" i="22"/>
  <c r="G64" i="25"/>
  <c r="G62" i="25"/>
  <c r="G60" i="25"/>
  <c r="G12" i="25"/>
  <c r="G10" i="25"/>
  <c r="G8" i="25"/>
  <c r="G58" i="25"/>
  <c r="G36" i="25"/>
  <c r="G34" i="25"/>
  <c r="G32" i="25"/>
  <c r="G30" i="25"/>
  <c r="G28" i="25"/>
  <c r="G26" i="25"/>
  <c r="G24" i="25"/>
  <c r="G22" i="25"/>
  <c r="G20" i="25"/>
  <c r="G18" i="25"/>
  <c r="G56" i="25"/>
  <c r="U42" i="22"/>
  <c r="G50" i="25"/>
  <c r="K24" i="9"/>
  <c r="W14" i="1"/>
  <c r="W36" i="29"/>
  <c r="Z32" i="3"/>
  <c r="AE60" i="22"/>
  <c r="U66" i="9"/>
  <c r="W12" i="29"/>
  <c r="Z16" i="3"/>
  <c r="U8" i="9"/>
  <c r="U64" i="9"/>
  <c r="AE58" i="22"/>
  <c r="W44" i="1"/>
  <c r="Z48" i="3"/>
  <c r="W18" i="2"/>
  <c r="AE48" i="22"/>
  <c r="W48" i="2"/>
  <c r="AE30" i="22"/>
  <c r="W26" i="2"/>
  <c r="Z66" i="3"/>
  <c r="Q18" i="25"/>
  <c r="Q28" i="25"/>
  <c r="W40" i="1"/>
  <c r="Z50" i="3"/>
  <c r="W50" i="29"/>
  <c r="Q12" i="25"/>
  <c r="AE38" i="22"/>
  <c r="W6" i="2"/>
  <c r="Q24" i="25"/>
  <c r="T52" i="3"/>
  <c r="I25" i="30"/>
  <c r="S20" i="30"/>
  <c r="W66" i="22"/>
  <c r="K34" i="9"/>
  <c r="K6" i="9"/>
  <c r="K40" i="9"/>
  <c r="K58" i="9"/>
  <c r="M62" i="9"/>
  <c r="M20" i="9"/>
  <c r="M28" i="9"/>
  <c r="M56" i="9"/>
  <c r="M8" i="9"/>
  <c r="E16" i="9"/>
  <c r="K8" i="29"/>
  <c r="M8" i="29"/>
  <c r="M10" i="29"/>
  <c r="M12" i="29"/>
  <c r="M14" i="29"/>
  <c r="M24" i="29"/>
  <c r="M34" i="29"/>
  <c r="M38" i="29"/>
  <c r="M44" i="29"/>
  <c r="M50" i="29"/>
  <c r="M60" i="29"/>
  <c r="M66" i="29"/>
  <c r="M6" i="29"/>
  <c r="M20" i="29"/>
  <c r="M22" i="29"/>
  <c r="M32" i="29"/>
  <c r="M40" i="29"/>
  <c r="M52" i="29"/>
  <c r="M56" i="29"/>
  <c r="M18" i="29"/>
  <c r="M28" i="29"/>
  <c r="M30" i="29"/>
  <c r="M46" i="29"/>
  <c r="M58" i="29"/>
  <c r="I22" i="29"/>
  <c r="I26" i="29"/>
  <c r="I40" i="29"/>
  <c r="I54" i="29"/>
  <c r="I6" i="29"/>
  <c r="I16" i="29"/>
  <c r="I20" i="29"/>
  <c r="I50" i="29"/>
  <c r="I30" i="29"/>
  <c r="I34" i="29"/>
  <c r="I48" i="29"/>
  <c r="I62" i="29"/>
  <c r="E10" i="29"/>
  <c r="E18" i="29"/>
  <c r="E26" i="29"/>
  <c r="E34" i="29"/>
  <c r="E42" i="29"/>
  <c r="E50" i="29"/>
  <c r="E58" i="29"/>
  <c r="E66" i="29"/>
  <c r="E8" i="29"/>
  <c r="E16" i="29"/>
  <c r="E24" i="29"/>
  <c r="E32" i="29"/>
  <c r="E44" i="29"/>
  <c r="E52" i="29"/>
  <c r="E60" i="29"/>
  <c r="E12" i="29"/>
  <c r="E20" i="29"/>
  <c r="E28" i="29"/>
  <c r="E36" i="29"/>
  <c r="E40" i="29"/>
  <c r="E48" i="29"/>
  <c r="E56" i="29"/>
  <c r="E64" i="29"/>
  <c r="N62" i="3"/>
  <c r="N66" i="3"/>
  <c r="P12" i="3"/>
  <c r="P28" i="3"/>
  <c r="P36" i="3"/>
  <c r="P48" i="3"/>
  <c r="P58" i="3"/>
  <c r="P60" i="3"/>
  <c r="P64" i="3"/>
  <c r="P26" i="3"/>
  <c r="P20" i="3"/>
  <c r="P16" i="3"/>
  <c r="P30" i="3"/>
  <c r="P32" i="3"/>
  <c r="P34" i="3"/>
  <c r="P38" i="3"/>
  <c r="P50" i="3"/>
  <c r="P66" i="3"/>
  <c r="P22" i="3"/>
  <c r="P18" i="3"/>
  <c r="P8" i="3"/>
  <c r="P42" i="3"/>
  <c r="P44" i="3"/>
  <c r="P46" i="3"/>
  <c r="P56" i="3"/>
  <c r="L40" i="3"/>
  <c r="L46" i="3"/>
  <c r="L26" i="3"/>
  <c r="L50" i="3"/>
  <c r="L32" i="3"/>
  <c r="L58" i="3"/>
  <c r="H18" i="3"/>
  <c r="H16" i="3"/>
  <c r="H34" i="3"/>
  <c r="H38" i="3"/>
  <c r="H52" i="3"/>
  <c r="H54" i="3"/>
  <c r="H6" i="3"/>
  <c r="H14" i="3"/>
  <c r="H12" i="3"/>
  <c r="H30" i="3"/>
  <c r="H32" i="3"/>
  <c r="H36" i="3"/>
  <c r="H48" i="3"/>
  <c r="H50" i="3"/>
  <c r="H64" i="3"/>
  <c r="H66" i="3"/>
  <c r="H22" i="3"/>
  <c r="H20" i="3"/>
  <c r="H28" i="3"/>
  <c r="H40" i="3"/>
  <c r="H42" i="3"/>
  <c r="H56" i="3"/>
  <c r="M36" i="2"/>
  <c r="M44" i="2"/>
  <c r="M46" i="2"/>
  <c r="M50" i="2"/>
  <c r="M28" i="2"/>
  <c r="M52" i="2"/>
  <c r="M56" i="2"/>
  <c r="M58" i="2"/>
  <c r="M6" i="2"/>
  <c r="M32" i="2"/>
  <c r="M34" i="2"/>
  <c r="M60" i="2"/>
  <c r="M64" i="2"/>
  <c r="I58" i="2"/>
  <c r="I12" i="2"/>
  <c r="I18" i="2"/>
  <c r="I6" i="2"/>
  <c r="I8" i="2"/>
  <c r="I24" i="2"/>
  <c r="I54" i="2"/>
  <c r="I16" i="2"/>
  <c r="E32" i="2"/>
  <c r="E54" i="2"/>
  <c r="E48" i="2"/>
  <c r="E42" i="2"/>
  <c r="K48" i="1"/>
  <c r="M12" i="1"/>
  <c r="M24" i="1"/>
  <c r="M32" i="1"/>
  <c r="M38" i="1"/>
  <c r="M40" i="1"/>
  <c r="M48" i="1"/>
  <c r="M58" i="1"/>
  <c r="M60" i="1"/>
  <c r="M6" i="1"/>
  <c r="M10" i="1"/>
  <c r="M14" i="1"/>
  <c r="M16" i="1"/>
  <c r="M18" i="1"/>
  <c r="M20" i="1"/>
  <c r="M22" i="1"/>
  <c r="M34" i="1"/>
  <c r="M50" i="1"/>
  <c r="M52" i="1"/>
  <c r="M62" i="1"/>
  <c r="M8" i="1"/>
  <c r="M42" i="1"/>
  <c r="M44" i="1"/>
  <c r="M54" i="1"/>
  <c r="M56" i="1"/>
  <c r="I40" i="1"/>
  <c r="I50" i="1"/>
  <c r="I56" i="1"/>
  <c r="I66" i="1"/>
  <c r="I6" i="1"/>
  <c r="I22" i="1"/>
  <c r="I24" i="1"/>
  <c r="I26" i="1"/>
  <c r="I30" i="1"/>
  <c r="I38" i="1"/>
  <c r="I44" i="1"/>
  <c r="I54" i="1"/>
  <c r="I60" i="1"/>
  <c r="I8" i="1"/>
  <c r="I10" i="1"/>
  <c r="I12" i="1"/>
  <c r="I32" i="1"/>
  <c r="I36" i="1"/>
  <c r="I46" i="1"/>
  <c r="I52" i="1"/>
  <c r="E10" i="1"/>
  <c r="E18" i="1"/>
  <c r="E26" i="1"/>
  <c r="E30" i="1"/>
  <c r="E34" i="1"/>
  <c r="E36" i="1"/>
  <c r="E40" i="1"/>
  <c r="E44" i="1"/>
  <c r="E48" i="1"/>
  <c r="E52" i="1"/>
  <c r="E56" i="1"/>
  <c r="E60" i="1"/>
  <c r="E64" i="1"/>
  <c r="E8" i="1"/>
  <c r="E16" i="1"/>
  <c r="E24" i="1"/>
  <c r="E12" i="1"/>
  <c r="E20" i="1"/>
  <c r="U46" i="22"/>
  <c r="U18" i="22"/>
  <c r="U8" i="22"/>
  <c r="U60" i="22"/>
  <c r="U62" i="22"/>
  <c r="U26" i="22"/>
  <c r="U16" i="22"/>
  <c r="U64" i="22"/>
  <c r="U38" i="22"/>
  <c r="U24" i="22"/>
  <c r="U34" i="22"/>
  <c r="U20" i="22"/>
  <c r="E40" i="25"/>
  <c r="E16" i="25"/>
  <c r="E62" i="25"/>
  <c r="E48" i="25"/>
  <c r="E26" i="25"/>
  <c r="E58" i="25"/>
  <c r="K32" i="9"/>
  <c r="K18" i="9"/>
  <c r="K38" i="9"/>
  <c r="K46" i="9"/>
  <c r="K62" i="9"/>
  <c r="K66" i="9"/>
  <c r="K36" i="9"/>
  <c r="K56" i="9"/>
  <c r="K12" i="9"/>
  <c r="K28" i="9"/>
  <c r="K44" i="9"/>
  <c r="K16" i="9"/>
  <c r="K26" i="9"/>
  <c r="K42" i="9"/>
  <c r="K30" i="9"/>
  <c r="K22" i="9"/>
  <c r="M50" i="9"/>
  <c r="M48" i="9"/>
  <c r="M42" i="9"/>
  <c r="M26" i="9"/>
  <c r="M18" i="9"/>
  <c r="M52" i="9"/>
  <c r="M30" i="9"/>
  <c r="M44" i="9"/>
  <c r="M64" i="9"/>
  <c r="M46" i="9"/>
  <c r="M6" i="9"/>
  <c r="M38" i="9"/>
  <c r="M24" i="9"/>
  <c r="M10" i="9"/>
  <c r="M12" i="9"/>
  <c r="M40" i="9"/>
  <c r="M16" i="9"/>
  <c r="M60" i="9"/>
  <c r="M32" i="9"/>
  <c r="M22" i="9"/>
  <c r="M66" i="9"/>
  <c r="E14" i="9"/>
  <c r="E24" i="9"/>
  <c r="E56" i="9"/>
  <c r="E50" i="9"/>
  <c r="E18" i="9"/>
  <c r="E6" i="9"/>
  <c r="L8" i="3"/>
  <c r="L52" i="3"/>
  <c r="L42" i="3"/>
  <c r="L10" i="3"/>
  <c r="L38" i="3"/>
  <c r="L56" i="3"/>
  <c r="L30" i="3"/>
  <c r="L34" i="3"/>
  <c r="L54" i="3"/>
  <c r="L62" i="3"/>
  <c r="L66" i="3"/>
  <c r="L20" i="3"/>
  <c r="L6" i="3"/>
  <c r="L12" i="3"/>
  <c r="L44" i="3"/>
  <c r="L36" i="3"/>
  <c r="L22" i="3"/>
  <c r="L28" i="3"/>
  <c r="L18" i="3"/>
  <c r="L64" i="3"/>
  <c r="L24" i="3"/>
  <c r="L60" i="3"/>
  <c r="K46" i="2"/>
  <c r="K52" i="2"/>
  <c r="I30" i="2"/>
  <c r="I62" i="2"/>
  <c r="I40" i="2"/>
  <c r="M62" i="2"/>
  <c r="M30" i="2"/>
  <c r="M54" i="2"/>
  <c r="M48" i="2"/>
  <c r="M24" i="2"/>
  <c r="M16" i="2"/>
  <c r="M8" i="2"/>
  <c r="E40" i="2"/>
  <c r="E58" i="2"/>
  <c r="E64" i="2"/>
  <c r="E34" i="2"/>
  <c r="E38" i="2"/>
  <c r="E26" i="2"/>
  <c r="E24" i="2"/>
  <c r="E22" i="2"/>
  <c r="E20" i="2"/>
  <c r="E18" i="2"/>
  <c r="E16" i="2"/>
  <c r="E14" i="2"/>
  <c r="E12" i="2"/>
  <c r="E10" i="2"/>
  <c r="E8" i="2"/>
  <c r="E30" i="2"/>
  <c r="E28" i="2"/>
  <c r="E46" i="2"/>
  <c r="E52" i="2"/>
  <c r="E6" i="2"/>
  <c r="E50" i="2"/>
  <c r="E56" i="2"/>
  <c r="E62" i="2"/>
  <c r="E36" i="2"/>
  <c r="E44" i="2"/>
  <c r="E60" i="2"/>
  <c r="U22" i="22"/>
  <c r="U32" i="22"/>
  <c r="U44" i="22"/>
  <c r="U54" i="22"/>
  <c r="U12" i="22"/>
  <c r="U36" i="22"/>
  <c r="U28" i="22"/>
  <c r="U58" i="22"/>
  <c r="U10" i="22"/>
  <c r="U50" i="22"/>
  <c r="U14" i="22"/>
  <c r="U66" i="22"/>
  <c r="U56" i="22"/>
  <c r="U6" i="22"/>
  <c r="E42" i="9"/>
  <c r="E48" i="9"/>
  <c r="E44" i="9"/>
  <c r="E64" i="9"/>
  <c r="E32" i="9"/>
  <c r="E30" i="9"/>
  <c r="E8" i="9"/>
  <c r="E34" i="9"/>
  <c r="E22" i="9"/>
  <c r="E12" i="9"/>
  <c r="E54" i="9"/>
  <c r="E58" i="9"/>
  <c r="E66" i="9"/>
  <c r="E46" i="9"/>
  <c r="E10" i="9"/>
  <c r="E52" i="9"/>
  <c r="E20" i="9"/>
  <c r="E38" i="9"/>
  <c r="E60" i="9"/>
  <c r="E40" i="9"/>
  <c r="E36" i="9"/>
  <c r="E26" i="9"/>
  <c r="T66" i="3"/>
  <c r="T24" i="3"/>
  <c r="Q56" i="29"/>
  <c r="T44" i="3"/>
  <c r="T62" i="3"/>
  <c r="Q18" i="1"/>
  <c r="T56" i="3"/>
  <c r="T46" i="3"/>
  <c r="Q62" i="2"/>
  <c r="Q62" i="29"/>
  <c r="Q34" i="2"/>
  <c r="T18" i="3"/>
  <c r="Q10" i="1"/>
  <c r="Q8" i="29"/>
  <c r="T22" i="3"/>
  <c r="Q36" i="1"/>
  <c r="Q26" i="1"/>
  <c r="Q38" i="29"/>
  <c r="Q24" i="1"/>
  <c r="Q50" i="1"/>
  <c r="Q58" i="2"/>
  <c r="Q62" i="1"/>
  <c r="Q12" i="29"/>
  <c r="Q6" i="2"/>
  <c r="Q30" i="29"/>
  <c r="Q30" i="1"/>
  <c r="Q36" i="2"/>
  <c r="T12" i="3"/>
  <c r="Q44" i="1"/>
  <c r="Q20" i="1"/>
  <c r="T40" i="3"/>
  <c r="Q8" i="1"/>
  <c r="Q48" i="2"/>
  <c r="Q60" i="1"/>
  <c r="Q10" i="29"/>
  <c r="Q58" i="1"/>
  <c r="Q46" i="29"/>
  <c r="Q22" i="29"/>
  <c r="Q64" i="2"/>
  <c r="T28" i="3"/>
  <c r="Q12" i="2"/>
  <c r="Q26" i="29"/>
  <c r="Q54" i="29"/>
  <c r="Q6" i="1"/>
  <c r="Q58" i="29"/>
  <c r="T36" i="3"/>
  <c r="Q20" i="29"/>
  <c r="Q38" i="2"/>
  <c r="T30" i="3"/>
  <c r="T38" i="3"/>
  <c r="Q52" i="1"/>
  <c r="T42" i="3"/>
  <c r="Q36" i="29"/>
  <c r="Q28" i="1"/>
  <c r="Q14" i="29"/>
  <c r="T6" i="3"/>
  <c r="Q66" i="1"/>
  <c r="T34" i="3"/>
  <c r="Q54" i="2"/>
  <c r="Q26" i="2"/>
  <c r="Q56" i="2"/>
  <c r="Q64" i="25"/>
  <c r="Z20" i="3"/>
  <c r="U10" i="9"/>
  <c r="U54" i="9"/>
  <c r="W64" i="2"/>
  <c r="W42" i="29"/>
  <c r="W64" i="29"/>
  <c r="W60" i="1"/>
  <c r="AE16" i="22"/>
  <c r="W18" i="29"/>
  <c r="W8" i="29"/>
  <c r="W52" i="2"/>
  <c r="W24" i="2"/>
  <c r="W16" i="1"/>
  <c r="AE32" i="22"/>
  <c r="AE28" i="22"/>
  <c r="W24" i="1"/>
  <c r="W28" i="1"/>
  <c r="W62" i="1"/>
  <c r="U50" i="9"/>
  <c r="Z56" i="3"/>
  <c r="Z30" i="3"/>
  <c r="W14" i="2"/>
  <c r="W38" i="1"/>
  <c r="W56" i="29"/>
  <c r="Q30" i="25"/>
  <c r="W56" i="2"/>
  <c r="U22" i="9"/>
  <c r="AE56" i="22"/>
  <c r="W62" i="29"/>
  <c r="Z36" i="3"/>
  <c r="Q48" i="25"/>
  <c r="Z14" i="3"/>
  <c r="Q6" i="25"/>
  <c r="U36" i="9"/>
  <c r="H22" i="30"/>
  <c r="T28" i="30"/>
  <c r="H45" i="30"/>
  <c r="D18" i="30"/>
  <c r="H18" i="30"/>
  <c r="E44" i="30"/>
  <c r="S16" i="30"/>
  <c r="G11" i="30"/>
  <c r="D40" i="30"/>
  <c r="R16" i="30"/>
  <c r="K14" i="2"/>
  <c r="G50" i="22"/>
  <c r="K18" i="29"/>
  <c r="Q16" i="2"/>
  <c r="Q50" i="29"/>
  <c r="Q12" i="1"/>
  <c r="Q8" i="2"/>
  <c r="Q24" i="2"/>
  <c r="Q66" i="29"/>
  <c r="N64" i="3"/>
  <c r="G60" i="22"/>
  <c r="G18" i="22"/>
  <c r="G30" i="22"/>
  <c r="K26" i="1"/>
  <c r="K66" i="1"/>
  <c r="K54" i="1"/>
  <c r="K18" i="1"/>
  <c r="N10" i="3"/>
  <c r="G32" i="22"/>
  <c r="Q28" i="2"/>
  <c r="Q48" i="1"/>
  <c r="Q52" i="29"/>
  <c r="Q54" i="1"/>
  <c r="Q48" i="29"/>
  <c r="T32" i="3"/>
  <c r="Q56" i="1"/>
  <c r="Q10" i="2"/>
  <c r="T14" i="3"/>
  <c r="Q32" i="29"/>
  <c r="Q6" i="29"/>
  <c r="Q40" i="1"/>
  <c r="Q38" i="1"/>
  <c r="Q18" i="29"/>
  <c r="T58" i="3"/>
  <c r="T50" i="3"/>
  <c r="T64" i="3"/>
  <c r="Q20" i="2"/>
  <c r="Q64" i="1"/>
  <c r="Q44" i="2"/>
  <c r="Q32" i="2"/>
  <c r="Q64" i="29"/>
  <c r="Q42" i="2"/>
  <c r="Q40" i="29"/>
  <c r="K50" i="2"/>
  <c r="K32" i="2"/>
  <c r="G24" i="22"/>
  <c r="K56" i="1"/>
  <c r="N60" i="3"/>
  <c r="K48" i="29"/>
  <c r="T8" i="3"/>
  <c r="Q46" i="2"/>
  <c r="Q52" i="2"/>
  <c r="Q18" i="2"/>
  <c r="Q16" i="29"/>
  <c r="Q22" i="2"/>
  <c r="T54" i="3"/>
  <c r="Q66" i="2"/>
  <c r="Q14" i="2"/>
  <c r="T48" i="3"/>
  <c r="T26" i="3"/>
  <c r="Q14" i="1"/>
  <c r="T16" i="3"/>
  <c r="Q34" i="1"/>
  <c r="Q40" i="2"/>
  <c r="Q24" i="29"/>
  <c r="Q28" i="29"/>
  <c r="Q50" i="2"/>
  <c r="Q22" i="1"/>
  <c r="Q42" i="1"/>
  <c r="Q60" i="29"/>
  <c r="T10" i="3"/>
  <c r="Q34" i="29"/>
  <c r="Q30" i="2"/>
  <c r="T20" i="3"/>
  <c r="Q42" i="29"/>
  <c r="Q46" i="1"/>
  <c r="Q44" i="29"/>
  <c r="T60" i="3"/>
  <c r="Q32" i="1"/>
  <c r="K8" i="2"/>
  <c r="K36" i="2"/>
  <c r="G48" i="22"/>
  <c r="K14" i="1"/>
  <c r="N42" i="3"/>
  <c r="N8" i="3"/>
  <c r="K50" i="29"/>
  <c r="K26" i="29"/>
  <c r="Q16" i="1"/>
  <c r="N30" i="3"/>
  <c r="U60" i="9"/>
  <c r="W26" i="1"/>
  <c r="Z38" i="3"/>
  <c r="AE52" i="22"/>
  <c r="U58" i="9"/>
  <c r="U44" i="9"/>
  <c r="Q52" i="25"/>
  <c r="W46" i="29"/>
  <c r="U62" i="9"/>
  <c r="W66" i="1"/>
  <c r="G48" i="25"/>
  <c r="G46" i="25"/>
  <c r="G44" i="25"/>
  <c r="G42" i="25"/>
  <c r="G40" i="25"/>
  <c r="K16" i="2"/>
  <c r="K56" i="2"/>
  <c r="K28" i="2"/>
  <c r="K66" i="2"/>
  <c r="K26" i="2"/>
  <c r="K42" i="2"/>
  <c r="K12" i="2"/>
  <c r="K14" i="29"/>
  <c r="G58" i="22"/>
  <c r="G16" i="22"/>
  <c r="G54" i="22"/>
  <c r="G56" i="22"/>
  <c r="K62" i="1"/>
  <c r="K32" i="1"/>
  <c r="K8" i="1"/>
  <c r="K38" i="1"/>
  <c r="K30" i="1"/>
  <c r="K48" i="2"/>
  <c r="N12" i="3"/>
  <c r="N58" i="3"/>
  <c r="N26" i="3"/>
  <c r="N44" i="3"/>
  <c r="N24" i="3"/>
  <c r="N46" i="3"/>
  <c r="K38" i="29"/>
  <c r="K44" i="29"/>
  <c r="K58" i="29"/>
  <c r="K36" i="29"/>
  <c r="K16" i="29"/>
  <c r="G36" i="22"/>
  <c r="G44" i="22"/>
  <c r="G34" i="22"/>
  <c r="N48" i="3"/>
  <c r="N22" i="3"/>
  <c r="K36" i="1"/>
  <c r="K34" i="29"/>
  <c r="K40" i="1"/>
  <c r="K42" i="29"/>
  <c r="K6" i="29"/>
  <c r="K34" i="2"/>
  <c r="K6" i="1"/>
  <c r="K58" i="2"/>
  <c r="K44" i="2"/>
  <c r="K60" i="2"/>
  <c r="K54" i="2"/>
  <c r="K30" i="2"/>
  <c r="K18" i="2"/>
  <c r="K24" i="2"/>
  <c r="I62" i="22"/>
  <c r="G6" i="22"/>
  <c r="G12" i="22"/>
  <c r="G14" i="22"/>
  <c r="K60" i="1"/>
  <c r="K22" i="1"/>
  <c r="K50" i="1"/>
  <c r="K24" i="1"/>
  <c r="K28" i="1"/>
  <c r="N34" i="3"/>
  <c r="N6" i="3"/>
  <c r="N18" i="3"/>
  <c r="N52" i="3"/>
  <c r="N16" i="3"/>
  <c r="N54" i="3"/>
  <c r="K52" i="29"/>
  <c r="K20" i="29"/>
  <c r="K28" i="29"/>
  <c r="K56" i="29"/>
  <c r="K32" i="29"/>
  <c r="K10" i="29"/>
  <c r="G28" i="22"/>
  <c r="G52" i="22"/>
  <c r="G62" i="22"/>
  <c r="G8" i="22"/>
  <c r="N40" i="3"/>
  <c r="K20" i="1"/>
  <c r="K30" i="29"/>
  <c r="K58" i="1"/>
  <c r="K62" i="29"/>
  <c r="K64" i="29"/>
  <c r="K54" i="29"/>
  <c r="G10" i="22"/>
  <c r="K10" i="2"/>
  <c r="K38" i="2"/>
  <c r="K22" i="2"/>
  <c r="K40" i="2"/>
  <c r="K20" i="2"/>
  <c r="K62" i="2"/>
  <c r="K24" i="29"/>
  <c r="G40" i="22"/>
  <c r="G26" i="22"/>
  <c r="G38" i="22"/>
  <c r="K64" i="1"/>
  <c r="K34" i="1"/>
  <c r="K12" i="1"/>
  <c r="K42" i="1"/>
  <c r="K10" i="1"/>
  <c r="N50" i="3"/>
  <c r="N32" i="3"/>
  <c r="N36" i="3"/>
  <c r="N28" i="3"/>
  <c r="N38" i="3"/>
  <c r="K40" i="29"/>
  <c r="K66" i="29"/>
  <c r="K12" i="29"/>
  <c r="K46" i="29"/>
  <c r="K22" i="29"/>
  <c r="G42" i="22"/>
  <c r="G20" i="22"/>
  <c r="G64" i="22"/>
  <c r="G46" i="22"/>
  <c r="N56" i="3"/>
  <c r="N14" i="3"/>
  <c r="M48" i="29"/>
  <c r="M66" i="2"/>
  <c r="K44" i="1"/>
  <c r="K46" i="1"/>
  <c r="K52" i="1"/>
  <c r="I48" i="1"/>
  <c r="E32" i="1"/>
  <c r="E42" i="1"/>
  <c r="G22" i="22"/>
  <c r="E32" i="25"/>
  <c r="E28" i="25"/>
  <c r="E54" i="25"/>
  <c r="E64" i="25"/>
  <c r="E6" i="25"/>
  <c r="E66" i="25"/>
  <c r="E36" i="25"/>
  <c r="E50" i="25"/>
  <c r="E18" i="25"/>
  <c r="E14" i="25"/>
  <c r="E12" i="25"/>
  <c r="E34" i="25"/>
  <c r="E8" i="25"/>
  <c r="E30" i="25"/>
  <c r="E56" i="25"/>
  <c r="E44" i="25"/>
  <c r="E10" i="25"/>
  <c r="E38" i="25"/>
  <c r="E46" i="25"/>
  <c r="E52" i="25"/>
  <c r="E22" i="25"/>
  <c r="E42" i="25"/>
  <c r="E60" i="25"/>
  <c r="M28" i="1"/>
  <c r="M36" i="1"/>
  <c r="M46" i="1"/>
  <c r="U48" i="22"/>
  <c r="I64" i="22"/>
  <c r="I36" i="22"/>
  <c r="I22" i="22"/>
  <c r="I24" i="22"/>
  <c r="I44" i="22"/>
  <c r="I28" i="22"/>
  <c r="W10" i="22"/>
  <c r="I60" i="29"/>
  <c r="I38" i="29"/>
  <c r="I24" i="29"/>
  <c r="I44" i="29"/>
  <c r="I14" i="29"/>
  <c r="I46" i="29"/>
  <c r="I32" i="29"/>
  <c r="I52" i="29"/>
  <c r="I28" i="29"/>
  <c r="I58" i="29"/>
  <c r="I18" i="29"/>
  <c r="I64" i="29"/>
  <c r="I36" i="29"/>
  <c r="U14" i="9"/>
  <c r="W12" i="1"/>
  <c r="W32" i="2"/>
  <c r="Z54" i="3"/>
  <c r="Z34" i="3"/>
  <c r="AE62" i="22"/>
  <c r="U28" i="9"/>
  <c r="W46" i="1"/>
  <c r="AE66" i="22"/>
  <c r="W32" i="29"/>
  <c r="Y21" i="30"/>
  <c r="H28" i="30"/>
  <c r="D48" i="30"/>
  <c r="C23" i="30"/>
  <c r="F47" i="30"/>
  <c r="L32" i="30"/>
  <c r="F34" i="30"/>
  <c r="N22" i="30"/>
  <c r="M27" i="30"/>
  <c r="C37" i="30"/>
  <c r="P10" i="30"/>
  <c r="E17" i="30"/>
  <c r="J17" i="30"/>
  <c r="V14" i="30"/>
  <c r="W7" i="30"/>
  <c r="M21" i="30"/>
  <c r="T18" i="30"/>
  <c r="V18" i="30"/>
  <c r="X28" i="30"/>
  <c r="K37" i="30"/>
  <c r="Q52" i="30"/>
  <c r="L23" i="30"/>
  <c r="S30" i="30"/>
  <c r="G46" i="30"/>
  <c r="K19" i="30"/>
  <c r="X32" i="30"/>
  <c r="U18" i="30"/>
  <c r="D28" i="30"/>
  <c r="E43" i="30"/>
  <c r="L33" i="30"/>
  <c r="N47" i="30"/>
  <c r="L16" i="30"/>
  <c r="L28" i="30"/>
  <c r="J21" i="30"/>
  <c r="N17" i="30"/>
  <c r="S17" i="30"/>
  <c r="O28" i="30"/>
  <c r="P12" i="30"/>
  <c r="K41" i="30"/>
  <c r="W42" i="30"/>
  <c r="R26" i="30"/>
  <c r="H32" i="30"/>
  <c r="S8" i="30"/>
  <c r="L10" i="30"/>
  <c r="Y29" i="30"/>
  <c r="R10" i="30"/>
  <c r="F22" i="30"/>
  <c r="W25" i="30"/>
  <c r="R22" i="30"/>
  <c r="J8" i="30"/>
  <c r="C7" i="30"/>
  <c r="W29" i="30"/>
  <c r="C16" i="30"/>
  <c r="G19" i="30"/>
  <c r="R46" i="30"/>
  <c r="R21" i="30"/>
  <c r="P16" i="30"/>
  <c r="K23" i="30"/>
  <c r="G25" i="30"/>
  <c r="D12" i="30"/>
  <c r="G7" i="30"/>
  <c r="K44" i="30"/>
  <c r="K20" i="30"/>
  <c r="R33" i="30"/>
  <c r="T12" i="30"/>
  <c r="R47" i="30"/>
  <c r="O45" i="30"/>
  <c r="K15" i="30"/>
  <c r="U9" i="30"/>
  <c r="D27" i="30"/>
  <c r="Q40" i="30"/>
  <c r="M7" i="30"/>
  <c r="I19" i="30"/>
  <c r="H25" i="30"/>
  <c r="R29" i="30"/>
  <c r="O26" i="30"/>
  <c r="P7" i="30"/>
  <c r="Y28" i="30"/>
  <c r="D37" i="30"/>
  <c r="V46" i="30"/>
  <c r="S9" i="30"/>
  <c r="E62" i="9"/>
  <c r="E28" i="9"/>
  <c r="E62" i="29"/>
  <c r="E46" i="29"/>
  <c r="E6" i="29"/>
  <c r="E30" i="29"/>
  <c r="E14" i="29"/>
  <c r="E54" i="29"/>
  <c r="E38" i="29"/>
  <c r="E22" i="29"/>
  <c r="E66" i="1"/>
  <c r="E50" i="1"/>
  <c r="E6" i="1"/>
  <c r="E38" i="1"/>
  <c r="E58" i="1"/>
  <c r="E62" i="1"/>
  <c r="M64" i="1"/>
  <c r="M66" i="1"/>
  <c r="I64" i="1"/>
  <c r="P52" i="3"/>
  <c r="P40" i="3"/>
  <c r="G66" i="25"/>
  <c r="G14" i="25"/>
  <c r="G54" i="25"/>
  <c r="G38" i="25"/>
  <c r="E20" i="25"/>
  <c r="R51" i="30"/>
  <c r="S50" i="30"/>
  <c r="O50" i="30"/>
  <c r="U7" i="30"/>
  <c r="Q17" i="30"/>
  <c r="M51" i="30"/>
  <c r="F42" i="30"/>
  <c r="Y22" i="30"/>
  <c r="Y19" i="30"/>
  <c r="V16" i="30"/>
  <c r="G41" i="30"/>
  <c r="P14" i="30"/>
  <c r="D19" i="30"/>
  <c r="P20" i="30"/>
  <c r="D15" i="30"/>
  <c r="C20" i="30"/>
  <c r="D20" i="30"/>
  <c r="R42" i="30"/>
  <c r="K7" i="30"/>
  <c r="Q36" i="30"/>
  <c r="O46" i="30"/>
  <c r="D14" i="30"/>
  <c r="V29" i="30"/>
  <c r="C15" i="30"/>
  <c r="L40" i="30"/>
  <c r="E15" i="30"/>
  <c r="S33" i="30"/>
  <c r="X23" i="30"/>
  <c r="Y32" i="30"/>
  <c r="M43" i="30"/>
  <c r="T14" i="30"/>
  <c r="N38" i="30"/>
  <c r="W11" i="30"/>
  <c r="M9" i="30"/>
  <c r="V39" i="30"/>
  <c r="Q39" i="30"/>
  <c r="N30" i="30"/>
  <c r="G28" i="30"/>
  <c r="C33" i="30"/>
  <c r="V12" i="30"/>
  <c r="U31" i="30"/>
  <c r="C34" i="30"/>
  <c r="W15" i="30"/>
  <c r="Q26" i="30"/>
  <c r="Q22" i="30"/>
  <c r="Q32" i="30"/>
  <c r="P40" i="30"/>
  <c r="N43" i="30"/>
  <c r="M11" i="30"/>
  <c r="N42" i="30"/>
  <c r="H19" i="30"/>
  <c r="O29" i="30"/>
  <c r="F20" i="30"/>
  <c r="W33" i="30"/>
  <c r="J34" i="30"/>
  <c r="I9" i="30"/>
  <c r="Q19" i="30"/>
  <c r="I34" i="30"/>
  <c r="Z20" i="30"/>
  <c r="AA11" i="30"/>
  <c r="AA37" i="30"/>
  <c r="E13" i="30"/>
  <c r="M14" i="30"/>
  <c r="AA26" i="30"/>
  <c r="Z12" i="30"/>
  <c r="K17" i="30"/>
  <c r="U15" i="30"/>
  <c r="D22" i="30"/>
  <c r="I35" i="30"/>
  <c r="N20" i="30"/>
  <c r="E35" i="30"/>
  <c r="O21" i="30"/>
  <c r="I36" i="30"/>
  <c r="Y15" i="30"/>
  <c r="C19" i="30"/>
  <c r="P27" i="30"/>
  <c r="E26" i="30"/>
  <c r="T22" i="30"/>
  <c r="X12" i="30"/>
  <c r="Z35" i="30"/>
  <c r="L45" i="30"/>
  <c r="F30" i="30"/>
  <c r="T15" i="30"/>
  <c r="G20" i="30"/>
  <c r="V23" i="30"/>
  <c r="X16" i="30"/>
  <c r="R30" i="30"/>
  <c r="T23" i="30"/>
  <c r="U43" i="30"/>
  <c r="V20" i="30"/>
  <c r="U39" i="30"/>
  <c r="E23" i="30"/>
  <c r="J42" i="30"/>
  <c r="F31" i="30"/>
  <c r="F17" i="30"/>
  <c r="V21" i="30"/>
  <c r="V31" i="30"/>
  <c r="L19" i="30"/>
  <c r="X10" i="30"/>
  <c r="E18" i="30"/>
  <c r="D33" i="30"/>
  <c r="P28" i="30"/>
  <c r="P36" i="30"/>
  <c r="Q49" i="30"/>
  <c r="W45" i="30"/>
  <c r="Y18" i="30"/>
  <c r="G34" i="30"/>
  <c r="J22" i="30"/>
  <c r="D29" i="30"/>
  <c r="R12" i="30"/>
  <c r="I18" i="30"/>
  <c r="Q48" i="30"/>
  <c r="X14" i="30"/>
  <c r="J28" i="30"/>
  <c r="M36" i="30"/>
  <c r="U32" i="30"/>
  <c r="E48" i="30"/>
  <c r="D7" i="30"/>
  <c r="J20" i="30"/>
  <c r="H20" i="30"/>
  <c r="M39" i="30"/>
  <c r="G29" i="30"/>
  <c r="C21" i="30"/>
  <c r="N16" i="30"/>
  <c r="D8" i="30"/>
  <c r="O42" i="30"/>
  <c r="H52" i="30"/>
  <c r="W37" i="30"/>
  <c r="Q9" i="30"/>
  <c r="P23" i="30"/>
  <c r="J46" i="30"/>
  <c r="W20" i="30"/>
  <c r="T40" i="30"/>
  <c r="K12" i="30"/>
  <c r="O37" i="30"/>
  <c r="K29" i="30"/>
  <c r="Q18" i="30"/>
  <c r="N31" i="30"/>
  <c r="Q35" i="30"/>
  <c r="Y39" i="30"/>
  <c r="D10" i="30"/>
  <c r="S15" i="30"/>
  <c r="V43" i="30"/>
  <c r="K9" i="30"/>
  <c r="Z39" i="30"/>
  <c r="Z27" i="30"/>
  <c r="Z47" i="30"/>
  <c r="AA19" i="30"/>
  <c r="Q7" i="30"/>
  <c r="Z52" i="30"/>
  <c r="V52" i="30"/>
  <c r="P49" i="30"/>
  <c r="L49" i="30"/>
  <c r="Y48" i="30"/>
  <c r="J47" i="30"/>
  <c r="X45" i="30"/>
  <c r="G42" i="30"/>
  <c r="C42" i="30"/>
  <c r="P41" i="30"/>
  <c r="N39" i="30"/>
  <c r="S38" i="30"/>
  <c r="G38" i="30"/>
  <c r="K34" i="30"/>
  <c r="X33" i="30"/>
  <c r="Y24" i="30"/>
  <c r="U24" i="30"/>
  <c r="Q24" i="30"/>
  <c r="M24" i="30"/>
  <c r="I24" i="30"/>
  <c r="E24" i="30"/>
  <c r="Z13" i="30"/>
  <c r="V13" i="30"/>
  <c r="R13" i="30"/>
  <c r="N13" i="30"/>
  <c r="J13" i="30"/>
  <c r="F13" i="30"/>
  <c r="X24" i="30"/>
  <c r="H24" i="30"/>
  <c r="Q13" i="30"/>
  <c r="T24" i="30"/>
  <c r="D24" i="30"/>
  <c r="M13" i="30"/>
  <c r="P24" i="30"/>
  <c r="Y13" i="30"/>
  <c r="I13" i="30"/>
  <c r="Z22" i="30"/>
  <c r="Z16" i="30"/>
  <c r="AA21" i="30"/>
  <c r="AA41" i="30"/>
  <c r="L8" i="30"/>
  <c r="P30" i="30"/>
  <c r="X52" i="30"/>
  <c r="T52" i="30"/>
  <c r="P52" i="30"/>
  <c r="D52" i="30"/>
  <c r="U51" i="30"/>
  <c r="Q51" i="30"/>
  <c r="I51" i="30"/>
  <c r="E51" i="30"/>
  <c r="Z50" i="30"/>
  <c r="V50" i="30"/>
  <c r="R50" i="30"/>
  <c r="N50" i="30"/>
  <c r="F50" i="30"/>
  <c r="AA49" i="30"/>
  <c r="W49" i="30"/>
  <c r="S49" i="30"/>
  <c r="O49" i="30"/>
  <c r="K49" i="30"/>
  <c r="G49" i="30"/>
  <c r="C49" i="30"/>
  <c r="X48" i="30"/>
  <c r="T48" i="30"/>
  <c r="P48" i="30"/>
  <c r="L48" i="30"/>
  <c r="H48" i="30"/>
  <c r="U47" i="30"/>
  <c r="Q47" i="30"/>
  <c r="M47" i="30"/>
  <c r="E47" i="30"/>
  <c r="Z46" i="30"/>
  <c r="N46" i="30"/>
  <c r="F46" i="30"/>
  <c r="AA45" i="30"/>
  <c r="S45" i="30"/>
  <c r="K45" i="30"/>
  <c r="G45" i="30"/>
  <c r="C45" i="30"/>
  <c r="X44" i="30"/>
  <c r="T44" i="30"/>
  <c r="P44" i="30"/>
  <c r="L44" i="30"/>
  <c r="H44" i="30"/>
  <c r="D44" i="30"/>
  <c r="U13" i="30"/>
  <c r="U46" i="30"/>
  <c r="Q46" i="30"/>
  <c r="M46" i="30"/>
  <c r="I46" i="30"/>
  <c r="E46" i="30"/>
  <c r="Z45" i="30"/>
  <c r="V45" i="30"/>
  <c r="R45" i="30"/>
  <c r="N45" i="30"/>
  <c r="J45" i="30"/>
  <c r="F45" i="30"/>
  <c r="AA44" i="30"/>
  <c r="W44" i="30"/>
  <c r="S44" i="30"/>
  <c r="O44" i="30"/>
  <c r="G44" i="30"/>
  <c r="C44" i="30"/>
  <c r="X43" i="30"/>
  <c r="T43" i="30"/>
  <c r="P43" i="30"/>
  <c r="L43" i="30"/>
  <c r="H43" i="30"/>
  <c r="D43" i="30"/>
  <c r="Y42" i="30"/>
  <c r="U42" i="30"/>
  <c r="E42" i="30"/>
  <c r="W40" i="30"/>
  <c r="H39" i="30"/>
  <c r="L24" i="30"/>
  <c r="C36" i="30"/>
  <c r="X35" i="30"/>
  <c r="Y34" i="30"/>
  <c r="Q34" i="30"/>
  <c r="V33" i="30"/>
  <c r="N33" i="30"/>
  <c r="W32" i="30"/>
  <c r="G32" i="30"/>
  <c r="U30" i="30"/>
  <c r="E30" i="30"/>
  <c r="F29" i="30"/>
  <c r="W28" i="30"/>
  <c r="S28" i="30"/>
  <c r="C28" i="30"/>
  <c r="Y26" i="30"/>
  <c r="M26" i="30"/>
  <c r="I26" i="30"/>
  <c r="V25" i="30"/>
  <c r="O23" i="30"/>
  <c r="X22" i="30"/>
  <c r="P22" i="30"/>
  <c r="C13" i="30"/>
  <c r="G13" i="30"/>
  <c r="K13" i="30"/>
  <c r="O13" i="30"/>
  <c r="S13" i="30"/>
  <c r="W13" i="30"/>
  <c r="AA13" i="30"/>
  <c r="F24" i="30"/>
  <c r="J24" i="30"/>
  <c r="N24" i="30"/>
  <c r="R24" i="30"/>
  <c r="V24" i="30"/>
  <c r="Z24" i="30"/>
  <c r="R52" i="30"/>
  <c r="N52" i="30"/>
  <c r="J52" i="30"/>
  <c r="F52" i="30"/>
  <c r="AA51" i="30"/>
  <c r="W51" i="30"/>
  <c r="S51" i="30"/>
  <c r="O51" i="30"/>
  <c r="K51" i="30"/>
  <c r="G51" i="30"/>
  <c r="C51" i="30"/>
  <c r="X50" i="30"/>
  <c r="T50" i="30"/>
  <c r="P50" i="30"/>
  <c r="L50" i="30"/>
  <c r="H50" i="30"/>
  <c r="D50" i="30"/>
  <c r="Y49" i="30"/>
  <c r="U49" i="30"/>
  <c r="M49" i="30"/>
  <c r="I49" i="30"/>
  <c r="E49" i="30"/>
  <c r="V48" i="30"/>
  <c r="R48" i="30"/>
  <c r="N48" i="30"/>
  <c r="J48" i="30"/>
  <c r="F48" i="30"/>
  <c r="AA47" i="30"/>
  <c r="W47" i="30"/>
  <c r="S47" i="30"/>
  <c r="O47" i="30"/>
  <c r="K47" i="30"/>
  <c r="G47" i="30"/>
  <c r="C47" i="30"/>
  <c r="X46" i="30"/>
  <c r="T46" i="30"/>
  <c r="P46" i="30"/>
  <c r="L46" i="30"/>
  <c r="H46" i="30"/>
  <c r="D46" i="30"/>
  <c r="Y45" i="30"/>
  <c r="U45" i="30"/>
  <c r="Q45" i="30"/>
  <c r="M45" i="30"/>
  <c r="I45" i="30"/>
  <c r="E45" i="30"/>
  <c r="Z44" i="30"/>
  <c r="V44" i="30"/>
  <c r="R44" i="30"/>
  <c r="N44" i="30"/>
  <c r="J44" i="30"/>
  <c r="F44" i="30"/>
  <c r="AA43" i="30"/>
  <c r="S43" i="30"/>
  <c r="O43" i="30"/>
  <c r="K43" i="30"/>
  <c r="G43" i="30"/>
  <c r="C43" i="30"/>
  <c r="X42" i="30"/>
  <c r="T42" i="30"/>
  <c r="P42" i="30"/>
  <c r="L42" i="30"/>
  <c r="H42" i="30"/>
  <c r="D42" i="30"/>
  <c r="Y41" i="30"/>
  <c r="U41" i="30"/>
  <c r="Q41" i="30"/>
  <c r="M41" i="30"/>
  <c r="I41" i="30"/>
  <c r="D13" i="30"/>
  <c r="H13" i="30"/>
  <c r="L13" i="30"/>
  <c r="P13" i="30"/>
  <c r="T13" i="30"/>
  <c r="X13" i="30"/>
  <c r="C24" i="30"/>
  <c r="G24" i="30"/>
  <c r="K24" i="30"/>
  <c r="O24" i="30"/>
  <c r="S24" i="30"/>
  <c r="W24" i="30"/>
  <c r="AA24" i="30"/>
  <c r="E41" i="30"/>
  <c r="Z40" i="30"/>
  <c r="V40" i="30"/>
  <c r="R40" i="30"/>
  <c r="N40" i="30"/>
  <c r="J40" i="30"/>
  <c r="F40" i="30"/>
  <c r="AA39" i="30"/>
  <c r="W39" i="30"/>
  <c r="S39" i="30"/>
  <c r="O39" i="30"/>
  <c r="K39" i="30"/>
  <c r="G39" i="30"/>
  <c r="C39" i="30"/>
  <c r="X38" i="30"/>
  <c r="T38" i="30"/>
  <c r="P38" i="30"/>
  <c r="L38" i="30"/>
  <c r="H38" i="30"/>
  <c r="D38" i="30"/>
  <c r="Y37" i="30"/>
  <c r="U37" i="30"/>
  <c r="Q37" i="30"/>
  <c r="I37" i="30"/>
  <c r="E37" i="30"/>
  <c r="Z36" i="30"/>
  <c r="V36" i="30"/>
  <c r="R36" i="30"/>
  <c r="N36" i="30"/>
  <c r="J36" i="30"/>
  <c r="F36" i="30"/>
  <c r="AA35" i="30"/>
  <c r="W35" i="30"/>
  <c r="S35" i="30"/>
  <c r="O35" i="30"/>
  <c r="K35" i="30"/>
  <c r="G35" i="30"/>
  <c r="C35" i="30"/>
  <c r="X34" i="30"/>
  <c r="T34" i="30"/>
  <c r="P34" i="30"/>
  <c r="L34" i="30"/>
  <c r="H34" i="30"/>
  <c r="D34" i="30"/>
  <c r="Y33" i="30"/>
  <c r="U33" i="30"/>
  <c r="Q33" i="30"/>
  <c r="M33" i="30"/>
  <c r="I33" i="30"/>
  <c r="E33" i="30"/>
  <c r="Z32" i="30"/>
  <c r="V32" i="30"/>
  <c r="R32" i="30"/>
  <c r="N32" i="30"/>
  <c r="J32" i="30"/>
  <c r="F32" i="30"/>
  <c r="AA31" i="30"/>
  <c r="W31" i="30"/>
  <c r="S31" i="30"/>
  <c r="O31" i="30"/>
  <c r="K31" i="30"/>
  <c r="G31" i="30"/>
  <c r="C31" i="30"/>
  <c r="X30" i="30"/>
  <c r="T30" i="30"/>
  <c r="L30" i="30"/>
  <c r="H30" i="30"/>
  <c r="D30" i="30"/>
  <c r="Q29" i="30"/>
  <c r="M29" i="30"/>
  <c r="E29" i="30"/>
  <c r="V28" i="30"/>
  <c r="N28" i="30"/>
  <c r="L21" i="30"/>
  <c r="AA12" i="30"/>
  <c r="AA10" i="30"/>
  <c r="T7" i="30"/>
  <c r="AA46" i="30"/>
  <c r="AA29" i="30"/>
  <c r="AA23" i="30"/>
  <c r="AA17" i="30"/>
  <c r="AA9" i="30"/>
  <c r="Z25" i="30"/>
  <c r="Z8" i="30"/>
  <c r="Z34" i="30"/>
  <c r="Z21" i="30"/>
  <c r="D36" i="30"/>
  <c r="T10" i="30"/>
  <c r="W21" i="30"/>
  <c r="O15" i="30"/>
  <c r="Q30" i="30"/>
  <c r="P15" i="30"/>
  <c r="E39" i="30"/>
  <c r="L18" i="30"/>
  <c r="J18" i="30"/>
  <c r="Q27" i="30"/>
  <c r="S29" i="30"/>
  <c r="R38" i="30"/>
  <c r="X36" i="30"/>
  <c r="G33" i="30"/>
  <c r="Y27" i="30"/>
  <c r="Y31" i="30"/>
  <c r="Y36" i="30"/>
  <c r="Y17" i="30"/>
  <c r="V26" i="30"/>
  <c r="O25" i="30"/>
  <c r="M8" i="30"/>
  <c r="M22" i="30"/>
  <c r="O16" i="30"/>
  <c r="P37" i="30"/>
  <c r="E28" i="30"/>
  <c r="E9" i="30"/>
  <c r="E52" i="30"/>
  <c r="R34" i="30"/>
  <c r="L37" i="30"/>
  <c r="T19" i="30"/>
  <c r="T36" i="30"/>
  <c r="O30" i="30"/>
  <c r="J39" i="30"/>
  <c r="W30" i="30"/>
  <c r="U26" i="30"/>
  <c r="T45" i="30"/>
  <c r="O34" i="30"/>
  <c r="F16" i="30"/>
  <c r="X25" i="30"/>
  <c r="G16" i="30"/>
  <c r="L11" i="30"/>
  <c r="Y7" i="30"/>
  <c r="AA34" i="30"/>
  <c r="AA25" i="30"/>
  <c r="AA16" i="30"/>
  <c r="Z29" i="30"/>
  <c r="Z26" i="30"/>
  <c r="M18" i="30"/>
  <c r="F21" i="30"/>
  <c r="U21" i="30"/>
  <c r="F12" i="30"/>
  <c r="Q11" i="30"/>
  <c r="O20" i="30"/>
  <c r="U22" i="30"/>
  <c r="I27" i="30"/>
  <c r="J30" i="30"/>
  <c r="Y40" i="30"/>
  <c r="Y9" i="30"/>
  <c r="Y35" i="30"/>
  <c r="L15" i="30"/>
  <c r="R27" i="30"/>
  <c r="N18" i="30"/>
  <c r="I23" i="30"/>
  <c r="C29" i="30"/>
  <c r="N8" i="30"/>
  <c r="R25" i="30"/>
  <c r="O19" i="30"/>
  <c r="H35" i="30"/>
  <c r="J25" i="30"/>
  <c r="J51" i="30"/>
  <c r="R18" i="30"/>
  <c r="L36" i="30"/>
  <c r="V51" i="30"/>
  <c r="U35" i="30"/>
  <c r="J16" i="30"/>
  <c r="J38" i="30"/>
  <c r="V47" i="30"/>
  <c r="V30" i="30"/>
  <c r="U14" i="30"/>
  <c r="K11" i="30"/>
  <c r="I39" i="30"/>
  <c r="C11" i="30"/>
  <c r="M31" i="30"/>
  <c r="J33" i="30"/>
  <c r="T16" i="30"/>
  <c r="U52" i="30"/>
  <c r="G21" i="30"/>
  <c r="D32" i="30"/>
  <c r="U19" i="30"/>
  <c r="H14" i="30"/>
  <c r="S19" i="30"/>
  <c r="F8" i="30"/>
  <c r="S37" i="30"/>
  <c r="P19" i="30"/>
  <c r="R31" i="30"/>
  <c r="H27" i="30"/>
  <c r="R8" i="30"/>
  <c r="G37" i="30"/>
  <c r="W23" i="30"/>
  <c r="J14" i="30"/>
  <c r="U17" i="30"/>
  <c r="F25" i="30"/>
  <c r="K25" i="30"/>
  <c r="T49" i="30"/>
  <c r="T37" i="30"/>
  <c r="R20" i="30"/>
  <c r="S26" i="30"/>
  <c r="C41" i="30"/>
  <c r="V8" i="30"/>
  <c r="E40" i="30"/>
  <c r="D45" i="30"/>
  <c r="F39" i="30"/>
  <c r="Z17" i="30"/>
  <c r="Z51" i="30"/>
  <c r="Z30" i="30"/>
  <c r="AA7" i="30"/>
  <c r="AA20" i="30"/>
  <c r="AA33" i="30"/>
  <c r="AA8" i="30"/>
  <c r="X15" i="30"/>
  <c r="Q42" i="30"/>
  <c r="F28" i="30"/>
  <c r="AA27" i="30"/>
  <c r="W27" i="30"/>
  <c r="S27" i="30"/>
  <c r="K27" i="30"/>
  <c r="G27" i="30"/>
  <c r="C27" i="30"/>
  <c r="X26" i="30"/>
  <c r="T26" i="30"/>
  <c r="P26" i="30"/>
  <c r="L26" i="30"/>
  <c r="H26" i="30"/>
  <c r="D26" i="30"/>
  <c r="Y25" i="30"/>
  <c r="AA22" i="30"/>
  <c r="Q43" i="30"/>
  <c r="I43" i="30"/>
  <c r="Z42" i="30"/>
  <c r="V42" i="30"/>
  <c r="W41" i="30"/>
  <c r="O41" i="30"/>
  <c r="X40" i="30"/>
  <c r="M42" i="30"/>
  <c r="I42" i="30"/>
  <c r="Z41" i="30"/>
  <c r="V41" i="30"/>
  <c r="R41" i="30"/>
  <c r="N41" i="30"/>
  <c r="J41" i="30"/>
  <c r="F41" i="30"/>
  <c r="AA40" i="30"/>
  <c r="S40" i="30"/>
  <c r="O40" i="30"/>
  <c r="K40" i="30"/>
  <c r="G40" i="30"/>
  <c r="C40" i="30"/>
  <c r="X39" i="30"/>
  <c r="T39" i="30"/>
  <c r="P39" i="30"/>
  <c r="L39" i="30"/>
  <c r="D39" i="30"/>
  <c r="Y38" i="30"/>
  <c r="U38" i="30"/>
  <c r="Q38" i="30"/>
  <c r="M38" i="30"/>
  <c r="I38" i="30"/>
  <c r="E38" i="30"/>
  <c r="Z37" i="30"/>
  <c r="V37" i="30"/>
  <c r="R37" i="30"/>
  <c r="N37" i="30"/>
  <c r="J37" i="30"/>
  <c r="F37" i="30"/>
  <c r="AA36" i="30"/>
  <c r="W36" i="30"/>
  <c r="S36" i="30"/>
  <c r="O36" i="30"/>
  <c r="K36" i="30"/>
  <c r="G36" i="30"/>
  <c r="T35" i="30"/>
  <c r="P35" i="30"/>
  <c r="L35" i="30"/>
  <c r="D35" i="30"/>
  <c r="U34" i="30"/>
  <c r="M34" i="30"/>
  <c r="E34" i="30"/>
  <c r="Z33" i="30"/>
  <c r="F33" i="30"/>
  <c r="AA32" i="30"/>
  <c r="S32" i="30"/>
  <c r="O32" i="30"/>
  <c r="K32" i="30"/>
  <c r="C32" i="30"/>
  <c r="X31" i="30"/>
  <c r="T31" i="30"/>
  <c r="P31" i="30"/>
  <c r="L31" i="30"/>
  <c r="H31" i="30"/>
  <c r="D31" i="30"/>
  <c r="Y30" i="30"/>
  <c r="M30" i="30"/>
  <c r="I30" i="30"/>
  <c r="N29" i="30"/>
  <c r="J29" i="30"/>
  <c r="X27" i="30"/>
  <c r="T27" i="30"/>
  <c r="K22" i="30"/>
  <c r="X21" i="30"/>
  <c r="P21" i="30"/>
  <c r="H21" i="30"/>
  <c r="AA18" i="30"/>
  <c r="G18" i="30"/>
  <c r="X17" i="30"/>
  <c r="T17" i="30"/>
  <c r="U16" i="30"/>
  <c r="E16" i="30"/>
  <c r="AA14" i="30"/>
  <c r="W14" i="30"/>
  <c r="L12" i="30"/>
  <c r="H12" i="30"/>
  <c r="Y52" i="30"/>
  <c r="I52" i="30"/>
  <c r="W50" i="30"/>
  <c r="K50" i="30"/>
  <c r="G50" i="30"/>
  <c r="C50" i="30"/>
  <c r="H49" i="30"/>
  <c r="D49" i="30"/>
  <c r="U48" i="30"/>
  <c r="I48" i="30"/>
  <c r="W46" i="30"/>
  <c r="S46" i="30"/>
  <c r="K46" i="30"/>
  <c r="C46" i="30"/>
  <c r="P45" i="30"/>
  <c r="T9" i="30"/>
  <c r="P9" i="30"/>
  <c r="L9" i="30"/>
  <c r="D9" i="30"/>
  <c r="U8" i="30"/>
  <c r="J7" i="30"/>
  <c r="Y11" i="30"/>
  <c r="U11" i="30"/>
  <c r="E11" i="30"/>
  <c r="Z10" i="30"/>
  <c r="V10" i="30"/>
  <c r="N10" i="30"/>
  <c r="J10" i="30"/>
  <c r="W9" i="30"/>
  <c r="O9" i="30"/>
  <c r="G9" i="30"/>
  <c r="C9" i="30"/>
  <c r="X8" i="30"/>
  <c r="T8" i="30"/>
  <c r="P8" i="30"/>
  <c r="H8" i="30"/>
  <c r="I7" i="30"/>
  <c r="Y44" i="30"/>
  <c r="Q44" i="30"/>
  <c r="I44" i="30"/>
  <c r="Z43" i="30"/>
  <c r="R43" i="30"/>
  <c r="J43" i="30"/>
  <c r="F43" i="30"/>
  <c r="S42" i="30"/>
  <c r="X41" i="30"/>
  <c r="T41" i="30"/>
  <c r="D41" i="30"/>
  <c r="U40" i="30"/>
  <c r="M40" i="30"/>
  <c r="R39" i="30"/>
  <c r="AA38" i="30"/>
  <c r="W38" i="30"/>
  <c r="O38" i="30"/>
  <c r="K38" i="30"/>
  <c r="C38" i="30"/>
  <c r="X37" i="30"/>
  <c r="H37" i="30"/>
  <c r="U36" i="30"/>
  <c r="E36" i="30"/>
  <c r="V35" i="30"/>
  <c r="R35" i="30"/>
  <c r="N35" i="30"/>
  <c r="J35" i="30"/>
  <c r="F35" i="30"/>
  <c r="W34" i="30"/>
  <c r="S34" i="30"/>
  <c r="M32" i="30"/>
  <c r="I32" i="30"/>
  <c r="E32" i="30"/>
  <c r="Z31" i="30"/>
  <c r="J31" i="30"/>
  <c r="AA30" i="30"/>
  <c r="K30" i="30"/>
  <c r="G30" i="30"/>
  <c r="C30" i="30"/>
  <c r="X29" i="30"/>
  <c r="T29" i="30"/>
  <c r="P29" i="30"/>
  <c r="L29" i="30"/>
  <c r="H29" i="30"/>
  <c r="U28" i="30"/>
  <c r="M28" i="30"/>
  <c r="I28" i="30"/>
  <c r="J27" i="30"/>
  <c r="K26" i="30"/>
  <c r="G26" i="30"/>
  <c r="C26" i="30"/>
  <c r="T25" i="30"/>
  <c r="P25" i="30"/>
  <c r="L25" i="30"/>
  <c r="Y23" i="30"/>
  <c r="U23" i="30"/>
  <c r="Q23" i="30"/>
  <c r="M23" i="30"/>
  <c r="V22" i="30"/>
  <c r="S21" i="30"/>
  <c r="X20" i="30"/>
  <c r="E19" i="30"/>
  <c r="W17" i="30"/>
  <c r="O17" i="30"/>
  <c r="G17" i="30"/>
  <c r="C17" i="30"/>
  <c r="H16" i="30"/>
  <c r="D16" i="30"/>
  <c r="Q15" i="30"/>
  <c r="M15" i="30"/>
  <c r="I15" i="30"/>
  <c r="Z14" i="30"/>
  <c r="R14" i="30"/>
  <c r="N14" i="30"/>
  <c r="Z7" i="30"/>
  <c r="H9" i="30"/>
  <c r="X9" i="30"/>
  <c r="O10" i="30"/>
  <c r="V11" i="30"/>
  <c r="K14" i="30"/>
  <c r="R15" i="30"/>
  <c r="C8" i="30"/>
  <c r="K8" i="30"/>
  <c r="J9" i="30"/>
  <c r="Z9" i="30"/>
  <c r="Q10" i="30"/>
  <c r="Y10" i="30"/>
  <c r="H11" i="30"/>
  <c r="P11" i="30"/>
  <c r="X11" i="30"/>
  <c r="G12" i="30"/>
  <c r="O12" i="30"/>
  <c r="E14" i="30"/>
  <c r="F7" i="30"/>
  <c r="R11" i="30"/>
  <c r="Y12" i="30"/>
  <c r="G14" i="30"/>
  <c r="V15" i="30"/>
  <c r="G10" i="30"/>
  <c r="M12" i="30"/>
  <c r="H7" i="30"/>
  <c r="X7" i="30"/>
  <c r="G8" i="30"/>
  <c r="F9" i="30"/>
  <c r="E10" i="30"/>
  <c r="M10" i="30"/>
  <c r="U10" i="30"/>
  <c r="S12" i="30"/>
  <c r="O22" i="30"/>
  <c r="O8" i="30"/>
  <c r="C12" i="30"/>
  <c r="P17" i="30"/>
  <c r="F23" i="30"/>
  <c r="H17" i="30"/>
  <c r="I20" i="30"/>
  <c r="V7" i="30"/>
  <c r="S22" i="30"/>
  <c r="N9" i="30"/>
  <c r="W12" i="30"/>
  <c r="D17" i="30"/>
  <c r="Z15" i="30"/>
  <c r="Z11" i="30"/>
  <c r="V19" i="30"/>
  <c r="L17" i="30"/>
  <c r="M20" i="30"/>
  <c r="F11" i="30"/>
  <c r="N7" i="30"/>
  <c r="E8" i="30"/>
  <c r="C10" i="30"/>
  <c r="S10" i="30"/>
  <c r="J11" i="30"/>
  <c r="Q12" i="30"/>
  <c r="O14" i="30"/>
  <c r="F15" i="30"/>
  <c r="N15" i="30"/>
  <c r="M16" i="30"/>
  <c r="C18" i="30"/>
  <c r="K18" i="30"/>
  <c r="J19" i="30"/>
  <c r="Z19" i="30"/>
  <c r="Y20" i="30"/>
  <c r="J23" i="30"/>
  <c r="R23" i="30"/>
  <c r="Z23" i="30"/>
  <c r="I8" i="30"/>
  <c r="Y8" i="30"/>
  <c r="W10" i="30"/>
  <c r="N11" i="30"/>
  <c r="E12" i="30"/>
  <c r="U12" i="30"/>
  <c r="C14" i="30"/>
  <c r="S14" i="30"/>
  <c r="J15" i="30"/>
  <c r="I16" i="30"/>
  <c r="Q16" i="30"/>
  <c r="Y16" i="30"/>
  <c r="O18" i="30"/>
  <c r="W18" i="30"/>
  <c r="F19" i="30"/>
  <c r="N19" i="30"/>
  <c r="E20" i="30"/>
  <c r="G22" i="30"/>
  <c r="W22" i="30"/>
  <c r="N23" i="30"/>
  <c r="E25" i="30"/>
  <c r="M25" i="30"/>
  <c r="Q25" i="30"/>
  <c r="U25" i="30"/>
  <c r="W8" i="30"/>
  <c r="I10" i="30"/>
  <c r="V9" i="30"/>
  <c r="I12" i="30"/>
  <c r="D21" i="30"/>
  <c r="U20" i="30"/>
  <c r="S18" i="30"/>
  <c r="R19" i="30"/>
  <c r="C22" i="30"/>
  <c r="K10" i="30"/>
  <c r="T21" i="30"/>
  <c r="Z28" i="30"/>
  <c r="Q14" i="30"/>
  <c r="O27" i="30"/>
  <c r="Y14" i="30"/>
  <c r="I29" i="30"/>
  <c r="E7" i="30"/>
  <c r="R28" i="30"/>
  <c r="U29" i="30"/>
  <c r="I22" i="2"/>
  <c r="I50" i="2"/>
  <c r="I60" i="2"/>
  <c r="I52" i="2"/>
  <c r="I14" i="2"/>
  <c r="I46" i="2"/>
  <c r="I56" i="2"/>
  <c r="I66" i="2"/>
  <c r="I10" i="2"/>
  <c r="I42" i="2"/>
  <c r="I38" i="2"/>
  <c r="I32" i="2"/>
  <c r="I44" i="2"/>
  <c r="I28" i="2"/>
  <c r="I36" i="2"/>
  <c r="I34" i="2"/>
  <c r="I26" i="2"/>
  <c r="I60" i="22"/>
  <c r="I6" i="22"/>
  <c r="I54" i="22"/>
  <c r="I56" i="22"/>
  <c r="I16" i="22"/>
  <c r="I30" i="22"/>
  <c r="I42" i="22"/>
  <c r="I50" i="22"/>
  <c r="I12" i="22"/>
  <c r="I34" i="22"/>
  <c r="I48" i="22"/>
  <c r="I46" i="22"/>
  <c r="I8" i="22"/>
  <c r="I58" i="22"/>
  <c r="I26" i="22"/>
  <c r="I10" i="22"/>
  <c r="I66" i="22"/>
  <c r="I32" i="22"/>
  <c r="I40" i="22"/>
  <c r="I14" i="22"/>
  <c r="I38" i="22"/>
  <c r="I52" i="22"/>
  <c r="I18" i="22"/>
  <c r="K64" i="9"/>
  <c r="K48" i="9"/>
  <c r="K60" i="9"/>
  <c r="K20" i="9"/>
  <c r="K10" i="9"/>
  <c r="K50" i="9"/>
  <c r="K54" i="9"/>
  <c r="K14" i="9"/>
  <c r="AC72" i="9" l="1"/>
  <c r="AC68" i="9"/>
  <c r="AC70" i="9"/>
  <c r="AC74" i="9"/>
  <c r="AC76" i="9"/>
  <c r="R70" i="3"/>
  <c r="V70" i="3" s="1"/>
  <c r="AB70" i="3" s="1"/>
  <c r="R76" i="3"/>
  <c r="V76" i="3" s="1"/>
  <c r="AB76" i="3" s="1"/>
  <c r="R68" i="3"/>
  <c r="V68" i="3" s="1"/>
  <c r="AB68" i="3" s="1"/>
  <c r="R74" i="3"/>
  <c r="V74" i="3" s="1"/>
  <c r="AB74" i="3" s="1"/>
  <c r="R72" i="3"/>
  <c r="V72" i="3" s="1"/>
  <c r="AB72" i="3" s="1"/>
  <c r="O68" i="29"/>
  <c r="S68" i="29" s="1"/>
  <c r="Y68" i="29" s="1"/>
  <c r="O72" i="29"/>
  <c r="S72" i="29" s="1"/>
  <c r="Y72" i="29" s="1"/>
  <c r="O76" i="29"/>
  <c r="S76" i="29" s="1"/>
  <c r="Y76" i="29" s="1"/>
  <c r="O74" i="29"/>
  <c r="S74" i="29" s="1"/>
  <c r="Y74" i="29" s="1"/>
  <c r="O70" i="29"/>
  <c r="S70" i="29" s="1"/>
  <c r="Y70" i="29" s="1"/>
  <c r="O76" i="1"/>
  <c r="S76" i="1" s="1"/>
  <c r="Y76" i="1" s="1"/>
  <c r="O68" i="1"/>
  <c r="S68" i="1" s="1"/>
  <c r="Y68" i="1" s="1"/>
  <c r="O74" i="1"/>
  <c r="S74" i="1" s="1"/>
  <c r="Y74" i="1" s="1"/>
  <c r="O72" i="1"/>
  <c r="S72" i="1" s="1"/>
  <c r="Y72" i="1" s="1"/>
  <c r="O70" i="1"/>
  <c r="S70" i="1" s="1"/>
  <c r="Y70" i="1" s="1"/>
  <c r="AE2" i="4"/>
  <c r="AF2" i="4"/>
  <c r="O10" i="29"/>
  <c r="S10" i="29" s="1"/>
  <c r="Y10" i="29" s="1"/>
  <c r="E21" i="23" s="1"/>
  <c r="E11" i="23" s="1"/>
  <c r="E7" i="33" s="1"/>
  <c r="B2" i="4"/>
  <c r="AD2" i="4"/>
  <c r="W56" i="22"/>
  <c r="W46" i="22"/>
  <c r="AC49" i="30"/>
  <c r="AG52" i="30"/>
  <c r="AG44" i="30"/>
  <c r="AG36" i="30"/>
  <c r="AG28" i="30"/>
  <c r="AG20" i="30"/>
  <c r="AG12" i="30"/>
  <c r="AF50" i="30"/>
  <c r="AF42" i="30"/>
  <c r="AF34" i="30"/>
  <c r="AF26" i="30"/>
  <c r="AF18" i="30"/>
  <c r="AF10" i="30"/>
  <c r="AE48" i="30"/>
  <c r="AE40" i="30"/>
  <c r="AE32" i="30"/>
  <c r="AE24" i="30"/>
  <c r="AE16" i="30"/>
  <c r="AE8" i="30"/>
  <c r="AF49" i="30"/>
  <c r="AF9" i="30"/>
  <c r="AE39" i="30"/>
  <c r="AE23" i="30"/>
  <c r="AE7" i="30"/>
  <c r="AG51" i="30"/>
  <c r="AG43" i="30"/>
  <c r="AG35" i="30"/>
  <c r="AG27" i="30"/>
  <c r="AG19" i="30"/>
  <c r="AG11" i="30"/>
  <c r="AF41" i="30"/>
  <c r="AF33" i="30"/>
  <c r="AF25" i="30"/>
  <c r="AF17" i="30"/>
  <c r="AE47" i="30"/>
  <c r="AE31" i="30"/>
  <c r="AE15" i="30"/>
  <c r="AG50" i="30"/>
  <c r="AG42" i="30"/>
  <c r="AG34" i="30"/>
  <c r="AG26" i="30"/>
  <c r="AG18" i="30"/>
  <c r="AG10" i="30"/>
  <c r="AF48" i="30"/>
  <c r="AF40" i="30"/>
  <c r="AF32" i="30"/>
  <c r="AF24" i="30"/>
  <c r="AF16" i="30"/>
  <c r="AF8" i="30"/>
  <c r="AE46" i="30"/>
  <c r="AE38" i="30"/>
  <c r="AE30" i="30"/>
  <c r="AE22" i="30"/>
  <c r="AE14" i="30"/>
  <c r="AG49" i="30"/>
  <c r="AG41" i="30"/>
  <c r="AG33" i="30"/>
  <c r="AG25" i="30"/>
  <c r="AG17" i="30"/>
  <c r="AG9" i="30"/>
  <c r="AF47" i="30"/>
  <c r="AF39" i="30"/>
  <c r="AF31" i="30"/>
  <c r="AF23" i="30"/>
  <c r="AF15" i="30"/>
  <c r="AE45" i="30"/>
  <c r="AE37" i="30"/>
  <c r="AE29" i="30"/>
  <c r="AE21" i="30"/>
  <c r="AE13" i="30"/>
  <c r="AG29" i="30"/>
  <c r="AF35" i="30"/>
  <c r="AE49" i="30"/>
  <c r="AE17" i="30"/>
  <c r="AG48" i="30"/>
  <c r="AG40" i="30"/>
  <c r="AG32" i="30"/>
  <c r="AG24" i="30"/>
  <c r="AG16" i="30"/>
  <c r="AG8" i="30"/>
  <c r="AF46" i="30"/>
  <c r="AF38" i="30"/>
  <c r="AF30" i="30"/>
  <c r="AF22" i="30"/>
  <c r="AF14" i="30"/>
  <c r="AE52" i="30"/>
  <c r="AE44" i="30"/>
  <c r="AE36" i="30"/>
  <c r="AE28" i="30"/>
  <c r="AE20" i="30"/>
  <c r="AE12" i="30"/>
  <c r="AG21" i="30"/>
  <c r="AE41" i="30"/>
  <c r="AG47" i="30"/>
  <c r="AG39" i="30"/>
  <c r="AG31" i="30"/>
  <c r="AG23" i="30"/>
  <c r="AG15" i="30"/>
  <c r="AG7" i="30"/>
  <c r="AF45" i="30"/>
  <c r="AF37" i="30"/>
  <c r="AF29" i="30"/>
  <c r="AF21" i="30"/>
  <c r="AF13" i="30"/>
  <c r="AE51" i="30"/>
  <c r="AE43" i="30"/>
  <c r="AE35" i="30"/>
  <c r="AE27" i="30"/>
  <c r="AE19" i="30"/>
  <c r="AE11" i="30"/>
  <c r="AG37" i="30"/>
  <c r="AG13" i="30"/>
  <c r="AF51" i="30"/>
  <c r="AF27" i="30"/>
  <c r="AF11" i="30"/>
  <c r="AE33" i="30"/>
  <c r="AE9" i="30"/>
  <c r="AG46" i="30"/>
  <c r="AG38" i="30"/>
  <c r="AG30" i="30"/>
  <c r="AG22" i="30"/>
  <c r="AG14" i="30"/>
  <c r="AF52" i="30"/>
  <c r="AF44" i="30"/>
  <c r="AF36" i="30"/>
  <c r="AF28" i="30"/>
  <c r="AF20" i="30"/>
  <c r="AF12" i="30"/>
  <c r="AE50" i="30"/>
  <c r="AE42" i="30"/>
  <c r="AE34" i="30"/>
  <c r="AE26" i="30"/>
  <c r="AE18" i="30"/>
  <c r="AE10" i="30"/>
  <c r="AG45" i="30"/>
  <c r="AF43" i="30"/>
  <c r="AF19" i="30"/>
  <c r="AE25" i="30"/>
  <c r="O48" i="29"/>
  <c r="S48" i="29" s="1"/>
  <c r="O62" i="1"/>
  <c r="S62" i="1" s="1"/>
  <c r="W60" i="29"/>
  <c r="AE36" i="22"/>
  <c r="Z24" i="3"/>
  <c r="W20" i="22"/>
  <c r="W40" i="22"/>
  <c r="W64" i="22"/>
  <c r="AE64" i="22"/>
  <c r="W40" i="29"/>
  <c r="W20" i="1"/>
  <c r="Q66" i="25"/>
  <c r="Q60" i="25"/>
  <c r="Q20" i="25"/>
  <c r="U16" i="9"/>
  <c r="W52" i="1"/>
  <c r="W8" i="1"/>
  <c r="U32" i="9"/>
  <c r="W66" i="2"/>
  <c r="U42" i="9"/>
  <c r="AE10" i="22"/>
  <c r="Q50" i="25"/>
  <c r="Q42" i="25"/>
  <c r="W44" i="2"/>
  <c r="U34" i="9"/>
  <c r="U52" i="9"/>
  <c r="W50" i="1"/>
  <c r="W58" i="2"/>
  <c r="AE8" i="22"/>
  <c r="W38" i="2"/>
  <c r="U30" i="9"/>
  <c r="W18" i="22"/>
  <c r="W62" i="22"/>
  <c r="AE12" i="22"/>
  <c r="W24" i="29"/>
  <c r="W30" i="1"/>
  <c r="W50" i="22"/>
  <c r="W16" i="22"/>
  <c r="Q34" i="25"/>
  <c r="AE26" i="22"/>
  <c r="U24" i="9"/>
  <c r="W34" i="22"/>
  <c r="Q32" i="25"/>
  <c r="Z44" i="3"/>
  <c r="Q38" i="25"/>
  <c r="W46" i="2"/>
  <c r="W30" i="29"/>
  <c r="U56" i="9"/>
  <c r="W12" i="2"/>
  <c r="AE34" i="22"/>
  <c r="W28" i="29"/>
  <c r="W6" i="29"/>
  <c r="Z60" i="3"/>
  <c r="AE6" i="22"/>
  <c r="AE40" i="22"/>
  <c r="W42" i="1"/>
  <c r="W54" i="2"/>
  <c r="W36" i="2"/>
  <c r="W32" i="1"/>
  <c r="Z62" i="3"/>
  <c r="W30" i="2"/>
  <c r="AE20" i="22"/>
  <c r="Z28" i="3"/>
  <c r="W44" i="22"/>
  <c r="W54" i="22"/>
  <c r="W12" i="22"/>
  <c r="W22" i="2"/>
  <c r="W10" i="29"/>
  <c r="W18" i="1"/>
  <c r="W24" i="22"/>
  <c r="W32" i="22"/>
  <c r="U26" i="9"/>
  <c r="Q54" i="25"/>
  <c r="W34" i="29"/>
  <c r="W60" i="22"/>
  <c r="W54" i="29"/>
  <c r="Z42" i="3"/>
  <c r="Z52" i="3"/>
  <c r="AE42" i="22"/>
  <c r="W22" i="29"/>
  <c r="U20" i="9"/>
  <c r="W22" i="1"/>
  <c r="Z26" i="3"/>
  <c r="W34" i="2"/>
  <c r="U18" i="9"/>
  <c r="W10" i="2"/>
  <c r="Q56" i="25"/>
  <c r="Z22" i="3"/>
  <c r="Q16" i="25"/>
  <c r="W56" i="1"/>
  <c r="Q62" i="25"/>
  <c r="Q36" i="25"/>
  <c r="W60" i="2"/>
  <c r="W26" i="29"/>
  <c r="U12" i="9"/>
  <c r="W66" i="29"/>
  <c r="AA28" i="30"/>
  <c r="W52" i="22"/>
  <c r="W36" i="1"/>
  <c r="W16" i="2"/>
  <c r="W50" i="2"/>
  <c r="U6" i="9"/>
  <c r="W36" i="22"/>
  <c r="W6" i="22"/>
  <c r="W38" i="22"/>
  <c r="Q22" i="25"/>
  <c r="AE46" i="22"/>
  <c r="Z40" i="3"/>
  <c r="AE18" i="22"/>
  <c r="Q8" i="25"/>
  <c r="W48" i="1"/>
  <c r="Z46" i="3"/>
  <c r="W14" i="29"/>
  <c r="Z10" i="3"/>
  <c r="W34" i="1"/>
  <c r="U40" i="9"/>
  <c r="Z18" i="3"/>
  <c r="Z58" i="3"/>
  <c r="W38" i="29"/>
  <c r="AE14" i="22"/>
  <c r="Z12" i="3"/>
  <c r="Q58" i="25"/>
  <c r="Q44" i="25"/>
  <c r="W58" i="29"/>
  <c r="Z64" i="3"/>
  <c r="W40" i="2"/>
  <c r="W20" i="29"/>
  <c r="W28" i="2"/>
  <c r="W42" i="22"/>
  <c r="W22" i="22"/>
  <c r="AC43" i="30"/>
  <c r="W26" i="22"/>
  <c r="W14" i="22"/>
  <c r="W28" i="22"/>
  <c r="W58" i="22"/>
  <c r="W16" i="29"/>
  <c r="W20" i="2"/>
  <c r="AE44" i="22"/>
  <c r="W6" i="1"/>
  <c r="W8" i="22"/>
  <c r="W30" i="22"/>
  <c r="Q10" i="25"/>
  <c r="Q14" i="25"/>
  <c r="Z8" i="3"/>
  <c r="Z6" i="3"/>
  <c r="AE54" i="22"/>
  <c r="AE22" i="22"/>
  <c r="AE24" i="22"/>
  <c r="W44" i="29"/>
  <c r="Q40" i="25"/>
  <c r="W10" i="1"/>
  <c r="AE50" i="22"/>
  <c r="W54" i="1"/>
  <c r="Q46" i="25"/>
  <c r="W64" i="1"/>
  <c r="W62" i="2"/>
  <c r="W42" i="2"/>
  <c r="U38" i="9"/>
  <c r="W58" i="1"/>
  <c r="U46" i="9"/>
  <c r="W48" i="29"/>
  <c r="U48" i="9"/>
  <c r="W52" i="29"/>
  <c r="W8" i="2"/>
  <c r="O52" i="29"/>
  <c r="S52" i="29" s="1"/>
  <c r="Y52" i="29" s="1"/>
  <c r="Z21" i="23" s="1"/>
  <c r="Z11" i="23" s="1"/>
  <c r="Z7" i="33" s="1"/>
  <c r="O8" i="29"/>
  <c r="S8" i="29" s="1"/>
  <c r="Y8" i="29" s="1"/>
  <c r="AA8" i="29" s="1"/>
  <c r="O26" i="29"/>
  <c r="S26" i="29" s="1"/>
  <c r="Y26" i="29" s="1"/>
  <c r="AA26" i="29" s="1"/>
  <c r="O46" i="29"/>
  <c r="S46" i="29" s="1"/>
  <c r="Y46" i="29" s="1"/>
  <c r="W21" i="23" s="1"/>
  <c r="W11" i="23" s="1"/>
  <c r="W7" i="33" s="1"/>
  <c r="O58" i="29"/>
  <c r="S58" i="29" s="1"/>
  <c r="Y58" i="29" s="1"/>
  <c r="AA58" i="29" s="1"/>
  <c r="O18" i="29"/>
  <c r="S18" i="29" s="1"/>
  <c r="Y18" i="29" s="1"/>
  <c r="AA18" i="29" s="1"/>
  <c r="AC6" i="9"/>
  <c r="AC14" i="9"/>
  <c r="AC22" i="9"/>
  <c r="AC30" i="9"/>
  <c r="AC8" i="9"/>
  <c r="AC16" i="9"/>
  <c r="AC24" i="9"/>
  <c r="AC32" i="9"/>
  <c r="AC12" i="9"/>
  <c r="AC36" i="9"/>
  <c r="AC10" i="9"/>
  <c r="AC18" i="9"/>
  <c r="AC26" i="9"/>
  <c r="AC34" i="9"/>
  <c r="AC20" i="9"/>
  <c r="AC28" i="9"/>
  <c r="H2" i="4"/>
  <c r="K2" i="4"/>
  <c r="F2" i="4"/>
  <c r="R2" i="4"/>
  <c r="T2" i="4"/>
  <c r="AA2" i="4"/>
  <c r="E2" i="4"/>
  <c r="X2" i="4"/>
  <c r="N2" i="4"/>
  <c r="AB2" i="4"/>
  <c r="AC2" i="4"/>
  <c r="C2" i="4"/>
  <c r="O18" i="1"/>
  <c r="S18" i="1" s="1"/>
  <c r="Y18" i="1" s="1"/>
  <c r="I19" i="23" s="1"/>
  <c r="O64" i="29"/>
  <c r="S64" i="29" s="1"/>
  <c r="Y64" i="29" s="1"/>
  <c r="AF21" i="23" s="1"/>
  <c r="AF11" i="23" s="1"/>
  <c r="AF7" i="33" s="1"/>
  <c r="O54" i="29"/>
  <c r="S54" i="29" s="1"/>
  <c r="Y54" i="29" s="1"/>
  <c r="AA54" i="29" s="1"/>
  <c r="O38" i="29"/>
  <c r="S38" i="29" s="1"/>
  <c r="Y38" i="29" s="1"/>
  <c r="AA38" i="29" s="1"/>
  <c r="O56" i="29"/>
  <c r="S56" i="29" s="1"/>
  <c r="Y56" i="29" s="1"/>
  <c r="AA56" i="29" s="1"/>
  <c r="O6" i="29"/>
  <c r="S6" i="29" s="1"/>
  <c r="Y6" i="29" s="1"/>
  <c r="C21" i="23" s="1"/>
  <c r="O40" i="29"/>
  <c r="S40" i="29" s="1"/>
  <c r="Y40" i="29" s="1"/>
  <c r="AA40" i="29" s="1"/>
  <c r="O24" i="29"/>
  <c r="S24" i="29" s="1"/>
  <c r="Y24" i="29" s="1"/>
  <c r="L21" i="23" s="1"/>
  <c r="L11" i="23" s="1"/>
  <c r="L7" i="33" s="1"/>
  <c r="O16" i="29"/>
  <c r="S16" i="29" s="1"/>
  <c r="Y16" i="29" s="1"/>
  <c r="AA16" i="29" s="1"/>
  <c r="O34" i="29"/>
  <c r="S34" i="29" s="1"/>
  <c r="Y34" i="29" s="1"/>
  <c r="AA34" i="29" s="1"/>
  <c r="O14" i="29"/>
  <c r="S14" i="29" s="1"/>
  <c r="Y14" i="29" s="1"/>
  <c r="G21" i="23" s="1"/>
  <c r="G11" i="23" s="1"/>
  <c r="G7" i="33" s="1"/>
  <c r="O42" i="29"/>
  <c r="S42" i="29" s="1"/>
  <c r="Y42" i="29" s="1"/>
  <c r="U21" i="23" s="1"/>
  <c r="U11" i="23" s="1"/>
  <c r="U7" i="33" s="1"/>
  <c r="O60" i="29"/>
  <c r="S60" i="29" s="1"/>
  <c r="Y60" i="29" s="1"/>
  <c r="AD21" i="23" s="1"/>
  <c r="AD11" i="23" s="1"/>
  <c r="AD7" i="33" s="1"/>
  <c r="O12" i="29"/>
  <c r="S12" i="29" s="1"/>
  <c r="Y12" i="29" s="1"/>
  <c r="AA12" i="29" s="1"/>
  <c r="O20" i="29"/>
  <c r="S20" i="29" s="1"/>
  <c r="Y20" i="29" s="1"/>
  <c r="AA20" i="29" s="1"/>
  <c r="O36" i="29"/>
  <c r="S36" i="29" s="1"/>
  <c r="Y36" i="29" s="1"/>
  <c r="R21" i="23" s="1"/>
  <c r="R11" i="23" s="1"/>
  <c r="R7" i="33" s="1"/>
  <c r="O66" i="29"/>
  <c r="S66" i="29" s="1"/>
  <c r="Y66" i="29" s="1"/>
  <c r="O62" i="29"/>
  <c r="S62" i="29" s="1"/>
  <c r="Y62" i="29" s="1"/>
  <c r="AA62" i="29" s="1"/>
  <c r="O30" i="29"/>
  <c r="S30" i="29" s="1"/>
  <c r="Y30" i="29" s="1"/>
  <c r="AA30" i="29" s="1"/>
  <c r="O28" i="29"/>
  <c r="S28" i="29" s="1"/>
  <c r="Y28" i="29" s="1"/>
  <c r="N21" i="23" s="1"/>
  <c r="N11" i="23" s="1"/>
  <c r="N7" i="33" s="1"/>
  <c r="O44" i="29"/>
  <c r="S44" i="29" s="1"/>
  <c r="Y44" i="29" s="1"/>
  <c r="V21" i="23" s="1"/>
  <c r="V11" i="23" s="1"/>
  <c r="V7" i="33" s="1"/>
  <c r="O32" i="29"/>
  <c r="S32" i="29" s="1"/>
  <c r="Y32" i="29" s="1"/>
  <c r="P21" i="23" s="1"/>
  <c r="P11" i="23" s="1"/>
  <c r="P7" i="33" s="1"/>
  <c r="O22" i="29"/>
  <c r="S22" i="29" s="1"/>
  <c r="Y22" i="29" s="1"/>
  <c r="K21" i="23" s="1"/>
  <c r="K11" i="23" s="1"/>
  <c r="K7" i="33" s="1"/>
  <c r="O50" i="29"/>
  <c r="S50" i="29" s="1"/>
  <c r="Y50" i="29" s="1"/>
  <c r="Y21" i="23" s="1"/>
  <c r="Y11" i="23" s="1"/>
  <c r="Y7" i="33" s="1"/>
  <c r="O12" i="1"/>
  <c r="S12" i="1" s="1"/>
  <c r="Y12" i="1" s="1"/>
  <c r="AA12" i="1" s="1"/>
  <c r="O20" i="1"/>
  <c r="S20" i="1" s="1"/>
  <c r="Y20" i="1" s="1"/>
  <c r="AA20" i="1" s="1"/>
  <c r="O50" i="1"/>
  <c r="S50" i="1" s="1"/>
  <c r="Y50" i="1" s="1"/>
  <c r="Y19" i="23" s="1"/>
  <c r="O22" i="1"/>
  <c r="S22" i="1" s="1"/>
  <c r="Y22" i="1" s="1"/>
  <c r="AA22" i="1" s="1"/>
  <c r="O58" i="1"/>
  <c r="S58" i="1" s="1"/>
  <c r="Y58" i="1" s="1"/>
  <c r="AC19" i="23" s="1"/>
  <c r="O52" i="1"/>
  <c r="S52" i="1" s="1"/>
  <c r="Y52" i="1" s="1"/>
  <c r="Z19" i="23" s="1"/>
  <c r="O36" i="1"/>
  <c r="S36" i="1" s="1"/>
  <c r="Y36" i="1" s="1"/>
  <c r="R19" i="23" s="1"/>
  <c r="O26" i="1"/>
  <c r="S26" i="1" s="1"/>
  <c r="Y26" i="1" s="1"/>
  <c r="AA26" i="1" s="1"/>
  <c r="O30" i="1"/>
  <c r="S30" i="1" s="1"/>
  <c r="Y30" i="1" s="1"/>
  <c r="AA30" i="1" s="1"/>
  <c r="O6" i="1"/>
  <c r="S6" i="1" s="1"/>
  <c r="Y6" i="1" s="1"/>
  <c r="C19" i="23" s="1"/>
  <c r="O24" i="1"/>
  <c r="S24" i="1" s="1"/>
  <c r="Y24" i="1" s="1"/>
  <c r="AA24" i="1" s="1"/>
  <c r="O48" i="1"/>
  <c r="S48" i="1" s="1"/>
  <c r="Y48" i="1" s="1"/>
  <c r="AA48" i="1" s="1"/>
  <c r="O42" i="1"/>
  <c r="S42" i="1" s="1"/>
  <c r="Y42" i="1" s="1"/>
  <c r="AA42" i="1" s="1"/>
  <c r="O66" i="1"/>
  <c r="S66" i="1" s="1"/>
  <c r="Y66" i="1" s="1"/>
  <c r="O32" i="1"/>
  <c r="S32" i="1" s="1"/>
  <c r="Y32" i="1" s="1"/>
  <c r="AA32" i="1" s="1"/>
  <c r="Q2" i="4"/>
  <c r="O40" i="1"/>
  <c r="S40" i="1" s="1"/>
  <c r="Y40" i="1" s="1"/>
  <c r="AA40" i="1" s="1"/>
  <c r="O34" i="1"/>
  <c r="S34" i="1" s="1"/>
  <c r="Y34" i="1" s="1"/>
  <c r="Q19" i="23" s="1"/>
  <c r="O8" i="1"/>
  <c r="S8" i="1" s="1"/>
  <c r="Y8" i="1" s="1"/>
  <c r="AA8" i="1" s="1"/>
  <c r="O46" i="1"/>
  <c r="S46" i="1" s="1"/>
  <c r="Y46" i="1" s="1"/>
  <c r="W19" i="23" s="1"/>
  <c r="O60" i="1"/>
  <c r="S60" i="1" s="1"/>
  <c r="Y60" i="1" s="1"/>
  <c r="AA60" i="1" s="1"/>
  <c r="O16" i="1"/>
  <c r="S16" i="1" s="1"/>
  <c r="Y16" i="1" s="1"/>
  <c r="H19" i="23" s="1"/>
  <c r="O54" i="1"/>
  <c r="S54" i="1" s="1"/>
  <c r="Y54" i="1" s="1"/>
  <c r="AA19" i="23" s="1"/>
  <c r="O14" i="1"/>
  <c r="S14" i="1" s="1"/>
  <c r="Y14" i="1" s="1"/>
  <c r="G19" i="23" s="1"/>
  <c r="O64" i="1"/>
  <c r="S64" i="1" s="1"/>
  <c r="Y64" i="1" s="1"/>
  <c r="AF19" i="23" s="1"/>
  <c r="O44" i="1"/>
  <c r="S44" i="1" s="1"/>
  <c r="Y44" i="1" s="1"/>
  <c r="AA44" i="1" s="1"/>
  <c r="O38" i="1"/>
  <c r="S38" i="1" s="1"/>
  <c r="Y38" i="1" s="1"/>
  <c r="AA38" i="1" s="1"/>
  <c r="O56" i="1"/>
  <c r="S56" i="1" s="1"/>
  <c r="Y56" i="1" s="1"/>
  <c r="AA56" i="1" s="1"/>
  <c r="O28" i="1"/>
  <c r="S28" i="1" s="1"/>
  <c r="Y28" i="1" s="1"/>
  <c r="N19" i="23" s="1"/>
  <c r="O10" i="1"/>
  <c r="S10" i="1" s="1"/>
  <c r="Y10" i="1" s="1"/>
  <c r="AA10" i="1" s="1"/>
  <c r="R28" i="3"/>
  <c r="V28" i="3" s="1"/>
  <c r="AB28" i="3" s="1"/>
  <c r="N22" i="23" s="1"/>
  <c r="N12" i="23" s="1"/>
  <c r="N8" i="33" s="1"/>
  <c r="AC42" i="9"/>
  <c r="AC38" i="9"/>
  <c r="AC56" i="9"/>
  <c r="AC52" i="9"/>
  <c r="AC48" i="9"/>
  <c r="AC64" i="9"/>
  <c r="AC40" i="9"/>
  <c r="AC62" i="9"/>
  <c r="AC58" i="9"/>
  <c r="AC66" i="9"/>
  <c r="AC44" i="9"/>
  <c r="AC54" i="9"/>
  <c r="AC50" i="9"/>
  <c r="A2" i="2"/>
  <c r="AC60" i="9"/>
  <c r="AC46" i="9"/>
  <c r="R44" i="3"/>
  <c r="V44" i="3" s="1"/>
  <c r="AB44" i="3" s="1"/>
  <c r="V22" i="23" s="1"/>
  <c r="V12" i="23" s="1"/>
  <c r="V8" i="33" s="1"/>
  <c r="R8" i="3"/>
  <c r="V8" i="3" s="1"/>
  <c r="AB8" i="3" s="1"/>
  <c r="D22" i="23" s="1"/>
  <c r="D12" i="23" s="1"/>
  <c r="D8" i="33" s="1"/>
  <c r="R20" i="3"/>
  <c r="V20" i="3" s="1"/>
  <c r="AB20" i="3" s="1"/>
  <c r="AD20" i="3" s="1"/>
  <c r="R54" i="3"/>
  <c r="V54" i="3" s="1"/>
  <c r="AB54" i="3" s="1"/>
  <c r="AA22" i="23" s="1"/>
  <c r="AA12" i="23" s="1"/>
  <c r="AA8" i="33" s="1"/>
  <c r="R16" i="3"/>
  <c r="V16" i="3" s="1"/>
  <c r="AB16" i="3" s="1"/>
  <c r="AD16" i="3" s="1"/>
  <c r="R62" i="3"/>
  <c r="V62" i="3" s="1"/>
  <c r="AB62" i="3" s="1"/>
  <c r="AD62" i="3" s="1"/>
  <c r="R38" i="3"/>
  <c r="V38" i="3" s="1"/>
  <c r="AB38" i="3" s="1"/>
  <c r="AD38" i="3" s="1"/>
  <c r="R40" i="3"/>
  <c r="V40" i="3" s="1"/>
  <c r="AB40" i="3" s="1"/>
  <c r="AD40" i="3" s="1"/>
  <c r="R60" i="3"/>
  <c r="V60" i="3" s="1"/>
  <c r="AB60" i="3" s="1"/>
  <c r="AD60" i="3" s="1"/>
  <c r="R26" i="3"/>
  <c r="V26" i="3" s="1"/>
  <c r="AB26" i="3" s="1"/>
  <c r="M22" i="23" s="1"/>
  <c r="M12" i="23" s="1"/>
  <c r="M8" i="33" s="1"/>
  <c r="R18" i="3"/>
  <c r="V18" i="3" s="1"/>
  <c r="AB18" i="3" s="1"/>
  <c r="I22" i="23" s="1"/>
  <c r="I12" i="23" s="1"/>
  <c r="I8" i="33" s="1"/>
  <c r="R64" i="3"/>
  <c r="V64" i="3" s="1"/>
  <c r="AB64" i="3" s="1"/>
  <c r="AD64" i="3" s="1"/>
  <c r="R48" i="3"/>
  <c r="V48" i="3" s="1"/>
  <c r="AB48" i="3" s="1"/>
  <c r="X22" i="23" s="1"/>
  <c r="X12" i="23" s="1"/>
  <c r="X8" i="33" s="1"/>
  <c r="R46" i="3"/>
  <c r="V46" i="3" s="1"/>
  <c r="AB46" i="3" s="1"/>
  <c r="AD46" i="3" s="1"/>
  <c r="R56" i="3"/>
  <c r="V56" i="3" s="1"/>
  <c r="AB56" i="3" s="1"/>
  <c r="AD56" i="3" s="1"/>
  <c r="R32" i="3"/>
  <c r="V32" i="3" s="1"/>
  <c r="AB32" i="3" s="1"/>
  <c r="AD32" i="3" s="1"/>
  <c r="R42" i="3"/>
  <c r="V42" i="3" s="1"/>
  <c r="AB42" i="3" s="1"/>
  <c r="R12" i="3"/>
  <c r="V12" i="3" s="1"/>
  <c r="AB12" i="3" s="1"/>
  <c r="AD12" i="3" s="1"/>
  <c r="R30" i="3"/>
  <c r="V30" i="3" s="1"/>
  <c r="AB30" i="3" s="1"/>
  <c r="AD30" i="3" s="1"/>
  <c r="R10" i="3"/>
  <c r="V10" i="3" s="1"/>
  <c r="AB10" i="3" s="1"/>
  <c r="AD10" i="3" s="1"/>
  <c r="R58" i="3"/>
  <c r="V58" i="3" s="1"/>
  <c r="AB58" i="3" s="1"/>
  <c r="AD58" i="3" s="1"/>
  <c r="R66" i="3"/>
  <c r="V66" i="3" s="1"/>
  <c r="AB66" i="3" s="1"/>
  <c r="R34" i="3"/>
  <c r="V34" i="3" s="1"/>
  <c r="AB34" i="3" s="1"/>
  <c r="AD34" i="3" s="1"/>
  <c r="R50" i="3"/>
  <c r="V50" i="3" s="1"/>
  <c r="AB50" i="3" s="1"/>
  <c r="Y22" i="23" s="1"/>
  <c r="Y12" i="23" s="1"/>
  <c r="Y8" i="33" s="1"/>
  <c r="R14" i="3"/>
  <c r="V14" i="3" s="1"/>
  <c r="AB14" i="3" s="1"/>
  <c r="G22" i="23" s="1"/>
  <c r="G12" i="23" s="1"/>
  <c r="G8" i="33" s="1"/>
  <c r="R36" i="3"/>
  <c r="V36" i="3" s="1"/>
  <c r="AB36" i="3" s="1"/>
  <c r="AD36" i="3" s="1"/>
  <c r="R22" i="3"/>
  <c r="V22" i="3" s="1"/>
  <c r="AB22" i="3" s="1"/>
  <c r="AD22" i="3" s="1"/>
  <c r="R52" i="3"/>
  <c r="V52" i="3" s="1"/>
  <c r="AB52" i="3" s="1"/>
  <c r="Z22" i="23" s="1"/>
  <c r="Z12" i="23" s="1"/>
  <c r="Z8" i="33" s="1"/>
  <c r="R6" i="3"/>
  <c r="V6" i="3" s="1"/>
  <c r="AB6" i="3" s="1"/>
  <c r="C22" i="23" s="1"/>
  <c r="R24" i="3"/>
  <c r="V24" i="3" s="1"/>
  <c r="AB24" i="3" s="1"/>
  <c r="AD24" i="3" s="1"/>
  <c r="AC19" i="30"/>
  <c r="H47" i="30"/>
  <c r="K52" i="30"/>
  <c r="AC27" i="30"/>
  <c r="AC47" i="30"/>
  <c r="D51" i="30"/>
  <c r="AC11" i="30"/>
  <c r="AC31" i="30"/>
  <c r="AC51" i="30"/>
  <c r="O48" i="30"/>
  <c r="AC15" i="30"/>
  <c r="AC35" i="30"/>
  <c r="V49" i="30"/>
  <c r="AC7" i="30"/>
  <c r="AC23" i="30"/>
  <c r="AC39" i="30"/>
  <c r="W52" i="30"/>
  <c r="M50" i="30"/>
  <c r="X47" i="30"/>
  <c r="AC9" i="30"/>
  <c r="AC17" i="30"/>
  <c r="AC25" i="30"/>
  <c r="AC33" i="30"/>
  <c r="AC41" i="30"/>
  <c r="AD7" i="30"/>
  <c r="AD11" i="30"/>
  <c r="AD15" i="30"/>
  <c r="AD19" i="30"/>
  <c r="AD23" i="30"/>
  <c r="AD27" i="30"/>
  <c r="AD31" i="30"/>
  <c r="AD35" i="30"/>
  <c r="AD39" i="30"/>
  <c r="AD43" i="30"/>
  <c r="AD47" i="30"/>
  <c r="AD51" i="30"/>
  <c r="AD8" i="30"/>
  <c r="AD12" i="30"/>
  <c r="AD16" i="30"/>
  <c r="AD20" i="30"/>
  <c r="AD24" i="30"/>
  <c r="AD28" i="30"/>
  <c r="AD32" i="30"/>
  <c r="AD36" i="30"/>
  <c r="AD40" i="30"/>
  <c r="AD44" i="30"/>
  <c r="AD48" i="30"/>
  <c r="AD52" i="30"/>
  <c r="AD9" i="30"/>
  <c r="AD13" i="30"/>
  <c r="AD17" i="30"/>
  <c r="AD21" i="30"/>
  <c r="AD25" i="30"/>
  <c r="AD29" i="30"/>
  <c r="AD33" i="30"/>
  <c r="AD37" i="30"/>
  <c r="AD41" i="30"/>
  <c r="AD45" i="30"/>
  <c r="AD49" i="30"/>
  <c r="AD10" i="30"/>
  <c r="AD14" i="30"/>
  <c r="AD18" i="30"/>
  <c r="AD22" i="30"/>
  <c r="AD26" i="30"/>
  <c r="AD30" i="30"/>
  <c r="AD34" i="30"/>
  <c r="AD38" i="30"/>
  <c r="AD42" i="30"/>
  <c r="AD46" i="30"/>
  <c r="AD50" i="30"/>
  <c r="T51" i="30"/>
  <c r="F49" i="30"/>
  <c r="AC13" i="30"/>
  <c r="AC21" i="30"/>
  <c r="AC29" i="30"/>
  <c r="AC37" i="30"/>
  <c r="AC45" i="30"/>
  <c r="AC52" i="30"/>
  <c r="AC50" i="30"/>
  <c r="AC48" i="30"/>
  <c r="AC46" i="30"/>
  <c r="AC44" i="30"/>
  <c r="AC42" i="30"/>
  <c r="AC40" i="30"/>
  <c r="AC38" i="30"/>
  <c r="AC36" i="30"/>
  <c r="AC34" i="30"/>
  <c r="AC32" i="30"/>
  <c r="AC30" i="30"/>
  <c r="AC28" i="30"/>
  <c r="AC26" i="30"/>
  <c r="AC24" i="30"/>
  <c r="AC22" i="30"/>
  <c r="AC20" i="30"/>
  <c r="AC18" i="30"/>
  <c r="AC16" i="30"/>
  <c r="AC14" i="30"/>
  <c r="AC12" i="30"/>
  <c r="AC10" i="30"/>
  <c r="AC8" i="30"/>
  <c r="L47" i="30"/>
  <c r="C48" i="30"/>
  <c r="S48" i="30"/>
  <c r="J49" i="30"/>
  <c r="Z49" i="30"/>
  <c r="Q50" i="30"/>
  <c r="H51" i="30"/>
  <c r="X51" i="30"/>
  <c r="M52" i="30"/>
  <c r="AA52" i="30"/>
  <c r="AA15" i="30"/>
  <c r="Z38" i="30"/>
  <c r="T11" i="30"/>
  <c r="P18" i="30"/>
  <c r="N26" i="30"/>
  <c r="I22" i="30"/>
  <c r="P33" i="30"/>
  <c r="Y51" i="30"/>
  <c r="L20" i="30"/>
  <c r="Y43" i="30"/>
  <c r="I40" i="30"/>
  <c r="H33" i="30"/>
  <c r="D23" i="30"/>
  <c r="X18" i="30"/>
  <c r="I17" i="30"/>
  <c r="W19" i="30"/>
  <c r="L22" i="30"/>
  <c r="S25" i="30"/>
  <c r="K16" i="30"/>
  <c r="Q28" i="30"/>
  <c r="N27" i="30"/>
  <c r="M48" i="30"/>
  <c r="M17" i="30"/>
  <c r="V27" i="30"/>
  <c r="I31" i="30"/>
  <c r="W43" i="30"/>
  <c r="S41" i="30"/>
  <c r="V17" i="30"/>
  <c r="N21" i="30"/>
  <c r="T20" i="30"/>
  <c r="S23" i="30"/>
  <c r="R7" i="30"/>
  <c r="K21" i="30"/>
  <c r="L7" i="30"/>
  <c r="Q21" i="30"/>
  <c r="H36" i="30"/>
  <c r="W16" i="30"/>
  <c r="P32" i="30"/>
  <c r="H40" i="30"/>
  <c r="I21" i="30"/>
  <c r="M44" i="30"/>
  <c r="H15" i="30"/>
  <c r="F14" i="30"/>
  <c r="I14" i="30"/>
  <c r="T33" i="30"/>
  <c r="O7" i="30"/>
  <c r="Q20" i="30"/>
  <c r="R9" i="30"/>
  <c r="F51" i="30"/>
  <c r="X49" i="30"/>
  <c r="V38" i="30"/>
  <c r="F38" i="30"/>
  <c r="AB52" i="30"/>
  <c r="AB50" i="30"/>
  <c r="AB48" i="30"/>
  <c r="AB46" i="30"/>
  <c r="AB44" i="30"/>
  <c r="AB42" i="30"/>
  <c r="AB40" i="30"/>
  <c r="AB38" i="30"/>
  <c r="AB36" i="30"/>
  <c r="AB34" i="30"/>
  <c r="AB32" i="30"/>
  <c r="AB30" i="30"/>
  <c r="AB28" i="30"/>
  <c r="AB26" i="30"/>
  <c r="AB24" i="30"/>
  <c r="AB22" i="30"/>
  <c r="AB20" i="30"/>
  <c r="AB18" i="30"/>
  <c r="AB16" i="30"/>
  <c r="AB14" i="30"/>
  <c r="AB12" i="30"/>
  <c r="AB10" i="30"/>
  <c r="AB8" i="30"/>
  <c r="Y46" i="30"/>
  <c r="P47" i="30"/>
  <c r="G48" i="30"/>
  <c r="W48" i="30"/>
  <c r="N49" i="30"/>
  <c r="E50" i="30"/>
  <c r="U50" i="30"/>
  <c r="L51" i="30"/>
  <c r="C52" i="30"/>
  <c r="O52" i="30"/>
  <c r="D11" i="30"/>
  <c r="Z48" i="30"/>
  <c r="X19" i="30"/>
  <c r="N34" i="30"/>
  <c r="Q31" i="30"/>
  <c r="E21" i="30"/>
  <c r="J12" i="30"/>
  <c r="L27" i="30"/>
  <c r="Y47" i="30"/>
  <c r="N12" i="30"/>
  <c r="E27" i="30"/>
  <c r="Z18" i="30"/>
  <c r="N25" i="30"/>
  <c r="H10" i="30"/>
  <c r="U44" i="30"/>
  <c r="G23" i="30"/>
  <c r="W26" i="30"/>
  <c r="U27" i="30"/>
  <c r="O33" i="30"/>
  <c r="C25" i="30"/>
  <c r="V34" i="30"/>
  <c r="N51" i="30"/>
  <c r="K42" i="30"/>
  <c r="D25" i="30"/>
  <c r="G15" i="30"/>
  <c r="I11" i="30"/>
  <c r="O11" i="30"/>
  <c r="L41" i="30"/>
  <c r="J26" i="30"/>
  <c r="H23" i="30"/>
  <c r="R17" i="30"/>
  <c r="J50" i="30"/>
  <c r="F26" i="30"/>
  <c r="K33" i="30"/>
  <c r="E22" i="30"/>
  <c r="M37" i="30"/>
  <c r="E31" i="30"/>
  <c r="L14" i="30"/>
  <c r="I47" i="30"/>
  <c r="S7" i="30"/>
  <c r="M35" i="30"/>
  <c r="M19" i="30"/>
  <c r="F18" i="30"/>
  <c r="S11" i="30"/>
  <c r="H41" i="30"/>
  <c r="F27" i="30"/>
  <c r="F10" i="30"/>
  <c r="T32" i="30"/>
  <c r="AA50" i="30"/>
  <c r="K28" i="30"/>
  <c r="L52" i="30"/>
  <c r="Q8" i="30"/>
  <c r="S52" i="30"/>
  <c r="P51" i="30"/>
  <c r="I50" i="30"/>
  <c r="AA48" i="30"/>
  <c r="T47" i="30"/>
  <c r="AB7" i="30"/>
  <c r="AB11" i="30"/>
  <c r="AB15" i="30"/>
  <c r="AB19" i="30"/>
  <c r="AB23" i="30"/>
  <c r="AB27" i="30"/>
  <c r="AB31" i="30"/>
  <c r="AB35" i="30"/>
  <c r="AB39" i="30"/>
  <c r="AB43" i="30"/>
  <c r="AB47" i="30"/>
  <c r="AB51" i="30"/>
  <c r="AA42" i="30"/>
  <c r="G52" i="30"/>
  <c r="Y50" i="30"/>
  <c r="R49" i="30"/>
  <c r="K48" i="30"/>
  <c r="D47" i="30"/>
  <c r="AB9" i="30"/>
  <c r="AB13" i="30"/>
  <c r="AB17" i="30"/>
  <c r="AB21" i="30"/>
  <c r="AB25" i="30"/>
  <c r="AB29" i="30"/>
  <c r="AB33" i="30"/>
  <c r="AB37" i="30"/>
  <c r="AB41" i="30"/>
  <c r="AB45" i="30"/>
  <c r="AB49" i="30"/>
  <c r="G2" i="4"/>
  <c r="J2" i="4"/>
  <c r="O2" i="4"/>
  <c r="M2" i="4"/>
  <c r="I2" i="4"/>
  <c r="V2" i="4"/>
  <c r="Z2" i="4"/>
  <c r="D2" i="4"/>
  <c r="W2" i="4"/>
  <c r="Y2" i="4"/>
  <c r="P2" i="4"/>
  <c r="S2" i="4"/>
  <c r="U2" i="4"/>
  <c r="L2" i="4"/>
  <c r="O58" i="2" l="1"/>
  <c r="S58" i="2" s="1"/>
  <c r="Y58" i="2" s="1"/>
  <c r="AA58" i="2" s="1"/>
  <c r="O40" i="2"/>
  <c r="S40" i="2" s="1"/>
  <c r="Y40" i="2" s="1"/>
  <c r="AA40" i="2" s="1"/>
  <c r="O6" i="2"/>
  <c r="S6" i="2" s="1"/>
  <c r="Y6" i="2" s="1"/>
  <c r="C20" i="23" s="1"/>
  <c r="O20" i="2"/>
  <c r="S20" i="2" s="1"/>
  <c r="Y20" i="2" s="1"/>
  <c r="J20" i="23" s="1"/>
  <c r="J10" i="23" s="1"/>
  <c r="J6" i="33" s="1"/>
  <c r="O62" i="2"/>
  <c r="S62" i="2" s="1"/>
  <c r="Y62" i="2" s="1"/>
  <c r="AE20" i="23" s="1"/>
  <c r="AE10" i="23" s="1"/>
  <c r="AE6" i="33" s="1"/>
  <c r="O12" i="2"/>
  <c r="S12" i="2" s="1"/>
  <c r="Y12" i="2" s="1"/>
  <c r="AA12" i="2" s="1"/>
  <c r="O26" i="2"/>
  <c r="S26" i="2" s="1"/>
  <c r="Y26" i="2" s="1"/>
  <c r="M20" i="23" s="1"/>
  <c r="M10" i="23" s="1"/>
  <c r="M6" i="33" s="1"/>
  <c r="O76" i="2"/>
  <c r="S76" i="2" s="1"/>
  <c r="Y76" i="2" s="1"/>
  <c r="O46" i="2"/>
  <c r="S46" i="2" s="1"/>
  <c r="Y46" i="2" s="1"/>
  <c r="W20" i="23" s="1"/>
  <c r="W10" i="23" s="1"/>
  <c r="W6" i="33" s="1"/>
  <c r="O60" i="2"/>
  <c r="S60" i="2" s="1"/>
  <c r="Y60" i="2" s="1"/>
  <c r="AD20" i="23" s="1"/>
  <c r="AD10" i="23" s="1"/>
  <c r="AD6" i="33" s="1"/>
  <c r="O16" i="2"/>
  <c r="S16" i="2" s="1"/>
  <c r="Y16" i="2" s="1"/>
  <c r="H20" i="23" s="1"/>
  <c r="H10" i="23" s="1"/>
  <c r="H6" i="33" s="1"/>
  <c r="O44" i="2"/>
  <c r="S44" i="2" s="1"/>
  <c r="Y44" i="2" s="1"/>
  <c r="O28" i="2"/>
  <c r="S28" i="2" s="1"/>
  <c r="Y28" i="2" s="1"/>
  <c r="AA28" i="2" s="1"/>
  <c r="O74" i="2"/>
  <c r="S74" i="2" s="1"/>
  <c r="Y74" i="2" s="1"/>
  <c r="O42" i="2"/>
  <c r="S42" i="2" s="1"/>
  <c r="Y42" i="2" s="1"/>
  <c r="U20" i="23" s="1"/>
  <c r="U10" i="23" s="1"/>
  <c r="U6" i="33" s="1"/>
  <c r="O10" i="2"/>
  <c r="S10" i="2" s="1"/>
  <c r="Y10" i="2" s="1"/>
  <c r="AA10" i="2" s="1"/>
  <c r="O72" i="2"/>
  <c r="S72" i="2" s="1"/>
  <c r="Y72" i="2" s="1"/>
  <c r="O56" i="2"/>
  <c r="S56" i="2" s="1"/>
  <c r="Y56" i="2" s="1"/>
  <c r="AA56" i="2" s="1"/>
  <c r="O24" i="2"/>
  <c r="S24" i="2" s="1"/>
  <c r="Y24" i="2" s="1"/>
  <c r="AA24" i="2" s="1"/>
  <c r="O8" i="2"/>
  <c r="S8" i="2" s="1"/>
  <c r="Y8" i="2" s="1"/>
  <c r="D20" i="23" s="1"/>
  <c r="D10" i="23" s="1"/>
  <c r="D6" i="33" s="1"/>
  <c r="O70" i="2"/>
  <c r="S70" i="2" s="1"/>
  <c r="Y70" i="2" s="1"/>
  <c r="O54" i="2"/>
  <c r="S54" i="2" s="1"/>
  <c r="Y54" i="2" s="1"/>
  <c r="AA20" i="23" s="1"/>
  <c r="AA10" i="23" s="1"/>
  <c r="AA6" i="33" s="1"/>
  <c r="O38" i="2"/>
  <c r="S38" i="2" s="1"/>
  <c r="Y38" i="2" s="1"/>
  <c r="S20" i="23" s="1"/>
  <c r="S10" i="23" s="1"/>
  <c r="S6" i="33" s="1"/>
  <c r="O22" i="2"/>
  <c r="S22" i="2" s="1"/>
  <c r="Y22" i="2" s="1"/>
  <c r="AA22" i="2" s="1"/>
  <c r="O68" i="2"/>
  <c r="S68" i="2" s="1"/>
  <c r="Y68" i="2" s="1"/>
  <c r="O52" i="2"/>
  <c r="S52" i="2" s="1"/>
  <c r="Y52" i="2" s="1"/>
  <c r="Z20" i="23" s="1"/>
  <c r="Z10" i="23" s="1"/>
  <c r="Z6" i="33" s="1"/>
  <c r="O36" i="2"/>
  <c r="S36" i="2" s="1"/>
  <c r="Y36" i="2" s="1"/>
  <c r="AA36" i="2" s="1"/>
  <c r="O66" i="2"/>
  <c r="S66" i="2" s="1"/>
  <c r="Y66" i="2" s="1"/>
  <c r="O50" i="2"/>
  <c r="S50" i="2" s="1"/>
  <c r="Y50" i="2" s="1"/>
  <c r="Y20" i="23" s="1"/>
  <c r="Y10" i="23" s="1"/>
  <c r="Y6" i="33" s="1"/>
  <c r="O34" i="2"/>
  <c r="S34" i="2" s="1"/>
  <c r="Y34" i="2" s="1"/>
  <c r="Q20" i="23" s="1"/>
  <c r="Q10" i="23" s="1"/>
  <c r="Q6" i="33" s="1"/>
  <c r="O18" i="2"/>
  <c r="S18" i="2" s="1"/>
  <c r="Y18" i="2" s="1"/>
  <c r="I20" i="23" s="1"/>
  <c r="I10" i="23" s="1"/>
  <c r="I6" i="33" s="1"/>
  <c r="O64" i="2"/>
  <c r="S64" i="2" s="1"/>
  <c r="Y64" i="2" s="1"/>
  <c r="AA64" i="2" s="1"/>
  <c r="O48" i="2"/>
  <c r="S48" i="2" s="1"/>
  <c r="Y48" i="2" s="1"/>
  <c r="AA48" i="2" s="1"/>
  <c r="O32" i="2"/>
  <c r="S32" i="2" s="1"/>
  <c r="Y32" i="2" s="1"/>
  <c r="P20" i="23" s="1"/>
  <c r="P10" i="23" s="1"/>
  <c r="P6" i="33" s="1"/>
  <c r="O30" i="2"/>
  <c r="S30" i="2" s="1"/>
  <c r="Y30" i="2" s="1"/>
  <c r="AA30" i="2" s="1"/>
  <c r="O14" i="2"/>
  <c r="S14" i="2" s="1"/>
  <c r="Y14" i="2" s="1"/>
  <c r="G20" i="23" s="1"/>
  <c r="G10" i="23" s="1"/>
  <c r="G6" i="33" s="1"/>
  <c r="C76" i="22"/>
  <c r="M76" i="22" s="1"/>
  <c r="C68" i="22"/>
  <c r="M68" i="22" s="1"/>
  <c r="AA76" i="29"/>
  <c r="AL21" i="23"/>
  <c r="AL11" i="23" s="1"/>
  <c r="AL7" i="33" s="1"/>
  <c r="AA72" i="29"/>
  <c r="AJ21" i="23"/>
  <c r="AJ11" i="23" s="1"/>
  <c r="AJ7" i="33" s="1"/>
  <c r="AA68" i="29"/>
  <c r="AH21" i="23"/>
  <c r="AH11" i="23" s="1"/>
  <c r="AH7" i="33" s="1"/>
  <c r="AD72" i="3"/>
  <c r="AJ22" i="23"/>
  <c r="AJ12" i="23" s="1"/>
  <c r="AJ8" i="33" s="1"/>
  <c r="AD74" i="3"/>
  <c r="AK22" i="23"/>
  <c r="AK12" i="23" s="1"/>
  <c r="AK8" i="33" s="1"/>
  <c r="AD68" i="3"/>
  <c r="AH22" i="23"/>
  <c r="AH12" i="23" s="1"/>
  <c r="AH8" i="33" s="1"/>
  <c r="AA70" i="29"/>
  <c r="AI21" i="23"/>
  <c r="AI11" i="23" s="1"/>
  <c r="AI7" i="33" s="1"/>
  <c r="AD76" i="3"/>
  <c r="AL22" i="23"/>
  <c r="AL12" i="23" s="1"/>
  <c r="AL8" i="33" s="1"/>
  <c r="AA74" i="29"/>
  <c r="AK21" i="23"/>
  <c r="AK11" i="23" s="1"/>
  <c r="AK7" i="33" s="1"/>
  <c r="AD70" i="3"/>
  <c r="AI22" i="23"/>
  <c r="AI12" i="23" s="1"/>
  <c r="AI8" i="33" s="1"/>
  <c r="AA68" i="1"/>
  <c r="AH19" i="23"/>
  <c r="AH9" i="23" s="1"/>
  <c r="AH5" i="33" s="1"/>
  <c r="AA70" i="1"/>
  <c r="AI19" i="23"/>
  <c r="AI9" i="23" s="1"/>
  <c r="AI5" i="33" s="1"/>
  <c r="AA72" i="1"/>
  <c r="AJ19" i="23"/>
  <c r="AJ9" i="23" s="1"/>
  <c r="AJ5" i="33" s="1"/>
  <c r="AA74" i="1"/>
  <c r="AK19" i="23"/>
  <c r="AK9" i="23" s="1"/>
  <c r="AK5" i="33" s="1"/>
  <c r="AA76" i="1"/>
  <c r="AL19" i="23"/>
  <c r="AL9" i="23" s="1"/>
  <c r="AL5" i="33" s="1"/>
  <c r="AD66" i="3"/>
  <c r="AG22" i="23"/>
  <c r="AG12" i="23" s="1"/>
  <c r="AG8" i="33" s="1"/>
  <c r="AG21" i="23"/>
  <c r="AG11" i="23" s="1"/>
  <c r="AG7" i="33" s="1"/>
  <c r="C70" i="22"/>
  <c r="M70" i="22" s="1"/>
  <c r="C70" i="25"/>
  <c r="K70" i="25" s="1"/>
  <c r="C72" i="22"/>
  <c r="M72" i="22" s="1"/>
  <c r="C72" i="25"/>
  <c r="K72" i="25" s="1"/>
  <c r="C74" i="22"/>
  <c r="M74" i="22" s="1"/>
  <c r="C74" i="25"/>
  <c r="K74" i="25" s="1"/>
  <c r="O72" i="9"/>
  <c r="W72" i="9" s="1"/>
  <c r="O70" i="9"/>
  <c r="W70" i="9" s="1"/>
  <c r="O74" i="9"/>
  <c r="W74" i="9" s="1"/>
  <c r="AA66" i="1"/>
  <c r="AG19" i="23"/>
  <c r="AG9" i="23" s="1"/>
  <c r="AG5" i="33" s="1"/>
  <c r="O30" i="9"/>
  <c r="W30" i="9" s="1"/>
  <c r="O42" i="9"/>
  <c r="W42" i="9" s="1"/>
  <c r="O18" i="9"/>
  <c r="W18" i="9" s="1"/>
  <c r="C40" i="22"/>
  <c r="M40" i="22" s="1"/>
  <c r="O36" i="9"/>
  <c r="W36" i="9" s="1"/>
  <c r="R16" i="23" s="1"/>
  <c r="C14" i="25"/>
  <c r="K14" i="25" s="1"/>
  <c r="S14" i="25" s="1"/>
  <c r="U14" i="25" s="1"/>
  <c r="O12" i="9"/>
  <c r="W12" i="9" s="1"/>
  <c r="O6" i="9"/>
  <c r="W6" i="9" s="1"/>
  <c r="Y6" i="9" s="1"/>
  <c r="C32" i="22"/>
  <c r="M32" i="22" s="1"/>
  <c r="D21" i="23"/>
  <c r="D11" i="23" s="1"/>
  <c r="D7" i="33" s="1"/>
  <c r="I21" i="23"/>
  <c r="I11" i="23" s="1"/>
  <c r="I7" i="33" s="1"/>
  <c r="O48" i="9"/>
  <c r="W48" i="9" s="1"/>
  <c r="O22" i="9"/>
  <c r="W22" i="9" s="1"/>
  <c r="C52" i="22"/>
  <c r="M52" i="22" s="1"/>
  <c r="C46" i="22"/>
  <c r="M46" i="22" s="1"/>
  <c r="O38" i="9"/>
  <c r="W38" i="9" s="1"/>
  <c r="C62" i="25"/>
  <c r="O28" i="9"/>
  <c r="W28" i="9" s="1"/>
  <c r="N16" i="23" s="1"/>
  <c r="N6" i="23" s="1"/>
  <c r="N2" i="33" s="1"/>
  <c r="O50" i="9"/>
  <c r="W50" i="9" s="1"/>
  <c r="O24" i="9"/>
  <c r="W24" i="9" s="1"/>
  <c r="L16" i="23" s="1"/>
  <c r="L6" i="23" s="1"/>
  <c r="L2" i="33" s="1"/>
  <c r="C54" i="25"/>
  <c r="K54" i="25" s="1"/>
  <c r="O54" i="22" s="1"/>
  <c r="C64" i="22"/>
  <c r="M64" i="22" s="1"/>
  <c r="O34" i="9"/>
  <c r="W34" i="9" s="1"/>
  <c r="O16" i="9"/>
  <c r="W16" i="9" s="1"/>
  <c r="H16" i="23" s="1"/>
  <c r="H6" i="23" s="1"/>
  <c r="H2" i="33" s="1"/>
  <c r="AA52" i="29"/>
  <c r="AA10" i="29"/>
  <c r="Y48" i="29"/>
  <c r="AA48" i="29" s="1"/>
  <c r="Y62" i="1"/>
  <c r="AE19" i="23" s="1"/>
  <c r="AE9" i="23" s="1"/>
  <c r="AE5" i="33" s="1"/>
  <c r="AA64" i="29"/>
  <c r="AA21" i="23"/>
  <c r="AA11" i="23" s="1"/>
  <c r="AA7" i="33" s="1"/>
  <c r="AA46" i="29"/>
  <c r="F21" i="23"/>
  <c r="F11" i="23" s="1"/>
  <c r="F7" i="33" s="1"/>
  <c r="M21" i="23"/>
  <c r="M11" i="23" s="1"/>
  <c r="M7" i="33" s="1"/>
  <c r="AA36" i="29"/>
  <c r="AA60" i="29"/>
  <c r="AC21" i="23"/>
  <c r="AC11" i="23" s="1"/>
  <c r="AC7" i="33" s="1"/>
  <c r="AB21" i="23"/>
  <c r="AB11" i="23" s="1"/>
  <c r="AB7" i="33" s="1"/>
  <c r="AA32" i="29"/>
  <c r="AA6" i="29"/>
  <c r="X19" i="23"/>
  <c r="X9" i="23" s="1"/>
  <c r="X5" i="33" s="1"/>
  <c r="T19" i="23"/>
  <c r="T9" i="23" s="1"/>
  <c r="T5" i="33" s="1"/>
  <c r="AA28" i="1"/>
  <c r="C10" i="22"/>
  <c r="M10" i="22" s="1"/>
  <c r="C10" i="25"/>
  <c r="K10" i="25" s="1"/>
  <c r="O10" i="9"/>
  <c r="W10" i="9" s="1"/>
  <c r="Y10" i="9" s="1"/>
  <c r="AE21" i="23"/>
  <c r="AE11" i="23" s="1"/>
  <c r="AE7" i="33" s="1"/>
  <c r="Q21" i="23"/>
  <c r="Q11" i="23" s="1"/>
  <c r="Q7" i="33" s="1"/>
  <c r="K19" i="23"/>
  <c r="K9" i="23" s="1"/>
  <c r="K5" i="33" s="1"/>
  <c r="F19" i="23"/>
  <c r="F9" i="23" s="1"/>
  <c r="F5" i="33" s="1"/>
  <c r="AA18" i="1"/>
  <c r="C8" i="22"/>
  <c r="M8" i="22" s="1"/>
  <c r="C8" i="25"/>
  <c r="K8" i="25" s="1"/>
  <c r="C58" i="25"/>
  <c r="K58" i="25" s="1"/>
  <c r="O58" i="22" s="1"/>
  <c r="C58" i="22"/>
  <c r="M58" i="22" s="1"/>
  <c r="O58" i="9"/>
  <c r="W58" i="9" s="1"/>
  <c r="AC16" i="23" s="1"/>
  <c r="AC6" i="23" s="1"/>
  <c r="AC2" i="33" s="1"/>
  <c r="O8" i="9"/>
  <c r="W8" i="9" s="1"/>
  <c r="Y8" i="9" s="1"/>
  <c r="C60" i="25"/>
  <c r="K60" i="25" s="1"/>
  <c r="C60" i="22"/>
  <c r="M60" i="22" s="1"/>
  <c r="C66" i="22"/>
  <c r="M66" i="22" s="1"/>
  <c r="C66" i="25"/>
  <c r="K66" i="25" s="1"/>
  <c r="S66" i="25" s="1"/>
  <c r="U66" i="25" s="1"/>
  <c r="C16" i="25"/>
  <c r="K16" i="25" s="1"/>
  <c r="S16" i="25" s="1"/>
  <c r="AI16" i="22" s="1"/>
  <c r="C56" i="25"/>
  <c r="K56" i="25" s="1"/>
  <c r="C56" i="22"/>
  <c r="M56" i="22" s="1"/>
  <c r="O60" i="9"/>
  <c r="W60" i="9" s="1"/>
  <c r="AD16" i="23" s="1"/>
  <c r="O56" i="9"/>
  <c r="W56" i="9" s="1"/>
  <c r="Y56" i="9" s="1"/>
  <c r="O66" i="9"/>
  <c r="W66" i="9" s="1"/>
  <c r="C36" i="25"/>
  <c r="K36" i="25" s="1"/>
  <c r="S36" i="25" s="1"/>
  <c r="AI36" i="22" s="1"/>
  <c r="C36" i="22"/>
  <c r="M36" i="22" s="1"/>
  <c r="C48" i="22"/>
  <c r="M48" i="22" s="1"/>
  <c r="C42" i="25"/>
  <c r="K42" i="25" s="1"/>
  <c r="S42" i="25" s="1"/>
  <c r="AI42" i="22" s="1"/>
  <c r="C42" i="22"/>
  <c r="M42" i="22" s="1"/>
  <c r="C20" i="22"/>
  <c r="M20" i="22" s="1"/>
  <c r="C20" i="25"/>
  <c r="K20" i="25" s="1"/>
  <c r="S20" i="25" s="1"/>
  <c r="AI20" i="22" s="1"/>
  <c r="C44" i="25"/>
  <c r="K44" i="25" s="1"/>
  <c r="S44" i="25" s="1"/>
  <c r="C44" i="22"/>
  <c r="M44" i="22" s="1"/>
  <c r="C26" i="22"/>
  <c r="M26" i="22" s="1"/>
  <c r="C26" i="25"/>
  <c r="K26" i="25" s="1"/>
  <c r="O26" i="22" s="1"/>
  <c r="C6" i="22"/>
  <c r="M6" i="22" s="1"/>
  <c r="C6" i="25"/>
  <c r="K6" i="25" s="1"/>
  <c r="O20" i="9"/>
  <c r="W20" i="9" s="1"/>
  <c r="J16" i="23" s="1"/>
  <c r="J6" i="23" s="1"/>
  <c r="J2" i="33" s="1"/>
  <c r="O44" i="9"/>
  <c r="W44" i="9" s="1"/>
  <c r="Y44" i="9" s="1"/>
  <c r="C18" i="25"/>
  <c r="K18" i="25" s="1"/>
  <c r="S18" i="25" s="1"/>
  <c r="U18" i="25" s="1"/>
  <c r="C18" i="22"/>
  <c r="M18" i="22" s="1"/>
  <c r="C12" i="25"/>
  <c r="K12" i="25" s="1"/>
  <c r="S12" i="25" s="1"/>
  <c r="U12" i="25" s="1"/>
  <c r="C12" i="22"/>
  <c r="M12" i="22" s="1"/>
  <c r="O26" i="9"/>
  <c r="W26" i="9" s="1"/>
  <c r="M16" i="23" s="1"/>
  <c r="M6" i="23" s="1"/>
  <c r="M2" i="33" s="1"/>
  <c r="C30" i="25"/>
  <c r="K30" i="25" s="1"/>
  <c r="S30" i="25" s="1"/>
  <c r="U30" i="25" s="1"/>
  <c r="C30" i="22"/>
  <c r="M30" i="22" s="1"/>
  <c r="AA50" i="1"/>
  <c r="AA58" i="1"/>
  <c r="U19" i="23"/>
  <c r="U9" i="23" s="1"/>
  <c r="U5" i="33" s="1"/>
  <c r="O19" i="23"/>
  <c r="O9" i="23" s="1"/>
  <c r="O5" i="33" s="1"/>
  <c r="AA50" i="29"/>
  <c r="AA28" i="29"/>
  <c r="AA24" i="29"/>
  <c r="P19" i="23"/>
  <c r="P9" i="23" s="1"/>
  <c r="P5" i="33" s="1"/>
  <c r="AA52" i="1"/>
  <c r="AA6" i="1"/>
  <c r="AA14" i="29"/>
  <c r="O21" i="23"/>
  <c r="O11" i="23" s="1"/>
  <c r="O7" i="33" s="1"/>
  <c r="T21" i="23"/>
  <c r="T11" i="23" s="1"/>
  <c r="T7" i="33" s="1"/>
  <c r="J21" i="23"/>
  <c r="J11" i="23" s="1"/>
  <c r="J7" i="33" s="1"/>
  <c r="AA22" i="29"/>
  <c r="J19" i="23"/>
  <c r="J9" i="23" s="1"/>
  <c r="J5" i="33" s="1"/>
  <c r="S19" i="23"/>
  <c r="S9" i="23" s="1"/>
  <c r="S5" i="33" s="1"/>
  <c r="S21" i="23"/>
  <c r="S11" i="23" s="1"/>
  <c r="S7" i="33" s="1"/>
  <c r="AA44" i="29"/>
  <c r="AA42" i="29"/>
  <c r="AA66" i="29"/>
  <c r="H21" i="23"/>
  <c r="H11" i="23" s="1"/>
  <c r="H7" i="33" s="1"/>
  <c r="AA36" i="1"/>
  <c r="AD19" i="23"/>
  <c r="AD9" i="23" s="1"/>
  <c r="AD5" i="33" s="1"/>
  <c r="M19" i="23"/>
  <c r="M9" i="23" s="1"/>
  <c r="M5" i="33" s="1"/>
  <c r="AA64" i="1"/>
  <c r="L19" i="23"/>
  <c r="L9" i="23" s="1"/>
  <c r="L5" i="33" s="1"/>
  <c r="D19" i="23"/>
  <c r="D9" i="23" s="1"/>
  <c r="D5" i="33" s="1"/>
  <c r="AA54" i="1"/>
  <c r="AD44" i="3"/>
  <c r="E22" i="23"/>
  <c r="E12" i="23" s="1"/>
  <c r="E8" i="33" s="1"/>
  <c r="AD8" i="3"/>
  <c r="AD28" i="3"/>
  <c r="AA14" i="1"/>
  <c r="AA34" i="1"/>
  <c r="AA46" i="1"/>
  <c r="E19" i="23"/>
  <c r="V19" i="23"/>
  <c r="AB19" i="23"/>
  <c r="AB9" i="23" s="1"/>
  <c r="AB5" i="33" s="1"/>
  <c r="AA16" i="1"/>
  <c r="AD54" i="3"/>
  <c r="AD52" i="3"/>
  <c r="AC22" i="23"/>
  <c r="AC12" i="23" s="1"/>
  <c r="AC8" i="33" s="1"/>
  <c r="AD48" i="3"/>
  <c r="P22" i="23"/>
  <c r="P12" i="23" s="1"/>
  <c r="P8" i="33" s="1"/>
  <c r="J22" i="23"/>
  <c r="J12" i="23" s="1"/>
  <c r="J8" i="33" s="1"/>
  <c r="T22" i="23"/>
  <c r="T12" i="23" s="1"/>
  <c r="T8" i="33" s="1"/>
  <c r="AD50" i="3"/>
  <c r="AD6" i="3"/>
  <c r="AD18" i="3"/>
  <c r="AD14" i="3"/>
  <c r="AE22" i="23"/>
  <c r="AE12" i="23" s="1"/>
  <c r="AE8" i="33" s="1"/>
  <c r="AD22" i="23"/>
  <c r="AD12" i="23" s="1"/>
  <c r="AD8" i="33" s="1"/>
  <c r="AB22" i="23"/>
  <c r="AB12" i="23" s="1"/>
  <c r="AB8" i="33" s="1"/>
  <c r="L22" i="23"/>
  <c r="L12" i="23" s="1"/>
  <c r="L8" i="33" s="1"/>
  <c r="H22" i="23"/>
  <c r="H12" i="23" s="1"/>
  <c r="H8" i="33" s="1"/>
  <c r="O22" i="23"/>
  <c r="O12" i="23" s="1"/>
  <c r="O8" i="33" s="1"/>
  <c r="S22" i="23"/>
  <c r="S12" i="23" s="1"/>
  <c r="S8" i="33" s="1"/>
  <c r="Q22" i="23"/>
  <c r="Q12" i="23" s="1"/>
  <c r="Q8" i="33" s="1"/>
  <c r="K22" i="23"/>
  <c r="K12" i="23" s="1"/>
  <c r="K8" i="33" s="1"/>
  <c r="AF22" i="23"/>
  <c r="AF12" i="23" s="1"/>
  <c r="AF8" i="33" s="1"/>
  <c r="C11" i="23"/>
  <c r="C7" i="33" s="1"/>
  <c r="W22" i="23"/>
  <c r="W12" i="23" s="1"/>
  <c r="W8" i="33" s="1"/>
  <c r="R22" i="23"/>
  <c r="R12" i="23" s="1"/>
  <c r="R8" i="33" s="1"/>
  <c r="AD42" i="3"/>
  <c r="U22" i="23"/>
  <c r="U12" i="23" s="1"/>
  <c r="U8" i="33" s="1"/>
  <c r="AD26" i="3"/>
  <c r="F22" i="23"/>
  <c r="F12" i="23" s="1"/>
  <c r="F8" i="33" s="1"/>
  <c r="C12" i="23"/>
  <c r="C8" i="33" s="1"/>
  <c r="H9" i="23"/>
  <c r="H5" i="33" s="1"/>
  <c r="AA9" i="23"/>
  <c r="AA5" i="33" s="1"/>
  <c r="Y9" i="23"/>
  <c r="Y5" i="33" s="1"/>
  <c r="C9" i="23"/>
  <c r="C5" i="33" s="1"/>
  <c r="AF9" i="23"/>
  <c r="AF5" i="33" s="1"/>
  <c r="R9" i="23"/>
  <c r="R5" i="33" s="1"/>
  <c r="N9" i="23"/>
  <c r="N5" i="33" s="1"/>
  <c r="G9" i="23"/>
  <c r="G5" i="33" s="1"/>
  <c r="W9" i="23"/>
  <c r="W5" i="33" s="1"/>
  <c r="AC9" i="23"/>
  <c r="AC5" i="33" s="1"/>
  <c r="I9" i="23"/>
  <c r="I5" i="33" s="1"/>
  <c r="Q9" i="23"/>
  <c r="Q5" i="33" s="1"/>
  <c r="Z9" i="23"/>
  <c r="Z5" i="33" s="1"/>
  <c r="C76" i="25" l="1"/>
  <c r="K76" i="25" s="1"/>
  <c r="O76" i="22" s="1"/>
  <c r="Q76" i="22" s="1"/>
  <c r="Y76" i="22" s="1"/>
  <c r="AG76" i="22" s="1"/>
  <c r="O76" i="9"/>
  <c r="W76" i="9" s="1"/>
  <c r="AL16" i="23" s="1"/>
  <c r="O68" i="9"/>
  <c r="W68" i="9" s="1"/>
  <c r="Y68" i="9" s="1"/>
  <c r="C68" i="25"/>
  <c r="K68" i="25" s="1"/>
  <c r="S68" i="25" s="1"/>
  <c r="B7" i="28"/>
  <c r="C7" i="28" s="1"/>
  <c r="C10" i="23"/>
  <c r="C6" i="33" s="1"/>
  <c r="B4" i="28"/>
  <c r="C4" i="28" s="1"/>
  <c r="D4" i="28" s="1"/>
  <c r="S70" i="25"/>
  <c r="O70" i="22"/>
  <c r="Q70" i="22" s="1"/>
  <c r="Y70" i="22" s="1"/>
  <c r="AG70" i="22" s="1"/>
  <c r="AA72" i="2"/>
  <c r="AJ20" i="23"/>
  <c r="O74" i="22"/>
  <c r="Q74" i="22" s="1"/>
  <c r="Y74" i="22" s="1"/>
  <c r="AG74" i="22" s="1"/>
  <c r="S74" i="25"/>
  <c r="AA70" i="2"/>
  <c r="AI20" i="23"/>
  <c r="AA68" i="2"/>
  <c r="AH20" i="23"/>
  <c r="S72" i="25"/>
  <c r="O72" i="22"/>
  <c r="Q72" i="22" s="1"/>
  <c r="Y72" i="22" s="1"/>
  <c r="AG72" i="22" s="1"/>
  <c r="AA74" i="2"/>
  <c r="AK20" i="23"/>
  <c r="AA76" i="2"/>
  <c r="AL20" i="23"/>
  <c r="AG20" i="23"/>
  <c r="AG10" i="23" s="1"/>
  <c r="AG6" i="33" s="1"/>
  <c r="Y74" i="9"/>
  <c r="AK16" i="23"/>
  <c r="Y72" i="9"/>
  <c r="AJ16" i="23"/>
  <c r="Y70" i="9"/>
  <c r="AI16" i="23"/>
  <c r="Y66" i="9"/>
  <c r="AG16" i="23"/>
  <c r="AG6" i="23" s="1"/>
  <c r="AG2" i="33" s="1"/>
  <c r="K62" i="25"/>
  <c r="O62" i="22" s="1"/>
  <c r="O16" i="23"/>
  <c r="O6" i="23" s="1"/>
  <c r="O2" i="33" s="1"/>
  <c r="Y30" i="9"/>
  <c r="F16" i="23"/>
  <c r="F6" i="23" s="1"/>
  <c r="F2" i="33" s="1"/>
  <c r="Y12" i="9"/>
  <c r="I16" i="23"/>
  <c r="I6" i="23" s="1"/>
  <c r="I2" i="33" s="1"/>
  <c r="Y18" i="9"/>
  <c r="U16" i="23"/>
  <c r="U6" i="23" s="1"/>
  <c r="U2" i="33" s="1"/>
  <c r="Y42" i="9"/>
  <c r="O32" i="9"/>
  <c r="W32" i="9" s="1"/>
  <c r="O40" i="9"/>
  <c r="W40" i="9" s="1"/>
  <c r="C40" i="25"/>
  <c r="K40" i="25" s="1"/>
  <c r="O40" i="22" s="1"/>
  <c r="Q40" i="22" s="1"/>
  <c r="Y40" i="22" s="1"/>
  <c r="AG40" i="22" s="1"/>
  <c r="C32" i="25"/>
  <c r="K32" i="25" s="1"/>
  <c r="S32" i="25" s="1"/>
  <c r="U32" i="25" s="1"/>
  <c r="Y36" i="9"/>
  <c r="C14" i="22"/>
  <c r="M14" i="22" s="1"/>
  <c r="O14" i="9"/>
  <c r="W14" i="9" s="1"/>
  <c r="X21" i="23"/>
  <c r="X11" i="23" s="1"/>
  <c r="X7" i="33" s="1"/>
  <c r="C24" i="22"/>
  <c r="M24" i="22" s="1"/>
  <c r="C52" i="25"/>
  <c r="K52" i="25" s="1"/>
  <c r="O52" i="22" s="1"/>
  <c r="Q52" i="22" s="1"/>
  <c r="Y52" i="22" s="1"/>
  <c r="AG52" i="22" s="1"/>
  <c r="C24" i="25"/>
  <c r="K24" i="25" s="1"/>
  <c r="S24" i="25" s="1"/>
  <c r="U24" i="25" s="1"/>
  <c r="C48" i="25"/>
  <c r="K48" i="25" s="1"/>
  <c r="S48" i="25" s="1"/>
  <c r="U48" i="25" s="1"/>
  <c r="C22" i="22"/>
  <c r="M22" i="22" s="1"/>
  <c r="C16" i="22"/>
  <c r="M16" i="22" s="1"/>
  <c r="C28" i="22"/>
  <c r="M28" i="22" s="1"/>
  <c r="C28" i="25"/>
  <c r="K28" i="25" s="1"/>
  <c r="S28" i="25" s="1"/>
  <c r="U28" i="25" s="1"/>
  <c r="K16" i="23"/>
  <c r="K6" i="23" s="1"/>
  <c r="K2" i="33" s="1"/>
  <c r="Y22" i="9"/>
  <c r="O62" i="9"/>
  <c r="W62" i="9" s="1"/>
  <c r="O66" i="22"/>
  <c r="Q66" i="22" s="1"/>
  <c r="Y66" i="22" s="1"/>
  <c r="AG66" i="22" s="1"/>
  <c r="O64" i="9"/>
  <c r="W64" i="9" s="1"/>
  <c r="Y64" i="9" s="1"/>
  <c r="C64" i="25"/>
  <c r="K64" i="25" s="1"/>
  <c r="O64" i="22" s="1"/>
  <c r="Q64" i="22" s="1"/>
  <c r="Y64" i="22" s="1"/>
  <c r="AG64" i="22" s="1"/>
  <c r="C22" i="25"/>
  <c r="K22" i="25" s="1"/>
  <c r="O22" i="22" s="1"/>
  <c r="C62" i="22"/>
  <c r="M62" i="22" s="1"/>
  <c r="C38" i="25"/>
  <c r="K38" i="25" s="1"/>
  <c r="O38" i="22" s="1"/>
  <c r="C54" i="22"/>
  <c r="M54" i="22" s="1"/>
  <c r="Q54" i="22" s="1"/>
  <c r="Y54" i="22" s="1"/>
  <c r="AG54" i="22" s="1"/>
  <c r="O54" i="9"/>
  <c r="W54" i="9" s="1"/>
  <c r="C38" i="22"/>
  <c r="M38" i="22" s="1"/>
  <c r="O52" i="9"/>
  <c r="W52" i="9" s="1"/>
  <c r="Q16" i="23"/>
  <c r="Q6" i="23" s="1"/>
  <c r="Q2" i="33" s="1"/>
  <c r="Y34" i="9"/>
  <c r="Y38" i="9"/>
  <c r="S16" i="23"/>
  <c r="S6" i="23" s="1"/>
  <c r="S2" i="33" s="1"/>
  <c r="Y50" i="9"/>
  <c r="Y16" i="23"/>
  <c r="Y6" i="23" s="1"/>
  <c r="Y2" i="33" s="1"/>
  <c r="Y48" i="9"/>
  <c r="X16" i="23"/>
  <c r="X6" i="23" s="1"/>
  <c r="X2" i="33" s="1"/>
  <c r="C50" i="22"/>
  <c r="M50" i="22" s="1"/>
  <c r="O46" i="9"/>
  <c r="W46" i="9" s="1"/>
  <c r="C50" i="25"/>
  <c r="K50" i="25" s="1"/>
  <c r="S50" i="25" s="1"/>
  <c r="U50" i="25" s="1"/>
  <c r="C34" i="25"/>
  <c r="K34" i="25" s="1"/>
  <c r="S34" i="25" s="1"/>
  <c r="U34" i="25" s="1"/>
  <c r="C46" i="25"/>
  <c r="K46" i="25" s="1"/>
  <c r="O46" i="22" s="1"/>
  <c r="Q46" i="22" s="1"/>
  <c r="Y46" i="22" s="1"/>
  <c r="AG46" i="22" s="1"/>
  <c r="C34" i="22"/>
  <c r="M34" i="22" s="1"/>
  <c r="AA38" i="2"/>
  <c r="Y28" i="9"/>
  <c r="U36" i="25"/>
  <c r="AA62" i="1"/>
  <c r="Y16" i="9"/>
  <c r="C16" i="23"/>
  <c r="Y24" i="9"/>
  <c r="O44" i="22"/>
  <c r="Q44" i="22" s="1"/>
  <c r="Y44" i="22" s="1"/>
  <c r="AG44" i="22" s="1"/>
  <c r="U42" i="25"/>
  <c r="O16" i="22"/>
  <c r="F20" i="23"/>
  <c r="F10" i="23" s="1"/>
  <c r="F6" i="33" s="1"/>
  <c r="AA16" i="2"/>
  <c r="AI12" i="22"/>
  <c r="U16" i="25"/>
  <c r="O12" i="22"/>
  <c r="Q12" i="22" s="1"/>
  <c r="Y12" i="22" s="1"/>
  <c r="AG12" i="22" s="1"/>
  <c r="S58" i="25"/>
  <c r="U58" i="25" s="1"/>
  <c r="Y60" i="9"/>
  <c r="C18" i="23"/>
  <c r="C8" i="23" s="1"/>
  <c r="C4" i="33" s="1"/>
  <c r="I18" i="23"/>
  <c r="I8" i="23" s="1"/>
  <c r="I4" i="33" s="1"/>
  <c r="AA54" i="2"/>
  <c r="X20" i="23"/>
  <c r="X10" i="23" s="1"/>
  <c r="X6" i="33" s="1"/>
  <c r="AA46" i="2"/>
  <c r="AA18" i="23"/>
  <c r="AA8" i="23" s="1"/>
  <c r="AA4" i="33" s="1"/>
  <c r="Y18" i="23"/>
  <c r="Y8" i="23" s="1"/>
  <c r="Y4" i="33" s="1"/>
  <c r="K20" i="23"/>
  <c r="K10" i="23" s="1"/>
  <c r="K6" i="33" s="1"/>
  <c r="R20" i="23"/>
  <c r="R10" i="23" s="1"/>
  <c r="R6" i="33" s="1"/>
  <c r="AA26" i="2"/>
  <c r="AI14" i="22"/>
  <c r="S54" i="25"/>
  <c r="AI54" i="22" s="1"/>
  <c r="AA66" i="2"/>
  <c r="O18" i="22"/>
  <c r="Q18" i="22" s="1"/>
  <c r="Y18" i="22" s="1"/>
  <c r="AG18" i="22" s="1"/>
  <c r="Y20" i="9"/>
  <c r="AF20" i="23"/>
  <c r="AF10" i="23" s="1"/>
  <c r="AF6" i="33" s="1"/>
  <c r="N20" i="23"/>
  <c r="N10" i="23" s="1"/>
  <c r="N6" i="33" s="1"/>
  <c r="V16" i="23"/>
  <c r="V6" i="23" s="1"/>
  <c r="V2" i="33" s="1"/>
  <c r="AC20" i="23"/>
  <c r="AC10" i="23" s="1"/>
  <c r="AC6" i="33" s="1"/>
  <c r="S26" i="25"/>
  <c r="U26" i="25" s="1"/>
  <c r="U20" i="25"/>
  <c r="L20" i="23"/>
  <c r="L10" i="23" s="1"/>
  <c r="L6" i="33" s="1"/>
  <c r="AA8" i="2"/>
  <c r="AB16" i="23"/>
  <c r="AB6" i="23" s="1"/>
  <c r="AB2" i="33" s="1"/>
  <c r="AA62" i="2"/>
  <c r="E16" i="23"/>
  <c r="E6" i="23" s="1"/>
  <c r="E2" i="33" s="1"/>
  <c r="AI66" i="22"/>
  <c r="Q58" i="22"/>
  <c r="Y58" i="22" s="1"/>
  <c r="AG58" i="22" s="1"/>
  <c r="S10" i="25"/>
  <c r="O10" i="22"/>
  <c r="Q10" i="22" s="1"/>
  <c r="Y10" i="22" s="1"/>
  <c r="AG10" i="22" s="1"/>
  <c r="Z18" i="23"/>
  <c r="Z8" i="23" s="1"/>
  <c r="Z4" i="33" s="1"/>
  <c r="AA34" i="2"/>
  <c r="AA32" i="2"/>
  <c r="O36" i="22"/>
  <c r="Q36" i="22" s="1"/>
  <c r="Y36" i="22" s="1"/>
  <c r="AG36" i="22" s="1"/>
  <c r="AK36" i="22" s="1"/>
  <c r="R17" i="23" s="1"/>
  <c r="R7" i="23" s="1"/>
  <c r="R3" i="33" s="1"/>
  <c r="Y26" i="9"/>
  <c r="Y58" i="9"/>
  <c r="AA52" i="2"/>
  <c r="AA50" i="2"/>
  <c r="O14" i="22"/>
  <c r="AA6" i="2"/>
  <c r="AA18" i="2"/>
  <c r="O42" i="22"/>
  <c r="Q42" i="22" s="1"/>
  <c r="Y42" i="22" s="1"/>
  <c r="AG42" i="22" s="1"/>
  <c r="AK42" i="22" s="1"/>
  <c r="U17" i="23" s="1"/>
  <c r="U7" i="23" s="1"/>
  <c r="U3" i="33" s="1"/>
  <c r="AA20" i="2"/>
  <c r="AI18" i="22"/>
  <c r="Q26" i="22"/>
  <c r="Y26" i="22" s="1"/>
  <c r="AG26" i="22" s="1"/>
  <c r="D16" i="23"/>
  <c r="D6" i="23" s="1"/>
  <c r="D2" i="33" s="1"/>
  <c r="O30" i="22"/>
  <c r="Q30" i="22" s="1"/>
  <c r="Y30" i="22" s="1"/>
  <c r="AG30" i="22" s="1"/>
  <c r="O20" i="23"/>
  <c r="O10" i="23" s="1"/>
  <c r="O6" i="33" s="1"/>
  <c r="O20" i="22"/>
  <c r="Q20" i="22" s="1"/>
  <c r="Y20" i="22" s="1"/>
  <c r="AG20" i="22" s="1"/>
  <c r="AK20" i="22" s="1"/>
  <c r="AM20" i="22" s="1"/>
  <c r="AB20" i="23"/>
  <c r="AB10" i="23" s="1"/>
  <c r="AB6" i="33" s="1"/>
  <c r="AA42" i="2"/>
  <c r="O60" i="22"/>
  <c r="Q60" i="22" s="1"/>
  <c r="Y60" i="22" s="1"/>
  <c r="AG60" i="22" s="1"/>
  <c r="S60" i="25"/>
  <c r="O6" i="22"/>
  <c r="Q6" i="22" s="1"/>
  <c r="Y6" i="22" s="1"/>
  <c r="AG6" i="22" s="1"/>
  <c r="S6" i="25"/>
  <c r="V20" i="23"/>
  <c r="V10" i="23" s="1"/>
  <c r="V6" i="33" s="1"/>
  <c r="AA44" i="2"/>
  <c r="S8" i="25"/>
  <c r="O8" i="22"/>
  <c r="Q8" i="22" s="1"/>
  <c r="Y8" i="22" s="1"/>
  <c r="AG8" i="22" s="1"/>
  <c r="G18" i="23"/>
  <c r="G8" i="23" s="1"/>
  <c r="G4" i="33" s="1"/>
  <c r="E20" i="23"/>
  <c r="E10" i="23" s="1"/>
  <c r="E6" i="33" s="1"/>
  <c r="AI30" i="22"/>
  <c r="AA60" i="2"/>
  <c r="AA14" i="2"/>
  <c r="T20" i="23"/>
  <c r="T10" i="23" s="1"/>
  <c r="T6" i="33" s="1"/>
  <c r="U44" i="25"/>
  <c r="AI44" i="22"/>
  <c r="S56" i="25"/>
  <c r="O56" i="22"/>
  <c r="Q56" i="22" s="1"/>
  <c r="Y56" i="22" s="1"/>
  <c r="AG56" i="22" s="1"/>
  <c r="D18" i="23"/>
  <c r="D8" i="23" s="1"/>
  <c r="D4" i="33" s="1"/>
  <c r="M18" i="23"/>
  <c r="M8" i="23" s="1"/>
  <c r="M4" i="33" s="1"/>
  <c r="V9" i="23"/>
  <c r="V5" i="33" s="1"/>
  <c r="J18" i="23"/>
  <c r="J8" i="23" s="1"/>
  <c r="J4" i="33" s="1"/>
  <c r="E9" i="23"/>
  <c r="E5" i="33" s="1"/>
  <c r="P18" i="23"/>
  <c r="P8" i="23" s="1"/>
  <c r="P4" i="33" s="1"/>
  <c r="H18" i="23"/>
  <c r="H8" i="23" s="1"/>
  <c r="H4" i="33" s="1"/>
  <c r="S18" i="23"/>
  <c r="S8" i="23" s="1"/>
  <c r="S4" i="33" s="1"/>
  <c r="AD18" i="23"/>
  <c r="AD8" i="23" s="1"/>
  <c r="AD4" i="33" s="1"/>
  <c r="AE18" i="23"/>
  <c r="AE8" i="23" s="1"/>
  <c r="AE4" i="33" s="1"/>
  <c r="U18" i="23"/>
  <c r="U8" i="23" s="1"/>
  <c r="U4" i="33" s="1"/>
  <c r="Q18" i="23"/>
  <c r="Q8" i="23" s="1"/>
  <c r="Q4" i="33" s="1"/>
  <c r="W18" i="23"/>
  <c r="W8" i="23" s="1"/>
  <c r="W4" i="33" s="1"/>
  <c r="AD6" i="23"/>
  <c r="AD2" i="33" s="1"/>
  <c r="R6" i="23"/>
  <c r="R2" i="33" s="1"/>
  <c r="Y76" i="9" l="1"/>
  <c r="S76" i="25"/>
  <c r="U76" i="25" s="1"/>
  <c r="AH16" i="23"/>
  <c r="AH6" i="23" s="1"/>
  <c r="AH2" i="33" s="1"/>
  <c r="O68" i="22"/>
  <c r="Q68" i="22" s="1"/>
  <c r="Y68" i="22" s="1"/>
  <c r="AG68" i="22" s="1"/>
  <c r="B6" i="28"/>
  <c r="C6" i="28" s="1"/>
  <c r="D6" i="28" s="1"/>
  <c r="B5" i="28"/>
  <c r="C5" i="28" s="1"/>
  <c r="D5" i="28" s="1"/>
  <c r="C6" i="23"/>
  <c r="C2" i="33" s="1"/>
  <c r="AG18" i="23"/>
  <c r="AG8" i="23" s="1"/>
  <c r="AG4" i="33" s="1"/>
  <c r="U74" i="25"/>
  <c r="AI74" i="22"/>
  <c r="AK74" i="22" s="1"/>
  <c r="U72" i="25"/>
  <c r="AI72" i="22"/>
  <c r="AK72" i="22" s="1"/>
  <c r="AH10" i="23"/>
  <c r="AH6" i="33" s="1"/>
  <c r="AH18" i="23"/>
  <c r="AH8" i="23" s="1"/>
  <c r="AH4" i="33" s="1"/>
  <c r="AJ10" i="23"/>
  <c r="AJ6" i="33" s="1"/>
  <c r="AJ18" i="23"/>
  <c r="AJ8" i="23" s="1"/>
  <c r="AJ4" i="33" s="1"/>
  <c r="AL10" i="23"/>
  <c r="AL6" i="33" s="1"/>
  <c r="AL18" i="23"/>
  <c r="AL8" i="23" s="1"/>
  <c r="AL4" i="33" s="1"/>
  <c r="AK10" i="23"/>
  <c r="AK6" i="33" s="1"/>
  <c r="AK18" i="23"/>
  <c r="AK8" i="23" s="1"/>
  <c r="AK4" i="33" s="1"/>
  <c r="AI10" i="23"/>
  <c r="AI6" i="33" s="1"/>
  <c r="AI18" i="23"/>
  <c r="AI8" i="23" s="1"/>
  <c r="AI4" i="33" s="1"/>
  <c r="U70" i="25"/>
  <c r="AI70" i="22"/>
  <c r="AK70" i="22" s="1"/>
  <c r="U68" i="25"/>
  <c r="AI68" i="22"/>
  <c r="S62" i="25"/>
  <c r="AI62" i="22" s="1"/>
  <c r="AL6" i="23"/>
  <c r="AL2" i="33" s="1"/>
  <c r="AK6" i="23"/>
  <c r="AK2" i="33" s="1"/>
  <c r="AJ6" i="23"/>
  <c r="AJ2" i="33" s="1"/>
  <c r="AI6" i="23"/>
  <c r="AI2" i="33" s="1"/>
  <c r="Q62" i="22"/>
  <c r="Y62" i="22" s="1"/>
  <c r="AG62" i="22" s="1"/>
  <c r="O32" i="22"/>
  <c r="Q32" i="22" s="1"/>
  <c r="Y32" i="22" s="1"/>
  <c r="AG32" i="22" s="1"/>
  <c r="Q14" i="22"/>
  <c r="Y14" i="22" s="1"/>
  <c r="AG14" i="22" s="1"/>
  <c r="AK14" i="22" s="1"/>
  <c r="G17" i="23" s="1"/>
  <c r="G7" i="23" s="1"/>
  <c r="G3" i="33" s="1"/>
  <c r="S40" i="25"/>
  <c r="U40" i="25" s="1"/>
  <c r="AI32" i="22"/>
  <c r="Y40" i="9"/>
  <c r="T16" i="23"/>
  <c r="T6" i="23" s="1"/>
  <c r="T2" i="33" s="1"/>
  <c r="Y32" i="9"/>
  <c r="P16" i="23"/>
  <c r="P6" i="23" s="1"/>
  <c r="P2" i="33" s="1"/>
  <c r="Y14" i="9"/>
  <c r="G16" i="23"/>
  <c r="G6" i="23" s="1"/>
  <c r="G2" i="33" s="1"/>
  <c r="S38" i="25"/>
  <c r="AI38" i="22" s="1"/>
  <c r="AI28" i="22"/>
  <c r="Q22" i="22"/>
  <c r="Y22" i="22" s="1"/>
  <c r="AG22" i="22" s="1"/>
  <c r="N18" i="23"/>
  <c r="N8" i="23" s="1"/>
  <c r="N4" i="33" s="1"/>
  <c r="AI48" i="22"/>
  <c r="S52" i="25"/>
  <c r="U52" i="25" s="1"/>
  <c r="Q16" i="22"/>
  <c r="Y16" i="22" s="1"/>
  <c r="AG16" i="22" s="1"/>
  <c r="AK16" i="22" s="1"/>
  <c r="AM16" i="22" s="1"/>
  <c r="O24" i="22"/>
  <c r="Q24" i="22" s="1"/>
  <c r="Y24" i="22" s="1"/>
  <c r="AG24" i="22" s="1"/>
  <c r="Q38" i="22"/>
  <c r="Y38" i="22" s="1"/>
  <c r="AG38" i="22" s="1"/>
  <c r="O48" i="22"/>
  <c r="Q48" i="22" s="1"/>
  <c r="Y48" i="22" s="1"/>
  <c r="AG48" i="22" s="1"/>
  <c r="AI24" i="22"/>
  <c r="O28" i="22"/>
  <c r="Q28" i="22" s="1"/>
  <c r="Y28" i="22" s="1"/>
  <c r="AG28" i="22" s="1"/>
  <c r="O34" i="22"/>
  <c r="Q34" i="22" s="1"/>
  <c r="Y34" i="22" s="1"/>
  <c r="AG34" i="22" s="1"/>
  <c r="S22" i="25"/>
  <c r="U22" i="25" s="1"/>
  <c r="AF16" i="23"/>
  <c r="AF6" i="23" s="1"/>
  <c r="AF2" i="33" s="1"/>
  <c r="O50" i="22"/>
  <c r="Q50" i="22" s="1"/>
  <c r="Y50" i="22" s="1"/>
  <c r="AG50" i="22" s="1"/>
  <c r="Y62" i="9"/>
  <c r="AE16" i="23"/>
  <c r="AE6" i="23" s="1"/>
  <c r="AE2" i="33" s="1"/>
  <c r="S64" i="25"/>
  <c r="U64" i="25" s="1"/>
  <c r="Z16" i="23"/>
  <c r="Z6" i="23" s="1"/>
  <c r="Z2" i="33" s="1"/>
  <c r="Y52" i="9"/>
  <c r="AI50" i="22"/>
  <c r="Y54" i="9"/>
  <c r="AA16" i="23"/>
  <c r="AA6" i="23" s="1"/>
  <c r="AA2" i="33" s="1"/>
  <c r="S46" i="25"/>
  <c r="U46" i="25" s="1"/>
  <c r="AI34" i="22"/>
  <c r="Y46" i="9"/>
  <c r="W16" i="23"/>
  <c r="W6" i="23" s="1"/>
  <c r="W2" i="33" s="1"/>
  <c r="AI58" i="22"/>
  <c r="AK58" i="22" s="1"/>
  <c r="AM58" i="22" s="1"/>
  <c r="T18" i="23"/>
  <c r="T8" i="23" s="1"/>
  <c r="T4" i="33" s="1"/>
  <c r="K18" i="23"/>
  <c r="K8" i="23" s="1"/>
  <c r="K4" i="33" s="1"/>
  <c r="F18" i="23"/>
  <c r="F8" i="23" s="1"/>
  <c r="F4" i="33" s="1"/>
  <c r="R18" i="23"/>
  <c r="R8" i="23" s="1"/>
  <c r="AK12" i="22"/>
  <c r="F17" i="23" s="1"/>
  <c r="F7" i="23" s="1"/>
  <c r="F3" i="33" s="1"/>
  <c r="X18" i="23"/>
  <c r="X8" i="23" s="1"/>
  <c r="X4" i="33" s="1"/>
  <c r="AK66" i="22"/>
  <c r="AK54" i="22"/>
  <c r="AA17" i="23" s="1"/>
  <c r="AA7" i="23" s="1"/>
  <c r="AA3" i="33" s="1"/>
  <c r="AI26" i="22"/>
  <c r="AK26" i="22" s="1"/>
  <c r="M17" i="23" s="1"/>
  <c r="M7" i="23" s="1"/>
  <c r="U54" i="25"/>
  <c r="AK44" i="22"/>
  <c r="V17" i="23" s="1"/>
  <c r="V7" i="23" s="1"/>
  <c r="V3" i="33" s="1"/>
  <c r="AF18" i="23"/>
  <c r="AF8" i="23" s="1"/>
  <c r="AF4" i="33" s="1"/>
  <c r="L18" i="23"/>
  <c r="L8" i="23" s="1"/>
  <c r="L4" i="33" s="1"/>
  <c r="AC18" i="23"/>
  <c r="AC8" i="23" s="1"/>
  <c r="AC4" i="33" s="1"/>
  <c r="AK18" i="22"/>
  <c r="U10" i="25"/>
  <c r="AI10" i="22"/>
  <c r="AK10" i="22" s="1"/>
  <c r="E17" i="23" s="1"/>
  <c r="E7" i="23" s="1"/>
  <c r="E3" i="33" s="1"/>
  <c r="E18" i="23"/>
  <c r="E8" i="23" s="1"/>
  <c r="E4" i="33" s="1"/>
  <c r="AK30" i="22"/>
  <c r="O17" i="23" s="1"/>
  <c r="O7" i="23" s="1"/>
  <c r="O3" i="33" s="1"/>
  <c r="O18" i="23"/>
  <c r="O8" i="23" s="1"/>
  <c r="O4" i="33" s="1"/>
  <c r="AI56" i="22"/>
  <c r="AK56" i="22" s="1"/>
  <c r="U56" i="25"/>
  <c r="AM42" i="22"/>
  <c r="U13" i="23"/>
  <c r="AI8" i="22"/>
  <c r="AK8" i="22" s="1"/>
  <c r="U8" i="25"/>
  <c r="U60" i="25"/>
  <c r="AI60" i="22"/>
  <c r="AK60" i="22" s="1"/>
  <c r="AD17" i="23" s="1"/>
  <c r="AD7" i="23" s="1"/>
  <c r="AB18" i="23"/>
  <c r="AB8" i="23" s="1"/>
  <c r="AB4" i="33" s="1"/>
  <c r="U6" i="25"/>
  <c r="AI6" i="22"/>
  <c r="AK6" i="22" s="1"/>
  <c r="V18" i="23"/>
  <c r="V8" i="23" s="1"/>
  <c r="V4" i="33" s="1"/>
  <c r="AM36" i="22"/>
  <c r="U23" i="23"/>
  <c r="J17" i="23"/>
  <c r="J7" i="23" s="1"/>
  <c r="D7" i="28"/>
  <c r="AI76" i="22" l="1"/>
  <c r="AK76" i="22" s="1"/>
  <c r="AM76" i="22" s="1"/>
  <c r="AK68" i="22"/>
  <c r="AH17" i="23" s="1"/>
  <c r="B2" i="28"/>
  <c r="C2" i="28" s="1"/>
  <c r="D2" i="28" s="1"/>
  <c r="U2" i="34"/>
  <c r="U24" i="23"/>
  <c r="U62" i="25"/>
  <c r="AK62" i="22"/>
  <c r="AE17" i="23" s="1"/>
  <c r="AE7" i="23" s="1"/>
  <c r="AE3" i="33" s="1"/>
  <c r="AM72" i="22"/>
  <c r="AJ17" i="23"/>
  <c r="AM70" i="22"/>
  <c r="AI17" i="23"/>
  <c r="AM74" i="22"/>
  <c r="AK17" i="23"/>
  <c r="AM66" i="22"/>
  <c r="AG17" i="23"/>
  <c r="AG7" i="23" s="1"/>
  <c r="AK32" i="22"/>
  <c r="AM32" i="22" s="1"/>
  <c r="R13" i="23"/>
  <c r="R4" i="33"/>
  <c r="AD13" i="23"/>
  <c r="AD3" i="33"/>
  <c r="J13" i="23"/>
  <c r="J3" i="33"/>
  <c r="M13" i="23"/>
  <c r="M3" i="33"/>
  <c r="AI40" i="22"/>
  <c r="AK40" i="22" s="1"/>
  <c r="AM40" i="22" s="1"/>
  <c r="G13" i="23"/>
  <c r="U38" i="25"/>
  <c r="AK28" i="22"/>
  <c r="N17" i="23" s="1"/>
  <c r="N7" i="23" s="1"/>
  <c r="AI52" i="22"/>
  <c r="AK52" i="22" s="1"/>
  <c r="AM52" i="22" s="1"/>
  <c r="AK24" i="22"/>
  <c r="L17" i="23" s="1"/>
  <c r="AK48" i="22"/>
  <c r="AM48" i="22" s="1"/>
  <c r="H17" i="23"/>
  <c r="H7" i="23" s="1"/>
  <c r="AK38" i="22"/>
  <c r="AM38" i="22" s="1"/>
  <c r="AK34" i="22"/>
  <c r="Q17" i="23" s="1"/>
  <c r="Q7" i="23" s="1"/>
  <c r="AI22" i="22"/>
  <c r="AK22" i="22" s="1"/>
  <c r="K17" i="23" s="1"/>
  <c r="K7" i="23" s="1"/>
  <c r="AK50" i="22"/>
  <c r="Y17" i="23" s="1"/>
  <c r="Y7" i="23" s="1"/>
  <c r="AA13" i="23"/>
  <c r="AI64" i="22"/>
  <c r="AK64" i="22" s="1"/>
  <c r="AM64" i="22" s="1"/>
  <c r="AI46" i="22"/>
  <c r="AK46" i="22" s="1"/>
  <c r="W17" i="23" s="1"/>
  <c r="R23" i="23"/>
  <c r="AM26" i="22"/>
  <c r="AM12" i="22"/>
  <c r="F23" i="23"/>
  <c r="F13" i="23"/>
  <c r="AA23" i="23"/>
  <c r="M23" i="23"/>
  <c r="AM14" i="22"/>
  <c r="G23" i="23"/>
  <c r="AM54" i="22"/>
  <c r="AM30" i="22"/>
  <c r="AM10" i="22"/>
  <c r="O23" i="23"/>
  <c r="AC17" i="23"/>
  <c r="AC23" i="23" s="1"/>
  <c r="AM44" i="22"/>
  <c r="E23" i="23"/>
  <c r="I17" i="23"/>
  <c r="I7" i="23" s="1"/>
  <c r="AM18" i="22"/>
  <c r="V13" i="23"/>
  <c r="O13" i="23"/>
  <c r="E13" i="23"/>
  <c r="C17" i="23"/>
  <c r="AM6" i="22"/>
  <c r="AM56" i="22"/>
  <c r="AB17" i="23"/>
  <c r="V23" i="23"/>
  <c r="AD23" i="23"/>
  <c r="AM60" i="22"/>
  <c r="AM8" i="22"/>
  <c r="D17" i="23"/>
  <c r="J23" i="23"/>
  <c r="AL17" i="23" l="1"/>
  <c r="AL23" i="23" s="1"/>
  <c r="AM68" i="22"/>
  <c r="M2" i="34"/>
  <c r="M24" i="23"/>
  <c r="J2" i="34"/>
  <c r="J24" i="23"/>
  <c r="F2" i="34"/>
  <c r="F24" i="23"/>
  <c r="AD2" i="34"/>
  <c r="AD24" i="23"/>
  <c r="G2" i="34"/>
  <c r="G24" i="23"/>
  <c r="O2" i="34"/>
  <c r="O24" i="23"/>
  <c r="R2" i="34"/>
  <c r="R24" i="23"/>
  <c r="AA2" i="34"/>
  <c r="AA24" i="23"/>
  <c r="E2" i="34"/>
  <c r="E24" i="23"/>
  <c r="V2" i="34"/>
  <c r="V24" i="23"/>
  <c r="AK7" i="23"/>
  <c r="AK23" i="23"/>
  <c r="AJ7" i="23"/>
  <c r="AJ23" i="23"/>
  <c r="AH7" i="23"/>
  <c r="AH23" i="23"/>
  <c r="AI7" i="23"/>
  <c r="AI23" i="23"/>
  <c r="AE23" i="23"/>
  <c r="AM62" i="22"/>
  <c r="AE13" i="23"/>
  <c r="P17" i="23"/>
  <c r="P23" i="23" s="1"/>
  <c r="Y13" i="23"/>
  <c r="Y3" i="33"/>
  <c r="H13" i="23"/>
  <c r="H3" i="33"/>
  <c r="N13" i="23"/>
  <c r="N3" i="33"/>
  <c r="AG13" i="23"/>
  <c r="AG3" i="33"/>
  <c r="K13" i="23"/>
  <c r="K3" i="33"/>
  <c r="Q13" i="23"/>
  <c r="Q3" i="33"/>
  <c r="T17" i="23"/>
  <c r="T7" i="23" s="1"/>
  <c r="X17" i="23"/>
  <c r="X7" i="23" s="1"/>
  <c r="AM28" i="22"/>
  <c r="AM24" i="22"/>
  <c r="N23" i="23"/>
  <c r="Z17" i="23"/>
  <c r="Z7" i="23" s="1"/>
  <c r="Z3" i="33" s="1"/>
  <c r="AM46" i="22"/>
  <c r="H23" i="23"/>
  <c r="AM50" i="22"/>
  <c r="Y23" i="23"/>
  <c r="K23" i="23"/>
  <c r="AM22" i="22"/>
  <c r="S17" i="23"/>
  <c r="S7" i="23" s="1"/>
  <c r="AM34" i="22"/>
  <c r="Q23" i="23"/>
  <c r="AF17" i="23"/>
  <c r="AF23" i="23" s="1"/>
  <c r="AG23" i="23"/>
  <c r="AC7" i="23"/>
  <c r="I3" i="33"/>
  <c r="I23" i="23"/>
  <c r="L23" i="23"/>
  <c r="L7" i="23"/>
  <c r="L3" i="33" s="1"/>
  <c r="W7" i="23"/>
  <c r="W3" i="33" s="1"/>
  <c r="W23" i="23"/>
  <c r="AB7" i="23"/>
  <c r="AB3" i="33" s="1"/>
  <c r="AB23" i="23"/>
  <c r="D7" i="23"/>
  <c r="D3" i="33" s="1"/>
  <c r="D23" i="23"/>
  <c r="C23" i="23"/>
  <c r="C7" i="23"/>
  <c r="C3" i="33" s="1"/>
  <c r="AL7" i="23" l="1"/>
  <c r="AL3" i="33" s="1"/>
  <c r="AK13" i="23"/>
  <c r="AK3" i="33"/>
  <c r="AJ13" i="23"/>
  <c r="AJ3" i="33"/>
  <c r="AI13" i="23"/>
  <c r="AI3" i="33"/>
  <c r="AH13" i="23"/>
  <c r="AH3" i="33"/>
  <c r="B3" i="28"/>
  <c r="C3" i="28" s="1"/>
  <c r="N2" i="34"/>
  <c r="N24" i="23"/>
  <c r="Q2" i="34"/>
  <c r="Q24" i="23"/>
  <c r="H2" i="34"/>
  <c r="H24" i="23"/>
  <c r="K2" i="34"/>
  <c r="K24" i="23"/>
  <c r="Y2" i="34"/>
  <c r="Y24" i="23"/>
  <c r="AG2" i="34"/>
  <c r="AG24" i="23"/>
  <c r="AE2" i="34"/>
  <c r="AE24" i="23"/>
  <c r="P7" i="23"/>
  <c r="P13" i="23" s="1"/>
  <c r="T23" i="23"/>
  <c r="X13" i="23"/>
  <c r="X3" i="33"/>
  <c r="T13" i="23"/>
  <c r="T3" i="33"/>
  <c r="AC13" i="23"/>
  <c r="AC3" i="33"/>
  <c r="S13" i="23"/>
  <c r="S3" i="33"/>
  <c r="X23" i="23"/>
  <c r="Z23" i="23"/>
  <c r="AF7" i="23"/>
  <c r="S23" i="23"/>
  <c r="I13" i="23"/>
  <c r="L13" i="23"/>
  <c r="Z13" i="23"/>
  <c r="AB13" i="23"/>
  <c r="C13" i="23"/>
  <c r="D13" i="23"/>
  <c r="W13" i="23"/>
  <c r="AL13" i="23" l="1"/>
  <c r="AL24" i="23" s="1"/>
  <c r="AK24" i="23"/>
  <c r="AK2" i="34"/>
  <c r="AJ24" i="23"/>
  <c r="AJ2" i="34"/>
  <c r="AI24" i="23"/>
  <c r="AI2" i="34"/>
  <c r="AH24" i="23"/>
  <c r="AH2" i="34"/>
  <c r="C9" i="28"/>
  <c r="B12" i="28" s="1"/>
  <c r="C10" i="28"/>
  <c r="F3" i="28" s="1"/>
  <c r="W2" i="34"/>
  <c r="W24" i="23"/>
  <c r="D2" i="34"/>
  <c r="D24" i="23"/>
  <c r="C2" i="34"/>
  <c r="C24" i="23"/>
  <c r="Z2" i="34"/>
  <c r="Z24" i="23"/>
  <c r="L2" i="34"/>
  <c r="L24" i="23"/>
  <c r="S2" i="34"/>
  <c r="S24" i="23"/>
  <c r="P2" i="34"/>
  <c r="P24" i="23"/>
  <c r="I2" i="34"/>
  <c r="I24" i="23"/>
  <c r="AC2" i="34"/>
  <c r="AC24" i="23"/>
  <c r="T2" i="34"/>
  <c r="T24" i="23"/>
  <c r="AB2" i="34"/>
  <c r="AB24" i="23"/>
  <c r="X2" i="34"/>
  <c r="X24" i="23"/>
  <c r="P3" i="33"/>
  <c r="D3" i="28"/>
  <c r="AF13" i="23"/>
  <c r="AF3" i="33"/>
  <c r="AL2" i="34" l="1"/>
  <c r="F7" i="28"/>
  <c r="F5" i="28"/>
  <c r="F6" i="28"/>
  <c r="F2" i="28"/>
  <c r="F4" i="28"/>
  <c r="E2" i="28"/>
  <c r="E7" i="28"/>
  <c r="E3" i="28"/>
  <c r="G3" i="28" s="1"/>
  <c r="E4" i="28"/>
  <c r="E5" i="28"/>
  <c r="E6" i="28"/>
  <c r="AF2" i="34"/>
  <c r="AF24" i="23"/>
  <c r="A2" i="23" s="1"/>
  <c r="G5" i="28" l="1"/>
  <c r="G7" i="28"/>
  <c r="G6" i="28"/>
  <c r="G4" i="28"/>
  <c r="G2" i="28"/>
  <c r="C26" i="23"/>
  <c r="C25" i="23"/>
  <c r="C14" i="23"/>
  <c r="D14" i="23" s="1"/>
  <c r="E14" i="23" s="1"/>
  <c r="F14" i="23" s="1"/>
  <c r="G14" i="23" s="1"/>
  <c r="H14" i="23" s="1"/>
  <c r="I14" i="23" s="1"/>
  <c r="J14" i="23" s="1"/>
  <c r="K14" i="23" s="1"/>
  <c r="L14" i="23" s="1"/>
  <c r="M14" i="23" s="1"/>
  <c r="N14" i="23" s="1"/>
  <c r="O14" i="23" s="1"/>
  <c r="P14" i="23" s="1"/>
  <c r="Q14" i="23" s="1"/>
  <c r="R14" i="23" s="1"/>
  <c r="S14" i="23" s="1"/>
  <c r="T14" i="23" s="1"/>
  <c r="U14" i="23" s="1"/>
  <c r="V14" i="23" s="1"/>
  <c r="W14" i="23" s="1"/>
  <c r="X14" i="23" s="1"/>
  <c r="Y14" i="23" s="1"/>
  <c r="Z14" i="23" s="1"/>
  <c r="AA14" i="23" s="1"/>
  <c r="AB14" i="23" s="1"/>
  <c r="AC14" i="23" s="1"/>
  <c r="AD14" i="23" s="1"/>
  <c r="AE14" i="23" s="1"/>
  <c r="AF14" i="23" s="1"/>
  <c r="AG14" i="23" s="1"/>
  <c r="AH14" i="23" s="1"/>
  <c r="AI14" i="23" s="1"/>
  <c r="AJ14" i="23" s="1"/>
  <c r="AK14" i="23" s="1"/>
  <c r="AL14" i="23" s="1"/>
  <c r="B13" i="28" l="1"/>
  <c r="B14" i="28" s="1"/>
  <c r="B3"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ARCADIS</author>
    <author>mdoorn</author>
    <author>Daniel Lieberman</author>
    <author>Welch, Maris</author>
    <author>Joseph Herr</author>
  </authors>
  <commentList>
    <comment ref="D19" authorId="0" shapeId="0" xr:uid="{F6189ABA-81B4-4CBE-9E37-21ACBDF8C446}">
      <text>
        <r>
          <rPr>
            <sz val="8"/>
            <color indexed="81"/>
            <rFont val="Tahoma"/>
            <family val="2"/>
          </rPr>
          <t xml:space="preserve">
EPA (1997b) Estimates of Global Greenhouse Gas Emissions from Industrial and Domestic Wastewater Treatment. United States Environmental Protection Agency, Office of Policy, Planning, and Evaluation.  EPA-600/R-97-091, Washington, DC, September, 1997.
Metcalf &amp; Eddy, Inc. (2003) Wastewater Engineering: Treatment, Disposal, Reuse. McGraw-Hill: New York. 2014. ISBN 0-07-041878-0.</t>
        </r>
      </text>
    </comment>
    <comment ref="D20" authorId="1" shapeId="0" xr:uid="{35F12264-EB44-4F11-A631-F7077861719D}">
      <text>
        <r>
          <rPr>
            <sz val="8"/>
            <color indexed="81"/>
            <rFont val="Tahoma"/>
            <family val="2"/>
          </rPr>
          <t xml:space="preserve">
Equation from Memo from M. Doorn, ARCADIS to E. Scheehle, EPA, July 2, 2001.</t>
        </r>
      </text>
    </comment>
    <comment ref="D21" authorId="2" shapeId="0" xr:uid="{9239B896-6042-413F-8FFC-1733B94080C4}">
      <text>
        <r>
          <rPr>
            <sz val="8"/>
            <color indexed="81"/>
            <rFont val="Tahoma"/>
            <family val="2"/>
          </rPr>
          <t xml:space="preserve">
IPCC, 2000, Good Practice Guidance for Emissions from Wastewater Handling</t>
        </r>
      </text>
    </comment>
    <comment ref="D37" authorId="3" shapeId="0" xr:uid="{28471441-1447-40E2-A1A3-E2DB14064DBA}">
      <text>
        <r>
          <rPr>
            <b/>
            <sz val="9"/>
            <color indexed="81"/>
            <rFont val="Tahoma"/>
            <family val="2"/>
          </rPr>
          <t>Welch, Maris:</t>
        </r>
        <r>
          <rPr>
            <sz val="9"/>
            <color indexed="81"/>
            <rFont val="Tahoma"/>
            <family val="2"/>
          </rPr>
          <t xml:space="preserve">
Table 7-26, Inventory of U.S. Greenhouse Gas Emissions and Sinks (U.S. EPA 2023)</t>
        </r>
      </text>
    </comment>
    <comment ref="D44" authorId="4" shapeId="0" xr:uid="{B0578D76-0054-479E-A443-C3E5C872D387}">
      <text>
        <r>
          <rPr>
            <sz val="8"/>
            <color indexed="81"/>
            <rFont val="Tahoma"/>
            <family val="2"/>
          </rPr>
          <t>EPA (2002), Development Document for the Proposed Effluent Limitations Guidelines and Standards for the Meat and Poultry Products Industry Point Source Category (40 DFR Part 432). 
ARCADIS, 2004. Memo from M.Doorn ARCADIS to D. Pape, ICF and E. Scheehle, EPA, "Response to ERG Review and New US M&amp;P estimates," dd. 16 august, 2004.
Table 7-21, Inventory of U.S. Greenhouse Gas Emissions and Sinks (U.S. EPA 2023)</t>
        </r>
      </text>
    </comment>
    <comment ref="D50" authorId="4" shapeId="0" xr:uid="{E24BE564-C46C-42D1-97B7-BC6281559DD3}">
      <text>
        <r>
          <rPr>
            <sz val="8"/>
            <color indexed="81"/>
            <rFont val="Tahoma"/>
            <family val="2"/>
          </rPr>
          <t>EPA (2002), Development Document for the Proposed Effluent Limitations Guidelines and Standards for the Meat and Poultry Products Industry Point Source Category (40 DFR Part 432). 
ARCADIS, 2004. Memo from M.Doorn ARCADIS to D. Pape, ICF and E. Scheehle, EPA, "Response to ERG Review and New US M&amp;P estimates," dd. 16 august, 2004.
Table 7-21, Inventory of U.S. Greenhouse Gas Emissions and Sinks (U.S. EPA 2023)</t>
        </r>
      </text>
    </comment>
    <comment ref="D57" authorId="3" shapeId="0" xr:uid="{AE04EA0C-000B-452E-AC01-1C4D19EF4201}">
      <text>
        <r>
          <rPr>
            <b/>
            <sz val="9"/>
            <color indexed="81"/>
            <rFont val="Tahoma"/>
            <family val="2"/>
          </rPr>
          <t>Welch, Maris:</t>
        </r>
        <r>
          <rPr>
            <sz val="9"/>
            <color indexed="81"/>
            <rFont val="Tahoma"/>
            <family val="2"/>
          </rPr>
          <t xml:space="preserve">
Table 7-25, Inventory of U.S. Greenhouse Gas Emissions and Sinks (U.S. EPA 2023)</t>
        </r>
      </text>
    </comment>
    <comment ref="D58" authorId="3" shapeId="0" xr:uid="{5B7D56CF-F5A6-43E8-8E49-15CD3A216637}">
      <text>
        <r>
          <rPr>
            <b/>
            <sz val="9"/>
            <color indexed="81"/>
            <rFont val="Tahoma"/>
            <family val="2"/>
          </rPr>
          <t>Welch, Maris:</t>
        </r>
        <r>
          <rPr>
            <sz val="9"/>
            <color indexed="81"/>
            <rFont val="Tahoma"/>
            <family val="2"/>
          </rPr>
          <t xml:space="preserve">
Table 7-21, Inventory of U.S. Greenhouse Gas Emissions and Sinks (U.S. EPA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Joseph Herr</author>
  </authors>
  <commentList>
    <comment ref="AS4" authorId="0" shapeId="0" xr:uid="{00000000-0006-0000-0300-000001000000}">
      <text>
        <r>
          <rPr>
            <sz val="8"/>
            <color indexed="81"/>
            <rFont val="Tahoma"/>
            <family val="2"/>
          </rPr>
          <t>Sources:  EPA (2023)
Protein availability from: Table 7-34 https://www.epa.gov/system/files/documents/2023-04/US-GHG-Inventory-2023-Main-Text.pdf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Bobby Renz</author>
    <author>ICFI</author>
    <author>O'Malley, Katie</author>
  </authors>
  <commentList>
    <comment ref="L4" authorId="0" shapeId="0" xr:uid="{00000000-0006-0000-0B00-000001000000}">
      <text>
        <r>
          <rPr>
            <b/>
            <sz val="8"/>
            <color indexed="81"/>
            <rFont val="Tahoma"/>
            <family val="2"/>
          </rPr>
          <t>Bobby Renz:</t>
        </r>
        <r>
          <rPr>
            <sz val="8"/>
            <color indexed="81"/>
            <rFont val="Tahoma"/>
            <family val="2"/>
          </rPr>
          <t xml:space="preserve">
www.census.gov, American Factfinder, 2000-2008 population, 2008 dataset</t>
        </r>
      </text>
    </comment>
    <comment ref="M4" authorId="0" shapeId="0" xr:uid="{00000000-0006-0000-0B00-000002000000}">
      <text>
        <r>
          <rPr>
            <b/>
            <sz val="8"/>
            <color indexed="81"/>
            <rFont val="Tahoma"/>
            <family val="2"/>
          </rPr>
          <t>Bobby Renz:</t>
        </r>
        <r>
          <rPr>
            <sz val="8"/>
            <color indexed="81"/>
            <rFont val="Tahoma"/>
            <family val="2"/>
          </rPr>
          <t xml:space="preserve">
www.census.gov, American Factfinder, 2000-2008 population, 2008 dataset</t>
        </r>
      </text>
    </comment>
    <comment ref="N4" authorId="0" shapeId="0" xr:uid="{00000000-0006-0000-0B00-000003000000}">
      <text>
        <r>
          <rPr>
            <b/>
            <sz val="8"/>
            <color indexed="81"/>
            <rFont val="Tahoma"/>
            <family val="2"/>
          </rPr>
          <t>Bobby Renz:</t>
        </r>
        <r>
          <rPr>
            <sz val="8"/>
            <color indexed="81"/>
            <rFont val="Tahoma"/>
            <family val="2"/>
          </rPr>
          <t xml:space="preserve">
www.census.gov, American Factfinder, 2000-2008 population, 2008 dataset</t>
        </r>
      </text>
    </comment>
    <comment ref="O4" authorId="0" shapeId="0" xr:uid="{00000000-0006-0000-0B00-000004000000}">
      <text>
        <r>
          <rPr>
            <b/>
            <sz val="8"/>
            <color indexed="81"/>
            <rFont val="Tahoma"/>
            <family val="2"/>
          </rPr>
          <t>Bobby Renz:</t>
        </r>
        <r>
          <rPr>
            <sz val="8"/>
            <color indexed="81"/>
            <rFont val="Tahoma"/>
            <family val="2"/>
          </rPr>
          <t xml:space="preserve">
www.census.gov, American Factfinder, 2000-2008 population, 2008 dataset</t>
        </r>
      </text>
    </comment>
    <comment ref="P4" authorId="0" shapeId="0" xr:uid="{00000000-0006-0000-0B00-000005000000}">
      <text>
        <r>
          <rPr>
            <b/>
            <sz val="8"/>
            <color indexed="81"/>
            <rFont val="Tahoma"/>
            <family val="2"/>
          </rPr>
          <t>Bobby Renz:</t>
        </r>
        <r>
          <rPr>
            <sz val="8"/>
            <color indexed="81"/>
            <rFont val="Tahoma"/>
            <family val="2"/>
          </rPr>
          <t xml:space="preserve">
www.census.gov, American Factfinder, 2000-2008 population, 2008 dataset</t>
        </r>
      </text>
    </comment>
    <comment ref="Q4" authorId="0" shapeId="0" xr:uid="{00000000-0006-0000-0B00-000006000000}">
      <text>
        <r>
          <rPr>
            <b/>
            <sz val="8"/>
            <color indexed="81"/>
            <rFont val="Tahoma"/>
            <family val="2"/>
          </rPr>
          <t>Bobby Renz:</t>
        </r>
        <r>
          <rPr>
            <sz val="8"/>
            <color indexed="81"/>
            <rFont val="Tahoma"/>
            <family val="2"/>
          </rPr>
          <t xml:space="preserve">
www.census.gov, American Factfinder, 2000-2008 population, 2008 dataset</t>
        </r>
      </text>
    </comment>
    <comment ref="R4" authorId="0" shapeId="0" xr:uid="{00000000-0006-0000-0B00-000007000000}">
      <text>
        <r>
          <rPr>
            <b/>
            <sz val="8"/>
            <color indexed="81"/>
            <rFont val="Tahoma"/>
            <family val="2"/>
          </rPr>
          <t>Bobby Renz:</t>
        </r>
        <r>
          <rPr>
            <sz val="8"/>
            <color indexed="81"/>
            <rFont val="Tahoma"/>
            <family val="2"/>
          </rPr>
          <t xml:space="preserve">
www.census.gov, American Factfinder, 2000-2008 population, 2008 dataset</t>
        </r>
      </text>
    </comment>
    <comment ref="S4" authorId="0" shapeId="0" xr:uid="{00000000-0006-0000-0B00-000008000000}">
      <text>
        <r>
          <rPr>
            <b/>
            <sz val="8"/>
            <color indexed="81"/>
            <rFont val="Tahoma"/>
            <family val="2"/>
          </rPr>
          <t>Bobby Renz:</t>
        </r>
        <r>
          <rPr>
            <sz val="8"/>
            <color indexed="81"/>
            <rFont val="Tahoma"/>
            <family val="2"/>
          </rPr>
          <t xml:space="preserve">
www.census.gov, American Factfinder, 2000-2008 population, 2008 dataset</t>
        </r>
      </text>
    </comment>
    <comment ref="T4" authorId="0" shapeId="0" xr:uid="{00000000-0006-0000-0B00-000009000000}">
      <text>
        <r>
          <rPr>
            <b/>
            <sz val="8"/>
            <color indexed="81"/>
            <rFont val="Tahoma"/>
            <family val="2"/>
          </rPr>
          <t>Cassie Snow:</t>
        </r>
        <r>
          <rPr>
            <sz val="8"/>
            <color indexed="81"/>
            <rFont val="Tahoma"/>
            <family val="2"/>
          </rPr>
          <t xml:space="preserve">
www.census.gov, American Factfinder, 2000-2009 population, 2008 dataset</t>
        </r>
      </text>
    </comment>
    <comment ref="U4" authorId="1" shapeId="0" xr:uid="{00000000-0006-0000-0B00-00000A000000}">
      <text>
        <r>
          <rPr>
            <b/>
            <sz val="9"/>
            <color indexed="81"/>
            <rFont val="Tahoma"/>
            <family val="2"/>
          </rPr>
          <t>ICFI:</t>
        </r>
        <r>
          <rPr>
            <sz val="9"/>
            <color indexed="81"/>
            <rFont val="Tahoma"/>
            <family val="2"/>
          </rPr>
          <t xml:space="preserve">
www.census.gov, American Factfinder, Population estimates, 2009 dataset</t>
        </r>
      </text>
    </comment>
    <comment ref="AF4" authorId="2" shapeId="0" xr:uid="{223769A2-51C0-4AD0-A2C3-F06AB3920F83}">
      <text>
        <r>
          <rPr>
            <b/>
            <sz val="9"/>
            <color indexed="81"/>
            <rFont val="Tahoma"/>
            <family val="2"/>
          </rPr>
          <t>Carroll, Mollie:</t>
        </r>
        <r>
          <rPr>
            <sz val="9"/>
            <color indexed="81"/>
            <rFont val="Tahoma"/>
            <family val="2"/>
          </rPr>
          <t xml:space="preserve">
2010-2020 data From U.S. Census Bureau, Population Division (RETRIEVED September 2022)</t>
        </r>
      </text>
    </comment>
  </commentList>
</comments>
</file>

<file path=xl/sharedStrings.xml><?xml version="1.0" encoding="utf-8"?>
<sst xmlns="http://schemas.openxmlformats.org/spreadsheetml/2006/main" count="3980" uniqueCount="330">
  <si>
    <t>1.  Select those sources you wish to analyze.</t>
  </si>
  <si>
    <r>
      <t>CH</t>
    </r>
    <r>
      <rPr>
        <i/>
        <u/>
        <vertAlign val="subscript"/>
        <sz val="8"/>
        <color indexed="18"/>
        <rFont val="Arial"/>
        <family val="2"/>
      </rPr>
      <t>4</t>
    </r>
    <r>
      <rPr>
        <i/>
        <u/>
        <sz val="8"/>
        <color indexed="18"/>
        <rFont val="Arial"/>
        <family val="2"/>
      </rPr>
      <t xml:space="preserve"> from industrial wastewater</t>
    </r>
  </si>
  <si>
    <t>- Fruits and Vegetables</t>
  </si>
  <si>
    <t>- Red Meat</t>
  </si>
  <si>
    <t>- Poultry</t>
  </si>
  <si>
    <t>- Pulp and Paper</t>
  </si>
  <si>
    <t>2. Choose a State</t>
  </si>
  <si>
    <t>This is very important - it selects the correct default variables for your state.</t>
  </si>
  <si>
    <t>3. Fill in the variables used throughout this module:</t>
  </si>
  <si>
    <r>
      <t>Municipal Wastewater CH</t>
    </r>
    <r>
      <rPr>
        <b/>
        <u/>
        <vertAlign val="subscript"/>
        <sz val="8"/>
        <color indexed="18"/>
        <rFont val="Arial"/>
        <family val="2"/>
      </rPr>
      <t>4</t>
    </r>
    <r>
      <rPr>
        <b/>
        <u/>
        <sz val="8"/>
        <color indexed="18"/>
        <rFont val="Arial"/>
        <family val="2"/>
      </rPr>
      <t xml:space="preserve"> Emissions</t>
    </r>
  </si>
  <si>
    <t>Default Values</t>
  </si>
  <si>
    <t>Values Used</t>
  </si>
  <si>
    <r>
      <t>Use the Default? (C</t>
    </r>
    <r>
      <rPr>
        <b/>
        <i/>
        <u/>
        <sz val="8"/>
        <color indexed="18"/>
        <rFont val="Arial"/>
        <family val="2"/>
      </rPr>
      <t>heck for Yes)</t>
    </r>
  </si>
  <si>
    <r>
      <t>Per capita 5-day Biochemical Oxygen Demand (BOD</t>
    </r>
    <r>
      <rPr>
        <vertAlign val="subscript"/>
        <sz val="8"/>
        <rFont val="Arial"/>
        <family val="2"/>
      </rPr>
      <t>5</t>
    </r>
    <r>
      <rPr>
        <sz val="8"/>
        <rFont val="Arial"/>
        <family val="2"/>
      </rPr>
      <t>) (kg/day)</t>
    </r>
  </si>
  <si>
    <r>
      <t>Fraction of wastewater BOD</t>
    </r>
    <r>
      <rPr>
        <vertAlign val="subscript"/>
        <sz val="8"/>
        <rFont val="Arial"/>
        <family val="2"/>
      </rPr>
      <t>5</t>
    </r>
    <r>
      <rPr>
        <sz val="8"/>
        <rFont val="Arial"/>
        <family val="2"/>
      </rPr>
      <t xml:space="preserve"> anaerobically digested</t>
    </r>
  </si>
  <si>
    <r>
      <t>Emission Factor (Gg CH</t>
    </r>
    <r>
      <rPr>
        <vertAlign val="subscript"/>
        <sz val="8"/>
        <rFont val="Arial"/>
        <family val="2"/>
      </rPr>
      <t>4</t>
    </r>
    <r>
      <rPr>
        <sz val="8"/>
        <rFont val="Arial"/>
        <family val="2"/>
      </rPr>
      <t>/Gg BOD</t>
    </r>
    <r>
      <rPr>
        <vertAlign val="subscript"/>
        <sz val="8"/>
        <rFont val="Arial"/>
        <family val="2"/>
      </rPr>
      <t>5</t>
    </r>
    <r>
      <rPr>
        <sz val="8"/>
        <rFont val="Arial"/>
        <family val="2"/>
      </rPr>
      <t>)</t>
    </r>
  </si>
  <si>
    <r>
      <t>Municipal Wastewater Direct N</t>
    </r>
    <r>
      <rPr>
        <b/>
        <u/>
        <vertAlign val="subscript"/>
        <sz val="8"/>
        <color indexed="18"/>
        <rFont val="Arial"/>
        <family val="2"/>
      </rPr>
      <t>2</t>
    </r>
    <r>
      <rPr>
        <b/>
        <u/>
        <sz val="8"/>
        <color indexed="18"/>
        <rFont val="Arial"/>
        <family val="2"/>
      </rPr>
      <t>O Emissions</t>
    </r>
  </si>
  <si>
    <t>Factor non-consumption nitrogen</t>
  </si>
  <si>
    <t>Fraction of population not on septic</t>
  </si>
  <si>
    <r>
      <t>Direct wastewater treatment plant emissions (g N</t>
    </r>
    <r>
      <rPr>
        <vertAlign val="subscript"/>
        <sz val="8"/>
        <rFont val="Arial"/>
        <family val="2"/>
      </rPr>
      <t>2</t>
    </r>
    <r>
      <rPr>
        <sz val="8"/>
        <rFont val="Arial"/>
        <family val="2"/>
      </rPr>
      <t>O/person/year)</t>
    </r>
  </si>
  <si>
    <r>
      <t>Municipal Wastewater N</t>
    </r>
    <r>
      <rPr>
        <b/>
        <u/>
        <vertAlign val="subscript"/>
        <sz val="8"/>
        <color indexed="18"/>
        <rFont val="Arial"/>
        <family val="2"/>
      </rPr>
      <t>2</t>
    </r>
    <r>
      <rPr>
        <b/>
        <u/>
        <sz val="8"/>
        <color indexed="18"/>
        <rFont val="Arial"/>
        <family val="2"/>
      </rPr>
      <t>O Emissions from Biosolids</t>
    </r>
  </si>
  <si>
    <r>
      <t>Emission Factor (kg N</t>
    </r>
    <r>
      <rPr>
        <vertAlign val="subscript"/>
        <sz val="8"/>
        <rFont val="Arial"/>
        <family val="2"/>
      </rPr>
      <t>2</t>
    </r>
    <r>
      <rPr>
        <sz val="8"/>
        <rFont val="Arial"/>
        <family val="2"/>
      </rPr>
      <t xml:space="preserve">O-N/kg sewage N-produced) </t>
    </r>
  </si>
  <si>
    <r>
      <t>Fraction of nitrogen in protein (Frac</t>
    </r>
    <r>
      <rPr>
        <vertAlign val="subscript"/>
        <sz val="8"/>
        <rFont val="Arial"/>
        <family val="2"/>
      </rPr>
      <t>NPR</t>
    </r>
    <r>
      <rPr>
        <sz val="8"/>
        <rFont val="Arial"/>
        <family val="2"/>
      </rPr>
      <t>)</t>
    </r>
  </si>
  <si>
    <r>
      <t>Industrial Wastewater CH</t>
    </r>
    <r>
      <rPr>
        <b/>
        <u/>
        <vertAlign val="subscript"/>
        <sz val="8"/>
        <color indexed="18"/>
        <rFont val="Arial"/>
        <family val="2"/>
      </rPr>
      <t>4</t>
    </r>
    <r>
      <rPr>
        <b/>
        <u/>
        <sz val="8"/>
        <color indexed="18"/>
        <rFont val="Arial"/>
        <family val="2"/>
      </rPr>
      <t xml:space="preserve"> Emissions - Fruits and Vegetables</t>
    </r>
  </si>
  <si>
    <r>
      <t>Wastewater Outflow (m</t>
    </r>
    <r>
      <rPr>
        <vertAlign val="superscript"/>
        <sz val="8"/>
        <rFont val="Arial"/>
        <family val="2"/>
      </rPr>
      <t>3</t>
    </r>
    <r>
      <rPr>
        <sz val="8"/>
        <rFont val="Arial"/>
        <family val="2"/>
      </rPr>
      <t>/metric ton)</t>
    </r>
  </si>
  <si>
    <t>WW Organic Content - Chemical Oxygen Demand (COD) (g/l)</t>
  </si>
  <si>
    <t>Fraction of COD anaerobically degraded</t>
  </si>
  <si>
    <r>
      <t>Emission factor (g CH</t>
    </r>
    <r>
      <rPr>
        <vertAlign val="subscript"/>
        <sz val="8"/>
        <rFont val="Arial"/>
        <family val="2"/>
      </rPr>
      <t>4</t>
    </r>
    <r>
      <rPr>
        <sz val="8"/>
        <rFont val="Arial"/>
        <family val="2"/>
      </rPr>
      <t>/g COD)</t>
    </r>
  </si>
  <si>
    <r>
      <t>Industrial Wastewater CH</t>
    </r>
    <r>
      <rPr>
        <b/>
        <u/>
        <vertAlign val="subscript"/>
        <sz val="8"/>
        <color indexed="18"/>
        <rFont val="Arial"/>
        <family val="2"/>
      </rPr>
      <t>4</t>
    </r>
    <r>
      <rPr>
        <b/>
        <u/>
        <sz val="8"/>
        <color indexed="18"/>
        <rFont val="Arial"/>
        <family val="2"/>
      </rPr>
      <t xml:space="preserve"> Emissions - Red Meat</t>
    </r>
  </si>
  <si>
    <r>
      <t>Red Meat - Wastewater Outflow (m</t>
    </r>
    <r>
      <rPr>
        <vertAlign val="superscript"/>
        <sz val="8"/>
        <rFont val="Arial"/>
        <family val="2"/>
      </rPr>
      <t>3</t>
    </r>
    <r>
      <rPr>
        <sz val="8"/>
        <rFont val="Arial"/>
        <family val="2"/>
      </rPr>
      <t>/metric ton)</t>
    </r>
  </si>
  <si>
    <r>
      <t>Industrial Wastewater CH</t>
    </r>
    <r>
      <rPr>
        <b/>
        <u/>
        <vertAlign val="subscript"/>
        <sz val="8"/>
        <color indexed="18"/>
        <rFont val="Arial"/>
        <family val="2"/>
      </rPr>
      <t>4</t>
    </r>
    <r>
      <rPr>
        <b/>
        <u/>
        <sz val="8"/>
        <color indexed="18"/>
        <rFont val="Arial"/>
        <family val="2"/>
      </rPr>
      <t xml:space="preserve"> Emissions - Poultry</t>
    </r>
  </si>
  <si>
    <r>
      <t>Poultry - Wastewater Outflow (m</t>
    </r>
    <r>
      <rPr>
        <vertAlign val="superscript"/>
        <sz val="8"/>
        <rFont val="Arial"/>
        <family val="2"/>
      </rPr>
      <t>3</t>
    </r>
    <r>
      <rPr>
        <sz val="8"/>
        <rFont val="Arial"/>
        <family val="2"/>
      </rPr>
      <t>/metric ton)</t>
    </r>
  </si>
  <si>
    <r>
      <t>Industrial Wastewater CH</t>
    </r>
    <r>
      <rPr>
        <b/>
        <u/>
        <vertAlign val="subscript"/>
        <sz val="8"/>
        <color indexed="18"/>
        <rFont val="Arial"/>
        <family val="2"/>
      </rPr>
      <t>4</t>
    </r>
    <r>
      <rPr>
        <b/>
        <u/>
        <sz val="8"/>
        <color indexed="18"/>
        <rFont val="Arial"/>
        <family val="2"/>
      </rPr>
      <t xml:space="preserve"> Emissions - Pulp and Paper</t>
    </r>
  </si>
  <si>
    <t>WW Organic Content - Biochemical Oxygen Demand (BOD) (g/l)</t>
  </si>
  <si>
    <t>Fraction of BOD anaerobically degraded</t>
  </si>
  <si>
    <r>
      <t>Emission factor (g CH</t>
    </r>
    <r>
      <rPr>
        <vertAlign val="subscript"/>
        <sz val="8"/>
        <rFont val="Arial"/>
        <family val="2"/>
      </rPr>
      <t>4</t>
    </r>
    <r>
      <rPr>
        <sz val="8"/>
        <rFont val="Arial"/>
        <family val="2"/>
      </rPr>
      <t>/g BOD)</t>
    </r>
  </si>
  <si>
    <t>4.-10.  Complete sector worksheets . . .</t>
  </si>
  <si>
    <t>11. View Summary Data</t>
  </si>
  <si>
    <t>12. Export the results for use in the Synthesis Tool.</t>
  </si>
  <si>
    <t>You should not find it necessary to change many of these constants, as they do not vary by state.</t>
  </si>
  <si>
    <t>Constants and/or Factors</t>
  </si>
  <si>
    <t>Default</t>
  </si>
  <si>
    <r>
      <t>N</t>
    </r>
    <r>
      <rPr>
        <vertAlign val="subscript"/>
        <sz val="8"/>
        <rFont val="Arial"/>
        <family val="2"/>
      </rPr>
      <t>2</t>
    </r>
    <r>
      <rPr>
        <sz val="8"/>
        <rFont val="Arial"/>
        <family val="2"/>
      </rPr>
      <t>O/N</t>
    </r>
    <r>
      <rPr>
        <vertAlign val="subscript"/>
        <sz val="8"/>
        <rFont val="Arial"/>
        <family val="2"/>
      </rPr>
      <t>2</t>
    </r>
    <r>
      <rPr>
        <sz val="8"/>
        <rFont val="Arial"/>
        <family val="2"/>
      </rPr>
      <t xml:space="preserve"> (molecular weight ratio)</t>
    </r>
  </si>
  <si>
    <r>
      <t>C/CO</t>
    </r>
    <r>
      <rPr>
        <vertAlign val="subscript"/>
        <sz val="8"/>
        <rFont val="Arial"/>
        <family val="2"/>
      </rPr>
      <t>2</t>
    </r>
    <r>
      <rPr>
        <sz val="8"/>
        <rFont val="Arial"/>
        <family val="2"/>
      </rPr>
      <t xml:space="preserve"> (molecular weight ratio)</t>
    </r>
  </si>
  <si>
    <t>Methane GWP*</t>
  </si>
  <si>
    <t>Nitrous Oxide GWP*</t>
  </si>
  <si>
    <t>Number of Days per Year</t>
  </si>
  <si>
    <t>Million Metric Tons / Metric Tons (MMT/MT)</t>
  </si>
  <si>
    <t>Metric Tons / Kg</t>
  </si>
  <si>
    <r>
      <t>Liters / Cubic Meter (l/m</t>
    </r>
    <r>
      <rPr>
        <vertAlign val="superscript"/>
        <sz val="8"/>
        <rFont val="Arial"/>
        <family val="2"/>
      </rPr>
      <t>3</t>
    </r>
    <r>
      <rPr>
        <sz val="8"/>
        <rFont val="Arial"/>
        <family val="2"/>
      </rPr>
      <t>)</t>
    </r>
  </si>
  <si>
    <t>Grams / Teragram (g/Tg)</t>
  </si>
  <si>
    <r>
      <t>Emissions (MMTCO</t>
    </r>
    <r>
      <rPr>
        <b/>
        <vertAlign val="subscript"/>
        <sz val="8"/>
        <rFont val="Comic Sans MS"/>
        <family val="4"/>
      </rPr>
      <t>2</t>
    </r>
    <r>
      <rPr>
        <b/>
        <sz val="8"/>
        <rFont val="Comic Sans MS"/>
        <family val="4"/>
      </rPr>
      <t>E)</t>
    </r>
  </si>
  <si>
    <r>
      <t>Municipal CH</t>
    </r>
    <r>
      <rPr>
        <vertAlign val="subscript"/>
        <sz val="8"/>
        <rFont val="Comic Sans MS"/>
        <family val="4"/>
      </rPr>
      <t>4</t>
    </r>
  </si>
  <si>
    <t>Waste - Wastewater - Municipal - CH4</t>
  </si>
  <si>
    <r>
      <t>Municipal N</t>
    </r>
    <r>
      <rPr>
        <vertAlign val="subscript"/>
        <sz val="8"/>
        <rFont val="Comic Sans MS"/>
        <family val="4"/>
      </rPr>
      <t>2</t>
    </r>
    <r>
      <rPr>
        <sz val="8"/>
        <rFont val="Comic Sans MS"/>
        <family val="4"/>
      </rPr>
      <t>O</t>
    </r>
  </si>
  <si>
    <t>Waste - Wastewater - Municipal - N2O4</t>
  </si>
  <si>
    <r>
      <t>Industrial CH</t>
    </r>
    <r>
      <rPr>
        <vertAlign val="subscript"/>
        <sz val="8"/>
        <rFont val="Comic Sans MS"/>
        <family val="4"/>
      </rPr>
      <t>4</t>
    </r>
  </si>
  <si>
    <t>Waste - Wastewater - Industrial - CH4</t>
  </si>
  <si>
    <t>Fruits &amp; Vegetables</t>
  </si>
  <si>
    <t>Waste - Wastewater - Industrial CH4 - Fruits &amp; Vegetables</t>
  </si>
  <si>
    <t>Red Meat</t>
  </si>
  <si>
    <t>Waste - Wastewater - Industrial CH4 - Red Meat</t>
  </si>
  <si>
    <t>Poultry</t>
  </si>
  <si>
    <t>Waste - Wastewater - Industrial CH4 - Poultry</t>
  </si>
  <si>
    <t>Pulp &amp; Paper</t>
  </si>
  <si>
    <t>Waste - Wastewater - Industrial CH4 - Pulp &amp; Paper</t>
  </si>
  <si>
    <t>Total Emissions</t>
  </si>
  <si>
    <t>Waste - Wastewater - Total Emissions</t>
  </si>
  <si>
    <t>State Population</t>
  </si>
  <si>
    <r>
      <t>Per Capita BOD</t>
    </r>
    <r>
      <rPr>
        <b/>
        <vertAlign val="subscript"/>
        <sz val="7"/>
        <rFont val="Comic Sans MS"/>
        <family val="4"/>
      </rPr>
      <t>5</t>
    </r>
  </si>
  <si>
    <t>Days per Year</t>
  </si>
  <si>
    <t>Unit Conversion</t>
  </si>
  <si>
    <t>Emission Factor</t>
  </si>
  <si>
    <r>
      <t>WW BOD</t>
    </r>
    <r>
      <rPr>
        <b/>
        <vertAlign val="subscript"/>
        <sz val="7"/>
        <rFont val="Comic Sans MS"/>
        <family val="4"/>
      </rPr>
      <t>5</t>
    </r>
    <r>
      <rPr>
        <b/>
        <sz val="7"/>
        <rFont val="Comic Sans MS"/>
        <family val="4"/>
      </rPr>
      <t xml:space="preserve"> anaerobically digested</t>
    </r>
  </si>
  <si>
    <t xml:space="preserve">Emissions </t>
  </si>
  <si>
    <r>
      <t>CH</t>
    </r>
    <r>
      <rPr>
        <b/>
        <vertAlign val="subscript"/>
        <sz val="7"/>
        <rFont val="Comic Sans MS"/>
        <family val="4"/>
      </rPr>
      <t xml:space="preserve">4 </t>
    </r>
    <r>
      <rPr>
        <b/>
        <sz val="7"/>
        <rFont val="Comic Sans MS"/>
        <family val="4"/>
      </rPr>
      <t>GWP</t>
    </r>
  </si>
  <si>
    <r>
      <t>C/CO</t>
    </r>
    <r>
      <rPr>
        <b/>
        <vertAlign val="subscript"/>
        <sz val="7"/>
        <rFont val="Comic Sans MS"/>
        <family val="4"/>
      </rPr>
      <t>2</t>
    </r>
  </si>
  <si>
    <t xml:space="preserve">  (kg/day)</t>
  </si>
  <si>
    <t>(days)</t>
  </si>
  <si>
    <t>(metric tons/kg)</t>
  </si>
  <si>
    <r>
      <t>(Gg CH</t>
    </r>
    <r>
      <rPr>
        <vertAlign val="subscript"/>
        <sz val="7"/>
        <rFont val="Comic Sans MS"/>
        <family val="4"/>
      </rPr>
      <t>4</t>
    </r>
    <r>
      <rPr>
        <sz val="7"/>
        <rFont val="Comic Sans MS"/>
        <family val="4"/>
      </rPr>
      <t>/Gg BOD</t>
    </r>
    <r>
      <rPr>
        <vertAlign val="subscript"/>
        <sz val="7"/>
        <rFont val="Comic Sans MS"/>
        <family val="4"/>
      </rPr>
      <t>5</t>
    </r>
    <r>
      <rPr>
        <sz val="7"/>
        <rFont val="Comic Sans MS"/>
        <family val="4"/>
      </rPr>
      <t>)</t>
    </r>
  </si>
  <si>
    <t>(percent)</t>
  </si>
  <si>
    <r>
      <t>(metric tons CH</t>
    </r>
    <r>
      <rPr>
        <vertAlign val="subscript"/>
        <sz val="7"/>
        <rFont val="Comic Sans MS"/>
        <family val="4"/>
      </rPr>
      <t>4</t>
    </r>
    <r>
      <rPr>
        <sz val="7"/>
        <rFont val="Comic Sans MS"/>
        <family val="4"/>
      </rPr>
      <t>)</t>
    </r>
  </si>
  <si>
    <r>
      <t>(CO</t>
    </r>
    <r>
      <rPr>
        <vertAlign val="subscript"/>
        <sz val="7"/>
        <rFont val="Comic Sans MS"/>
        <family val="4"/>
      </rPr>
      <t>2</t>
    </r>
    <r>
      <rPr>
        <sz val="7"/>
        <rFont val="Comic Sans MS"/>
        <family val="4"/>
      </rPr>
      <t xml:space="preserve"> Eq.)</t>
    </r>
  </si>
  <si>
    <t>(MMT/MT)</t>
  </si>
  <si>
    <t>(MMTCE)</t>
  </si>
  <si>
    <r>
      <t>(MMTCO</t>
    </r>
    <r>
      <rPr>
        <vertAlign val="subscript"/>
        <sz val="7"/>
        <rFont val="Comic Sans MS"/>
        <family val="4"/>
      </rPr>
      <t>2</t>
    </r>
    <r>
      <rPr>
        <sz val="7"/>
        <rFont val="Comic Sans MS"/>
        <family val="4"/>
      </rPr>
      <t>E)</t>
    </r>
  </si>
  <si>
    <t>x</t>
  </si>
  <si>
    <t>=</t>
  </si>
  <si>
    <t>Fraction of Population not on Septic</t>
  </si>
  <si>
    <t>Direct N2O Emissions from Wastewater Treatment</t>
  </si>
  <si>
    <t>Emissions</t>
  </si>
  <si>
    <r>
      <t>N</t>
    </r>
    <r>
      <rPr>
        <b/>
        <vertAlign val="subscript"/>
        <sz val="7"/>
        <rFont val="Comic Sans MS"/>
        <family val="4"/>
      </rPr>
      <t>2</t>
    </r>
    <r>
      <rPr>
        <b/>
        <sz val="7"/>
        <rFont val="Comic Sans MS"/>
        <family val="4"/>
      </rPr>
      <t>O GWP</t>
    </r>
  </si>
  <si>
    <r>
      <t xml:space="preserve"> (g N</t>
    </r>
    <r>
      <rPr>
        <vertAlign val="subscript"/>
        <sz val="7"/>
        <rFont val="Comic Sans MS"/>
        <family val="4"/>
      </rPr>
      <t>2</t>
    </r>
    <r>
      <rPr>
        <sz val="7"/>
        <rFont val="Comic Sans MS"/>
        <family val="4"/>
      </rPr>
      <t>O/person/year)</t>
    </r>
  </si>
  <si>
    <t>(g/metric ton)</t>
  </si>
  <si>
    <r>
      <t>(Metric Tons N</t>
    </r>
    <r>
      <rPr>
        <vertAlign val="subscript"/>
        <sz val="7"/>
        <rFont val="Comic Sans MS"/>
        <family val="4"/>
      </rPr>
      <t>2</t>
    </r>
    <r>
      <rPr>
        <sz val="7"/>
        <rFont val="Comic Sans MS"/>
        <family val="4"/>
      </rPr>
      <t>O)</t>
    </r>
  </si>
  <si>
    <t>Protein</t>
  </si>
  <si>
    <r>
      <t>Frac</t>
    </r>
    <r>
      <rPr>
        <b/>
        <vertAlign val="subscript"/>
        <sz val="7"/>
        <rFont val="Comic Sans MS"/>
        <family val="4"/>
      </rPr>
      <t xml:space="preserve">NPR </t>
    </r>
  </si>
  <si>
    <t>Fraction Non-Consumption N</t>
  </si>
  <si>
    <t>N in Domestic Wastewater</t>
  </si>
  <si>
    <t>Direct N Emissions from Domestic Wastewater</t>
  </si>
  <si>
    <t>Biosolids Available N</t>
  </si>
  <si>
    <t>Percentage of Biosolids Used as Fertilizer</t>
  </si>
  <si>
    <r>
      <t>N</t>
    </r>
    <r>
      <rPr>
        <b/>
        <vertAlign val="subscript"/>
        <sz val="7"/>
        <rFont val="Comic Sans MS"/>
        <family val="4"/>
      </rPr>
      <t>2</t>
    </r>
    <r>
      <rPr>
        <b/>
        <sz val="7"/>
        <rFont val="Comic Sans MS"/>
        <family val="4"/>
      </rPr>
      <t>O/N</t>
    </r>
    <r>
      <rPr>
        <b/>
        <vertAlign val="subscript"/>
        <sz val="7"/>
        <rFont val="Comic Sans MS"/>
        <family val="4"/>
      </rPr>
      <t>2</t>
    </r>
  </si>
  <si>
    <t>Emissions from Biosolids</t>
  </si>
  <si>
    <t>Direct Emissions</t>
  </si>
  <si>
    <t>(kg/ person/ year)</t>
  </si>
  <si>
    <t xml:space="preserve">(kg N/kg protein) </t>
  </si>
  <si>
    <t>(metric tons)</t>
  </si>
  <si>
    <r>
      <t>(kg N</t>
    </r>
    <r>
      <rPr>
        <vertAlign val="subscript"/>
        <sz val="7"/>
        <rFont val="Comic Sans MS"/>
        <family val="4"/>
      </rPr>
      <t>2</t>
    </r>
    <r>
      <rPr>
        <sz val="7"/>
        <rFont val="Comic Sans MS"/>
        <family val="4"/>
      </rPr>
      <t xml:space="preserve">O-N/ kg sewage N-produced) </t>
    </r>
  </si>
  <si>
    <r>
      <t>(metric tons N</t>
    </r>
    <r>
      <rPr>
        <vertAlign val="subscript"/>
        <sz val="7"/>
        <rFont val="Comic Sans MS"/>
        <family val="4"/>
      </rPr>
      <t>2</t>
    </r>
    <r>
      <rPr>
        <sz val="7"/>
        <rFont val="Comic Sans MS"/>
        <family val="4"/>
      </rPr>
      <t>O)</t>
    </r>
  </si>
  <si>
    <t>(Kg/person/year)</t>
  </si>
  <si>
    <t>-</t>
  </si>
  <si>
    <t>x (1 -</t>
  </si>
  <si>
    <t>) x</t>
  </si>
  <si>
    <t>+</t>
  </si>
  <si>
    <t>Production Processed</t>
  </si>
  <si>
    <t xml:space="preserve">WW Outflow </t>
  </si>
  <si>
    <t xml:space="preserve">COD </t>
  </si>
  <si>
    <t>COD Degraded</t>
  </si>
  <si>
    <r>
      <t>CH</t>
    </r>
    <r>
      <rPr>
        <b/>
        <vertAlign val="subscript"/>
        <sz val="7"/>
        <rFont val="Comic Sans MS"/>
        <family val="4"/>
      </rPr>
      <t>4</t>
    </r>
    <r>
      <rPr>
        <b/>
        <sz val="7"/>
        <rFont val="Comic Sans MS"/>
        <family val="4"/>
      </rPr>
      <t xml:space="preserve"> GWP</t>
    </r>
  </si>
  <si>
    <r>
      <t>(m</t>
    </r>
    <r>
      <rPr>
        <vertAlign val="superscript"/>
        <sz val="7"/>
        <rFont val="Comic Sans MS"/>
        <family val="4"/>
      </rPr>
      <t>3</t>
    </r>
    <r>
      <rPr>
        <sz val="7"/>
        <rFont val="Comic Sans MS"/>
        <family val="4"/>
      </rPr>
      <t>/metric ton)</t>
    </r>
  </si>
  <si>
    <r>
      <t>(l/m</t>
    </r>
    <r>
      <rPr>
        <vertAlign val="superscript"/>
        <sz val="7"/>
        <rFont val="Comic Sans MS"/>
        <family val="4"/>
      </rPr>
      <t>3</t>
    </r>
    <r>
      <rPr>
        <sz val="7"/>
        <rFont val="Comic Sans MS"/>
        <family val="4"/>
      </rPr>
      <t>)</t>
    </r>
  </si>
  <si>
    <t>(g COD/l)</t>
  </si>
  <si>
    <r>
      <t>(g CH</t>
    </r>
    <r>
      <rPr>
        <vertAlign val="subscript"/>
        <sz val="7"/>
        <rFont val="Comic Sans MS"/>
        <family val="4"/>
      </rPr>
      <t>4</t>
    </r>
    <r>
      <rPr>
        <sz val="7"/>
        <rFont val="Comic Sans MS"/>
        <family val="4"/>
      </rPr>
      <t>/g COD)</t>
    </r>
  </si>
  <si>
    <r>
      <t>(g CH</t>
    </r>
    <r>
      <rPr>
        <vertAlign val="subscript"/>
        <sz val="7"/>
        <rFont val="Comic Sans MS"/>
        <family val="4"/>
      </rPr>
      <t>4</t>
    </r>
    <r>
      <rPr>
        <sz val="7"/>
        <rFont val="Comic Sans MS"/>
        <family val="4"/>
      </rPr>
      <t>)</t>
    </r>
  </si>
  <si>
    <t>(g/Tg)</t>
  </si>
  <si>
    <r>
      <t>(Tg or MMT CH</t>
    </r>
    <r>
      <rPr>
        <vertAlign val="subscript"/>
        <sz val="7"/>
        <rFont val="Comic Sans MS"/>
        <family val="4"/>
      </rPr>
      <t>4</t>
    </r>
    <r>
      <rPr>
        <sz val="7"/>
        <rFont val="Comic Sans MS"/>
        <family val="4"/>
      </rPr>
      <t>)</t>
    </r>
  </si>
  <si>
    <r>
      <t>Production Processed</t>
    </r>
    <r>
      <rPr>
        <sz val="7"/>
        <rFont val="Comic Sans MS"/>
        <family val="4"/>
      </rPr>
      <t xml:space="preserve"> 
(metric tons)</t>
    </r>
  </si>
  <si>
    <t>BOD Degraded</t>
  </si>
  <si>
    <t>TA</t>
  </si>
  <si>
    <t>Woodpulp</t>
  </si>
  <si>
    <t>Paper &amp; Paperboard</t>
  </si>
  <si>
    <t>(g BOD / l)</t>
  </si>
  <si>
    <r>
      <t>(g CH</t>
    </r>
    <r>
      <rPr>
        <vertAlign val="subscript"/>
        <sz val="7"/>
        <rFont val="Comic Sans MS"/>
        <family val="4"/>
      </rPr>
      <t>4</t>
    </r>
    <r>
      <rPr>
        <sz val="7"/>
        <rFont val="Comic Sans MS"/>
        <family val="4"/>
      </rPr>
      <t>/g BOD)</t>
    </r>
  </si>
  <si>
    <t>(</t>
  </si>
  <si>
    <r>
      <t xml:space="preserve"> )</t>
    </r>
    <r>
      <rPr>
        <sz val="8"/>
        <rFont val="Arial"/>
        <family val="2"/>
      </rPr>
      <t xml:space="preserve">   x </t>
    </r>
  </si>
  <si>
    <t>Emissions (MMTCE)</t>
  </si>
  <si>
    <r>
      <t>Municipal N</t>
    </r>
    <r>
      <rPr>
        <vertAlign val="subscript"/>
        <sz val="8"/>
        <rFont val="Comic Sans MS"/>
        <family val="4"/>
      </rPr>
      <t>2</t>
    </r>
    <r>
      <rPr>
        <sz val="8"/>
        <rFont val="Comic Sans MS"/>
        <family val="4"/>
      </rPr>
      <t xml:space="preserve">O </t>
    </r>
  </si>
  <si>
    <t>Sector</t>
  </si>
  <si>
    <t>Sum</t>
  </si>
  <si>
    <t>Not included?</t>
  </si>
  <si>
    <t>Text of missing sector</t>
  </si>
  <si>
    <t>"and"?</t>
  </si>
  <si>
    <t>Punctuation</t>
  </si>
  <si>
    <t>Text used</t>
  </si>
  <si>
    <t>Municipal methane</t>
  </si>
  <si>
    <r>
      <t>Municipal n</t>
    </r>
    <r>
      <rPr>
        <sz val="8"/>
        <rFont val="Arial"/>
        <family val="2"/>
      </rPr>
      <t>itrous oxides</t>
    </r>
  </si>
  <si>
    <t>Industrial fruits &amp; vegetables</t>
  </si>
  <si>
    <t>Industrial red meat</t>
  </si>
  <si>
    <t>Industrial poultry</t>
  </si>
  <si>
    <t>Industrial pulp &amp; paper</t>
  </si>
  <si>
    <t>Count</t>
  </si>
  <si>
    <t>Last</t>
  </si>
  <si>
    <t>Part A</t>
  </si>
  <si>
    <t>Part B</t>
  </si>
  <si>
    <t>Final</t>
  </si>
  <si>
    <t>Uncertainty Associated With These Emissions Estimates</t>
  </si>
  <si>
    <t>Excerpted from EIIP Guidance, Chapter 14.</t>
  </si>
  <si>
    <t>SELECTED STATE: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</si>
  <si>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</si>
  <si>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</si>
  <si>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</si>
  <si>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</si>
  <si>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</si>
  <si>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</si>
  <si>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</si>
  <si>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</si>
  <si>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</si>
  <si>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</si>
  <si>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</si>
  <si>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</si>
  <si>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</si>
  <si>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</si>
  <si>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</si>
  <si>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</si>
  <si>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</si>
  <si>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</si>
  <si>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</si>
  <si>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</si>
  <si>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</si>
  <si>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</si>
  <si>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</si>
  <si>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</si>
  <si>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</si>
  <si>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</si>
  <si>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</si>
  <si>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</si>
  <si>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</si>
  <si>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</si>
  <si>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</si>
  <si>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</si>
  <si>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</si>
  <si>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</si>
  <si>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</si>
  <si>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</si>
  <si>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</si>
  <si>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</si>
  <si>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</si>
  <si>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</si>
  <si>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</si>
  <si>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</si>
  <si>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</si>
  <si>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</si>
  <si>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</si>
  <si>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</si>
  <si>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</si>
  <si>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</si>
  <si>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</si>
  <si>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</si>
  <si>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</si>
  <si>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US</t>
  </si>
  <si>
    <t>1991-1999 estimates from http://www.census.gov/population/estimates/state/st-99-2.txt</t>
  </si>
  <si>
    <t>2000+ sources in cell comments</t>
  </si>
  <si>
    <t>Data on Vegetable Production were obtained from:</t>
  </si>
  <si>
    <t>USDA Quick Stats 2.0, Annual Vegetable Production. Available online by state: http://quickstats.nass.usda.gov/</t>
  </si>
  <si>
    <t>THIS DATASET IS NOT USED IN THE MODULE, DEFAULTS FOR VEGETABLE DATA ARE NOT PROVIDED IN THE STATE INVENTORY TOOL</t>
  </si>
  <si>
    <t>Vegetable Production, Metric Tons</t>
  </si>
  <si>
    <t>State</t>
  </si>
  <si>
    <t>Alabama</t>
  </si>
  <si>
    <t>Arizona</t>
  </si>
  <si>
    <t>Arkansas</t>
  </si>
  <si>
    <t>California</t>
  </si>
  <si>
    <t>Colorado</t>
  </si>
  <si>
    <t>Connecticut</t>
  </si>
  <si>
    <t>Delaware</t>
  </si>
  <si>
    <t>Florida</t>
  </si>
  <si>
    <t>Georgia</t>
  </si>
  <si>
    <t>Hawaii</t>
  </si>
  <si>
    <t>Idaho</t>
  </si>
  <si>
    <t>Illinois</t>
  </si>
  <si>
    <t>Indiana</t>
  </si>
  <si>
    <t>Louisiana</t>
  </si>
  <si>
    <t>Maine</t>
  </si>
  <si>
    <t>Maryland</t>
  </si>
  <si>
    <t>Massachusetts</t>
  </si>
  <si>
    <t>Michigan</t>
  </si>
  <si>
    <t>Minnesota</t>
  </si>
  <si>
    <t>Mississippi</t>
  </si>
  <si>
    <t>Missouri</t>
  </si>
  <si>
    <t>Nevada</t>
  </si>
  <si>
    <t>New Hampshire</t>
  </si>
  <si>
    <t>New Jersey</t>
  </si>
  <si>
    <t>New Mexico</t>
  </si>
  <si>
    <t>New York</t>
  </si>
  <si>
    <t>North Carolina</t>
  </si>
  <si>
    <t>Ohio</t>
  </si>
  <si>
    <t>Oklahoma</t>
  </si>
  <si>
    <t>Oregon</t>
  </si>
  <si>
    <t>Other States</t>
  </si>
  <si>
    <t>Pennsylvania</t>
  </si>
  <si>
    <t>Rhode Island</t>
  </si>
  <si>
    <t>South Carolina</t>
  </si>
  <si>
    <t>Tennessee</t>
  </si>
  <si>
    <t>Texas</t>
  </si>
  <si>
    <t>Utah</t>
  </si>
  <si>
    <t>Vermont</t>
  </si>
  <si>
    <t>Virginia</t>
  </si>
  <si>
    <t>Washington</t>
  </si>
  <si>
    <t>Wisconsin</t>
  </si>
  <si>
    <t xml:space="preserve">1 metric ton = </t>
  </si>
  <si>
    <t>hundredweight</t>
  </si>
  <si>
    <t>tons</t>
  </si>
  <si>
    <t>Thousand Hundredweight</t>
  </si>
  <si>
    <t>Tons</t>
  </si>
  <si>
    <t>Iowa</t>
  </si>
  <si>
    <t>Oregon - OR Malhuer</t>
  </si>
  <si>
    <t>Oregon - OR Other</t>
  </si>
  <si>
    <t>Source: USDA Quick Stats 2.0, Annual Vegetable Production. Available online by state: http://quickstats.nass.usda.gov. Choose Survey, Crops, Vegetables, Vegetable Totals, Production, Vegetable Totals 34 Major Varies by Season Fresh Market - Production, Measured in CWT (Don't choose Total in the Domain), State, Select All States, Select All Years, Get the Data.</t>
  </si>
  <si>
    <t>Data on Red Meat Production were obtained from:</t>
  </si>
  <si>
    <t>USDA Quick Stats 2.0, Annual Red Meat Production. Available online by state: http://quickstats.nass.usda.gov/</t>
  </si>
  <si>
    <t>Red Meat Production, Metric Tons</t>
  </si>
  <si>
    <t>Alaska</t>
  </si>
  <si>
    <t>Kansas</t>
  </si>
  <si>
    <t>Kentucky</t>
  </si>
  <si>
    <t>Montana</t>
  </si>
  <si>
    <t>Nebraska</t>
  </si>
  <si>
    <t>North Dakota</t>
  </si>
  <si>
    <t>South Dakota</t>
  </si>
  <si>
    <t>United States</t>
  </si>
  <si>
    <t>West Virginia</t>
  </si>
  <si>
    <t>Wyoming</t>
  </si>
  <si>
    <t>pounds</t>
  </si>
  <si>
    <t>Red Meat Production Data from USDA Quick Stats.</t>
  </si>
  <si>
    <t>(in million pounds)</t>
  </si>
  <si>
    <t>US TOTAL</t>
  </si>
  <si>
    <t>Ind WW Meat</t>
  </si>
  <si>
    <t>Recommended Data Sources for Wastewater Treatment Activity Data</t>
  </si>
  <si>
    <t>Methane Emissions from Municipal Wastewater Treatment</t>
  </si>
  <si>
    <t>- State agencies responsible for handling demographic or census information</t>
  </si>
  <si>
    <r>
      <t>- State and local public works agencies (for BOD</t>
    </r>
    <r>
      <rPr>
        <vertAlign val="subscript"/>
        <sz val="10"/>
        <rFont val="Arial"/>
        <family val="2"/>
      </rPr>
      <t>5</t>
    </r>
    <r>
      <rPr>
        <sz val="10"/>
        <rFont val="Arial"/>
        <family val="2"/>
      </rPr>
      <t xml:space="preserve"> and wastewater characteristics)</t>
    </r>
  </si>
  <si>
    <t>Nitrous Oxide Emissions from Municipal Wastewater Treatment (Formerly “Human Sewage”)</t>
  </si>
  <si>
    <t>- State data, if available</t>
  </si>
  <si>
    <t>Methane Emissions from Industrial Wastewater Treatment</t>
  </si>
  <si>
    <t xml:space="preserve">- Published data on annual production are not readily available. </t>
  </si>
  <si>
    <t>StateAbbr.</t>
  </si>
  <si>
    <t>State ID</t>
  </si>
  <si>
    <t>SheetList</t>
  </si>
  <si>
    <t>Sheet.name</t>
  </si>
  <si>
    <t>VersionNumber</t>
  </si>
  <si>
    <t>Select a State . . .</t>
  </si>
  <si>
    <t>XX</t>
  </si>
  <si>
    <t>Control Panel</t>
  </si>
  <si>
    <t>Control</t>
  </si>
  <si>
    <t>VersionDate</t>
  </si>
  <si>
    <t>Domestic - Methane Emissions</t>
  </si>
  <si>
    <t>Dom WW</t>
  </si>
  <si>
    <t>Domestic - Nitrous Oxide Emissions</t>
  </si>
  <si>
    <t>Human Sewage</t>
  </si>
  <si>
    <t>Industrial - Fruits and Vegetables (Methane)</t>
  </si>
  <si>
    <t>Ind WW Fruit</t>
  </si>
  <si>
    <t>Industrial - Red Meat and Poultry (Methane)</t>
  </si>
  <si>
    <t>Industrial - Pulp and Paper (Methane)</t>
  </si>
  <si>
    <t>Ind WW P&amp;P</t>
  </si>
  <si>
    <t>Summary</t>
  </si>
  <si>
    <t>District of Columbia</t>
  </si>
  <si>
    <t>Conversions</t>
  </si>
  <si>
    <t>C_CO2</t>
  </si>
  <si>
    <t>$E$12</t>
  </si>
  <si>
    <t>Notes and Comments</t>
  </si>
  <si>
    <t>Use this sheet to keep a record of data sources, edits, or any other useful notes about the use of this tool.</t>
  </si>
  <si>
    <t>Municipal WW, CH4</t>
  </si>
  <si>
    <t>* As of January 2014, the UNFCCC approved the use of new (AR5) GWPs for GHG Inventories.</t>
  </si>
  <si>
    <t>The default GWPs used in this module are from the IPCC Fifth Assessment Report (AR5) but can be adjusted in the cells below to reflect other sources.</t>
  </si>
  <si>
    <r>
      <t>State Inventory Tool</t>
    </r>
    <r>
      <rPr>
        <b/>
        <sz val="14"/>
        <color indexed="18"/>
        <rFont val="Comic Sans MS"/>
        <family val="4"/>
      </rPr>
      <t xml:space="preserve"> - Wastewater Module</t>
    </r>
    <r>
      <rPr>
        <b/>
        <u/>
        <sz val="14"/>
        <color indexed="18"/>
        <rFont val="Comic Sans MS"/>
        <family val="4"/>
      </rPr>
      <t xml:space="preserve">
</t>
    </r>
    <r>
      <rPr>
        <b/>
        <i/>
        <sz val="11"/>
        <color rgb="FF000080"/>
        <rFont val="Comic Sans MS"/>
        <family val="4"/>
      </rPr>
      <t>Version 2024.1</t>
    </r>
  </si>
  <si>
    <t>This module provides default activity data, emission factors, and other relevant metrics for 1990-2021. Emission factors are proxied for 2022-2025.</t>
  </si>
  <si>
    <t>Source: USDA Quick Stats 2.0, Annual Red Meat Production. Available online by state: http://quickstats.nass.usda.gov. Choose Survey, Animals &amp; Products, Livestock, Red Meat, Production, Red Meat Slaughter Commercial Production Measured in LB (Don't choose Total in the Domain), Choose National AND State, Select All States (including US Total), 1990-2021, Annual, Year, Get Data.</t>
  </si>
  <si>
    <t>- See Inventory of U.S. Greenhouse Gas Emissions and Sinks (U.S. EPA 2023) Table 7-28, for data on annual per capita protein consumption for the United States</t>
  </si>
  <si>
    <t xml:space="preserve">- Default factors for wastewater outflow, industry-specific COD, and the fraction of industrial wastewater that is anaerobically treated that are used to estimate emissions from industrial wastewater in the Inventory of U.S. Greenhouse Gas Emissions and Sinks (U.S. EPA 2023) are provided in the control sheet. </t>
  </si>
  <si>
    <t>Select a state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</si>
</sst>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0.00_)"/>
    <numFmt numFmtId="165" formatCode="General_)"/>
    <numFmt numFmtId="166" formatCode="0_)"/>
    <numFmt numFmtId="167" formatCode="_(* #,##0_);_(* \(#,##0\);_(* &quot;-&quot;??_);_(@_)"/>
    <numFmt numFmtId="168" formatCode="0.000"/>
    <numFmt numFmtId="169" formatCode="_(* #,##0.000000_);_(* \(#,##0.000000\);_(* &quot;-&quot;??_);_(@_)"/>
    <numFmt numFmtId="170" formatCode="_(* #,##0.000_);_(* \(#,##0.000\);_(* &quot;-&quot;??_);_(@_)"/>
    <numFmt numFmtId="171" formatCode="0.0"/>
    <numFmt numFmtId="172" formatCode="_(* #,##0.0_);_(* \(#,##0.0\);_(* &quot;-&quot;??_);_(@_)"/>
    <numFmt numFmtId="173" formatCode="0.0000"/>
    <numFmt numFmtId="174" formatCode="0.0%"/>
    <numFmt numFmtId="175" formatCode="0E+00"/>
    <numFmt numFmtId="176" formatCode="\$#,##0\ ;&quot;($&quot;#,##0\)"/>
    <numFmt numFmtId="177" formatCode="0.0000%"/>
    <numFmt numFmtId="178" formatCode="m/d/yy\ h:mm:ss"/>
    <numFmt numFmtId="179" formatCode="_(* #,##0.00_);_(* \(#,##0.00\);_(* \-??_);_(@_)"/>
    <numFmt numFmtId="180" formatCode="&quot;$&quot;#,##0\ ;\(&quot;$&quot;#,##0\)"/>
    <numFmt numFmtId="181" formatCode="#,##0.0000"/>
  </numFmts>
  <fonts count="97">
    <font>
      <sz val="10"/>
      <name val="Arial"/>
    </font>
    <font>
      <sz val="11"/>
      <color theme="1"/>
      <name val="Calibri"/>
      <family val="2"/>
      <scheme val="minor"/>
    </font>
    <font>
      <sz val="10"/>
      <name val="Arial"/>
      <family val="2"/>
    </font>
    <font>
      <sz val="8"/>
      <name val="Arial"/>
      <family val="2"/>
    </font>
    <font>
      <b/>
      <sz val="8"/>
      <color indexed="18"/>
      <name val="Arial"/>
      <family val="2"/>
    </font>
    <font>
      <b/>
      <u/>
      <sz val="8"/>
      <color indexed="18"/>
      <name val="Arial"/>
      <family val="2"/>
    </font>
    <font>
      <b/>
      <sz val="8"/>
      <name val="Arial"/>
      <family val="2"/>
    </font>
    <font>
      <i/>
      <sz val="8"/>
      <name val="Arial"/>
      <family val="2"/>
    </font>
    <font>
      <b/>
      <sz val="10"/>
      <name val="Arial"/>
      <family val="2"/>
    </font>
    <font>
      <sz val="8"/>
      <color indexed="81"/>
      <name val="Tahoma"/>
      <family val="2"/>
    </font>
    <font>
      <sz val="8"/>
      <name val="Arial"/>
      <family val="2"/>
    </font>
    <font>
      <b/>
      <sz val="8"/>
      <name val="Arial Unicode MS"/>
      <family val="2"/>
    </font>
    <font>
      <sz val="8"/>
      <name val="Arial Unicode MS"/>
      <family val="2"/>
    </font>
    <font>
      <vertAlign val="subscript"/>
      <sz val="8"/>
      <name val="Arial"/>
      <family val="2"/>
    </font>
    <font>
      <b/>
      <u/>
      <sz val="14"/>
      <color indexed="18"/>
      <name val="Comic Sans MS"/>
      <family val="4"/>
    </font>
    <font>
      <b/>
      <sz val="14"/>
      <color indexed="18"/>
      <name val="Comic Sans MS"/>
      <family val="4"/>
    </font>
    <font>
      <i/>
      <sz val="8"/>
      <color indexed="18"/>
      <name val="Arial"/>
      <family val="2"/>
    </font>
    <font>
      <sz val="12"/>
      <color indexed="18"/>
      <name val="Arial"/>
      <family val="2"/>
    </font>
    <font>
      <b/>
      <u/>
      <sz val="8"/>
      <name val="Arial"/>
      <family val="2"/>
    </font>
    <font>
      <b/>
      <sz val="7"/>
      <name val="Comic Sans MS"/>
      <family val="4"/>
    </font>
    <font>
      <b/>
      <sz val="8"/>
      <name val="Comic Sans MS"/>
      <family val="4"/>
    </font>
    <font>
      <sz val="7"/>
      <name val="Comic Sans MS"/>
      <family val="4"/>
    </font>
    <font>
      <b/>
      <u/>
      <vertAlign val="subscript"/>
      <sz val="8"/>
      <color indexed="18"/>
      <name val="Arial"/>
      <family val="2"/>
    </font>
    <font>
      <sz val="8"/>
      <color indexed="9"/>
      <name val="Arial"/>
      <family val="2"/>
    </font>
    <font>
      <vertAlign val="superscript"/>
      <sz val="8"/>
      <name val="Arial"/>
      <family val="2"/>
    </font>
    <font>
      <sz val="14"/>
      <name val="Arial"/>
      <family val="2"/>
    </font>
    <font>
      <i/>
      <u/>
      <sz val="8"/>
      <color indexed="18"/>
      <name val="Arial"/>
      <family val="2"/>
    </font>
    <font>
      <i/>
      <u/>
      <vertAlign val="subscript"/>
      <sz val="8"/>
      <color indexed="18"/>
      <name val="Arial"/>
      <family val="2"/>
    </font>
    <font>
      <b/>
      <i/>
      <u/>
      <sz val="8"/>
      <color indexed="18"/>
      <name val="Arial"/>
      <family val="2"/>
    </font>
    <font>
      <sz val="8"/>
      <color indexed="10"/>
      <name val="Arial"/>
      <family val="2"/>
    </font>
    <font>
      <sz val="8"/>
      <name val="Comic Sans MS"/>
      <family val="4"/>
    </font>
    <font>
      <sz val="10"/>
      <name val="Arial"/>
      <family val="2"/>
    </font>
    <font>
      <vertAlign val="subscript"/>
      <sz val="10"/>
      <name val="Arial"/>
      <family val="2"/>
    </font>
    <font>
      <b/>
      <sz val="10"/>
      <color indexed="9"/>
      <name val="Arial"/>
      <family val="2"/>
    </font>
    <font>
      <sz val="10"/>
      <color indexed="9"/>
      <name val="Arial"/>
      <family val="2"/>
    </font>
    <font>
      <u/>
      <sz val="10"/>
      <color indexed="12"/>
      <name val="Arial"/>
      <family val="2"/>
    </font>
    <font>
      <b/>
      <sz val="10"/>
      <name val="Comic Sans MS"/>
      <family val="4"/>
    </font>
    <font>
      <i/>
      <sz val="8"/>
      <name val="Comic Sans MS"/>
      <family val="4"/>
    </font>
    <font>
      <b/>
      <sz val="14"/>
      <name val="Comic Sans MS"/>
      <family val="4"/>
    </font>
    <font>
      <b/>
      <vertAlign val="subscript"/>
      <sz val="7"/>
      <name val="Comic Sans MS"/>
      <family val="4"/>
    </font>
    <font>
      <vertAlign val="subscript"/>
      <sz val="7"/>
      <name val="Comic Sans MS"/>
      <family val="4"/>
    </font>
    <font>
      <b/>
      <sz val="7"/>
      <color indexed="18"/>
      <name val="Comic Sans MS"/>
      <family val="4"/>
    </font>
    <font>
      <u/>
      <sz val="7"/>
      <color indexed="12"/>
      <name val="Comic Sans MS"/>
      <family val="4"/>
    </font>
    <font>
      <vertAlign val="superscript"/>
      <sz val="7"/>
      <name val="Comic Sans MS"/>
      <family val="4"/>
    </font>
    <font>
      <sz val="10"/>
      <name val="Comic Sans MS"/>
      <family val="4"/>
    </font>
    <font>
      <b/>
      <vertAlign val="subscript"/>
      <sz val="8"/>
      <name val="Comic Sans MS"/>
      <family val="4"/>
    </font>
    <font>
      <vertAlign val="subscript"/>
      <sz val="8"/>
      <name val="Comic Sans MS"/>
      <family val="4"/>
    </font>
    <font>
      <b/>
      <sz val="8"/>
      <color indexed="81"/>
      <name val="Tahoma"/>
      <family val="2"/>
    </font>
    <font>
      <sz val="9"/>
      <color indexed="81"/>
      <name val="Tahoma"/>
      <family val="2"/>
    </font>
    <font>
      <b/>
      <sz val="9"/>
      <color indexed="81"/>
      <name val="Tahoma"/>
      <family val="2"/>
    </font>
    <font>
      <sz val="10"/>
      <color theme="0"/>
      <name val="Comic Sans MS"/>
      <family val="4"/>
    </font>
    <font>
      <sz val="10"/>
      <color theme="0"/>
      <name val="Arial"/>
      <family val="2"/>
    </font>
    <font>
      <sz val="14"/>
      <color rgb="FFFF0000"/>
      <name val="Arial"/>
      <family val="2"/>
    </font>
    <font>
      <b/>
      <sz val="11"/>
      <name val="Calibri"/>
      <family val="2"/>
      <scheme val="minor"/>
    </font>
    <font>
      <sz val="10"/>
      <color theme="1"/>
      <name val="Arial"/>
      <family val="2"/>
    </font>
    <font>
      <b/>
      <sz val="9"/>
      <name val="Times New Roman"/>
      <family val="1"/>
    </font>
    <font>
      <b/>
      <sz val="18"/>
      <name val="Arial"/>
      <family val="2"/>
    </font>
    <font>
      <b/>
      <sz val="12"/>
      <name val="Arial"/>
      <family val="2"/>
    </font>
    <font>
      <b/>
      <sz val="12"/>
      <name val="Times New Roman"/>
      <family val="1"/>
    </font>
    <font>
      <sz val="9"/>
      <name val="Times New Roman"/>
      <family val="1"/>
    </font>
    <font>
      <sz val="10"/>
      <color indexed="8"/>
      <name val="Arial"/>
      <family val="2"/>
    </font>
    <font>
      <i/>
      <sz val="10"/>
      <name val="Arial"/>
      <family val="2"/>
    </font>
    <font>
      <b/>
      <sz val="9"/>
      <name val="Arial"/>
      <family val="2"/>
    </font>
    <font>
      <sz val="18"/>
      <name val="Arial"/>
      <family val="2"/>
    </font>
    <font>
      <u/>
      <sz val="6.75"/>
      <color indexed="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sz val="8"/>
      <name val="Helvetica"/>
    </font>
    <font>
      <b/>
      <i/>
      <sz val="11"/>
      <color rgb="FF000080"/>
      <name val="Comic Sans MS"/>
      <family val="4"/>
    </font>
    <font>
      <sz val="8"/>
      <color rgb="FFFF0000"/>
      <name val="Arial"/>
      <family val="2"/>
    </font>
  </fonts>
  <fills count="7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9"/>
        <bgColor indexed="64"/>
      </patternFill>
    </fill>
    <fill>
      <patternFill patternType="solid">
        <fgColor indexed="46"/>
        <bgColor indexed="64"/>
      </patternFill>
    </fill>
    <fill>
      <patternFill patternType="solid">
        <fgColor indexed="62"/>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22"/>
        <bgColor indexed="31"/>
      </patternFill>
    </fill>
    <fill>
      <patternFill patternType="solid">
        <fgColor indexed="63"/>
        <bgColor indexed="59"/>
      </patternFill>
    </fill>
    <fill>
      <patternFill patternType="solid">
        <fgColor indexed="9"/>
        <bgColor indexed="26"/>
      </patternFill>
    </fill>
    <fill>
      <patternFill patternType="solid">
        <fgColor indexed="22"/>
        <bgColor indexed="64"/>
      </patternFill>
    </fill>
    <fill>
      <patternFill patternType="darkTrellis"/>
    </fill>
    <fill>
      <patternFill patternType="solid">
        <fgColor indexed="9"/>
      </patternFill>
    </fill>
  </fills>
  <borders count="1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style="thin">
        <color indexed="8"/>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8"/>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right/>
      <top style="double">
        <color indexed="8"/>
      </top>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s>
  <cellStyleXfs count="601">
    <xf numFmtId="0" fontId="0" fillId="0" borderId="0"/>
    <xf numFmtId="43" fontId="2" fillId="0" borderId="0" applyFont="0" applyFill="0" applyBorder="0" applyAlignment="0" applyProtection="0"/>
    <xf numFmtId="0" fontId="35" fillId="0" borderId="0" applyNumberFormat="0" applyFill="0" applyBorder="0" applyAlignment="0" applyProtection="0">
      <alignment vertical="top"/>
      <protection locked="0"/>
    </xf>
    <xf numFmtId="0" fontId="10" fillId="0" borderId="0"/>
    <xf numFmtId="0" fontId="10" fillId="0" borderId="0"/>
    <xf numFmtId="0" fontId="10" fillId="0" borderId="0"/>
    <xf numFmtId="164" fontId="3" fillId="0" borderId="0"/>
    <xf numFmtId="0" fontId="3" fillId="0" borderId="0"/>
    <xf numFmtId="0" fontId="10" fillId="0" borderId="0"/>
    <xf numFmtId="9" fontId="2" fillId="0" borderId="0" applyFont="0" applyFill="0" applyBorder="0" applyAlignment="0" applyProtection="0"/>
    <xf numFmtId="0" fontId="2" fillId="0" borderId="0"/>
    <xf numFmtId="0" fontId="65" fillId="42" borderId="0" applyNumberFormat="0" applyBorder="0" applyAlignment="0" applyProtection="0"/>
    <xf numFmtId="0" fontId="54" fillId="19" borderId="0" applyNumberFormat="0" applyBorder="0" applyAlignment="0" applyProtection="0"/>
    <xf numFmtId="0" fontId="65" fillId="44" borderId="0" applyNumberFormat="0" applyBorder="0" applyAlignment="0" applyProtection="0"/>
    <xf numFmtId="0" fontId="54" fillId="23" borderId="0" applyNumberFormat="0" applyBorder="0" applyAlignment="0" applyProtection="0"/>
    <xf numFmtId="0" fontId="65" fillId="46" borderId="0" applyNumberFormat="0" applyBorder="0" applyAlignment="0" applyProtection="0"/>
    <xf numFmtId="0" fontId="54" fillId="27" borderId="0" applyNumberFormat="0" applyBorder="0" applyAlignment="0" applyProtection="0"/>
    <xf numFmtId="0" fontId="65" fillId="48" borderId="0" applyNumberFormat="0" applyBorder="0" applyAlignment="0" applyProtection="0"/>
    <xf numFmtId="0" fontId="54" fillId="31" borderId="0" applyNumberFormat="0" applyBorder="0" applyAlignment="0" applyProtection="0"/>
    <xf numFmtId="0" fontId="65" fillId="50" borderId="0" applyNumberFormat="0" applyBorder="0" applyAlignment="0" applyProtection="0"/>
    <xf numFmtId="0" fontId="54" fillId="35" borderId="0" applyNumberFormat="0" applyBorder="0" applyAlignment="0" applyProtection="0"/>
    <xf numFmtId="0" fontId="65" fillId="49" borderId="0" applyNumberFormat="0" applyBorder="0" applyAlignment="0" applyProtection="0"/>
    <xf numFmtId="0" fontId="54" fillId="39" borderId="0" applyNumberFormat="0" applyBorder="0" applyAlignment="0" applyProtection="0"/>
    <xf numFmtId="0" fontId="2" fillId="0" borderId="0" applyNumberFormat="0" applyFill="0" applyBorder="0" applyProtection="0">
      <alignment horizontal="left" vertical="center" indent="2"/>
    </xf>
    <xf numFmtId="0" fontId="65" fillId="43" borderId="0" applyNumberFormat="0" applyBorder="0" applyAlignment="0" applyProtection="0"/>
    <xf numFmtId="0" fontId="54" fillId="20" borderId="0" applyNumberFormat="0" applyBorder="0" applyAlignment="0" applyProtection="0"/>
    <xf numFmtId="0" fontId="65" fillId="45" borderId="0" applyNumberFormat="0" applyBorder="0" applyAlignment="0" applyProtection="0"/>
    <xf numFmtId="0" fontId="54" fillId="24" borderId="0" applyNumberFormat="0" applyBorder="0" applyAlignment="0" applyProtection="0"/>
    <xf numFmtId="0" fontId="65" fillId="51" borderId="0" applyNumberFormat="0" applyBorder="0" applyAlignment="0" applyProtection="0"/>
    <xf numFmtId="0" fontId="54" fillId="28" borderId="0" applyNumberFormat="0" applyBorder="0" applyAlignment="0" applyProtection="0"/>
    <xf numFmtId="0" fontId="65" fillId="48" borderId="0" applyNumberFormat="0" applyBorder="0" applyAlignment="0" applyProtection="0"/>
    <xf numFmtId="0" fontId="54" fillId="32" borderId="0" applyNumberFormat="0" applyBorder="0" applyAlignment="0" applyProtection="0"/>
    <xf numFmtId="0" fontId="65" fillId="43" borderId="0" applyNumberFormat="0" applyBorder="0" applyAlignment="0" applyProtection="0"/>
    <xf numFmtId="0" fontId="54" fillId="36" borderId="0" applyNumberFormat="0" applyBorder="0" applyAlignment="0" applyProtection="0"/>
    <xf numFmtId="0" fontId="65" fillId="53" borderId="0" applyNumberFormat="0" applyBorder="0" applyAlignment="0" applyProtection="0"/>
    <xf numFmtId="0" fontId="54" fillId="40" borderId="0" applyNumberFormat="0" applyBorder="0" applyAlignment="0" applyProtection="0"/>
    <xf numFmtId="0" fontId="2" fillId="0" borderId="0" applyNumberFormat="0" applyFill="0" applyBorder="0" applyProtection="0">
      <alignment horizontal="left" vertical="center" indent="5"/>
    </xf>
    <xf numFmtId="0" fontId="66" fillId="54" borderId="0" applyNumberFormat="0" applyBorder="0" applyAlignment="0" applyProtection="0"/>
    <xf numFmtId="0" fontId="51" fillId="21" borderId="0" applyNumberFormat="0" applyBorder="0" applyAlignment="0" applyProtection="0"/>
    <xf numFmtId="0" fontId="66" fillId="45" borderId="0" applyNumberFormat="0" applyBorder="0" applyAlignment="0" applyProtection="0"/>
    <xf numFmtId="0" fontId="51" fillId="25" borderId="0" applyNumberFormat="0" applyBorder="0" applyAlignment="0" applyProtection="0"/>
    <xf numFmtId="0" fontId="66" fillId="51" borderId="0" applyNumberFormat="0" applyBorder="0" applyAlignment="0" applyProtection="0"/>
    <xf numFmtId="0" fontId="51" fillId="29" borderId="0" applyNumberFormat="0" applyBorder="0" applyAlignment="0" applyProtection="0"/>
    <xf numFmtId="0" fontId="66" fillId="56" borderId="0" applyNumberFormat="0" applyBorder="0" applyAlignment="0" applyProtection="0"/>
    <xf numFmtId="0" fontId="51" fillId="33" borderId="0" applyNumberFormat="0" applyBorder="0" applyAlignment="0" applyProtection="0"/>
    <xf numFmtId="0" fontId="66" fillId="57" borderId="0" applyNumberFormat="0" applyBorder="0" applyAlignment="0" applyProtection="0"/>
    <xf numFmtId="0" fontId="51" fillId="37" borderId="0" applyNumberFormat="0" applyBorder="0" applyAlignment="0" applyProtection="0"/>
    <xf numFmtId="0" fontId="66" fillId="58" borderId="0" applyNumberFormat="0" applyBorder="0" applyAlignment="0" applyProtection="0"/>
    <xf numFmtId="0" fontId="51" fillId="41" borderId="0" applyNumberFormat="0" applyBorder="0" applyAlignment="0" applyProtection="0"/>
    <xf numFmtId="0" fontId="66" fillId="59" borderId="0" applyNumberFormat="0" applyBorder="0" applyAlignment="0" applyProtection="0"/>
    <xf numFmtId="0" fontId="51" fillId="18" borderId="0" applyNumberFormat="0" applyBorder="0" applyAlignment="0" applyProtection="0"/>
    <xf numFmtId="0" fontId="66" fillId="60" borderId="0" applyNumberFormat="0" applyBorder="0" applyAlignment="0" applyProtection="0"/>
    <xf numFmtId="0" fontId="51" fillId="22" borderId="0" applyNumberFormat="0" applyBorder="0" applyAlignment="0" applyProtection="0"/>
    <xf numFmtId="0" fontId="66" fillId="61" borderId="0" applyNumberFormat="0" applyBorder="0" applyAlignment="0" applyProtection="0"/>
    <xf numFmtId="0" fontId="51" fillId="26" borderId="0" applyNumberFormat="0" applyBorder="0" applyAlignment="0" applyProtection="0"/>
    <xf numFmtId="0" fontId="66" fillId="56" borderId="0" applyNumberFormat="0" applyBorder="0" applyAlignment="0" applyProtection="0"/>
    <xf numFmtId="0" fontId="51" fillId="30" borderId="0" applyNumberFormat="0" applyBorder="0" applyAlignment="0" applyProtection="0"/>
    <xf numFmtId="0" fontId="66" fillId="57" borderId="0" applyNumberFormat="0" applyBorder="0" applyAlignment="0" applyProtection="0"/>
    <xf numFmtId="0" fontId="51" fillId="34" borderId="0" applyNumberFormat="0" applyBorder="0" applyAlignment="0" applyProtection="0"/>
    <xf numFmtId="0" fontId="66" fillId="55" borderId="0" applyNumberFormat="0" applyBorder="0" applyAlignment="0" applyProtection="0"/>
    <xf numFmtId="0" fontId="51" fillId="38" borderId="0" applyNumberFormat="0" applyBorder="0" applyAlignment="0" applyProtection="0"/>
    <xf numFmtId="0" fontId="67" fillId="44" borderId="0" applyNumberFormat="0" applyBorder="0" applyAlignment="0" applyProtection="0"/>
    <xf numFmtId="0" fontId="80" fillId="12" borderId="0" applyNumberFormat="0" applyBorder="0" applyAlignment="0" applyProtection="0"/>
    <xf numFmtId="4" fontId="55" fillId="0" borderId="0" applyFill="0" applyBorder="0" applyProtection="0">
      <alignment horizontal="right" vertical="center"/>
    </xf>
    <xf numFmtId="0" fontId="68" fillId="62" borderId="34" applyNumberFormat="0" applyAlignment="0" applyProtection="0"/>
    <xf numFmtId="0" fontId="81" fillId="15" borderId="28" applyNumberFormat="0" applyAlignment="0" applyProtection="0"/>
    <xf numFmtId="0" fontId="69" fillId="63" borderId="35" applyNumberFormat="0" applyAlignment="0" applyProtection="0"/>
    <xf numFmtId="0" fontId="82" fillId="16" borderId="31" applyNumberFormat="0" applyAlignment="0" applyProtection="0"/>
    <xf numFmtId="179" fontId="2" fillId="0" borderId="0" applyFill="0" applyBorder="0" applyAlignment="0" applyProtection="0"/>
    <xf numFmtId="43" fontId="5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2" fillId="0" borderId="0" applyFill="0" applyBorder="0" applyAlignment="0" applyProtection="0"/>
    <xf numFmtId="176" fontId="2" fillId="0" borderId="0" applyFill="0" applyBorder="0" applyAlignment="0" applyProtection="0"/>
    <xf numFmtId="0" fontId="2" fillId="0" borderId="0" applyFill="0" applyBorder="0" applyAlignment="0" applyProtection="0"/>
    <xf numFmtId="0" fontId="70" fillId="0" borderId="0" applyNumberFormat="0" applyFill="0" applyBorder="0" applyAlignment="0" applyProtection="0"/>
    <xf numFmtId="0" fontId="83" fillId="0" borderId="0" applyNumberFormat="0" applyFill="0" applyBorder="0" applyAlignment="0" applyProtection="0"/>
    <xf numFmtId="2" fontId="2" fillId="0" borderId="0" applyFill="0" applyBorder="0" applyAlignment="0" applyProtection="0"/>
    <xf numFmtId="0" fontId="71" fillId="46" borderId="0" applyNumberFormat="0" applyBorder="0" applyAlignment="0" applyProtection="0"/>
    <xf numFmtId="0" fontId="84" fillId="11" borderId="0" applyNumberFormat="0" applyBorder="0" applyAlignment="0" applyProtection="0"/>
    <xf numFmtId="0" fontId="56" fillId="0" borderId="0" applyNumberFormat="0" applyFill="0" applyBorder="0" applyAlignment="0" applyProtection="0"/>
    <xf numFmtId="0" fontId="85" fillId="0" borderId="25" applyNumberFormat="0" applyFill="0" applyAlignment="0" applyProtection="0"/>
    <xf numFmtId="0" fontId="57" fillId="0" borderId="0" applyFill="0" applyBorder="0" applyAlignment="0" applyProtection="0"/>
    <xf numFmtId="0" fontId="86" fillId="0" borderId="26" applyNumberFormat="0" applyFill="0" applyAlignment="0" applyProtection="0"/>
    <xf numFmtId="0" fontId="72" fillId="0" borderId="36" applyNumberFormat="0" applyFill="0" applyAlignment="0" applyProtection="0"/>
    <xf numFmtId="0" fontId="87" fillId="0" borderId="27" applyNumberFormat="0" applyFill="0" applyAlignment="0" applyProtection="0"/>
    <xf numFmtId="0" fontId="72" fillId="0" borderId="0" applyNumberFormat="0" applyFill="0" applyBorder="0" applyAlignment="0" applyProtection="0"/>
    <xf numFmtId="0" fontId="87" fillId="0" borderId="0" applyNumberFormat="0" applyFill="0" applyBorder="0" applyAlignment="0" applyProtection="0"/>
    <xf numFmtId="0" fontId="58"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alignment vertical="top"/>
      <protection locked="0"/>
    </xf>
    <xf numFmtId="0" fontId="73" fillId="49" borderId="34" applyNumberFormat="0" applyAlignment="0" applyProtection="0"/>
    <xf numFmtId="0" fontId="88" fillId="14" borderId="28" applyNumberFormat="0" applyAlignment="0" applyProtection="0"/>
    <xf numFmtId="0" fontId="74" fillId="0" borderId="37" applyNumberFormat="0" applyFill="0" applyAlignment="0" applyProtection="0"/>
    <xf numFmtId="0" fontId="89" fillId="0" borderId="30" applyNumberFormat="0" applyFill="0" applyAlignment="0" applyProtection="0"/>
    <xf numFmtId="0" fontId="75" fillId="52" borderId="0" applyNumberFormat="0" applyBorder="0" applyAlignment="0" applyProtection="0"/>
    <xf numFmtId="0" fontId="90" fillId="13" borderId="0" applyNumberFormat="0" applyBorder="0" applyAlignment="0" applyProtection="0"/>
    <xf numFmtId="0" fontId="54" fillId="0" borderId="0"/>
    <xf numFmtId="0" fontId="2" fillId="0" borderId="0"/>
    <xf numFmtId="0" fontId="2" fillId="0" borderId="0"/>
    <xf numFmtId="0" fontId="2" fillId="0" borderId="0"/>
    <xf numFmtId="0" fontId="1" fillId="0" borderId="0"/>
    <xf numFmtId="0" fontId="79" fillId="0" borderId="0"/>
    <xf numFmtId="0" fontId="79" fillId="0" borderId="0"/>
    <xf numFmtId="4" fontId="59" fillId="0" borderId="0" applyFill="0" applyBorder="0" applyProtection="0">
      <alignment horizontal="right" vertical="center"/>
    </xf>
    <xf numFmtId="0" fontId="55" fillId="0" borderId="0" applyNumberFormat="0" applyFill="0" applyBorder="0" applyProtection="0">
      <alignment horizontal="left" vertical="center"/>
    </xf>
    <xf numFmtId="0" fontId="59" fillId="0" borderId="38" applyNumberFormat="0" applyFill="0" applyAlignment="0" applyProtection="0"/>
    <xf numFmtId="0" fontId="2" fillId="64" borderId="0" applyNumberFormat="0" applyBorder="0" applyAlignment="0" applyProtection="0"/>
    <xf numFmtId="0" fontId="2" fillId="47" borderId="39" applyNumberFormat="0" applyFont="0" applyAlignment="0" applyProtection="0"/>
    <xf numFmtId="0" fontId="54" fillId="17" borderId="32" applyNumberFormat="0" applyFont="0" applyAlignment="0" applyProtection="0"/>
    <xf numFmtId="0" fontId="2" fillId="47" borderId="39" applyNumberFormat="0" applyFont="0" applyAlignment="0" applyProtection="0"/>
    <xf numFmtId="0" fontId="76" fillId="62" borderId="40" applyNumberFormat="0" applyAlignment="0" applyProtection="0"/>
    <xf numFmtId="0" fontId="91" fillId="15" borderId="29" applyNumberFormat="0" applyAlignment="0" applyProtection="0"/>
    <xf numFmtId="0" fontId="2" fillId="65" borderId="0" applyNumberFormat="0" applyBorder="0" applyAlignment="0" applyProtection="0"/>
    <xf numFmtId="9" fontId="2" fillId="0" borderId="0" applyFill="0" applyBorder="0" applyAlignment="0" applyProtection="0"/>
    <xf numFmtId="9" fontId="2" fillId="0" borderId="0" applyFont="0" applyFill="0" applyBorder="0" applyAlignment="0" applyProtection="0"/>
    <xf numFmtId="177" fontId="2" fillId="0" borderId="0" applyFill="0" applyBorder="0" applyAlignment="0" applyProtection="0"/>
    <xf numFmtId="0" fontId="2" fillId="0" borderId="41" applyNumberFormat="0" applyFill="0" applyAlignment="0" applyProtection="0"/>
    <xf numFmtId="0" fontId="2" fillId="0" borderId="13" applyNumberFormat="0" applyFill="0" applyAlignment="0" applyProtection="0"/>
    <xf numFmtId="0" fontId="2" fillId="0" borderId="18" applyNumberFormat="0" applyFill="0" applyAlignment="0" applyProtection="0"/>
    <xf numFmtId="0" fontId="2" fillId="0" borderId="42" applyNumberFormat="0" applyFill="0" applyAlignment="0" applyProtection="0"/>
    <xf numFmtId="0" fontId="2" fillId="0" borderId="38" applyNumberFormat="0" applyFill="0" applyAlignment="0" applyProtection="0"/>
    <xf numFmtId="0" fontId="2" fillId="66" borderId="0" applyNumberFormat="0" applyBorder="0" applyAlignment="0" applyProtection="0"/>
    <xf numFmtId="0" fontId="2" fillId="0" borderId="43" applyNumberFormat="0" applyFill="0" applyAlignment="0" applyProtection="0"/>
    <xf numFmtId="0" fontId="2" fillId="0" borderId="44" applyNumberFormat="0" applyFill="0" applyAlignment="0" applyProtection="0"/>
    <xf numFmtId="46" fontId="2" fillId="0" borderId="0" applyFill="0" applyBorder="0" applyAlignment="0" applyProtection="0"/>
    <xf numFmtId="0" fontId="60" fillId="0" borderId="0" applyNumberFormat="0" applyFill="0" applyBorder="0" applyAlignment="0" applyProtection="0"/>
    <xf numFmtId="0" fontId="2" fillId="0" borderId="45" applyNumberFormat="0" applyFill="0" applyAlignment="0" applyProtection="0"/>
    <xf numFmtId="0" fontId="2" fillId="0" borderId="17" applyNumberFormat="0" applyFill="0" applyAlignment="0" applyProtection="0"/>
    <xf numFmtId="0" fontId="2" fillId="0" borderId="39" applyNumberFormat="0" applyFill="0" applyAlignment="0" applyProtection="0"/>
    <xf numFmtId="0" fontId="2" fillId="0" borderId="46" applyNumberFormat="0" applyFill="0" applyAlignment="0" applyProtection="0"/>
    <xf numFmtId="0" fontId="2" fillId="0" borderId="39" applyNumberFormat="0" applyFill="0" applyAlignment="0" applyProtection="0"/>
    <xf numFmtId="0" fontId="2" fillId="0" borderId="0" applyNumberFormat="0" applyFill="0" applyBorder="0" applyProtection="0">
      <alignment horizontal="center"/>
    </xf>
    <xf numFmtId="0" fontId="25"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Protection="0">
      <alignment horizontal="left"/>
    </xf>
    <xf numFmtId="0" fontId="2" fillId="66" borderId="0" applyNumberFormat="0" applyBorder="0" applyAlignment="0" applyProtection="0"/>
    <xf numFmtId="0" fontId="63" fillId="0" borderId="0" applyNumberFormat="0" applyFill="0" applyBorder="0" applyAlignment="0" applyProtection="0"/>
    <xf numFmtId="0" fontId="60" fillId="0" borderId="0" applyNumberFormat="0" applyFill="0" applyBorder="0" applyAlignment="0" applyProtection="0"/>
    <xf numFmtId="0" fontId="2" fillId="0" borderId="47" applyNumberFormat="0" applyFill="0" applyAlignment="0" applyProtection="0"/>
    <xf numFmtId="0" fontId="2" fillId="0" borderId="48" applyNumberFormat="0" applyFill="0" applyAlignment="0" applyProtection="0"/>
    <xf numFmtId="178" fontId="2" fillId="0" borderId="0" applyFill="0" applyBorder="0" applyAlignment="0" applyProtection="0"/>
    <xf numFmtId="0" fontId="2" fillId="0" borderId="49" applyNumberFormat="0" applyFill="0" applyAlignment="0" applyProtection="0"/>
    <xf numFmtId="0" fontId="2" fillId="0" borderId="50" applyNumberFormat="0" applyFill="0" applyAlignment="0" applyProtection="0"/>
    <xf numFmtId="0" fontId="2" fillId="0" borderId="14" applyNumberFormat="0" applyFill="0" applyAlignment="0" applyProtection="0"/>
    <xf numFmtId="0" fontId="2" fillId="0" borderId="15" applyNumberFormat="0" applyFill="0" applyAlignment="0" applyProtection="0"/>
    <xf numFmtId="0" fontId="2" fillId="0" borderId="16" applyNumberFormat="0" applyFill="0" applyAlignment="0" applyProtection="0"/>
    <xf numFmtId="0" fontId="77" fillId="0" borderId="0" applyNumberFormat="0" applyFill="0" applyBorder="0" applyAlignment="0" applyProtection="0"/>
    <xf numFmtId="0" fontId="2" fillId="0" borderId="51" applyNumberFormat="0" applyFill="0" applyAlignment="0" applyProtection="0"/>
    <xf numFmtId="0" fontId="92" fillId="0" borderId="33" applyNumberFormat="0" applyFill="0" applyAlignment="0" applyProtection="0"/>
    <xf numFmtId="0" fontId="78" fillId="0" borderId="0" applyNumberFormat="0" applyFill="0" applyBorder="0" applyAlignment="0" applyProtection="0"/>
    <xf numFmtId="0" fontId="93"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2" fillId="0" borderId="0" applyFont="0" applyFill="0" applyBorder="0" applyAlignment="0" applyProtection="0"/>
    <xf numFmtId="49" fontId="59" fillId="0" borderId="1" applyNumberFormat="0" applyFont="0" applyFill="0" applyBorder="0" applyProtection="0">
      <alignment horizontal="left" vertical="center" indent="2"/>
    </xf>
    <xf numFmtId="49" fontId="59" fillId="0" borderId="52" applyNumberFormat="0" applyFont="0" applyFill="0" applyBorder="0" applyProtection="0">
      <alignment horizontal="left" vertical="center" indent="5"/>
    </xf>
    <xf numFmtId="4" fontId="55" fillId="0" borderId="23" applyFill="0" applyBorder="0" applyProtection="0">
      <alignment horizontal="right" vertical="center"/>
    </xf>
    <xf numFmtId="3" fontId="2" fillId="0" borderId="0" applyFont="0" applyFill="0" applyBorder="0" applyAlignment="0" applyProtection="0"/>
    <xf numFmtId="180"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4" fontId="59" fillId="0" borderId="1" applyFill="0" applyBorder="0" applyProtection="0">
      <alignment horizontal="right" vertical="center"/>
    </xf>
    <xf numFmtId="49" fontId="55" fillId="0" borderId="1" applyNumberFormat="0" applyFill="0" applyBorder="0" applyProtection="0">
      <alignment horizontal="left" vertical="center"/>
    </xf>
    <xf numFmtId="0" fontId="59" fillId="0" borderId="1" applyNumberFormat="0" applyFill="0" applyAlignment="0" applyProtection="0"/>
    <xf numFmtId="0" fontId="94" fillId="67" borderId="0" applyNumberFormat="0" applyFont="0" applyBorder="0" applyAlignment="0" applyProtection="0"/>
    <xf numFmtId="181" fontId="59" fillId="68" borderId="1" applyNumberFormat="0" applyFont="0" applyBorder="0" applyAlignment="0" applyProtection="0">
      <alignment horizontal="right" vertical="center"/>
    </xf>
    <xf numFmtId="177" fontId="2" fillId="0" borderId="0" applyFont="0" applyFill="0" applyBorder="0" applyAlignment="0" applyProtection="0"/>
    <xf numFmtId="0" fontId="2" fillId="0" borderId="41" applyNumberFormat="0" applyFont="0" applyFill="0" applyAlignment="0" applyProtection="0"/>
    <xf numFmtId="0" fontId="2" fillId="0" borderId="13" applyNumberFormat="0" applyFont="0" applyFill="0" applyAlignment="0" applyProtection="0"/>
    <xf numFmtId="0" fontId="2" fillId="0" borderId="18" applyNumberFormat="0" applyFont="0" applyFill="0" applyAlignment="0" applyProtection="0"/>
    <xf numFmtId="0" fontId="2" fillId="0" borderId="42" applyNumberFormat="0" applyFont="0" applyFill="0" applyAlignment="0" applyProtection="0"/>
    <xf numFmtId="0" fontId="2" fillId="0" borderId="38" applyNumberFormat="0" applyFont="0" applyFill="0" applyAlignment="0" applyProtection="0"/>
    <xf numFmtId="0" fontId="2" fillId="69" borderId="0" applyNumberFormat="0" applyFont="0" applyBorder="0" applyAlignment="0" applyProtection="0"/>
    <xf numFmtId="0" fontId="2" fillId="0" borderId="43" applyNumberFormat="0" applyFont="0" applyFill="0" applyAlignment="0" applyProtection="0"/>
    <xf numFmtId="0" fontId="2" fillId="0" borderId="44" applyNumberFormat="0" applyFont="0" applyFill="0" applyAlignment="0" applyProtection="0"/>
    <xf numFmtId="46" fontId="2" fillId="0" borderId="0" applyFont="0" applyFill="0" applyBorder="0" applyAlignment="0" applyProtection="0"/>
    <xf numFmtId="0" fontId="2" fillId="0" borderId="45" applyNumberFormat="0" applyFont="0" applyFill="0" applyAlignment="0" applyProtection="0"/>
    <xf numFmtId="0" fontId="2" fillId="0" borderId="17" applyNumberFormat="0" applyFont="0" applyFill="0" applyAlignment="0" applyProtection="0"/>
    <xf numFmtId="0" fontId="2" fillId="0" borderId="39" applyNumberFormat="0" applyFont="0" applyFill="0" applyAlignment="0" applyProtection="0"/>
    <xf numFmtId="0" fontId="2" fillId="0" borderId="46" applyNumberFormat="0" applyFont="0" applyFill="0" applyAlignment="0" applyProtection="0"/>
    <xf numFmtId="0" fontId="2" fillId="0" borderId="39" applyNumberFormat="0" applyFont="0" applyFill="0" applyAlignment="0" applyProtection="0"/>
    <xf numFmtId="0" fontId="2" fillId="0" borderId="0" applyNumberFormat="0" applyFont="0" applyFill="0" applyBorder="0" applyProtection="0">
      <alignment horizontal="center"/>
    </xf>
    <xf numFmtId="0" fontId="2" fillId="69" borderId="0" applyNumberFormat="0" applyFont="0" applyBorder="0" applyAlignment="0" applyProtection="0"/>
    <xf numFmtId="0" fontId="2" fillId="0" borderId="47" applyNumberFormat="0" applyFont="0" applyFill="0" applyAlignment="0" applyProtection="0"/>
    <xf numFmtId="0" fontId="2" fillId="0" borderId="48" applyNumberFormat="0" applyFont="0" applyFill="0" applyAlignment="0" applyProtection="0"/>
    <xf numFmtId="178" fontId="2" fillId="0" borderId="0" applyFont="0" applyFill="0" applyBorder="0" applyAlignment="0" applyProtection="0"/>
    <xf numFmtId="0" fontId="2" fillId="0" borderId="49" applyNumberFormat="0" applyFont="0" applyFill="0" applyAlignment="0" applyProtection="0"/>
    <xf numFmtId="0" fontId="2" fillId="0" borderId="50" applyNumberFormat="0" applyFont="0" applyFill="0" applyAlignment="0" applyProtection="0"/>
    <xf numFmtId="0" fontId="2" fillId="0" borderId="14" applyNumberFormat="0" applyFont="0" applyFill="0" applyAlignment="0" applyProtection="0"/>
    <xf numFmtId="0" fontId="2" fillId="0" borderId="15" applyNumberFormat="0" applyFont="0" applyFill="0" applyAlignment="0" applyProtection="0"/>
    <xf numFmtId="0" fontId="2" fillId="0" borderId="16" applyNumberFormat="0" applyFont="0" applyFill="0" applyAlignment="0" applyProtection="0"/>
    <xf numFmtId="0" fontId="65" fillId="42" borderId="0" applyNumberFormat="0" applyBorder="0" applyAlignment="0" applyProtection="0"/>
    <xf numFmtId="0" fontId="65" fillId="44" borderId="0" applyNumberFormat="0" applyBorder="0" applyAlignment="0" applyProtection="0"/>
    <xf numFmtId="0" fontId="65" fillId="46" borderId="0" applyNumberFormat="0" applyBorder="0" applyAlignment="0" applyProtection="0"/>
    <xf numFmtId="0" fontId="65" fillId="48" borderId="0" applyNumberFormat="0" applyBorder="0" applyAlignment="0" applyProtection="0"/>
    <xf numFmtId="0" fontId="65" fillId="50" borderId="0" applyNumberFormat="0" applyBorder="0" applyAlignment="0" applyProtection="0"/>
    <xf numFmtId="0" fontId="65" fillId="49" borderId="0" applyNumberFormat="0" applyBorder="0" applyAlignment="0" applyProtection="0"/>
    <xf numFmtId="0" fontId="2" fillId="0" borderId="0" applyNumberFormat="0" applyFill="0" applyBorder="0" applyProtection="0">
      <alignment horizontal="left" vertical="center" indent="2"/>
    </xf>
    <xf numFmtId="0" fontId="65" fillId="43" borderId="0" applyNumberFormat="0" applyBorder="0" applyAlignment="0" applyProtection="0"/>
    <xf numFmtId="0" fontId="65" fillId="45" borderId="0" applyNumberFormat="0" applyBorder="0" applyAlignment="0" applyProtection="0"/>
    <xf numFmtId="0" fontId="65" fillId="51" borderId="0" applyNumberFormat="0" applyBorder="0" applyAlignment="0" applyProtection="0"/>
    <xf numFmtId="0" fontId="65" fillId="48" borderId="0" applyNumberFormat="0" applyBorder="0" applyAlignment="0" applyProtection="0"/>
    <xf numFmtId="0" fontId="65" fillId="43" borderId="0" applyNumberFormat="0" applyBorder="0" applyAlignment="0" applyProtection="0"/>
    <xf numFmtId="0" fontId="65" fillId="53" borderId="0" applyNumberFormat="0" applyBorder="0" applyAlignment="0" applyProtection="0"/>
    <xf numFmtId="0" fontId="2" fillId="0" borderId="0" applyNumberFormat="0" applyFill="0" applyBorder="0" applyProtection="0">
      <alignment horizontal="left" vertical="center" indent="5"/>
    </xf>
    <xf numFmtId="0" fontId="66" fillId="54" borderId="0" applyNumberFormat="0" applyBorder="0" applyAlignment="0" applyProtection="0"/>
    <xf numFmtId="0" fontId="66" fillId="45" borderId="0" applyNumberFormat="0" applyBorder="0" applyAlignment="0" applyProtection="0"/>
    <xf numFmtId="0" fontId="66" fillId="51" borderId="0" applyNumberFormat="0" applyBorder="0" applyAlignment="0" applyProtection="0"/>
    <xf numFmtId="0" fontId="66" fillId="56" borderId="0" applyNumberFormat="0" applyBorder="0" applyAlignment="0" applyProtection="0"/>
    <xf numFmtId="0" fontId="66" fillId="57" borderId="0" applyNumberFormat="0" applyBorder="0" applyAlignment="0" applyProtection="0"/>
    <xf numFmtId="0" fontId="66" fillId="58" borderId="0" applyNumberFormat="0" applyBorder="0" applyAlignment="0" applyProtection="0"/>
    <xf numFmtId="0" fontId="66" fillId="59" borderId="0" applyNumberFormat="0" applyBorder="0" applyAlignment="0" applyProtection="0"/>
    <xf numFmtId="0" fontId="66" fillId="60" borderId="0" applyNumberFormat="0" applyBorder="0" applyAlignment="0" applyProtection="0"/>
    <xf numFmtId="0" fontId="66" fillId="61" borderId="0" applyNumberFormat="0" applyBorder="0" applyAlignment="0" applyProtection="0"/>
    <xf numFmtId="0" fontId="66" fillId="56" borderId="0" applyNumberFormat="0" applyBorder="0" applyAlignment="0" applyProtection="0"/>
    <xf numFmtId="0" fontId="66" fillId="57" borderId="0" applyNumberFormat="0" applyBorder="0" applyAlignment="0" applyProtection="0"/>
    <xf numFmtId="0" fontId="66" fillId="55" borderId="0" applyNumberFormat="0" applyBorder="0" applyAlignment="0" applyProtection="0"/>
    <xf numFmtId="0" fontId="67" fillId="44" borderId="0" applyNumberFormat="0" applyBorder="0" applyAlignment="0" applyProtection="0"/>
    <xf numFmtId="4" fontId="55" fillId="0" borderId="0" applyFill="0" applyBorder="0" applyProtection="0">
      <alignment horizontal="right" vertical="center"/>
    </xf>
    <xf numFmtId="0" fontId="68" fillId="62" borderId="34" applyNumberFormat="0" applyAlignment="0" applyProtection="0"/>
    <xf numFmtId="0" fontId="69" fillId="63" borderId="35" applyNumberFormat="0" applyAlignment="0" applyProtection="0"/>
    <xf numFmtId="179" fontId="2" fillId="0" borderId="0" applyFill="0" applyBorder="0" applyAlignment="0" applyProtection="0"/>
    <xf numFmtId="43" fontId="54" fillId="0" borderId="0" applyFont="0" applyFill="0" applyBorder="0" applyAlignment="0" applyProtection="0"/>
    <xf numFmtId="3" fontId="2" fillId="0" borderId="0" applyFill="0" applyBorder="0" applyAlignment="0" applyProtection="0"/>
    <xf numFmtId="176" fontId="2" fillId="0" borderId="0" applyFill="0" applyBorder="0" applyAlignment="0" applyProtection="0"/>
    <xf numFmtId="0" fontId="2" fillId="0" borderId="0" applyFill="0" applyBorder="0" applyAlignment="0" applyProtection="0"/>
    <xf numFmtId="0" fontId="70" fillId="0" borderId="0" applyNumberFormat="0" applyFill="0" applyBorder="0" applyAlignment="0" applyProtection="0"/>
    <xf numFmtId="2" fontId="2" fillId="0" borderId="0" applyFill="0" applyBorder="0" applyAlignment="0" applyProtection="0"/>
    <xf numFmtId="0" fontId="71" fillId="46" borderId="0" applyNumberFormat="0" applyBorder="0" applyAlignment="0" applyProtection="0"/>
    <xf numFmtId="0" fontId="56" fillId="0" borderId="0" applyNumberFormat="0" applyFill="0" applyBorder="0" applyAlignment="0" applyProtection="0"/>
    <xf numFmtId="0" fontId="57" fillId="0" borderId="0" applyFill="0" applyBorder="0" applyAlignment="0" applyProtection="0"/>
    <xf numFmtId="0" fontId="72" fillId="0" borderId="36" applyNumberFormat="0" applyFill="0" applyAlignment="0" applyProtection="0"/>
    <xf numFmtId="0" fontId="72" fillId="0" borderId="0" applyNumberFormat="0" applyFill="0" applyBorder="0" applyAlignment="0" applyProtection="0"/>
    <xf numFmtId="0" fontId="73" fillId="49" borderId="34" applyNumberFormat="0" applyAlignment="0" applyProtection="0"/>
    <xf numFmtId="0" fontId="74" fillId="0" borderId="37" applyNumberFormat="0" applyFill="0" applyAlignment="0" applyProtection="0"/>
    <xf numFmtId="0" fontId="75" fillId="52" borderId="0" applyNumberFormat="0" applyBorder="0" applyAlignment="0" applyProtection="0"/>
    <xf numFmtId="0" fontId="54" fillId="0" borderId="0"/>
    <xf numFmtId="4" fontId="59" fillId="0" borderId="0" applyFill="0" applyBorder="0" applyProtection="0">
      <alignment horizontal="right" vertical="center"/>
    </xf>
    <xf numFmtId="0" fontId="55" fillId="0" borderId="0" applyNumberFormat="0" applyFill="0" applyBorder="0" applyProtection="0">
      <alignment horizontal="left" vertical="center"/>
    </xf>
    <xf numFmtId="0" fontId="59" fillId="0" borderId="38" applyNumberFormat="0" applyFill="0" applyAlignment="0" applyProtection="0"/>
    <xf numFmtId="0" fontId="2" fillId="64" borderId="0" applyNumberFormat="0" applyBorder="0" applyAlignment="0" applyProtection="0"/>
    <xf numFmtId="0" fontId="76" fillId="62" borderId="40" applyNumberFormat="0" applyAlignment="0" applyProtection="0"/>
    <xf numFmtId="0" fontId="2" fillId="65" borderId="0" applyNumberFormat="0" applyBorder="0" applyAlignment="0" applyProtection="0"/>
    <xf numFmtId="9" fontId="2" fillId="0" borderId="0" applyFill="0" applyBorder="0" applyAlignment="0" applyProtection="0"/>
    <xf numFmtId="177" fontId="2" fillId="0" borderId="0" applyFill="0" applyBorder="0" applyAlignment="0" applyProtection="0"/>
    <xf numFmtId="0" fontId="2" fillId="0" borderId="41" applyNumberFormat="0" applyFill="0" applyAlignment="0" applyProtection="0"/>
    <xf numFmtId="0" fontId="2" fillId="0" borderId="13" applyNumberFormat="0" applyFill="0" applyAlignment="0" applyProtection="0"/>
    <xf numFmtId="0" fontId="2" fillId="0" borderId="18" applyNumberFormat="0" applyFill="0" applyAlignment="0" applyProtection="0"/>
    <xf numFmtId="0" fontId="2" fillId="0" borderId="42" applyNumberFormat="0" applyFill="0" applyAlignment="0" applyProtection="0"/>
    <xf numFmtId="0" fontId="2" fillId="0" borderId="38" applyNumberFormat="0" applyFill="0" applyAlignment="0" applyProtection="0"/>
    <xf numFmtId="0" fontId="2" fillId="66" borderId="0" applyNumberFormat="0" applyBorder="0" applyAlignment="0" applyProtection="0"/>
    <xf numFmtId="0" fontId="2" fillId="0" borderId="43" applyNumberFormat="0" applyFill="0" applyAlignment="0" applyProtection="0"/>
    <xf numFmtId="0" fontId="2" fillId="0" borderId="44" applyNumberFormat="0" applyFill="0" applyAlignment="0" applyProtection="0"/>
    <xf numFmtId="46" fontId="2" fillId="0" borderId="0" applyFill="0" applyBorder="0" applyAlignment="0" applyProtection="0"/>
    <xf numFmtId="0" fontId="2" fillId="0" borderId="45" applyNumberFormat="0" applyFill="0" applyAlignment="0" applyProtection="0"/>
    <xf numFmtId="0" fontId="2" fillId="0" borderId="17" applyNumberFormat="0" applyFill="0" applyAlignment="0" applyProtection="0"/>
    <xf numFmtId="0" fontId="2" fillId="0" borderId="39" applyNumberFormat="0" applyFill="0" applyAlignment="0" applyProtection="0"/>
    <xf numFmtId="0" fontId="2" fillId="0" borderId="46" applyNumberFormat="0" applyFill="0" applyAlignment="0" applyProtection="0"/>
    <xf numFmtId="0" fontId="2" fillId="0" borderId="39" applyNumberFormat="0" applyFill="0" applyAlignment="0" applyProtection="0"/>
    <xf numFmtId="0" fontId="2" fillId="0" borderId="0" applyNumberFormat="0" applyFill="0" applyBorder="0" applyProtection="0">
      <alignment horizontal="center"/>
    </xf>
    <xf numFmtId="0" fontId="2" fillId="66" borderId="0" applyNumberFormat="0" applyBorder="0" applyAlignment="0" applyProtection="0"/>
    <xf numFmtId="0" fontId="2" fillId="0" borderId="47" applyNumberFormat="0" applyFill="0" applyAlignment="0" applyProtection="0"/>
    <xf numFmtId="0" fontId="2" fillId="0" borderId="48" applyNumberFormat="0" applyFill="0" applyAlignment="0" applyProtection="0"/>
    <xf numFmtId="178" fontId="2" fillId="0" borderId="0" applyFill="0" applyBorder="0" applyAlignment="0" applyProtection="0"/>
    <xf numFmtId="0" fontId="2" fillId="0" borderId="49" applyNumberFormat="0" applyFill="0" applyAlignment="0" applyProtection="0"/>
    <xf numFmtId="0" fontId="2" fillId="0" borderId="50" applyNumberFormat="0" applyFill="0" applyAlignment="0" applyProtection="0"/>
    <xf numFmtId="0" fontId="2" fillId="0" borderId="14" applyNumberFormat="0" applyFill="0" applyAlignment="0" applyProtection="0"/>
    <xf numFmtId="0" fontId="2" fillId="0" borderId="15" applyNumberFormat="0" applyFill="0" applyAlignment="0" applyProtection="0"/>
    <xf numFmtId="0" fontId="2" fillId="0" borderId="16" applyNumberFormat="0" applyFill="0" applyAlignment="0" applyProtection="0"/>
    <xf numFmtId="0" fontId="77" fillId="0" borderId="0" applyNumberFormat="0" applyFill="0" applyBorder="0" applyAlignment="0" applyProtection="0"/>
    <xf numFmtId="0" fontId="2" fillId="0" borderId="51" applyNumberFormat="0" applyFill="0" applyAlignment="0" applyProtection="0"/>
    <xf numFmtId="0" fontId="78" fillId="0" borderId="0" applyNumberFormat="0" applyFill="0" applyBorder="0" applyAlignment="0" applyProtection="0"/>
    <xf numFmtId="0" fontId="2" fillId="47" borderId="39" applyNumberFormat="0" applyFont="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 fillId="47" borderId="39" applyNumberFormat="0" applyFont="0" applyAlignment="0" applyProtection="0"/>
    <xf numFmtId="0" fontId="2" fillId="47" borderId="39" applyNumberFormat="0" applyFont="0" applyAlignment="0" applyProtection="0"/>
    <xf numFmtId="0" fontId="2" fillId="0" borderId="0"/>
    <xf numFmtId="179" fontId="2" fillId="0" borderId="0" applyFill="0" applyBorder="0" applyAlignment="0" applyProtection="0"/>
    <xf numFmtId="43"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1" fillId="0" borderId="0"/>
    <xf numFmtId="43" fontId="2" fillId="0" borderId="0" applyFont="0" applyFill="0" applyBorder="0" applyAlignment="0" applyProtection="0"/>
    <xf numFmtId="0" fontId="2" fillId="0" borderId="89" applyNumberFormat="0" applyFill="0" applyAlignment="0" applyProtection="0"/>
    <xf numFmtId="0" fontId="68" fillId="62" borderId="77" applyNumberFormat="0" applyAlignment="0" applyProtection="0"/>
    <xf numFmtId="0" fontId="68" fillId="62" borderId="122" applyNumberFormat="0" applyAlignment="0" applyProtection="0"/>
    <xf numFmtId="0" fontId="2" fillId="0" borderId="109" applyNumberFormat="0" applyFont="0" applyFill="0" applyAlignment="0" applyProtection="0"/>
    <xf numFmtId="0" fontId="59" fillId="0" borderId="64" applyNumberFormat="0" applyFill="0" applyAlignment="0" applyProtection="0"/>
    <xf numFmtId="0" fontId="73" fillId="49" borderId="66" applyNumberFormat="0" applyAlignment="0" applyProtection="0"/>
    <xf numFmtId="0" fontId="2" fillId="0" borderId="128" applyNumberFormat="0" applyFill="0" applyAlignment="0" applyProtection="0"/>
    <xf numFmtId="0" fontId="2" fillId="0" borderId="110" applyNumberFormat="0" applyFont="0" applyFill="0" applyAlignment="0" applyProtection="0"/>
    <xf numFmtId="0" fontId="2" fillId="0" borderId="82" applyNumberFormat="0" applyFill="0" applyAlignment="0" applyProtection="0"/>
    <xf numFmtId="0" fontId="2" fillId="0" borderId="84" applyNumberFormat="0" applyFill="0" applyAlignment="0" applyProtection="0"/>
    <xf numFmtId="0" fontId="68" fillId="62" borderId="66" applyNumberFormat="0" applyAlignment="0" applyProtection="0"/>
    <xf numFmtId="0" fontId="2" fillId="0" borderId="97" applyNumberFormat="0" applyFill="0" applyAlignment="0" applyProtection="0"/>
    <xf numFmtId="0" fontId="2" fillId="0" borderId="128" applyNumberFormat="0" applyFont="0" applyFill="0" applyAlignment="0" applyProtection="0"/>
    <xf numFmtId="0" fontId="2" fillId="0" borderId="78" applyNumberFormat="0" applyFont="0" applyFill="0" applyAlignment="0" applyProtection="0"/>
    <xf numFmtId="0" fontId="2" fillId="0" borderId="112" applyNumberFormat="0" applyFont="0" applyFill="0" applyAlignment="0" applyProtection="0"/>
    <xf numFmtId="0" fontId="2" fillId="0" borderId="76" applyNumberFormat="0" applyFont="0" applyFill="0" applyAlignment="0" applyProtection="0"/>
    <xf numFmtId="0" fontId="2" fillId="0" borderId="85" applyNumberFormat="0" applyFont="0" applyFill="0" applyAlignment="0" applyProtection="0"/>
    <xf numFmtId="0" fontId="2" fillId="0" borderId="100" applyNumberFormat="0" applyFill="0" applyAlignment="0" applyProtection="0"/>
    <xf numFmtId="4" fontId="59" fillId="0" borderId="108" applyFill="0" applyBorder="0" applyProtection="0">
      <alignment horizontal="right" vertical="center"/>
    </xf>
    <xf numFmtId="0" fontId="68" fillId="62" borderId="111" applyNumberFormat="0" applyAlignment="0" applyProtection="0"/>
    <xf numFmtId="0" fontId="2" fillId="47" borderId="89" applyNumberFormat="0" applyFont="0" applyAlignment="0" applyProtection="0"/>
    <xf numFmtId="0" fontId="76" fillId="62" borderId="79" applyNumberFormat="0" applyAlignment="0" applyProtection="0"/>
    <xf numFmtId="0" fontId="2" fillId="0" borderId="73" applyNumberFormat="0" applyFont="0" applyFill="0" applyAlignment="0" applyProtection="0"/>
    <xf numFmtId="0" fontId="2" fillId="0" borderId="72" applyNumberFormat="0" applyFont="0" applyFill="0" applyAlignment="0" applyProtection="0"/>
    <xf numFmtId="0" fontId="2" fillId="0" borderId="71" applyNumberFormat="0" applyFont="0" applyFill="0" applyAlignment="0" applyProtection="0"/>
    <xf numFmtId="0" fontId="59" fillId="0" borderId="108" applyNumberFormat="0" applyFill="0" applyAlignment="0" applyProtection="0"/>
    <xf numFmtId="0" fontId="2" fillId="0" borderId="67" applyNumberFormat="0" applyFont="0" applyFill="0" applyAlignment="0" applyProtection="0"/>
    <xf numFmtId="0" fontId="2" fillId="0" borderId="69" applyNumberFormat="0" applyFont="0" applyFill="0" applyAlignment="0" applyProtection="0"/>
    <xf numFmtId="0" fontId="2" fillId="0" borderId="107" applyNumberFormat="0" applyFont="0" applyFill="0" applyAlignment="0" applyProtection="0"/>
    <xf numFmtId="0" fontId="73" fillId="49" borderId="122" applyNumberFormat="0" applyAlignment="0" applyProtection="0"/>
    <xf numFmtId="0" fontId="76" fillId="62" borderId="101" applyNumberFormat="0" applyAlignment="0" applyProtection="0"/>
    <xf numFmtId="0" fontId="2" fillId="0" borderId="94" applyNumberFormat="0" applyFont="0" applyFill="0" applyAlignment="0" applyProtection="0"/>
    <xf numFmtId="0" fontId="2" fillId="0" borderId="64" applyNumberFormat="0" applyFont="0" applyFill="0" applyAlignment="0" applyProtection="0"/>
    <xf numFmtId="0" fontId="2" fillId="0" borderId="91" applyNumberFormat="0" applyFont="0" applyFill="0" applyAlignment="0" applyProtection="0"/>
    <xf numFmtId="0" fontId="2" fillId="0" borderId="114" applyNumberFormat="0" applyFont="0" applyFill="0" applyAlignment="0" applyProtection="0"/>
    <xf numFmtId="0" fontId="68" fillId="62" borderId="55" applyNumberFormat="0" applyAlignment="0" applyProtection="0"/>
    <xf numFmtId="0" fontId="73" fillId="49" borderId="77" applyNumberFormat="0" applyAlignment="0" applyProtection="0"/>
    <xf numFmtId="0" fontId="2" fillId="0" borderId="115" applyNumberFormat="0" applyFill="0" applyAlignment="0" applyProtection="0"/>
    <xf numFmtId="0" fontId="2" fillId="0" borderId="83" applyNumberFormat="0" applyFill="0" applyAlignment="0" applyProtection="0"/>
    <xf numFmtId="0" fontId="2" fillId="47" borderId="123" applyNumberFormat="0" applyFont="0" applyAlignment="0" applyProtection="0"/>
    <xf numFmtId="0" fontId="68" fillId="62" borderId="99" applyNumberFormat="0" applyAlignment="0" applyProtection="0"/>
    <xf numFmtId="0" fontId="2" fillId="0" borderId="74" applyNumberFormat="0" applyFill="0" applyAlignment="0" applyProtection="0"/>
    <xf numFmtId="0" fontId="2" fillId="0" borderId="65" applyNumberFormat="0" applyFill="0" applyAlignment="0" applyProtection="0"/>
    <xf numFmtId="0" fontId="2" fillId="0" borderId="70" applyNumberFormat="0" applyFill="0" applyAlignment="0" applyProtection="0"/>
    <xf numFmtId="0" fontId="2" fillId="0" borderId="106" applyNumberFormat="0" applyFill="0" applyAlignment="0" applyProtection="0"/>
    <xf numFmtId="0" fontId="2" fillId="0" borderId="125" applyNumberFormat="0" applyFont="0" applyFill="0" applyAlignment="0" applyProtection="0"/>
    <xf numFmtId="0" fontId="2" fillId="0" borderId="67" applyNumberFormat="0" applyFill="0" applyAlignment="0" applyProtection="0"/>
    <xf numFmtId="0" fontId="2" fillId="0" borderId="69" applyNumberFormat="0" applyFill="0" applyAlignment="0" applyProtection="0"/>
    <xf numFmtId="0" fontId="2" fillId="47" borderId="112" applyNumberFormat="0" applyFont="0" applyAlignment="0" applyProtection="0"/>
    <xf numFmtId="0" fontId="2" fillId="0" borderId="95" applyNumberFormat="0" applyFont="0" applyFill="0" applyAlignment="0" applyProtection="0"/>
    <xf numFmtId="0" fontId="2" fillId="0" borderId="89" applyNumberFormat="0" applyFont="0" applyFill="0" applyAlignment="0" applyProtection="0"/>
    <xf numFmtId="0" fontId="2" fillId="0" borderId="64" applyNumberFormat="0" applyFill="0" applyAlignment="0" applyProtection="0"/>
    <xf numFmtId="0" fontId="2" fillId="0" borderId="86" applyNumberFormat="0" applyFont="0" applyFill="0" applyAlignment="0" applyProtection="0"/>
    <xf numFmtId="181" fontId="59" fillId="68" borderId="108" applyNumberFormat="0" applyFont="0" applyBorder="0" applyAlignment="0" applyProtection="0">
      <alignment horizontal="right" vertical="center"/>
    </xf>
    <xf numFmtId="0" fontId="73" fillId="49" borderId="99" applyNumberFormat="0" applyAlignment="0" applyProtection="0"/>
    <xf numFmtId="0" fontId="73" fillId="49" borderId="55" applyNumberFormat="0" applyAlignment="0" applyProtection="0"/>
    <xf numFmtId="0" fontId="2" fillId="0" borderId="105" applyNumberFormat="0" applyFill="0" applyAlignment="0" applyProtection="0"/>
    <xf numFmtId="0" fontId="2" fillId="0" borderId="87" applyNumberFormat="0" applyFill="0" applyAlignment="0" applyProtection="0"/>
    <xf numFmtId="0" fontId="2" fillId="0" borderId="92" applyNumberFormat="0" applyFill="0" applyAlignment="0" applyProtection="0"/>
    <xf numFmtId="0" fontId="76" fillId="62" borderId="68" applyNumberFormat="0" applyAlignment="0" applyProtection="0"/>
    <xf numFmtId="0" fontId="2" fillId="47" borderId="67" applyNumberFormat="0" applyFont="0" applyAlignment="0" applyProtection="0"/>
    <xf numFmtId="0" fontId="2" fillId="0" borderId="91" applyNumberFormat="0" applyFill="0" applyAlignment="0" applyProtection="0"/>
    <xf numFmtId="0" fontId="2" fillId="0" borderId="112" applyNumberFormat="0" applyFont="0" applyFill="0" applyAlignment="0" applyProtection="0"/>
    <xf numFmtId="0" fontId="76" fillId="62" borderId="79" applyNumberFormat="0" applyAlignment="0" applyProtection="0"/>
    <xf numFmtId="0" fontId="2" fillId="0" borderId="98" applyNumberFormat="0" applyFill="0" applyAlignment="0" applyProtection="0"/>
    <xf numFmtId="0" fontId="59" fillId="0" borderId="53" applyNumberFormat="0" applyFill="0" applyAlignment="0" applyProtection="0"/>
    <xf numFmtId="0" fontId="2" fillId="0" borderId="100" applyNumberFormat="0" applyFont="0" applyFill="0" applyAlignment="0" applyProtection="0"/>
    <xf numFmtId="0" fontId="2" fillId="0" borderId="80" applyNumberFormat="0" applyFill="0" applyAlignment="0" applyProtection="0"/>
    <xf numFmtId="0" fontId="2" fillId="47" borderId="56" applyNumberFormat="0" applyFont="0" applyAlignment="0" applyProtection="0"/>
    <xf numFmtId="0" fontId="2" fillId="0" borderId="78" applyNumberFormat="0" applyFill="0" applyAlignment="0" applyProtection="0"/>
    <xf numFmtId="0" fontId="2" fillId="47" borderId="56" applyNumberFormat="0" applyFont="0" applyAlignment="0" applyProtection="0"/>
    <xf numFmtId="0" fontId="76" fillId="62" borderId="57" applyNumberFormat="0" applyAlignment="0" applyProtection="0"/>
    <xf numFmtId="0" fontId="2" fillId="0" borderId="81" applyNumberFormat="0" applyFill="0" applyAlignment="0" applyProtection="0"/>
    <xf numFmtId="0" fontId="2" fillId="0" borderId="76" applyNumberFormat="0" applyFill="0" applyAlignment="0" applyProtection="0"/>
    <xf numFmtId="0" fontId="2" fillId="0" borderId="94" applyNumberFormat="0" applyFill="0" applyAlignment="0" applyProtection="0"/>
    <xf numFmtId="0" fontId="73" fillId="49" borderId="88" applyNumberFormat="0" applyAlignment="0" applyProtection="0"/>
    <xf numFmtId="0" fontId="2" fillId="0" borderId="75" applyNumberFormat="0" applyFont="0" applyFill="0" applyAlignment="0" applyProtection="0"/>
    <xf numFmtId="0" fontId="2" fillId="0" borderId="129" applyNumberFormat="0" applyFont="0" applyFill="0" applyAlignment="0" applyProtection="0"/>
    <xf numFmtId="0" fontId="2" fillId="0" borderId="53" applyNumberFormat="0" applyFill="0" applyAlignment="0" applyProtection="0"/>
    <xf numFmtId="0" fontId="2" fillId="0" borderId="78" applyNumberFormat="0" applyFont="0" applyFill="0" applyAlignment="0" applyProtection="0"/>
    <xf numFmtId="0" fontId="2" fillId="0" borderId="84" applyNumberFormat="0" applyFont="0" applyFill="0" applyAlignment="0" applyProtection="0"/>
    <xf numFmtId="0" fontId="2" fillId="47" borderId="100" applyNumberFormat="0" applyFont="0" applyAlignment="0" applyProtection="0"/>
    <xf numFmtId="0" fontId="2" fillId="0" borderId="56" applyNumberFormat="0" applyFill="0" applyAlignment="0" applyProtection="0"/>
    <xf numFmtId="0" fontId="2" fillId="0" borderId="58" applyNumberFormat="0" applyFill="0" applyAlignment="0" applyProtection="0"/>
    <xf numFmtId="0" fontId="2" fillId="0" borderId="56" applyNumberFormat="0" applyFill="0" applyAlignment="0" applyProtection="0"/>
    <xf numFmtId="0" fontId="2" fillId="0" borderId="87" applyNumberFormat="0" applyFont="0" applyFill="0" applyAlignment="0" applyProtection="0"/>
    <xf numFmtId="0" fontId="2" fillId="0" borderId="109" applyNumberFormat="0" applyFill="0" applyAlignment="0" applyProtection="0"/>
    <xf numFmtId="0" fontId="68" fillId="62" borderId="77" applyNumberFormat="0" applyAlignment="0" applyProtection="0"/>
    <xf numFmtId="0" fontId="2" fillId="0" borderId="95" applyNumberFormat="0" applyFill="0" applyAlignment="0" applyProtection="0"/>
    <xf numFmtId="0" fontId="2" fillId="0" borderId="93" applyNumberFormat="0" applyFill="0" applyAlignment="0" applyProtection="0"/>
    <xf numFmtId="0" fontId="2" fillId="0" borderId="59" applyNumberFormat="0" applyFill="0" applyAlignment="0" applyProtection="0"/>
    <xf numFmtId="0" fontId="73" fillId="49" borderId="77" applyNumberFormat="0" applyAlignment="0" applyProtection="0"/>
    <xf numFmtId="0" fontId="2" fillId="0" borderId="60" applyNumberFormat="0" applyFill="0" applyAlignment="0" applyProtection="0"/>
    <xf numFmtId="0" fontId="2" fillId="0" borderId="54" applyNumberFormat="0" applyFill="0" applyAlignment="0" applyProtection="0"/>
    <xf numFmtId="0" fontId="2" fillId="0" borderId="61" applyNumberFormat="0" applyFill="0" applyAlignment="0" applyProtection="0"/>
    <xf numFmtId="0" fontId="2" fillId="0" borderId="62" applyNumberFormat="0" applyFill="0" applyAlignment="0" applyProtection="0"/>
    <xf numFmtId="0" fontId="2" fillId="0" borderId="63" applyNumberFormat="0" applyFill="0" applyAlignment="0" applyProtection="0"/>
    <xf numFmtId="0" fontId="2" fillId="0" borderId="123" applyNumberFormat="0" applyFill="0" applyAlignment="0" applyProtection="0"/>
    <xf numFmtId="0" fontId="68" fillId="62" borderId="88" applyNumberFormat="0" applyAlignment="0" applyProtection="0"/>
    <xf numFmtId="0" fontId="76" fillId="62" borderId="90" applyNumberFormat="0" applyAlignment="0" applyProtection="0"/>
    <xf numFmtId="0" fontId="2" fillId="0" borderId="102" applyNumberFormat="0" applyFill="0" applyAlignment="0" applyProtection="0"/>
    <xf numFmtId="0" fontId="76" fillId="62" borderId="101" applyNumberFormat="0" applyAlignment="0" applyProtection="0"/>
    <xf numFmtId="0" fontId="2" fillId="47" borderId="78" applyNumberFormat="0" applyFont="0" applyAlignment="0" applyProtection="0"/>
    <xf numFmtId="0" fontId="2" fillId="0" borderId="115" applyNumberFormat="0" applyFont="0" applyFill="0" applyAlignment="0" applyProtection="0"/>
    <xf numFmtId="0" fontId="2" fillId="0" borderId="116" applyNumberFormat="0" applyFill="0" applyAlignment="0" applyProtection="0"/>
    <xf numFmtId="0" fontId="2" fillId="0" borderId="103" applyNumberFormat="0" applyFont="0" applyFill="0" applyAlignment="0" applyProtection="0"/>
    <xf numFmtId="49" fontId="55" fillId="0" borderId="108" applyNumberFormat="0" applyFill="0" applyBorder="0" applyProtection="0">
      <alignment horizontal="left" vertical="center"/>
    </xf>
    <xf numFmtId="0" fontId="2" fillId="0" borderId="72" applyNumberFormat="0" applyFill="0" applyAlignment="0" applyProtection="0"/>
    <xf numFmtId="0" fontId="73" fillId="49" borderId="88" applyNumberFormat="0" applyAlignment="0" applyProtection="0"/>
    <xf numFmtId="0" fontId="2" fillId="0" borderId="103" applyNumberFormat="0" applyFill="0" applyAlignment="0" applyProtection="0"/>
    <xf numFmtId="0" fontId="73" fillId="49" borderId="66" applyNumberFormat="0" applyAlignment="0" applyProtection="0"/>
    <xf numFmtId="0" fontId="73" fillId="49" borderId="111" applyNumberFormat="0" applyAlignment="0" applyProtection="0"/>
    <xf numFmtId="0" fontId="2" fillId="0" borderId="75" applyNumberFormat="0" applyFill="0" applyAlignment="0" applyProtection="0"/>
    <xf numFmtId="0" fontId="2" fillId="0" borderId="102" applyNumberFormat="0" applyFont="0" applyFill="0" applyAlignment="0" applyProtection="0"/>
    <xf numFmtId="0" fontId="76" fillId="62" borderId="113" applyNumberFormat="0" applyAlignment="0" applyProtection="0"/>
    <xf numFmtId="0" fontId="2" fillId="0" borderId="80" applyNumberFormat="0" applyFont="0" applyFill="0" applyAlignment="0" applyProtection="0"/>
    <xf numFmtId="0" fontId="2" fillId="0" borderId="53" applyNumberFormat="0" applyFont="0" applyFill="0" applyAlignment="0" applyProtection="0"/>
    <xf numFmtId="0" fontId="2" fillId="0" borderId="83" applyNumberFormat="0" applyFont="0" applyFill="0" applyAlignment="0" applyProtection="0"/>
    <xf numFmtId="0" fontId="76" fillId="62" borderId="90" applyNumberFormat="0" applyAlignment="0" applyProtection="0"/>
    <xf numFmtId="0" fontId="2" fillId="0" borderId="96" applyNumberFormat="0" applyFont="0" applyFill="0" applyAlignment="0" applyProtection="0"/>
    <xf numFmtId="0" fontId="2" fillId="0" borderId="56" applyNumberFormat="0" applyFont="0" applyFill="0" applyAlignment="0" applyProtection="0"/>
    <xf numFmtId="0" fontId="2" fillId="0" borderId="58" applyNumberFormat="0" applyFont="0" applyFill="0" applyAlignment="0" applyProtection="0"/>
    <xf numFmtId="0" fontId="2" fillId="0" borderId="56" applyNumberFormat="0" applyFont="0" applyFill="0" applyAlignment="0" applyProtection="0"/>
    <xf numFmtId="0" fontId="2" fillId="0" borderId="89" applyNumberFormat="0" applyFont="0" applyFill="0" applyAlignment="0" applyProtection="0"/>
    <xf numFmtId="0" fontId="2" fillId="0" borderId="59" applyNumberFormat="0" applyFont="0" applyFill="0" applyAlignment="0" applyProtection="0"/>
    <xf numFmtId="0" fontId="2" fillId="0" borderId="60" applyNumberFormat="0" applyFont="0" applyFill="0" applyAlignment="0" applyProtection="0"/>
    <xf numFmtId="0" fontId="2" fillId="0" borderId="54" applyNumberFormat="0" applyFont="0" applyFill="0" applyAlignment="0" applyProtection="0"/>
    <xf numFmtId="0" fontId="2" fillId="0" borderId="61" applyNumberFormat="0" applyFont="0" applyFill="0" applyAlignment="0" applyProtection="0"/>
    <xf numFmtId="0" fontId="2" fillId="0" borderId="62" applyNumberFormat="0" applyFont="0" applyFill="0" applyAlignment="0" applyProtection="0"/>
    <xf numFmtId="0" fontId="2" fillId="0" borderId="63" applyNumberFormat="0" applyFont="0" applyFill="0" applyAlignment="0" applyProtection="0"/>
    <xf numFmtId="0" fontId="76" fillId="62" borderId="68" applyNumberFormat="0" applyAlignment="0" applyProtection="0"/>
    <xf numFmtId="0" fontId="2" fillId="0" borderId="126" applyNumberFormat="0" applyFill="0" applyAlignment="0" applyProtection="0"/>
    <xf numFmtId="0" fontId="2" fillId="47" borderId="78" applyNumberFormat="0" applyFont="0" applyAlignment="0" applyProtection="0"/>
    <xf numFmtId="0" fontId="2" fillId="0" borderId="78" applyNumberFormat="0" applyFill="0" applyAlignment="0" applyProtection="0"/>
    <xf numFmtId="0" fontId="68" fillId="62" borderId="99" applyNumberFormat="0" applyAlignment="0" applyProtection="0"/>
    <xf numFmtId="0" fontId="73" fillId="49" borderId="111" applyNumberFormat="0" applyAlignment="0" applyProtection="0"/>
    <xf numFmtId="0" fontId="2" fillId="47" borderId="123" applyNumberFormat="0" applyFont="0" applyAlignment="0" applyProtection="0"/>
    <xf numFmtId="0" fontId="2" fillId="0" borderId="81" applyNumberFormat="0" applyFont="0" applyFill="0" applyAlignment="0" applyProtection="0"/>
    <xf numFmtId="0" fontId="2" fillId="0" borderId="92" applyNumberFormat="0" applyFont="0" applyFill="0" applyAlignment="0" applyProtection="0"/>
    <xf numFmtId="0" fontId="2" fillId="0" borderId="89" applyNumberFormat="0" applyFill="0" applyAlignment="0" applyProtection="0"/>
    <xf numFmtId="0" fontId="2" fillId="0" borderId="74" applyNumberFormat="0" applyFont="0" applyFill="0" applyAlignment="0" applyProtection="0"/>
    <xf numFmtId="0" fontId="2" fillId="0" borderId="65" applyNumberFormat="0" applyFont="0" applyFill="0" applyAlignment="0" applyProtection="0"/>
    <xf numFmtId="0" fontId="2" fillId="0" borderId="70" applyNumberFormat="0" applyFont="0" applyFill="0" applyAlignment="0" applyProtection="0"/>
    <xf numFmtId="0" fontId="2" fillId="0" borderId="100" applyNumberFormat="0" applyFont="0" applyFill="0" applyAlignment="0" applyProtection="0"/>
    <xf numFmtId="0" fontId="2" fillId="0" borderId="67" applyNumberFormat="0" applyFont="0" applyFill="0" applyAlignment="0" applyProtection="0"/>
    <xf numFmtId="0" fontId="2" fillId="0" borderId="86" applyNumberFormat="0" applyFill="0" applyAlignment="0" applyProtection="0"/>
    <xf numFmtId="0" fontId="68" fillId="62" borderId="55" applyNumberFormat="0" applyAlignment="0" applyProtection="0"/>
    <xf numFmtId="0" fontId="73" fillId="49" borderId="99" applyNumberFormat="0" applyAlignment="0" applyProtection="0"/>
    <xf numFmtId="0" fontId="2" fillId="0" borderId="73" applyNumberFormat="0" applyFill="0" applyAlignment="0" applyProtection="0"/>
    <xf numFmtId="0" fontId="2" fillId="0" borderId="71" applyNumberFormat="0" applyFill="0" applyAlignment="0" applyProtection="0"/>
    <xf numFmtId="0" fontId="2" fillId="0" borderId="104" applyNumberFormat="0" applyFill="0" applyAlignment="0" applyProtection="0"/>
    <xf numFmtId="0" fontId="68" fillId="62" borderId="88" applyNumberFormat="0" applyAlignment="0" applyProtection="0"/>
    <xf numFmtId="0" fontId="2" fillId="0" borderId="98" applyNumberFormat="0" applyFont="0" applyFill="0" applyAlignment="0" applyProtection="0"/>
    <xf numFmtId="0" fontId="2" fillId="0" borderId="67" applyNumberFormat="0" applyFill="0" applyAlignment="0" applyProtection="0"/>
    <xf numFmtId="0" fontId="73" fillId="49" borderId="55" applyNumberFormat="0" applyAlignment="0" applyProtection="0"/>
    <xf numFmtId="0" fontId="2" fillId="47" borderId="67" applyNumberFormat="0" applyFont="0" applyAlignment="0" applyProtection="0"/>
    <xf numFmtId="0" fontId="2" fillId="0" borderId="117" applyNumberFormat="0" applyFill="0" applyAlignment="0" applyProtection="0"/>
    <xf numFmtId="0" fontId="59" fillId="0" borderId="53" applyNumberFormat="0" applyFill="0" applyAlignment="0" applyProtection="0"/>
    <xf numFmtId="0" fontId="2" fillId="0" borderId="97" applyNumberFormat="0" applyFont="0" applyFill="0" applyAlignment="0" applyProtection="0"/>
    <xf numFmtId="0" fontId="76" fillId="62" borderId="57" applyNumberFormat="0" applyAlignment="0" applyProtection="0"/>
    <xf numFmtId="0" fontId="2" fillId="0" borderId="118" applyNumberFormat="0" applyFill="0" applyAlignment="0" applyProtection="0"/>
    <xf numFmtId="0" fontId="68" fillId="62" borderId="111" applyNumberFormat="0" applyAlignment="0" applyProtection="0"/>
    <xf numFmtId="0" fontId="68" fillId="62" borderId="66" applyNumberFormat="0" applyAlignment="0" applyProtection="0"/>
    <xf numFmtId="0" fontId="2" fillId="0" borderId="105" applyNumberFormat="0" applyFont="0" applyFill="0" applyAlignment="0" applyProtection="0"/>
    <xf numFmtId="0" fontId="2" fillId="0" borderId="119" applyNumberFormat="0" applyFont="0" applyFill="0" applyAlignment="0" applyProtection="0"/>
    <xf numFmtId="0" fontId="2" fillId="0" borderId="53" applyNumberFormat="0" applyFill="0" applyAlignment="0" applyProtection="0"/>
    <xf numFmtId="0" fontId="2" fillId="0" borderId="82" applyNumberFormat="0" applyFont="0" applyFill="0" applyAlignment="0" applyProtection="0"/>
    <xf numFmtId="0" fontId="2" fillId="0" borderId="123" applyNumberFormat="0" applyFill="0" applyAlignment="0" applyProtection="0"/>
    <xf numFmtId="0" fontId="2" fillId="0" borderId="112" applyNumberFormat="0" applyFill="0" applyAlignment="0" applyProtection="0"/>
    <xf numFmtId="0" fontId="2" fillId="0" borderId="56" applyNumberFormat="0" applyFill="0" applyAlignment="0" applyProtection="0"/>
    <xf numFmtId="0" fontId="2" fillId="0" borderId="58" applyNumberFormat="0" applyFill="0" applyAlignment="0" applyProtection="0"/>
    <xf numFmtId="0" fontId="2" fillId="0" borderId="56" applyNumberFormat="0" applyFill="0" applyAlignment="0" applyProtection="0"/>
    <xf numFmtId="0" fontId="68" fillId="62" borderId="122" applyNumberFormat="0" applyAlignment="0" applyProtection="0"/>
    <xf numFmtId="0" fontId="2" fillId="0" borderId="59" applyNumberFormat="0" applyFill="0" applyAlignment="0" applyProtection="0"/>
    <xf numFmtId="0" fontId="2" fillId="0" borderId="60" applyNumberFormat="0" applyFill="0" applyAlignment="0" applyProtection="0"/>
    <xf numFmtId="0" fontId="2" fillId="0" borderId="54" applyNumberFormat="0" applyFill="0" applyAlignment="0" applyProtection="0"/>
    <xf numFmtId="0" fontId="2" fillId="0" borderId="61" applyNumberFormat="0" applyFill="0" applyAlignment="0" applyProtection="0"/>
    <xf numFmtId="0" fontId="2" fillId="0" borderId="62" applyNumberFormat="0" applyFill="0" applyAlignment="0" applyProtection="0"/>
    <xf numFmtId="0" fontId="2" fillId="0" borderId="63" applyNumberFormat="0" applyFill="0" applyAlignment="0" applyProtection="0"/>
    <xf numFmtId="0" fontId="59" fillId="0" borderId="75" applyNumberFormat="0" applyFill="0" applyAlignment="0" applyProtection="0"/>
    <xf numFmtId="0" fontId="2" fillId="0" borderId="100" applyNumberFormat="0" applyFill="0" applyAlignment="0" applyProtection="0"/>
    <xf numFmtId="0" fontId="2" fillId="47" borderId="56" applyNumberFormat="0" applyFont="0" applyAlignment="0" applyProtection="0"/>
    <xf numFmtId="0" fontId="2" fillId="47" borderId="89" applyNumberFormat="0" applyFont="0" applyAlignment="0" applyProtection="0"/>
    <xf numFmtId="0" fontId="2" fillId="0" borderId="110" applyNumberFormat="0" applyFill="0" applyAlignment="0" applyProtection="0"/>
    <xf numFmtId="0" fontId="2" fillId="47" borderId="56" applyNumberFormat="0" applyFont="0" applyAlignment="0" applyProtection="0"/>
    <xf numFmtId="0" fontId="2" fillId="47" borderId="56" applyNumberFormat="0" applyFont="0" applyAlignment="0" applyProtection="0"/>
    <xf numFmtId="0" fontId="76" fillId="62" borderId="113" applyNumberFormat="0" applyAlignment="0" applyProtection="0"/>
    <xf numFmtId="0" fontId="2" fillId="0" borderId="123" applyNumberFormat="0" applyFont="0" applyFill="0" applyAlignment="0" applyProtection="0"/>
    <xf numFmtId="0" fontId="2" fillId="0" borderId="106" applyNumberFormat="0" applyFont="0" applyFill="0" applyAlignment="0" applyProtection="0"/>
    <xf numFmtId="0" fontId="73" fillId="49" borderId="122" applyNumberFormat="0" applyAlignment="0" applyProtection="0"/>
    <xf numFmtId="0" fontId="2" fillId="0" borderId="85" applyNumberFormat="0" applyFill="0" applyAlignment="0" applyProtection="0"/>
    <xf numFmtId="0" fontId="59" fillId="0" borderId="64" applyNumberFormat="0" applyFill="0" applyAlignment="0" applyProtection="0"/>
    <xf numFmtId="0" fontId="2" fillId="0" borderId="114" applyNumberFormat="0" applyFill="0" applyAlignment="0" applyProtection="0"/>
    <xf numFmtId="0" fontId="2" fillId="0" borderId="117" applyNumberFormat="0" applyFont="0" applyFill="0" applyAlignment="0" applyProtection="0"/>
    <xf numFmtId="0" fontId="2" fillId="0" borderId="127" applyNumberFormat="0" applyFont="0" applyFill="0" applyAlignment="0" applyProtection="0"/>
    <xf numFmtId="0" fontId="2" fillId="0" borderId="64" applyNumberFormat="0" applyFill="0" applyAlignment="0" applyProtection="0"/>
    <xf numFmtId="0" fontId="2" fillId="0" borderId="93" applyNumberFormat="0" applyFont="0" applyFill="0" applyAlignment="0" applyProtection="0"/>
    <xf numFmtId="0" fontId="2" fillId="0" borderId="67" applyNumberFormat="0" applyFill="0" applyAlignment="0" applyProtection="0"/>
    <xf numFmtId="0" fontId="2" fillId="0" borderId="69" applyNumberFormat="0" applyFill="0" applyAlignment="0" applyProtection="0"/>
    <xf numFmtId="0" fontId="2" fillId="0" borderId="67" applyNumberFormat="0" applyFill="0" applyAlignment="0" applyProtection="0"/>
    <xf numFmtId="0" fontId="2" fillId="0" borderId="129" applyNumberFormat="0" applyFill="0" applyAlignment="0" applyProtection="0"/>
    <xf numFmtId="0" fontId="2" fillId="0" borderId="70" applyNumberFormat="0" applyFill="0" applyAlignment="0" applyProtection="0"/>
    <xf numFmtId="0" fontId="2" fillId="0" borderId="125" applyNumberFormat="0" applyFill="0" applyAlignment="0" applyProtection="0"/>
    <xf numFmtId="0" fontId="2" fillId="0" borderId="71" applyNumberFormat="0" applyFill="0" applyAlignment="0" applyProtection="0"/>
    <xf numFmtId="0" fontId="2" fillId="0" borderId="65" applyNumberFormat="0" applyFill="0" applyAlignment="0" applyProtection="0"/>
    <xf numFmtId="0" fontId="2" fillId="0" borderId="72" applyNumberFormat="0" applyFill="0" applyAlignment="0" applyProtection="0"/>
    <xf numFmtId="0" fontId="2" fillId="0" borderId="73" applyNumberFormat="0" applyFill="0" applyAlignment="0" applyProtection="0"/>
    <xf numFmtId="0" fontId="2" fillId="0" borderId="74" applyNumberFormat="0" applyFill="0" applyAlignment="0" applyProtection="0"/>
    <xf numFmtId="0" fontId="59" fillId="0" borderId="86" applyNumberFormat="0" applyFill="0" applyAlignment="0" applyProtection="0"/>
    <xf numFmtId="0" fontId="2" fillId="0" borderId="112" applyNumberFormat="0" applyFill="0" applyAlignment="0" applyProtection="0"/>
    <xf numFmtId="0" fontId="2" fillId="47" borderId="67" applyNumberFormat="0" applyFont="0" applyAlignment="0" applyProtection="0"/>
    <xf numFmtId="0" fontId="2" fillId="47" borderId="100" applyNumberFormat="0" applyFont="0" applyAlignment="0" applyProtection="0"/>
    <xf numFmtId="0" fontId="2" fillId="47" borderId="67" applyNumberFormat="0" applyFont="0" applyAlignment="0" applyProtection="0"/>
    <xf numFmtId="0" fontId="2" fillId="47" borderId="67" applyNumberFormat="0" applyFont="0" applyAlignment="0" applyProtection="0"/>
    <xf numFmtId="0" fontId="2" fillId="0" borderId="130" applyNumberFormat="0" applyFont="0" applyFill="0" applyAlignment="0" applyProtection="0"/>
    <xf numFmtId="0" fontId="2" fillId="0" borderId="118" applyNumberFormat="0" applyFont="0" applyFill="0" applyAlignment="0" applyProtection="0"/>
    <xf numFmtId="0" fontId="76" fillId="62" borderId="124" applyNumberFormat="0" applyAlignment="0" applyProtection="0"/>
    <xf numFmtId="0" fontId="2" fillId="0" borderId="96" applyNumberFormat="0" applyFill="0" applyAlignment="0" applyProtection="0"/>
    <xf numFmtId="0" fontId="59" fillId="0" borderId="75" applyNumberFormat="0" applyFill="0" applyAlignment="0" applyProtection="0"/>
    <xf numFmtId="0" fontId="2" fillId="0" borderId="126" applyNumberFormat="0" applyFont="0" applyFill="0" applyAlignment="0" applyProtection="0"/>
    <xf numFmtId="0" fontId="2" fillId="0" borderId="75" applyNumberFormat="0" applyFill="0" applyAlignment="0" applyProtection="0"/>
    <xf numFmtId="0" fontId="2" fillId="0" borderId="104" applyNumberFormat="0" applyFont="0" applyFill="0" applyAlignment="0" applyProtection="0"/>
    <xf numFmtId="0" fontId="2" fillId="0" borderId="120" applyNumberFormat="0" applyFont="0" applyFill="0" applyAlignment="0" applyProtection="0"/>
    <xf numFmtId="0" fontId="2" fillId="0" borderId="78" applyNumberFormat="0" applyFill="0" applyAlignment="0" applyProtection="0"/>
    <xf numFmtId="0" fontId="2" fillId="0" borderId="80" applyNumberFormat="0" applyFill="0" applyAlignment="0" applyProtection="0"/>
    <xf numFmtId="0" fontId="2" fillId="0" borderId="78" applyNumberFormat="0" applyFill="0" applyAlignment="0" applyProtection="0"/>
    <xf numFmtId="0" fontId="2" fillId="0" borderId="81" applyNumberFormat="0" applyFill="0" applyAlignment="0" applyProtection="0"/>
    <xf numFmtId="0" fontId="2" fillId="0" borderId="82" applyNumberFormat="0" applyFill="0" applyAlignment="0" applyProtection="0"/>
    <xf numFmtId="0" fontId="2" fillId="0" borderId="76" applyNumberFormat="0" applyFill="0" applyAlignment="0" applyProtection="0"/>
    <xf numFmtId="0" fontId="2" fillId="0" borderId="83" applyNumberFormat="0" applyFill="0" applyAlignment="0" applyProtection="0"/>
    <xf numFmtId="0" fontId="2" fillId="0" borderId="84" applyNumberFormat="0" applyFill="0" applyAlignment="0" applyProtection="0"/>
    <xf numFmtId="0" fontId="2" fillId="0" borderId="85" applyNumberFormat="0" applyFill="0" applyAlignment="0" applyProtection="0"/>
    <xf numFmtId="0" fontId="59" fillId="0" borderId="97" applyNumberFormat="0" applyFill="0" applyAlignment="0" applyProtection="0"/>
    <xf numFmtId="0" fontId="2" fillId="0" borderId="130" applyNumberFormat="0" applyFill="0" applyAlignment="0" applyProtection="0"/>
    <xf numFmtId="0" fontId="2" fillId="47" borderId="78" applyNumberFormat="0" applyFont="0" applyAlignment="0" applyProtection="0"/>
    <xf numFmtId="0" fontId="2" fillId="47" borderId="112" applyNumberFormat="0" applyFont="0" applyAlignment="0" applyProtection="0"/>
    <xf numFmtId="0" fontId="2" fillId="47" borderId="78" applyNumberFormat="0" applyFont="0" applyAlignment="0" applyProtection="0"/>
    <xf numFmtId="0" fontId="2" fillId="47" borderId="78" applyNumberFormat="0" applyFont="0" applyAlignment="0" applyProtection="0"/>
    <xf numFmtId="0" fontId="2" fillId="0" borderId="107" applyNumberFormat="0" applyFill="0" applyAlignment="0" applyProtection="0"/>
    <xf numFmtId="0" fontId="59" fillId="0" borderId="86" applyNumberFormat="0" applyFill="0" applyAlignment="0" applyProtection="0"/>
    <xf numFmtId="0" fontId="2" fillId="0" borderId="86" applyNumberFormat="0" applyFill="0" applyAlignment="0" applyProtection="0"/>
    <xf numFmtId="0" fontId="2" fillId="0" borderId="116" applyNumberFormat="0" applyFont="0" applyFill="0" applyAlignment="0" applyProtection="0"/>
    <xf numFmtId="0" fontId="59" fillId="0" borderId="120" applyNumberFormat="0" applyFill="0" applyAlignment="0" applyProtection="0"/>
    <xf numFmtId="0" fontId="2" fillId="0" borderId="89" applyNumberFormat="0" applyFill="0" applyAlignment="0" applyProtection="0"/>
    <xf numFmtId="0" fontId="2" fillId="0" borderId="91" applyNumberFormat="0" applyFill="0" applyAlignment="0" applyProtection="0"/>
    <xf numFmtId="0" fontId="2" fillId="0" borderId="89" applyNumberFormat="0" applyFill="0" applyAlignment="0" applyProtection="0"/>
    <xf numFmtId="0" fontId="2" fillId="0" borderId="92" applyNumberFormat="0" applyFill="0" applyAlignment="0" applyProtection="0"/>
    <xf numFmtId="0" fontId="2" fillId="0" borderId="93" applyNumberFormat="0" applyFill="0" applyAlignment="0" applyProtection="0"/>
    <xf numFmtId="0" fontId="2" fillId="0" borderId="87" applyNumberFormat="0" applyFill="0" applyAlignment="0" applyProtection="0"/>
    <xf numFmtId="0" fontId="2" fillId="0" borderId="94" applyNumberFormat="0" applyFill="0" applyAlignment="0" applyProtection="0"/>
    <xf numFmtId="0" fontId="2" fillId="0" borderId="95" applyNumberFormat="0" applyFill="0" applyAlignment="0" applyProtection="0"/>
    <xf numFmtId="0" fontId="2" fillId="0" borderId="96" applyNumberFormat="0" applyFill="0" applyAlignment="0" applyProtection="0"/>
    <xf numFmtId="0" fontId="59" fillId="0" borderId="109" applyNumberFormat="0" applyFill="0" applyAlignment="0" applyProtection="0"/>
    <xf numFmtId="0" fontId="2" fillId="47" borderId="89" applyNumberFormat="0" applyFont="0" applyAlignment="0" applyProtection="0"/>
    <xf numFmtId="49" fontId="59" fillId="0" borderId="108" applyNumberFormat="0" applyFont="0" applyFill="0" applyBorder="0" applyProtection="0">
      <alignment horizontal="left" vertical="center" indent="2"/>
    </xf>
    <xf numFmtId="0" fontId="76" fillId="62" borderId="124" applyNumberFormat="0" applyAlignment="0" applyProtection="0"/>
    <xf numFmtId="0" fontId="2" fillId="47" borderId="89" applyNumberFormat="0" applyFont="0" applyAlignment="0" applyProtection="0"/>
    <xf numFmtId="0" fontId="2" fillId="47" borderId="89" applyNumberFormat="0" applyFont="0" applyAlignment="0" applyProtection="0"/>
    <xf numFmtId="0" fontId="2" fillId="0" borderId="120" applyNumberFormat="0" applyFill="0" applyAlignment="0" applyProtection="0"/>
    <xf numFmtId="0" fontId="2" fillId="0" borderId="121" applyNumberFormat="0" applyFill="0" applyAlignment="0" applyProtection="0"/>
    <xf numFmtId="0" fontId="2" fillId="0" borderId="119" applyNumberFormat="0" applyFill="0" applyAlignment="0" applyProtection="0"/>
    <xf numFmtId="0" fontId="59" fillId="0" borderId="97" applyNumberFormat="0" applyFill="0" applyAlignment="0" applyProtection="0"/>
    <xf numFmtId="0" fontId="2" fillId="0" borderId="97" applyNumberFormat="0" applyFill="0" applyAlignment="0" applyProtection="0"/>
    <xf numFmtId="0" fontId="2" fillId="0" borderId="123" applyNumberFormat="0" applyFont="0" applyFill="0" applyAlignment="0" applyProtection="0"/>
    <xf numFmtId="0" fontId="2" fillId="0" borderId="121" applyNumberFormat="0" applyFont="0" applyFill="0" applyAlignment="0" applyProtection="0"/>
    <xf numFmtId="0" fontId="2" fillId="0" borderId="100" applyNumberFormat="0" applyFill="0" applyAlignment="0" applyProtection="0"/>
    <xf numFmtId="0" fontId="2" fillId="0" borderId="102" applyNumberFormat="0" applyFill="0" applyAlignment="0" applyProtection="0"/>
    <xf numFmtId="0" fontId="2" fillId="0" borderId="100" applyNumberFormat="0" applyFill="0" applyAlignment="0" applyProtection="0"/>
    <xf numFmtId="0" fontId="2" fillId="0" borderId="103" applyNumberFormat="0" applyFill="0" applyAlignment="0" applyProtection="0"/>
    <xf numFmtId="0" fontId="2" fillId="0" borderId="104" applyNumberFormat="0" applyFill="0" applyAlignment="0" applyProtection="0"/>
    <xf numFmtId="0" fontId="2" fillId="0" borderId="98" applyNumberFormat="0" applyFill="0" applyAlignment="0" applyProtection="0"/>
    <xf numFmtId="0" fontId="2" fillId="0" borderId="105" applyNumberFormat="0" applyFill="0" applyAlignment="0" applyProtection="0"/>
    <xf numFmtId="0" fontId="2" fillId="0" borderId="106" applyNumberFormat="0" applyFill="0" applyAlignment="0" applyProtection="0"/>
    <xf numFmtId="0" fontId="2" fillId="0" borderId="107" applyNumberFormat="0" applyFill="0" applyAlignment="0" applyProtection="0"/>
    <xf numFmtId="0" fontId="2" fillId="47" borderId="100" applyNumberFormat="0" applyFont="0" applyAlignment="0" applyProtection="0"/>
    <xf numFmtId="0" fontId="2" fillId="47" borderId="100" applyNumberFormat="0" applyFont="0" applyAlignment="0" applyProtection="0"/>
    <xf numFmtId="0" fontId="2" fillId="47" borderId="100" applyNumberFormat="0" applyFont="0" applyAlignment="0" applyProtection="0"/>
    <xf numFmtId="0" fontId="2" fillId="0" borderId="127" applyNumberFormat="0" applyFill="0" applyAlignment="0" applyProtection="0"/>
    <xf numFmtId="0" fontId="59" fillId="0" borderId="109" applyNumberFormat="0" applyFill="0" applyAlignment="0" applyProtection="0"/>
    <xf numFmtId="0" fontId="2" fillId="0" borderId="109" applyNumberFormat="0" applyFill="0" applyAlignment="0" applyProtection="0"/>
    <xf numFmtId="0" fontId="2" fillId="0" borderId="112" applyNumberFormat="0" applyFill="0" applyAlignment="0" applyProtection="0"/>
    <xf numFmtId="0" fontId="2" fillId="0" borderId="114" applyNumberFormat="0" applyFill="0" applyAlignment="0" applyProtection="0"/>
    <xf numFmtId="0" fontId="2" fillId="0" borderId="112" applyNumberFormat="0" applyFill="0" applyAlignment="0" applyProtection="0"/>
    <xf numFmtId="0" fontId="2" fillId="0" borderId="115" applyNumberFormat="0" applyFill="0" applyAlignment="0" applyProtection="0"/>
    <xf numFmtId="0" fontId="2" fillId="0" borderId="116" applyNumberFormat="0" applyFill="0" applyAlignment="0" applyProtection="0"/>
    <xf numFmtId="0" fontId="2" fillId="0" borderId="110" applyNumberFormat="0" applyFill="0" applyAlignment="0" applyProtection="0"/>
    <xf numFmtId="0" fontId="2" fillId="0" borderId="117" applyNumberFormat="0" applyFill="0" applyAlignment="0" applyProtection="0"/>
    <xf numFmtId="0" fontId="2" fillId="0" borderId="118" applyNumberFormat="0" applyFill="0" applyAlignment="0" applyProtection="0"/>
    <xf numFmtId="0" fontId="2" fillId="0" borderId="119" applyNumberFormat="0" applyFill="0" applyAlignment="0" applyProtection="0"/>
    <xf numFmtId="0" fontId="2" fillId="47" borderId="112" applyNumberFormat="0" applyFont="0" applyAlignment="0" applyProtection="0"/>
    <xf numFmtId="0" fontId="2" fillId="47" borderId="112" applyNumberFormat="0" applyFont="0" applyAlignment="0" applyProtection="0"/>
    <xf numFmtId="0" fontId="2" fillId="47" borderId="112" applyNumberFormat="0" applyFont="0" applyAlignment="0" applyProtection="0"/>
    <xf numFmtId="0" fontId="59" fillId="0" borderId="120" applyNumberFormat="0" applyFill="0" applyAlignment="0" applyProtection="0"/>
    <xf numFmtId="0" fontId="2" fillId="0" borderId="120" applyNumberFormat="0" applyFill="0" applyAlignment="0" applyProtection="0"/>
    <xf numFmtId="0" fontId="2" fillId="0" borderId="123" applyNumberFormat="0" applyFill="0" applyAlignment="0" applyProtection="0"/>
    <xf numFmtId="0" fontId="2" fillId="0" borderId="125" applyNumberFormat="0" applyFill="0" applyAlignment="0" applyProtection="0"/>
    <xf numFmtId="0" fontId="2" fillId="0" borderId="123" applyNumberFormat="0" applyFill="0" applyAlignment="0" applyProtection="0"/>
    <xf numFmtId="0" fontId="2" fillId="0" borderId="126" applyNumberFormat="0" applyFill="0" applyAlignment="0" applyProtection="0"/>
    <xf numFmtId="0" fontId="2" fillId="0" borderId="127" applyNumberFormat="0" applyFill="0" applyAlignment="0" applyProtection="0"/>
    <xf numFmtId="0" fontId="2" fillId="0" borderId="121" applyNumberFormat="0" applyFill="0" applyAlignment="0" applyProtection="0"/>
    <xf numFmtId="0" fontId="2" fillId="0" borderId="128" applyNumberFormat="0" applyFill="0" applyAlignment="0" applyProtection="0"/>
    <xf numFmtId="0" fontId="2" fillId="0" borderId="129" applyNumberFormat="0" applyFill="0" applyAlignment="0" applyProtection="0"/>
    <xf numFmtId="0" fontId="2" fillId="0" borderId="130" applyNumberFormat="0" applyFill="0" applyAlignment="0" applyProtection="0"/>
    <xf numFmtId="0" fontId="2" fillId="47" borderId="123" applyNumberFormat="0" applyFont="0" applyAlignment="0" applyProtection="0"/>
    <xf numFmtId="0" fontId="2" fillId="47" borderId="123" applyNumberFormat="0" applyFont="0" applyAlignment="0" applyProtection="0"/>
    <xf numFmtId="0" fontId="2" fillId="47" borderId="123" applyNumberFormat="0" applyFont="0" applyAlignment="0" applyProtection="0"/>
  </cellStyleXfs>
  <cellXfs count="275">
    <xf numFmtId="0" fontId="0" fillId="0" borderId="0" xfId="0"/>
    <xf numFmtId="0" fontId="3" fillId="2" borderId="0" xfId="7" applyFill="1"/>
    <xf numFmtId="0" fontId="3" fillId="0" borderId="0" xfId="7"/>
    <xf numFmtId="0" fontId="4" fillId="0" borderId="0" xfId="7" applyFont="1"/>
    <xf numFmtId="164" fontId="3" fillId="0" borderId="0" xfId="6"/>
    <xf numFmtId="0" fontId="5" fillId="0" borderId="0" xfId="7" applyFont="1" applyAlignment="1">
      <alignment horizontal="left" indent="1"/>
    </xf>
    <xf numFmtId="0" fontId="5" fillId="0" borderId="0" xfId="7" applyFont="1" applyAlignment="1">
      <alignment horizontal="center"/>
    </xf>
    <xf numFmtId="0" fontId="3" fillId="0" borderId="0" xfId="7" applyAlignment="1">
      <alignment horizontal="right"/>
    </xf>
    <xf numFmtId="165" fontId="3" fillId="0" borderId="0" xfId="6" applyNumberFormat="1" applyAlignment="1">
      <alignment horizontal="left" indent="2"/>
    </xf>
    <xf numFmtId="164" fontId="3" fillId="0" borderId="0" xfId="6" applyAlignment="1">
      <alignment horizontal="left" indent="1"/>
    </xf>
    <xf numFmtId="166" fontId="3" fillId="0" borderId="0" xfId="6" applyNumberFormat="1"/>
    <xf numFmtId="0" fontId="7" fillId="0" borderId="0" xfId="7" applyFont="1"/>
    <xf numFmtId="0" fontId="3" fillId="0" borderId="0" xfId="7" applyAlignment="1">
      <alignment horizontal="left" indent="2"/>
    </xf>
    <xf numFmtId="1" fontId="3" fillId="0" borderId="0" xfId="7" applyNumberFormat="1"/>
    <xf numFmtId="166" fontId="8" fillId="0" borderId="0" xfId="6" applyNumberFormat="1" applyFont="1" applyAlignment="1">
      <alignment horizontal="right"/>
    </xf>
    <xf numFmtId="166" fontId="8" fillId="0" borderId="0" xfId="6" applyNumberFormat="1"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3" fillId="0" borderId="0" xfId="0" applyFont="1"/>
    <xf numFmtId="0" fontId="6" fillId="0" borderId="0" xfId="0" applyFont="1"/>
    <xf numFmtId="0" fontId="10" fillId="0" borderId="0" xfId="0" applyFont="1"/>
    <xf numFmtId="0" fontId="11" fillId="0" borderId="0" xfId="0" applyFont="1"/>
    <xf numFmtId="0" fontId="12" fillId="0" borderId="0" xfId="0" applyFont="1"/>
    <xf numFmtId="167" fontId="6" fillId="0" borderId="0" xfId="0" applyNumberFormat="1" applyFont="1"/>
    <xf numFmtId="0" fontId="4" fillId="0" borderId="0" xfId="0" quotePrefix="1" applyFont="1" applyAlignment="1">
      <alignment horizontal="left"/>
    </xf>
    <xf numFmtId="0" fontId="5" fillId="0" borderId="0" xfId="0" applyFont="1"/>
    <xf numFmtId="168" fontId="3" fillId="0" borderId="0" xfId="0" applyNumberFormat="1" applyFont="1"/>
    <xf numFmtId="171" fontId="3" fillId="0" borderId="0" xfId="0" applyNumberFormat="1" applyFont="1"/>
    <xf numFmtId="0" fontId="16" fillId="0" borderId="0" xfId="7" applyFont="1"/>
    <xf numFmtId="0" fontId="17" fillId="0" borderId="0" xfId="0" applyFont="1" applyAlignment="1">
      <alignment horizontal="right"/>
    </xf>
    <xf numFmtId="0" fontId="3" fillId="0" borderId="0" xfId="0" applyFont="1" applyAlignment="1">
      <alignment horizontal="left" indent="1"/>
    </xf>
    <xf numFmtId="0" fontId="18" fillId="0" borderId="0" xfId="7" applyFont="1"/>
    <xf numFmtId="165" fontId="3" fillId="0" borderId="0" xfId="6" applyNumberFormat="1" applyAlignment="1">
      <alignment horizontal="left" indent="1"/>
    </xf>
    <xf numFmtId="0" fontId="10" fillId="0" borderId="0" xfId="3"/>
    <xf numFmtId="0" fontId="19" fillId="0" borderId="0" xfId="3" applyFont="1"/>
    <xf numFmtId="0" fontId="21" fillId="0" borderId="0" xfId="3" applyFont="1"/>
    <xf numFmtId="0" fontId="21" fillId="0" borderId="0" xfId="3" applyFont="1" applyAlignment="1">
      <alignment horizontal="center"/>
    </xf>
    <xf numFmtId="0" fontId="23" fillId="0" borderId="0" xfId="0" applyFont="1"/>
    <xf numFmtId="0" fontId="23" fillId="0" borderId="0" xfId="7" applyFont="1"/>
    <xf numFmtId="0" fontId="20" fillId="0" borderId="0" xfId="3" applyFont="1" applyAlignment="1">
      <alignment horizontal="left"/>
    </xf>
    <xf numFmtId="0" fontId="10" fillId="0" borderId="0" xfId="3" applyAlignment="1">
      <alignment horizontal="left"/>
    </xf>
    <xf numFmtId="0" fontId="3" fillId="0" borderId="0" xfId="3" applyFont="1" applyAlignment="1">
      <alignment horizontal="left"/>
    </xf>
    <xf numFmtId="167" fontId="3" fillId="2" borderId="1" xfId="1" applyNumberFormat="1" applyFont="1" applyFill="1" applyBorder="1" applyAlignment="1" applyProtection="1">
      <protection locked="0"/>
    </xf>
    <xf numFmtId="173" fontId="3" fillId="0" borderId="1" xfId="3" applyNumberFormat="1" applyFont="1" applyBorder="1"/>
    <xf numFmtId="1" fontId="3" fillId="0" borderId="1" xfId="9" applyNumberFormat="1" applyFont="1" applyFill="1" applyBorder="1" applyAlignment="1"/>
    <xf numFmtId="10" fontId="3" fillId="0" borderId="1" xfId="9" applyNumberFormat="1" applyFont="1" applyFill="1" applyBorder="1" applyAlignment="1"/>
    <xf numFmtId="43" fontId="3" fillId="0" borderId="1" xfId="1" applyFont="1" applyFill="1" applyBorder="1" applyAlignment="1"/>
    <xf numFmtId="169" fontId="3" fillId="0" borderId="1" xfId="1" applyNumberFormat="1" applyFont="1" applyFill="1" applyBorder="1" applyAlignment="1"/>
    <xf numFmtId="168" fontId="3" fillId="0" borderId="1" xfId="3" applyNumberFormat="1" applyFont="1" applyBorder="1"/>
    <xf numFmtId="167" fontId="3" fillId="0" borderId="0" xfId="1" applyNumberFormat="1" applyFont="1" applyFill="1" applyBorder="1" applyAlignment="1" applyProtection="1">
      <protection locked="0"/>
    </xf>
    <xf numFmtId="0" fontId="3" fillId="0" borderId="0" xfId="3" applyFont="1"/>
    <xf numFmtId="0" fontId="3" fillId="0" borderId="0" xfId="3" applyFont="1" applyAlignment="1">
      <alignment horizontal="center"/>
    </xf>
    <xf numFmtId="0" fontId="3" fillId="0" borderId="0" xfId="3" quotePrefix="1" applyFont="1" applyAlignment="1">
      <alignment horizontal="center"/>
    </xf>
    <xf numFmtId="0" fontId="3" fillId="0" borderId="0" xfId="3" applyFont="1" applyProtection="1">
      <protection locked="0"/>
    </xf>
    <xf numFmtId="0" fontId="6" fillId="0" borderId="0" xfId="3" applyFont="1" applyAlignment="1">
      <alignment horizontal="center"/>
    </xf>
    <xf numFmtId="0" fontId="6" fillId="0" borderId="0" xfId="3" applyFont="1" applyAlignment="1">
      <alignment horizontal="center" wrapText="1"/>
    </xf>
    <xf numFmtId="174" fontId="3" fillId="0" borderId="1" xfId="9" applyNumberFormat="1" applyFont="1" applyFill="1" applyBorder="1" applyAlignment="1"/>
    <xf numFmtId="9" fontId="3" fillId="0" borderId="1" xfId="9" applyFont="1" applyFill="1" applyBorder="1" applyAlignment="1"/>
    <xf numFmtId="170" fontId="3" fillId="0" borderId="1" xfId="1" applyNumberFormat="1" applyFont="1" applyFill="1" applyBorder="1" applyAlignment="1"/>
    <xf numFmtId="167" fontId="3" fillId="0" borderId="0" xfId="1" applyNumberFormat="1" applyFont="1" applyFill="1" applyBorder="1" applyAlignment="1" applyProtection="1">
      <alignment horizontal="center"/>
      <protection locked="0"/>
    </xf>
    <xf numFmtId="0" fontId="6" fillId="0" borderId="0" xfId="3" applyFont="1" applyAlignment="1">
      <alignment horizontal="left"/>
    </xf>
    <xf numFmtId="167" fontId="3" fillId="0" borderId="0" xfId="1" applyNumberFormat="1" applyFont="1" applyFill="1" applyBorder="1" applyAlignment="1">
      <alignment horizontal="center"/>
    </xf>
    <xf numFmtId="0" fontId="16" fillId="0" borderId="0" xfId="7" applyFont="1" applyAlignment="1">
      <alignment horizontal="left" indent="1"/>
    </xf>
    <xf numFmtId="2" fontId="3" fillId="0" borderId="1" xfId="3" applyNumberFormat="1" applyFont="1" applyBorder="1"/>
    <xf numFmtId="1" fontId="3" fillId="0" borderId="1" xfId="0" applyNumberFormat="1" applyFont="1" applyBorder="1" applyAlignment="1">
      <alignment horizontal="right"/>
    </xf>
    <xf numFmtId="0" fontId="3" fillId="0" borderId="1" xfId="1" applyNumberFormat="1" applyFont="1" applyFill="1" applyBorder="1" applyAlignment="1">
      <alignment horizontal="right"/>
    </xf>
    <xf numFmtId="172" fontId="3" fillId="0" borderId="1" xfId="1" applyNumberFormat="1" applyFont="1" applyFill="1" applyBorder="1" applyAlignment="1"/>
    <xf numFmtId="172" fontId="3" fillId="0" borderId="0" xfId="1" applyNumberFormat="1" applyFont="1" applyFill="1" applyBorder="1" applyAlignment="1"/>
    <xf numFmtId="172" fontId="3" fillId="0" borderId="0" xfId="1" applyNumberFormat="1" applyFont="1" applyFill="1" applyAlignment="1"/>
    <xf numFmtId="172" fontId="3" fillId="0" borderId="0" xfId="1" applyNumberFormat="1" applyFont="1" applyAlignment="1"/>
    <xf numFmtId="167" fontId="3" fillId="0" borderId="1" xfId="1" applyNumberFormat="1" applyFont="1" applyFill="1" applyBorder="1" applyAlignment="1"/>
    <xf numFmtId="43" fontId="3" fillId="0" borderId="0" xfId="1" applyFont="1" applyFill="1"/>
    <xf numFmtId="0" fontId="3" fillId="0" borderId="0" xfId="7" applyAlignment="1">
      <alignment horizontal="left" indent="1"/>
    </xf>
    <xf numFmtId="165" fontId="3" fillId="0" borderId="0" xfId="6" applyNumberFormat="1" applyAlignment="1">
      <alignment horizontal="left"/>
    </xf>
    <xf numFmtId="171" fontId="3" fillId="0" borderId="1" xfId="3" applyNumberFormat="1" applyFont="1" applyBorder="1"/>
    <xf numFmtId="1" fontId="3" fillId="0" borderId="1" xfId="3" applyNumberFormat="1" applyFont="1" applyBorder="1"/>
    <xf numFmtId="171" fontId="3" fillId="0" borderId="1" xfId="9" applyNumberFormat="1" applyFont="1" applyFill="1" applyBorder="1" applyAlignment="1"/>
    <xf numFmtId="1" fontId="3" fillId="0" borderId="0" xfId="3" applyNumberFormat="1" applyFont="1"/>
    <xf numFmtId="171" fontId="3" fillId="0" borderId="0" xfId="3" applyNumberFormat="1" applyFont="1"/>
    <xf numFmtId="43" fontId="3" fillId="0" borderId="0" xfId="7" applyNumberFormat="1"/>
    <xf numFmtId="0" fontId="15" fillId="2" borderId="0" xfId="7" applyFont="1" applyFill="1" applyAlignment="1">
      <alignment vertical="center"/>
    </xf>
    <xf numFmtId="0" fontId="3" fillId="0" borderId="0" xfId="1" applyNumberFormat="1" applyFont="1" applyFill="1" applyBorder="1" applyAlignment="1">
      <alignment horizontal="right"/>
    </xf>
    <xf numFmtId="43" fontId="3" fillId="0" borderId="0" xfId="3" applyNumberFormat="1" applyFont="1"/>
    <xf numFmtId="170" fontId="3" fillId="0" borderId="0" xfId="3" applyNumberFormat="1" applyFont="1"/>
    <xf numFmtId="167" fontId="3" fillId="0" borderId="0" xfId="3" applyNumberFormat="1" applyFont="1"/>
    <xf numFmtId="172" fontId="3" fillId="0" borderId="0" xfId="3" applyNumberFormat="1" applyFont="1"/>
    <xf numFmtId="167" fontId="3" fillId="0" borderId="1" xfId="1" applyNumberFormat="1" applyFont="1" applyFill="1" applyBorder="1" applyAlignment="1">
      <alignment horizontal="left"/>
    </xf>
    <xf numFmtId="168" fontId="3" fillId="0" borderId="1" xfId="9" applyNumberFormat="1" applyFont="1" applyFill="1" applyBorder="1" applyAlignment="1"/>
    <xf numFmtId="168" fontId="3" fillId="0" borderId="0" xfId="3" applyNumberFormat="1" applyFont="1"/>
    <xf numFmtId="0" fontId="16" fillId="0" borderId="0" xfId="7" applyFont="1" applyAlignment="1">
      <alignment horizontal="left" indent="2"/>
    </xf>
    <xf numFmtId="0" fontId="16" fillId="0" borderId="0" xfId="7" quotePrefix="1" applyFont="1" applyAlignment="1">
      <alignment horizontal="left" indent="2"/>
    </xf>
    <xf numFmtId="0" fontId="26" fillId="0" borderId="0" xfId="7" applyFont="1" applyAlignment="1">
      <alignment horizontal="left" indent="2"/>
    </xf>
    <xf numFmtId="0" fontId="3" fillId="0" borderId="2" xfId="0" applyFont="1" applyBorder="1"/>
    <xf numFmtId="0" fontId="16" fillId="0" borderId="0" xfId="7" quotePrefix="1" applyFont="1" applyAlignment="1">
      <alignment horizontal="left" indent="4"/>
    </xf>
    <xf numFmtId="0" fontId="3" fillId="0" borderId="0" xfId="0" applyFont="1" applyAlignment="1">
      <alignment horizontal="center"/>
    </xf>
    <xf numFmtId="0" fontId="3" fillId="0" borderId="0" xfId="7" applyAlignment="1">
      <alignment horizontal="center"/>
    </xf>
    <xf numFmtId="164" fontId="3" fillId="0" borderId="0" xfId="6" applyAlignment="1">
      <alignment horizontal="center"/>
    </xf>
    <xf numFmtId="9" fontId="3" fillId="0" borderId="0" xfId="9" applyFont="1" applyFill="1" applyBorder="1" applyAlignment="1">
      <alignment horizontal="center"/>
    </xf>
    <xf numFmtId="168" fontId="3" fillId="0" borderId="0" xfId="0" applyNumberFormat="1" applyFont="1" applyAlignment="1">
      <alignment horizontal="right"/>
    </xf>
    <xf numFmtId="0" fontId="3" fillId="0" borderId="0" xfId="0" applyFont="1" applyAlignment="1">
      <alignment horizontal="right"/>
    </xf>
    <xf numFmtId="1" fontId="3" fillId="0" borderId="0" xfId="0" applyNumberFormat="1" applyFont="1" applyAlignment="1">
      <alignment horizontal="right"/>
    </xf>
    <xf numFmtId="0" fontId="5" fillId="0" borderId="0" xfId="7" applyFont="1" applyAlignment="1">
      <alignment horizontal="center" wrapText="1"/>
    </xf>
    <xf numFmtId="0" fontId="3" fillId="2" borderId="1" xfId="0" applyFont="1" applyFill="1" applyBorder="1" applyAlignment="1" applyProtection="1">
      <alignment horizontal="center"/>
      <protection locked="0"/>
    </xf>
    <xf numFmtId="10" fontId="3" fillId="2" borderId="1" xfId="9" applyNumberFormat="1" applyFont="1" applyFill="1" applyBorder="1" applyAlignment="1" applyProtection="1">
      <alignment horizontal="center"/>
      <protection locked="0"/>
    </xf>
    <xf numFmtId="9" fontId="3" fillId="2" borderId="1" xfId="9" applyFont="1" applyFill="1" applyBorder="1" applyAlignment="1" applyProtection="1">
      <alignment horizontal="center"/>
      <protection locked="0"/>
    </xf>
    <xf numFmtId="174" fontId="3" fillId="2" borderId="1" xfId="9" applyNumberFormat="1" applyFont="1" applyFill="1" applyBorder="1" applyAlignment="1" applyProtection="1">
      <alignment horizontal="center"/>
      <protection locked="0"/>
    </xf>
    <xf numFmtId="0" fontId="10" fillId="0" borderId="0" xfId="3" applyAlignment="1">
      <alignment horizontal="left" vertical="center"/>
    </xf>
    <xf numFmtId="167" fontId="3" fillId="2" borderId="1" xfId="0" applyNumberFormat="1" applyFont="1" applyFill="1" applyBorder="1" applyProtection="1">
      <protection locked="0"/>
    </xf>
    <xf numFmtId="167" fontId="3" fillId="0" borderId="1" xfId="1" applyNumberFormat="1" applyFont="1" applyFill="1" applyBorder="1" applyAlignment="1" applyProtection="1"/>
    <xf numFmtId="167" fontId="3" fillId="0" borderId="0" xfId="1" applyNumberFormat="1" applyFont="1" applyFill="1" applyBorder="1" applyAlignment="1" applyProtection="1"/>
    <xf numFmtId="0" fontId="29" fillId="0" borderId="0" xfId="7" applyFont="1"/>
    <xf numFmtId="0" fontId="4" fillId="0" borderId="0" xfId="7" applyFont="1" applyAlignment="1">
      <alignment horizontal="left" indent="1"/>
    </xf>
    <xf numFmtId="167" fontId="23" fillId="0" borderId="0" xfId="1" applyNumberFormat="1" applyFont="1" applyFill="1" applyBorder="1" applyAlignment="1" applyProtection="1">
      <protection locked="0"/>
    </xf>
    <xf numFmtId="167" fontId="23" fillId="0" borderId="0" xfId="3" applyNumberFormat="1" applyFont="1" applyProtection="1">
      <protection locked="0"/>
    </xf>
    <xf numFmtId="0" fontId="4" fillId="0" borderId="0" xfId="0" applyFont="1"/>
    <xf numFmtId="0" fontId="15" fillId="0" borderId="0" xfId="7" applyFont="1" applyAlignment="1">
      <alignment vertical="center"/>
    </xf>
    <xf numFmtId="0" fontId="25" fillId="0" borderId="0" xfId="7" applyFont="1"/>
    <xf numFmtId="0" fontId="3" fillId="3" borderId="0" xfId="7" applyFill="1"/>
    <xf numFmtId="0" fontId="15" fillId="3" borderId="0" xfId="7" applyFont="1" applyFill="1" applyAlignment="1">
      <alignment vertical="center"/>
    </xf>
    <xf numFmtId="0" fontId="25" fillId="3" borderId="0" xfId="7" applyFont="1" applyFill="1"/>
    <xf numFmtId="167" fontId="3" fillId="3" borderId="1" xfId="1" applyNumberFormat="1" applyFont="1" applyFill="1" applyBorder="1" applyAlignment="1" applyProtection="1">
      <protection locked="0"/>
    </xf>
    <xf numFmtId="0" fontId="3" fillId="4" borderId="0" xfId="7" applyFill="1"/>
    <xf numFmtId="0" fontId="15" fillId="4" borderId="0" xfId="7" applyFont="1" applyFill="1" applyAlignment="1">
      <alignment vertical="center"/>
    </xf>
    <xf numFmtId="0" fontId="25" fillId="4" borderId="0" xfId="7" applyFont="1" applyFill="1"/>
    <xf numFmtId="0" fontId="3" fillId="5" borderId="0" xfId="7" applyFill="1"/>
    <xf numFmtId="0" fontId="15" fillId="5" borderId="0" xfId="7" applyFont="1" applyFill="1" applyAlignment="1">
      <alignment vertical="center"/>
    </xf>
    <xf numFmtId="0" fontId="3" fillId="6" borderId="0" xfId="7" applyFill="1"/>
    <xf numFmtId="0" fontId="15" fillId="6" borderId="0" xfId="7" applyFont="1" applyFill="1" applyAlignment="1">
      <alignment vertical="center"/>
    </xf>
    <xf numFmtId="167" fontId="3" fillId="6" borderId="1" xfId="1" applyNumberFormat="1" applyFont="1" applyFill="1" applyBorder="1" applyAlignment="1" applyProtection="1">
      <protection locked="0"/>
    </xf>
    <xf numFmtId="0" fontId="31" fillId="0" borderId="0" xfId="0" applyFont="1"/>
    <xf numFmtId="0" fontId="8" fillId="0" borderId="6" xfId="0" applyFont="1" applyBorder="1"/>
    <xf numFmtId="0" fontId="34" fillId="7" borderId="0" xfId="0" applyFont="1" applyFill="1"/>
    <xf numFmtId="167" fontId="3" fillId="6" borderId="1" xfId="0" applyNumberFormat="1" applyFont="1" applyFill="1" applyBorder="1" applyProtection="1">
      <protection locked="0"/>
    </xf>
    <xf numFmtId="174" fontId="3" fillId="0" borderId="0" xfId="9" applyNumberFormat="1" applyFont="1" applyFill="1" applyBorder="1" applyAlignment="1">
      <alignment horizontal="center"/>
    </xf>
    <xf numFmtId="0" fontId="3" fillId="2" borderId="11" xfId="0" applyFont="1" applyFill="1" applyBorder="1" applyProtection="1">
      <protection locked="0"/>
    </xf>
    <xf numFmtId="0" fontId="3" fillId="2" borderId="12" xfId="0" applyFont="1" applyFill="1" applyBorder="1" applyProtection="1">
      <protection locked="0"/>
    </xf>
    <xf numFmtId="0" fontId="3" fillId="0" borderId="2" xfId="0" applyFont="1" applyBorder="1" applyProtection="1">
      <protection locked="0"/>
    </xf>
    <xf numFmtId="0" fontId="3" fillId="2" borderId="1" xfId="0" applyFont="1" applyFill="1" applyBorder="1" applyProtection="1">
      <protection locked="0"/>
    </xf>
    <xf numFmtId="171" fontId="3" fillId="0" borderId="0" xfId="0" applyNumberFormat="1" applyFont="1" applyAlignment="1">
      <alignment horizontal="center"/>
    </xf>
    <xf numFmtId="2" fontId="3" fillId="0" borderId="0" xfId="3" applyNumberFormat="1" applyFont="1"/>
    <xf numFmtId="9" fontId="3" fillId="0" borderId="1" xfId="9" applyFont="1" applyFill="1" applyBorder="1" applyAlignment="1" applyProtection="1"/>
    <xf numFmtId="171" fontId="3" fillId="2" borderId="1" xfId="0" applyNumberFormat="1" applyFont="1" applyFill="1" applyBorder="1" applyAlignment="1" applyProtection="1">
      <alignment horizontal="center"/>
      <protection locked="0"/>
    </xf>
    <xf numFmtId="175" fontId="3" fillId="0" borderId="1" xfId="1" applyNumberFormat="1" applyFont="1" applyFill="1" applyBorder="1" applyAlignment="1"/>
    <xf numFmtId="2" fontId="3" fillId="0" borderId="1" xfId="9" applyNumberFormat="1" applyFont="1" applyFill="1" applyBorder="1" applyAlignment="1"/>
    <xf numFmtId="0" fontId="25" fillId="4" borderId="0" xfId="7" applyFont="1" applyFill="1" applyAlignment="1">
      <alignment horizontal="center"/>
    </xf>
    <xf numFmtId="168" fontId="3" fillId="0" borderId="0" xfId="3" quotePrefix="1" applyNumberFormat="1" applyFont="1" applyAlignment="1">
      <alignment horizontal="center"/>
    </xf>
    <xf numFmtId="0" fontId="0" fillId="0" borderId="0" xfId="0" applyProtection="1">
      <protection locked="0"/>
    </xf>
    <xf numFmtId="0" fontId="36" fillId="0" borderId="0" xfId="0" applyFont="1" applyProtection="1">
      <protection locked="0"/>
    </xf>
    <xf numFmtId="0" fontId="37" fillId="0" borderId="0" xfId="0" applyFont="1" applyAlignment="1" applyProtection="1">
      <alignment horizontal="left" indent="1"/>
      <protection locked="0"/>
    </xf>
    <xf numFmtId="167" fontId="3" fillId="0" borderId="0" xfId="1" applyNumberFormat="1" applyFont="1" applyFill="1" applyBorder="1" applyAlignment="1"/>
    <xf numFmtId="9" fontId="3" fillId="4" borderId="1" xfId="9" applyFont="1" applyFill="1" applyBorder="1" applyAlignment="1" applyProtection="1">
      <protection locked="0"/>
    </xf>
    <xf numFmtId="0" fontId="10" fillId="0" borderId="0" xfId="8"/>
    <xf numFmtId="0" fontId="38" fillId="0" borderId="0" xfId="8" applyFont="1" applyProtection="1">
      <protection locked="0"/>
    </xf>
    <xf numFmtId="0" fontId="30" fillId="0" borderId="0" xfId="8" applyFont="1"/>
    <xf numFmtId="0" fontId="10" fillId="0" borderId="0" xfId="4"/>
    <xf numFmtId="43" fontId="10" fillId="0" borderId="0" xfId="4" applyNumberFormat="1"/>
    <xf numFmtId="0" fontId="3" fillId="8" borderId="0" xfId="7" applyFill="1"/>
    <xf numFmtId="0" fontId="15" fillId="8" borderId="0" xfId="7" applyFont="1" applyFill="1" applyAlignment="1">
      <alignment vertical="center"/>
    </xf>
    <xf numFmtId="167" fontId="3" fillId="8" borderId="1" xfId="0" applyNumberFormat="1" applyFont="1" applyFill="1" applyBorder="1" applyProtection="1">
      <protection locked="0"/>
    </xf>
    <xf numFmtId="43" fontId="3" fillId="5" borderId="1" xfId="0" applyNumberFormat="1" applyFont="1" applyFill="1" applyBorder="1" applyProtection="1">
      <protection locked="0"/>
    </xf>
    <xf numFmtId="167" fontId="3" fillId="0" borderId="0" xfId="1" quotePrefix="1" applyNumberFormat="1" applyFont="1" applyFill="1" applyBorder="1" applyAlignment="1">
      <alignment horizontal="center"/>
    </xf>
    <xf numFmtId="0" fontId="19" fillId="0" borderId="0" xfId="3" applyFont="1" applyAlignment="1">
      <alignment horizontal="center" wrapText="1"/>
    </xf>
    <xf numFmtId="0" fontId="21" fillId="0" borderId="0" xfId="3" applyFont="1" applyAlignment="1">
      <alignment horizontal="center" wrapText="1"/>
    </xf>
    <xf numFmtId="0" fontId="21" fillId="0" borderId="0" xfId="7" applyFont="1"/>
    <xf numFmtId="0" fontId="20" fillId="0" borderId="20" xfId="0" applyFont="1" applyBorder="1"/>
    <xf numFmtId="0" fontId="21" fillId="0" borderId="0" xfId="0" applyFont="1" applyAlignment="1">
      <alignment horizontal="center"/>
    </xf>
    <xf numFmtId="0" fontId="19" fillId="0" borderId="0" xfId="0" applyFont="1" applyAlignment="1">
      <alignment horizontal="center" wrapText="1"/>
    </xf>
    <xf numFmtId="0" fontId="21" fillId="0" borderId="0" xfId="3" applyFont="1" applyAlignment="1">
      <alignment horizontal="center" vertical="top" wrapText="1"/>
    </xf>
    <xf numFmtId="0" fontId="21" fillId="0" borderId="0" xfId="3" applyFont="1" applyAlignment="1">
      <alignment horizontal="center" vertical="top"/>
    </xf>
    <xf numFmtId="0" fontId="21" fillId="0" borderId="0" xfId="0" applyFont="1" applyAlignment="1">
      <alignment horizontal="center" vertical="top"/>
    </xf>
    <xf numFmtId="0" fontId="41" fillId="0" borderId="0" xfId="0" quotePrefix="1" applyFont="1" applyAlignment="1">
      <alignment horizontal="left"/>
    </xf>
    <xf numFmtId="0" fontId="21" fillId="0" borderId="0" xfId="0" quotePrefix="1" applyFont="1" applyAlignment="1">
      <alignment horizontal="left"/>
    </xf>
    <xf numFmtId="0" fontId="21" fillId="0" borderId="0" xfId="0" applyFont="1"/>
    <xf numFmtId="0" fontId="42" fillId="0" borderId="0" xfId="2" applyFont="1" applyAlignment="1" applyProtection="1">
      <alignment horizontal="left"/>
    </xf>
    <xf numFmtId="0" fontId="21" fillId="0" borderId="0" xfId="0" applyFont="1" applyAlignment="1">
      <alignment horizontal="right" wrapText="1"/>
    </xf>
    <xf numFmtId="0" fontId="19" fillId="0" borderId="0" xfId="0" applyFont="1"/>
    <xf numFmtId="0" fontId="3" fillId="2" borderId="1" xfId="0" applyFont="1" applyFill="1" applyBorder="1"/>
    <xf numFmtId="168" fontId="3" fillId="0" borderId="0" xfId="3" applyNumberFormat="1" applyFont="1" applyAlignment="1">
      <alignment horizontal="center"/>
    </xf>
    <xf numFmtId="0" fontId="44" fillId="0" borderId="0" xfId="0" applyFont="1"/>
    <xf numFmtId="0" fontId="30" fillId="0" borderId="0" xfId="0" applyFont="1"/>
    <xf numFmtId="43" fontId="30" fillId="0" borderId="0" xfId="1" applyFont="1" applyFill="1"/>
    <xf numFmtId="0" fontId="30" fillId="0" borderId="0" xfId="0" applyFont="1" applyAlignment="1">
      <alignment horizontal="left" indent="1"/>
    </xf>
    <xf numFmtId="0" fontId="20" fillId="0" borderId="21" xfId="0" applyFont="1" applyBorder="1"/>
    <xf numFmtId="43" fontId="30" fillId="0" borderId="21" xfId="0" applyNumberFormat="1" applyFont="1" applyBorder="1"/>
    <xf numFmtId="2" fontId="3" fillId="0" borderId="1" xfId="0" applyNumberFormat="1" applyFont="1" applyBorder="1" applyAlignment="1">
      <alignment horizontal="right"/>
    </xf>
    <xf numFmtId="0" fontId="4" fillId="0" borderId="0" xfId="7" applyFont="1" applyAlignment="1">
      <alignment horizontal="left"/>
    </xf>
    <xf numFmtId="43" fontId="20" fillId="0" borderId="21" xfId="0" applyNumberFormat="1" applyFont="1" applyBorder="1"/>
    <xf numFmtId="0" fontId="3" fillId="2" borderId="1" xfId="0" applyFont="1" applyFill="1" applyBorder="1" applyAlignment="1" applyProtection="1">
      <alignment horizontal="right"/>
      <protection locked="0"/>
    </xf>
    <xf numFmtId="14" fontId="3" fillId="0" borderId="0" xfId="0" applyNumberFormat="1" applyFont="1"/>
    <xf numFmtId="3" fontId="3" fillId="0" borderId="0" xfId="0" applyNumberFormat="1" applyFont="1"/>
    <xf numFmtId="3" fontId="6" fillId="0" borderId="0" xfId="0" applyNumberFormat="1" applyFont="1"/>
    <xf numFmtId="0" fontId="3" fillId="2" borderId="0" xfId="0" applyFont="1" applyFill="1"/>
    <xf numFmtId="0" fontId="50" fillId="0" borderId="0" xfId="0" applyFont="1"/>
    <xf numFmtId="0" fontId="51" fillId="0" borderId="0" xfId="0" applyFont="1"/>
    <xf numFmtId="3" fontId="0" fillId="0" borderId="0" xfId="0" applyNumberFormat="1"/>
    <xf numFmtId="0" fontId="52" fillId="0" borderId="0" xfId="0" applyFont="1"/>
    <xf numFmtId="174" fontId="0" fillId="0" borderId="0" xfId="9" applyNumberFormat="1" applyFont="1"/>
    <xf numFmtId="0" fontId="3" fillId="0" borderId="17" xfId="0" applyFont="1" applyBorder="1"/>
    <xf numFmtId="167" fontId="3" fillId="0" borderId="1" xfId="1" applyNumberFormat="1" applyFont="1" applyBorder="1"/>
    <xf numFmtId="10" fontId="3" fillId="0" borderId="0" xfId="9" applyNumberFormat="1" applyFont="1" applyFill="1" applyBorder="1" applyAlignment="1">
      <alignment horizontal="center"/>
    </xf>
    <xf numFmtId="0" fontId="3" fillId="10" borderId="5" xfId="0" applyFont="1" applyFill="1" applyBorder="1"/>
    <xf numFmtId="0" fontId="3" fillId="0" borderId="18" xfId="0" applyFont="1" applyBorder="1"/>
    <xf numFmtId="172" fontId="3" fillId="4" borderId="1" xfId="1" applyNumberFormat="1" applyFont="1" applyFill="1" applyBorder="1" applyAlignment="1" applyProtection="1">
      <protection locked="0"/>
    </xf>
    <xf numFmtId="172" fontId="3" fillId="0" borderId="0" xfId="1" applyNumberFormat="1" applyFont="1" applyFill="1" applyBorder="1" applyAlignment="1" applyProtection="1">
      <protection locked="0"/>
    </xf>
    <xf numFmtId="172" fontId="3" fillId="0" borderId="0" xfId="3" applyNumberFormat="1" applyFont="1" applyProtection="1">
      <protection locked="0"/>
    </xf>
    <xf numFmtId="172" fontId="3" fillId="2" borderId="1" xfId="1" applyNumberFormat="1" applyFont="1" applyFill="1" applyBorder="1" applyAlignment="1"/>
    <xf numFmtId="172" fontId="29" fillId="0" borderId="0" xfId="3" applyNumberFormat="1" applyFont="1" applyProtection="1">
      <protection locked="0"/>
    </xf>
    <xf numFmtId="43" fontId="3" fillId="0" borderId="0" xfId="1" applyFont="1"/>
    <xf numFmtId="43" fontId="0" fillId="0" borderId="0" xfId="0" applyNumberFormat="1"/>
    <xf numFmtId="0" fontId="53" fillId="0" borderId="0" xfId="0" applyFont="1"/>
    <xf numFmtId="43" fontId="0" fillId="0" borderId="0" xfId="1" applyFont="1"/>
    <xf numFmtId="172" fontId="96" fillId="2" borderId="1" xfId="1" applyNumberFormat="1" applyFont="1" applyFill="1" applyBorder="1" applyAlignment="1"/>
    <xf numFmtId="0" fontId="96" fillId="0" borderId="0" xfId="7" applyFont="1"/>
    <xf numFmtId="167" fontId="3" fillId="0" borderId="0" xfId="1" applyNumberFormat="1" applyFont="1" applyBorder="1"/>
    <xf numFmtId="0" fontId="3" fillId="10" borderId="0" xfId="0" applyFont="1" applyFill="1"/>
    <xf numFmtId="172" fontId="2" fillId="0" borderId="0" xfId="0" applyNumberFormat="1" applyFont="1"/>
    <xf numFmtId="167" fontId="3" fillId="0" borderId="0" xfId="1" applyNumberFormat="1" applyFont="1"/>
    <xf numFmtId="9" fontId="3" fillId="0" borderId="0" xfId="9" applyFont="1"/>
    <xf numFmtId="0" fontId="3" fillId="0" borderId="9" xfId="0" applyFont="1" applyBorder="1"/>
    <xf numFmtId="0" fontId="3" fillId="0" borderId="11" xfId="0" applyFont="1" applyBorder="1"/>
    <xf numFmtId="0" fontId="3" fillId="0" borderId="19" xfId="0" applyFont="1" applyBorder="1"/>
    <xf numFmtId="0" fontId="3" fillId="0" borderId="12" xfId="0" applyFont="1" applyBorder="1"/>
    <xf numFmtId="0" fontId="3" fillId="0" borderId="1" xfId="0" applyFont="1" applyBorder="1"/>
    <xf numFmtId="0" fontId="3" fillId="0" borderId="3" xfId="0" applyFont="1" applyBorder="1"/>
    <xf numFmtId="167" fontId="3" fillId="0" borderId="3" xfId="1" applyNumberFormat="1" applyFont="1" applyBorder="1"/>
    <xf numFmtId="167" fontId="3" fillId="0" borderId="4" xfId="1" applyNumberFormat="1" applyFont="1" applyBorder="1"/>
    <xf numFmtId="167" fontId="3" fillId="0" borderId="5" xfId="1" applyNumberFormat="1" applyFont="1" applyBorder="1"/>
    <xf numFmtId="167" fontId="3" fillId="0" borderId="22" xfId="1" applyNumberFormat="1" applyFont="1" applyBorder="1"/>
    <xf numFmtId="0" fontId="3" fillId="0" borderId="6" xfId="0" applyFont="1" applyBorder="1"/>
    <xf numFmtId="167" fontId="3" fillId="0" borderId="6" xfId="1" applyNumberFormat="1" applyFont="1" applyBorder="1"/>
    <xf numFmtId="167" fontId="3" fillId="0" borderId="7" xfId="1" applyNumberFormat="1" applyFont="1" applyBorder="1"/>
    <xf numFmtId="167" fontId="3" fillId="0" borderId="2" xfId="1" applyNumberFormat="1" applyFont="1" applyBorder="1"/>
    <xf numFmtId="0" fontId="3" fillId="0" borderId="8" xfId="0" applyFont="1" applyBorder="1"/>
    <xf numFmtId="167" fontId="3" fillId="0" borderId="8" xfId="1" applyNumberFormat="1" applyFont="1" applyBorder="1"/>
    <xf numFmtId="167" fontId="3" fillId="0" borderId="9" xfId="1" applyNumberFormat="1" applyFont="1" applyBorder="1"/>
    <xf numFmtId="167" fontId="3" fillId="0" borderId="10" xfId="1" applyNumberFormat="1" applyFont="1" applyBorder="1"/>
    <xf numFmtId="167" fontId="3" fillId="0" borderId="23" xfId="1" applyNumberFormat="1" applyFont="1" applyBorder="1"/>
    <xf numFmtId="0" fontId="3" fillId="0" borderId="128" xfId="0" applyFont="1" applyBorder="1"/>
    <xf numFmtId="0" fontId="3" fillId="0" borderId="129" xfId="0" applyFont="1" applyBorder="1"/>
    <xf numFmtId="0" fontId="3" fillId="0" borderId="130" xfId="0" applyFont="1" applyBorder="1"/>
    <xf numFmtId="0" fontId="3" fillId="0" borderId="13" xfId="0" applyFont="1" applyBorder="1"/>
    <xf numFmtId="167" fontId="3" fillId="0" borderId="0" xfId="0" applyNumberFormat="1" applyFont="1"/>
    <xf numFmtId="0" fontId="3" fillId="0" borderId="24" xfId="0" applyFont="1" applyBorder="1"/>
    <xf numFmtId="0" fontId="2" fillId="0" borderId="0" xfId="0" applyFont="1"/>
    <xf numFmtId="0" fontId="2" fillId="0" borderId="3" xfId="0" applyFont="1" applyBorder="1"/>
    <xf numFmtId="0" fontId="2" fillId="0" borderId="4" xfId="0" applyFont="1" applyBorder="1"/>
    <xf numFmtId="0" fontId="2" fillId="0" borderId="5" xfId="0" applyFont="1" applyBorder="1"/>
    <xf numFmtId="0" fontId="2" fillId="0" borderId="7" xfId="0" applyFont="1" applyBorder="1"/>
    <xf numFmtId="0" fontId="2" fillId="0" borderId="6" xfId="0" applyFont="1" applyBorder="1"/>
    <xf numFmtId="0" fontId="2" fillId="0" borderId="0" xfId="0" quotePrefix="1" applyFont="1" applyAlignment="1">
      <alignment horizontal="left"/>
    </xf>
    <xf numFmtId="0" fontId="2" fillId="0" borderId="8" xfId="0" applyFont="1" applyBorder="1"/>
    <xf numFmtId="0" fontId="2" fillId="0" borderId="9" xfId="0" applyFont="1" applyBorder="1"/>
    <xf numFmtId="0" fontId="2" fillId="0" borderId="10" xfId="0" applyFont="1" applyBorder="1"/>
    <xf numFmtId="0" fontId="2" fillId="0" borderId="8" xfId="0" applyFont="1" applyBorder="1" applyAlignment="1">
      <alignment horizontal="left" indent="4"/>
    </xf>
    <xf numFmtId="0" fontId="2" fillId="0" borderId="0" xfId="0" applyFont="1" applyAlignment="1">
      <alignment horizontal="left" wrapText="1"/>
    </xf>
    <xf numFmtId="0" fontId="2" fillId="0" borderId="7" xfId="0" applyFont="1" applyBorder="1" applyAlignment="1">
      <alignment horizontal="left" wrapText="1"/>
    </xf>
    <xf numFmtId="0" fontId="2" fillId="0" borderId="6"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10" xfId="0" applyFont="1" applyBorder="1" applyAlignment="1">
      <alignment horizontal="left" wrapText="1"/>
    </xf>
    <xf numFmtId="167" fontId="0" fillId="0" borderId="0" xfId="0" applyNumberFormat="1"/>
    <xf numFmtId="2" fontId="3" fillId="0" borderId="0" xfId="0" applyNumberFormat="1" applyFont="1" applyAlignment="1">
      <alignment horizontal="center"/>
    </xf>
    <xf numFmtId="2" fontId="3" fillId="2" borderId="1" xfId="0" applyNumberFormat="1" applyFont="1" applyFill="1" applyBorder="1" applyAlignment="1" applyProtection="1">
      <alignment horizontal="center"/>
      <protection locked="0"/>
    </xf>
    <xf numFmtId="0" fontId="14" fillId="0" borderId="0" xfId="5" applyFont="1" applyAlignment="1">
      <alignment horizontal="left" wrapText="1"/>
    </xf>
    <xf numFmtId="0" fontId="14" fillId="0" borderId="0" xfId="5" applyFont="1" applyAlignment="1">
      <alignment horizontal="left"/>
    </xf>
    <xf numFmtId="0" fontId="10" fillId="0" borderId="0" xfId="3" applyAlignment="1">
      <alignment horizontal="left" vertical="center" wrapText="1"/>
    </xf>
    <xf numFmtId="0" fontId="23" fillId="0" borderId="0" xfId="3" applyFont="1" applyAlignment="1">
      <alignment horizontal="left" vertical="center" wrapText="1"/>
    </xf>
    <xf numFmtId="0" fontId="19" fillId="0" borderId="0" xfId="3" applyFont="1" applyAlignment="1">
      <alignment horizontal="center" wrapText="1"/>
    </xf>
    <xf numFmtId="0" fontId="30" fillId="0" borderId="0" xfId="0" applyFont="1" applyAlignment="1">
      <alignment horizontal="left" wrapText="1"/>
    </xf>
    <xf numFmtId="0" fontId="2" fillId="0" borderId="0" xfId="0" quotePrefix="1" applyFont="1" applyAlignment="1">
      <alignment horizontal="left" wrapText="1"/>
    </xf>
    <xf numFmtId="0" fontId="0" fillId="0" borderId="0" xfId="0" applyAlignment="1">
      <alignment wrapText="1"/>
    </xf>
    <xf numFmtId="0" fontId="0" fillId="0" borderId="7" xfId="0" applyBorder="1" applyAlignment="1">
      <alignment wrapText="1"/>
    </xf>
    <xf numFmtId="0" fontId="2" fillId="0" borderId="0" xfId="0" applyFont="1" applyAlignment="1">
      <alignment horizontal="left" wrapText="1"/>
    </xf>
    <xf numFmtId="0" fontId="2" fillId="0" borderId="7" xfId="0" applyFont="1" applyBorder="1" applyAlignment="1">
      <alignment horizontal="left" wrapText="1"/>
    </xf>
    <xf numFmtId="0" fontId="33" fillId="9" borderId="0" xfId="0" applyFont="1" applyFill="1" applyAlignment="1">
      <alignment horizontal="center"/>
    </xf>
  </cellXfs>
  <cellStyles count="601">
    <cellStyle name="20% - Accent1 2" xfId="12" xr:uid="{F5814238-DC1D-4F82-BE05-05D8A056F35D}"/>
    <cellStyle name="20% - Accent1 3" xfId="197" xr:uid="{B2806DF9-67F2-45FB-B581-59A24904C05F}"/>
    <cellStyle name="20% - Accent1 4" xfId="11" xr:uid="{1521341F-5D35-46BA-B4B5-52F5952E8162}"/>
    <cellStyle name="20% - Accent2 2" xfId="14" xr:uid="{0E4EA37A-CE5F-4793-96CA-A4BE15597A22}"/>
    <cellStyle name="20% - Accent2 3" xfId="198" xr:uid="{7B131A68-BB39-4096-8A79-4D618DA5D3F5}"/>
    <cellStyle name="20% - Accent2 4" xfId="13" xr:uid="{BBD8DCE9-D221-45E5-9A36-260849F15C92}"/>
    <cellStyle name="20% - Accent3 2" xfId="16" xr:uid="{FDC98C0D-9489-45AF-AD56-6F7F426DA6F4}"/>
    <cellStyle name="20% - Accent3 3" xfId="199" xr:uid="{299F384E-9D77-4F12-AEAD-1E44606095F1}"/>
    <cellStyle name="20% - Accent3 4" xfId="15" xr:uid="{A4408124-6BEF-42C5-8E27-A9E681597B0E}"/>
    <cellStyle name="20% - Accent4 2" xfId="18" xr:uid="{E7F44B3D-962A-4895-BBCB-44F243EBD6B6}"/>
    <cellStyle name="20% - Accent4 3" xfId="200" xr:uid="{D3572ABF-DE9D-45FE-A180-15E6B4540CC2}"/>
    <cellStyle name="20% - Accent4 4" xfId="17" xr:uid="{BFE25AB3-63A4-4EAD-9399-1BE5D3220CFC}"/>
    <cellStyle name="20% - Accent5 2" xfId="20" xr:uid="{5C12F308-1C50-48CD-8C89-1B51CF54B7A1}"/>
    <cellStyle name="20% - Accent5 3" xfId="201" xr:uid="{F271B17A-6CBD-449F-8B28-121EE60CF845}"/>
    <cellStyle name="20% - Accent5 4" xfId="19" xr:uid="{236C8010-F511-4CA2-B515-EA39F0A642A3}"/>
    <cellStyle name="20% - Accent6 2" xfId="22" xr:uid="{66FD51F3-C2BE-42B9-8A58-B68F0039AB77}"/>
    <cellStyle name="20% - Accent6 3" xfId="202" xr:uid="{E9633430-E925-4666-A4B7-8BE735E4CB7B}"/>
    <cellStyle name="20% - Accent6 4" xfId="21" xr:uid="{E0E8E414-2173-4803-8917-EF24A540449C}"/>
    <cellStyle name="2x indented GHG Textfiels" xfId="23" xr:uid="{D90AB543-4BC9-43A3-AEBB-491C71F0FF29}"/>
    <cellStyle name="2x indented GHG Textfiels 2" xfId="203" xr:uid="{134571AE-8187-4556-99A8-B1AF7A35F31C}"/>
    <cellStyle name="2x indented GHG Textfiels 3" xfId="160" xr:uid="{4DA19039-94D1-4ED7-B02F-FCCE2D0797F5}"/>
    <cellStyle name="2x indented GHG Textfiels 3 2" xfId="549" xr:uid="{1D99B495-C09C-4D5F-922D-338B2EB514A3}"/>
    <cellStyle name="40% - Accent1 2" xfId="25" xr:uid="{E7CD7D6B-EC7E-44FD-AAAD-86DAE8BC8B2C}"/>
    <cellStyle name="40% - Accent1 3" xfId="204" xr:uid="{72C5BE67-A52A-4BE4-AB9C-FD3C9DB3A2CA}"/>
    <cellStyle name="40% - Accent1 4" xfId="24" xr:uid="{B2279ABC-5F15-4613-8B2E-BA2A225D1851}"/>
    <cellStyle name="40% - Accent2 2" xfId="27" xr:uid="{249C6AC4-85F1-4087-9CCD-2A3F41ED0AE8}"/>
    <cellStyle name="40% - Accent2 3" xfId="205" xr:uid="{8BB38FCB-3A52-4EF6-808F-980419F420B6}"/>
    <cellStyle name="40% - Accent2 4" xfId="26" xr:uid="{6C1110E9-CDE0-4337-A00D-A0DB3D8B0FD2}"/>
    <cellStyle name="40% - Accent3 2" xfId="29" xr:uid="{EBC398F3-7E30-444E-A706-F5E6DCFF1F9B}"/>
    <cellStyle name="40% - Accent3 3" xfId="206" xr:uid="{F941036A-2A3A-4E4C-9182-DC27AF1106D8}"/>
    <cellStyle name="40% - Accent3 4" xfId="28" xr:uid="{F19938D6-E963-4C4B-9C22-F4DC6309411B}"/>
    <cellStyle name="40% - Accent4 2" xfId="31" xr:uid="{7CF34799-729E-48FB-8832-81AF707DBFE3}"/>
    <cellStyle name="40% - Accent4 3" xfId="207" xr:uid="{66D4EB19-0AFB-4FF5-9458-A58765E84450}"/>
    <cellStyle name="40% - Accent4 4" xfId="30" xr:uid="{BBE597B5-0A7C-4977-8FBD-E2FB14B29141}"/>
    <cellStyle name="40% - Accent5 2" xfId="33" xr:uid="{E5837907-981B-4202-946B-18BF4B34D0CE}"/>
    <cellStyle name="40% - Accent5 3" xfId="208" xr:uid="{ECB5AD89-B3DC-46BD-B202-C22FA033C7FE}"/>
    <cellStyle name="40% - Accent5 4" xfId="32" xr:uid="{98273291-3CED-456E-9879-4C6556921BED}"/>
    <cellStyle name="40% - Accent6 2" xfId="35" xr:uid="{8B7E8C65-7BC4-41E9-8355-7124323240F2}"/>
    <cellStyle name="40% - Accent6 3" xfId="209" xr:uid="{4FD68C2A-8376-48D1-BEA8-2FA030D240BF}"/>
    <cellStyle name="40% - Accent6 4" xfId="34" xr:uid="{D3E9785A-BEE0-48AA-9C18-02BD83EA9098}"/>
    <cellStyle name="5x indented GHG Textfiels" xfId="36" xr:uid="{E7D77067-853C-4B00-8C99-E3F5C093886B}"/>
    <cellStyle name="5x indented GHG Textfiels 2" xfId="210" xr:uid="{04F81BEB-91CE-45D7-8DB8-94381F313C03}"/>
    <cellStyle name="5x indented GHG Textfiels 3" xfId="161" xr:uid="{7FAB239D-FAF5-4FD3-8311-0F3CA7A2D826}"/>
    <cellStyle name="60% - Accent1 2" xfId="38" xr:uid="{A80C75B5-1377-4DE1-9E8A-96DDF7652BA3}"/>
    <cellStyle name="60% - Accent1 3" xfId="211" xr:uid="{6539394F-913F-4B18-AC28-EF23935C680B}"/>
    <cellStyle name="60% - Accent1 4" xfId="37" xr:uid="{5AABB75D-E128-4823-9860-27584316DDE0}"/>
    <cellStyle name="60% - Accent2 2" xfId="40" xr:uid="{2E4911ED-9ACA-47C5-8660-A17F7A46BECA}"/>
    <cellStyle name="60% - Accent2 3" xfId="212" xr:uid="{4B71318C-1309-460B-8326-E533A474BAA7}"/>
    <cellStyle name="60% - Accent2 4" xfId="39" xr:uid="{6ECFBE42-FA17-4E63-A548-F7DD57B4474B}"/>
    <cellStyle name="60% - Accent3 2" xfId="42" xr:uid="{2494F3EB-8CFB-4E0C-BA9B-2F6C945A3260}"/>
    <cellStyle name="60% - Accent3 3" xfId="213" xr:uid="{207AB316-A02E-40FD-BF4D-EB4F43C853F5}"/>
    <cellStyle name="60% - Accent3 4" xfId="41" xr:uid="{9E3EC55B-BCFC-4A8E-AAA0-14D6C0953886}"/>
    <cellStyle name="60% - Accent4 2" xfId="44" xr:uid="{BDE78EDA-6F6C-4540-AA0B-F9449FDCE934}"/>
    <cellStyle name="60% - Accent4 3" xfId="214" xr:uid="{F5141ED1-DC05-43C3-B4F1-50D711475827}"/>
    <cellStyle name="60% - Accent4 4" xfId="43" xr:uid="{31C09FE9-DC7D-42C1-A9C4-F1FD0254F8C6}"/>
    <cellStyle name="60% - Accent5 2" xfId="46" xr:uid="{7E00065E-105B-4642-8DAA-0A7F444A55BA}"/>
    <cellStyle name="60% - Accent5 3" xfId="215" xr:uid="{C0400389-92B5-4CAA-B993-411BFE840958}"/>
    <cellStyle name="60% - Accent5 4" xfId="45" xr:uid="{1FBBB5A4-DB21-4176-9877-1FE7BFF26B53}"/>
    <cellStyle name="60% - Accent6 2" xfId="48" xr:uid="{5D286C93-4749-4ADB-8F4F-C07AED433EC9}"/>
    <cellStyle name="60% - Accent6 3" xfId="216" xr:uid="{75A520B2-95FD-4A78-8BE9-6FE2458C0CC8}"/>
    <cellStyle name="60% - Accent6 4" xfId="47" xr:uid="{BF54AE05-EC98-4101-8BA7-46D88ABC64EE}"/>
    <cellStyle name="Accent1 2" xfId="50" xr:uid="{1937C015-DCA8-4225-B56B-4A3EC6BDBD4E}"/>
    <cellStyle name="Accent1 3" xfId="217" xr:uid="{E19A63AA-C1C2-4235-B992-1BA5176DD6F6}"/>
    <cellStyle name="Accent1 4" xfId="49" xr:uid="{5912837B-8A99-4DD5-AC6B-484ACD753868}"/>
    <cellStyle name="Accent2 2" xfId="52" xr:uid="{15E6DA6C-D81F-4348-9436-BD648136588B}"/>
    <cellStyle name="Accent2 3" xfId="218" xr:uid="{439A7D3C-23B0-4AC6-86F6-468934779F55}"/>
    <cellStyle name="Accent2 4" xfId="51" xr:uid="{77AF2845-6EE3-4A2E-92D0-4B768ED9AC06}"/>
    <cellStyle name="Accent3 2" xfId="54" xr:uid="{931E4546-8356-4B5B-9AC0-B96CF366C259}"/>
    <cellStyle name="Accent3 3" xfId="219" xr:uid="{9A76103E-407D-46A0-8130-D521BF9D0F07}"/>
    <cellStyle name="Accent3 4" xfId="53" xr:uid="{260548EA-7C24-4B8B-A26A-93D76978DCBB}"/>
    <cellStyle name="Accent4 2" xfId="56" xr:uid="{EFD75775-6C95-45F5-917F-020520C4EBE0}"/>
    <cellStyle name="Accent4 3" xfId="220" xr:uid="{82B2F4E0-78B1-4B66-9F67-01A8EA6CF701}"/>
    <cellStyle name="Accent4 4" xfId="55" xr:uid="{4CCD54D1-9FED-44FD-95E2-1298742B83F1}"/>
    <cellStyle name="Accent5 2" xfId="58" xr:uid="{375DAB6D-C018-4F2D-8293-0BB42D5D9B7C}"/>
    <cellStyle name="Accent5 3" xfId="221" xr:uid="{6E0A2340-C019-435F-98D2-697AC3017F6F}"/>
    <cellStyle name="Accent5 4" xfId="57" xr:uid="{6B94544A-B11D-404F-A70C-9608807DB097}"/>
    <cellStyle name="Accent6 2" xfId="60" xr:uid="{11B1CACE-B7D1-4641-B94C-05F47EF08296}"/>
    <cellStyle name="Accent6 3" xfId="222" xr:uid="{123619DD-C550-4489-8B9F-4A9A9B391BCA}"/>
    <cellStyle name="Accent6 4" xfId="59" xr:uid="{0A620474-F5C9-4B09-AB70-8911DF753F8B}"/>
    <cellStyle name="Bad 2" xfId="62" xr:uid="{2273C77A-4397-4BCA-A524-5379B16155DC}"/>
    <cellStyle name="Bad 3" xfId="223" xr:uid="{E90610A3-B146-43A3-B86D-EE2DE7DD2055}"/>
    <cellStyle name="Bad 4" xfId="61" xr:uid="{A8ACF0A7-2F7C-4E18-8CD2-E2175C29737A}"/>
    <cellStyle name="Bold GHG Numbers (0.00)" xfId="63" xr:uid="{096AB75A-D859-4BD6-8F5A-5686ABD6C327}"/>
    <cellStyle name="Bold GHG Numbers (0.00) 2" xfId="224" xr:uid="{A09695AB-E993-4A63-8A11-12847D3D9413}"/>
    <cellStyle name="Bold GHG Numbers (0.00) 3" xfId="162" xr:uid="{B49F3480-47F5-4771-9BF5-11AA3DAACE7D}"/>
    <cellStyle name="Calculation 10" xfId="456" xr:uid="{1F91589A-C260-415F-AE73-D5ADA9A8F029}"/>
    <cellStyle name="Calculation 11" xfId="297" xr:uid="{4E8B3CD8-5B31-47AB-9B90-C2CD70303683}"/>
    <cellStyle name="Calculation 2" xfId="65" xr:uid="{E1BD01A4-78BB-4B28-9FD6-F3CCA192424E}"/>
    <cellStyle name="Calculation 3" xfId="225" xr:uid="{15420701-F2CB-4289-AB6E-0AA7E9E9C67D}"/>
    <cellStyle name="Calculation 3 2" xfId="441" xr:uid="{6AE34956-C103-4BBB-AB14-59C3DFD547E1}"/>
    <cellStyle name="Calculation 3 3" xfId="305" xr:uid="{57ABAC33-E154-4BC2-9A1C-07B9C05DE8DE}"/>
    <cellStyle name="Calculation 3 4" xfId="382" xr:uid="{470D9DCD-828A-478B-A338-82400466D22A}"/>
    <cellStyle name="Calculation 3 5" xfId="446" xr:uid="{94733C3A-0C75-4275-BF69-9CE07D70B379}"/>
    <cellStyle name="Calculation 3 6" xfId="429" xr:uid="{3366E7D5-B07A-4700-84E1-3F2C2C183D49}"/>
    <cellStyle name="Calculation 3 7" xfId="314" xr:uid="{5A8B4804-69F9-4B35-BB0E-3D14E98CFF1F}"/>
    <cellStyle name="Calculation 3 8" xfId="467" xr:uid="{00E00104-F187-4BE6-A36B-67E7AA7B5E0B}"/>
    <cellStyle name="Calculation 4" xfId="64" xr:uid="{D044AA7D-7F8A-4F6B-9987-E0F4C754F11D}"/>
    <cellStyle name="Calculation 5" xfId="330" xr:uid="{FFAF9E35-16B4-4D33-81A4-2A27A8A0DDE3}"/>
    <cellStyle name="Calculation 6" xfId="457" xr:uid="{ADA0D883-1375-42E8-8C1D-069C81C14395}"/>
    <cellStyle name="Calculation 7" xfId="296" xr:uid="{E272927E-9167-45A3-A23F-28ED53CAF5E1}"/>
    <cellStyle name="Calculation 8" xfId="393" xr:uid="{B571E817-72D5-4E07-B5DF-B1ABA05A687A}"/>
    <cellStyle name="Calculation 9" xfId="335" xr:uid="{88050C45-A164-438D-8947-4EE34C544A36}"/>
    <cellStyle name="Check Cell 2" xfId="67" xr:uid="{4C3DF0F6-B458-42D9-A937-87B58BE83AC0}"/>
    <cellStyle name="Check Cell 3" xfId="226" xr:uid="{0679F9A7-E3BF-4169-900D-A82A3D2C4BE2}"/>
    <cellStyle name="Check Cell 4" xfId="66" xr:uid="{FFECEADF-E813-4753-9DEF-18B8FB2F858D}"/>
    <cellStyle name="Comma" xfId="1" builtinId="3"/>
    <cellStyle name="Comma 2" xfId="69" xr:uid="{5B12F99A-3026-4BCB-B8C2-CA06A1F70B64}"/>
    <cellStyle name="Comma 2 2" xfId="228" xr:uid="{4A76962A-EE54-467D-9A24-3C7CED3226E8}"/>
    <cellStyle name="Comma 2 3" xfId="159" xr:uid="{8458BA05-2193-4781-95E2-E29FEA1E8700}"/>
    <cellStyle name="Comma 3" xfId="70" xr:uid="{00DE6195-08BE-4135-95CF-7FBC6A3BAD78}"/>
    <cellStyle name="Comma 3 2" xfId="287" xr:uid="{DAFAC654-3C77-4BEA-B4B5-0FA6B40FAA6B}"/>
    <cellStyle name="Comma 4" xfId="71" xr:uid="{1DE37690-1ACD-4616-B91C-9BD620D4C96F}"/>
    <cellStyle name="Comma 4 2" xfId="280" xr:uid="{46C33A28-7375-4672-9522-CD5F633BA601}"/>
    <cellStyle name="Comma 4 3" xfId="227" xr:uid="{F054A124-8944-433F-B97C-8FFD147311B2}"/>
    <cellStyle name="Comma 4 4" xfId="286" xr:uid="{52E357A1-AA2E-480C-AF07-D583BAF40E24}"/>
    <cellStyle name="Comma 4 5" xfId="294" xr:uid="{AFD0D320-E1FD-490D-88E1-5721D7BBD28A}"/>
    <cellStyle name="Comma 5" xfId="153" xr:uid="{1D3A2BE8-A263-42BE-9B26-AEFC39A47F7A}"/>
    <cellStyle name="Comma 6" xfId="155" xr:uid="{84241360-3F6C-4FC5-9B32-6DA114701919}"/>
    <cellStyle name="Comma 7" xfId="158" xr:uid="{EB6142D0-2C9A-4390-B66B-B5F2CD4EDC8D}"/>
    <cellStyle name="Comma 8" xfId="68" xr:uid="{34C0DCFA-4B97-40A8-AB83-5F7B4F87E6F1}"/>
    <cellStyle name="Comma0" xfId="72" xr:uid="{06EDE973-15AD-4410-91A9-767850CCCAC5}"/>
    <cellStyle name="Comma0 2" xfId="229" xr:uid="{90859188-19E3-4F91-BD97-24777D57EBE0}"/>
    <cellStyle name="Comma0 3" xfId="163" xr:uid="{CF23DF26-0653-4C50-A061-93402F943FC5}"/>
    <cellStyle name="Currency0" xfId="73" xr:uid="{F59684E5-E6C3-46FA-8738-E353DAE16E76}"/>
    <cellStyle name="Currency0 2" xfId="230" xr:uid="{1B563316-EAC4-4B8E-8C1E-0BB6E5E12C47}"/>
    <cellStyle name="Currency0 3" xfId="164" xr:uid="{066F28C9-C8F9-429E-B356-0C37FB7274C3}"/>
    <cellStyle name="Date" xfId="74" xr:uid="{96209877-49C9-45DC-99E1-C415F16CFE15}"/>
    <cellStyle name="Date 2" xfId="231" xr:uid="{35FCD687-0491-428F-8EA3-C954967FECF3}"/>
    <cellStyle name="Date 3" xfId="165" xr:uid="{21B1BA49-703F-4443-8CEC-6C47AE13609E}"/>
    <cellStyle name="Explanatory Text 2" xfId="76" xr:uid="{D52F39B6-797A-4494-88EF-A6BABCC0D263}"/>
    <cellStyle name="Explanatory Text 3" xfId="232" xr:uid="{95AED64C-F0A0-46B1-BFC4-D9D36561150A}"/>
    <cellStyle name="Explanatory Text 4" xfId="75" xr:uid="{32336085-39F6-4058-B6EE-9FF9F4F32FC2}"/>
    <cellStyle name="Fixed" xfId="77" xr:uid="{ACD6107F-0367-44A4-99E2-4D3D8373F901}"/>
    <cellStyle name="Fixed 2" xfId="233" xr:uid="{40A13CAB-3CD4-45AE-B973-E93AA0031F4B}"/>
    <cellStyle name="Fixed 3" xfId="166" xr:uid="{ED92EDFD-7915-4861-A258-6BD002716F18}"/>
    <cellStyle name="Good 2" xfId="79" xr:uid="{CD75DB28-3469-4022-A37F-02DF0BA7516F}"/>
    <cellStyle name="Good 3" xfId="234" xr:uid="{C126BCD3-F07D-43F9-80A3-F319C714964A}"/>
    <cellStyle name="Good 4" xfId="78" xr:uid="{179652BF-8B30-40FC-986B-5A67158CAA06}"/>
    <cellStyle name="Heading 1 2" xfId="81" xr:uid="{2618BF06-6B95-46E4-9C7A-03AD7B6E2414}"/>
    <cellStyle name="Heading 1 3" xfId="235" xr:uid="{37BBA5F6-ECE2-436F-8F3D-DA6E88EEFDC7}"/>
    <cellStyle name="Heading 1 4" xfId="80" xr:uid="{11689980-85EC-4BF9-A1AE-7016CA600B31}"/>
    <cellStyle name="Heading 2 2" xfId="83" xr:uid="{4E3D97E3-1001-4528-B305-D656E557CD35}"/>
    <cellStyle name="Heading 2 3" xfId="236" xr:uid="{DE71952C-B8D7-4363-B3C7-8593B5751EE7}"/>
    <cellStyle name="Heading 2 4" xfId="82" xr:uid="{02649F6A-ACFA-4627-BC61-16BE9A87A8BE}"/>
    <cellStyle name="Heading 3 2" xfId="85" xr:uid="{76F9C9C2-ABC1-4A6A-9D9C-E1E444B89B43}"/>
    <cellStyle name="Heading 3 3" xfId="237" xr:uid="{D58462AD-12EC-49EF-B03F-677943677DBA}"/>
    <cellStyle name="Heading 3 4" xfId="84" xr:uid="{3B211750-2CDC-41FD-878E-03CAD371BF72}"/>
    <cellStyle name="Heading 4 2" xfId="87" xr:uid="{37E965EA-C0DC-4187-947A-0470AB125433}"/>
    <cellStyle name="Heading 4 3" xfId="238" xr:uid="{8F4EA843-EDA6-45B4-B9DA-0FA8B03543A7}"/>
    <cellStyle name="Heading 4 4" xfId="86" xr:uid="{B90FEF40-61C5-4041-844D-BC76350B36DF}"/>
    <cellStyle name="Headline" xfId="88" xr:uid="{D7ADBE26-989B-450D-9420-E7451BAC34DA}"/>
    <cellStyle name="Hyperlink" xfId="2" builtinId="8"/>
    <cellStyle name="Hyperlink 2" xfId="90" xr:uid="{C7B39B2D-0587-47EB-B339-886626827420}"/>
    <cellStyle name="Hyperlink 3" xfId="89" xr:uid="{A2DF93BF-290C-4B33-B62B-B81CD77AD0D6}"/>
    <cellStyle name="Input 10" xfId="406" xr:uid="{00120B38-DBCD-445C-AFE1-AE52EB373A63}"/>
    <cellStyle name="Input 11" xfId="484" xr:uid="{1BFF13FF-0835-4F31-9432-4C0AB933C230}"/>
    <cellStyle name="Input 2" xfId="92" xr:uid="{9AF34DEA-422A-4FF1-977A-7DE1C15F93A8}"/>
    <cellStyle name="Input 3" xfId="239" xr:uid="{C2A62C8B-FD26-4A20-9D4E-55BBD544DA41}"/>
    <cellStyle name="Input 3 2" xfId="449" xr:uid="{1D2672F7-AFFB-4EB8-8703-0F5F91CF61C8}"/>
    <cellStyle name="Input 3 3" xfId="300" xr:uid="{095E986C-49AD-42A3-9FFE-3F6C836C3749}"/>
    <cellStyle name="Input 3 4" xfId="386" xr:uid="{35044549-EB92-43DE-88C5-4A3388D7D3DF}"/>
    <cellStyle name="Input 3 5" xfId="403" xr:uid="{E99419D2-F647-4456-B935-4706D41BB7C2}"/>
    <cellStyle name="Input 3 6" xfId="442" xr:uid="{495D15AB-BA9E-491C-BD69-58AC3B2A05E8}"/>
    <cellStyle name="Input 3 7" xfId="430" xr:uid="{25BDAB56-723E-482C-A0F0-E7B49F1AB087}"/>
    <cellStyle name="Input 3 8" xfId="324" xr:uid="{9805B35C-008E-47CF-A2FA-5D5FA4375CF2}"/>
    <cellStyle name="Input 4" xfId="91" xr:uid="{4698721B-2D41-4B43-81F6-5DB52B14A2A1}"/>
    <cellStyle name="Input 5" xfId="350" xr:uid="{167C2C08-89B4-4CAE-8B7A-ED8CD3EE20E8}"/>
    <cellStyle name="Input 6" xfId="405" xr:uid="{0CF87081-E416-432E-8BF3-234B5D8D20C2}"/>
    <cellStyle name="Input 7" xfId="331" xr:uid="{DAD10E54-0760-4B37-86E5-4DF900DA0C60}"/>
    <cellStyle name="Input 8" xfId="370" xr:uid="{8177CECE-7A9A-459A-9A50-A9745A7F8CFE}"/>
    <cellStyle name="Input 9" xfId="349" xr:uid="{CF292E98-E9DE-453D-BD9B-3E57F8A02560}"/>
    <cellStyle name="Linked Cell 2" xfId="94" xr:uid="{D693ED03-2904-4633-AD53-5FFA6B630225}"/>
    <cellStyle name="Linked Cell 3" xfId="240" xr:uid="{77B6CFA8-C834-4383-84A0-BE63B94A764E}"/>
    <cellStyle name="Linked Cell 4" xfId="93" xr:uid="{D791903E-E1FD-4EA9-B97D-B7F58BED12BF}"/>
    <cellStyle name="Neutral 2" xfId="96" xr:uid="{51A50C28-0181-41D2-9DDD-3BB07A6BCFAD}"/>
    <cellStyle name="Neutral 3" xfId="241" xr:uid="{006A6E71-E7D8-425F-9511-A90732FCB6B1}"/>
    <cellStyle name="Neutral 4" xfId="95" xr:uid="{AAA5C855-DE81-46EB-AFF0-1548896BDFB7}"/>
    <cellStyle name="Normal" xfId="0" builtinId="0"/>
    <cellStyle name="Normal 2" xfId="97" xr:uid="{0F051341-3141-471B-B921-62D9BA9143D6}"/>
    <cellStyle name="Normal 2 2" xfId="98" xr:uid="{17F9FC0B-15DE-47D0-B2E4-90C89AFF06AC}"/>
    <cellStyle name="Normal 2 2 2" xfId="242" xr:uid="{E729FF1C-0311-49EB-8910-FC6D2EDD2B99}"/>
    <cellStyle name="Normal 2 2 3" xfId="291" xr:uid="{B23D1AF4-420D-45C5-B544-F7F2026A5528}"/>
    <cellStyle name="Normal 2 3" xfId="285" xr:uid="{9404B4ED-7884-4266-883C-E17396907130}"/>
    <cellStyle name="Normal 3" xfId="99" xr:uid="{91F5BF1F-637C-44B0-B3FF-E5092C358BDC}"/>
    <cellStyle name="Normal 3 2" xfId="100" xr:uid="{F787EF2D-9337-42D9-B91F-53E90811C6C8}"/>
    <cellStyle name="Normal 3 2 2" xfId="292" xr:uid="{62933DEA-49C2-4F25-B4AB-16755972C1BB}"/>
    <cellStyle name="Normal 3 3" xfId="281" xr:uid="{FD6595F3-F707-4A5D-BEA3-28374E646348}"/>
    <cellStyle name="Normal 4" xfId="152" xr:uid="{0282C647-3867-42FA-BA4B-DD9B4E86D2FA}"/>
    <cellStyle name="Normal 5" xfId="101" xr:uid="{F6F9DE2A-7A80-4AC8-9CA1-D275B7927234}"/>
    <cellStyle name="Normal 5 11" xfId="102" xr:uid="{C26B2E24-98C4-49FF-A82E-1AF8EB1945A6}"/>
    <cellStyle name="Normal 5 2" xfId="103" xr:uid="{BA996C4F-837E-4B82-BA5A-ED984CB06CEF}"/>
    <cellStyle name="Normal 5 3" xfId="282" xr:uid="{A76C529F-5155-46E7-974D-CE644DCDA67A}"/>
    <cellStyle name="Normal 5 4" xfId="293" xr:uid="{895EC211-A4A5-45EF-BBD3-77DFCBBC67F3}"/>
    <cellStyle name="Normal 6" xfId="154" xr:uid="{F62B7CB8-A9F6-408A-BC94-84E80DBCF43E}"/>
    <cellStyle name="Normal 7" xfId="157" xr:uid="{3A8427EA-33FD-4528-8DCB-3902CDB62CD3}"/>
    <cellStyle name="Normal 8" xfId="10" xr:uid="{8AB98804-D327-4755-9C03-33C14259D5DD}"/>
    <cellStyle name="Normal GHG Numbers (0.00)" xfId="104" xr:uid="{C19ADF65-DD4C-41FA-A0CF-D63F5B7B1C4B}"/>
    <cellStyle name="Normal GHG Numbers (0.00) 2" xfId="243" xr:uid="{68302DC8-06F3-4625-BEEE-5F4D11BA44F6}"/>
    <cellStyle name="Normal GHG Numbers (0.00) 3" xfId="167" xr:uid="{349C72DC-D66D-425A-BB1F-1C4CC6A3D4B0}"/>
    <cellStyle name="Normal GHG Numbers (0.00) 3 2" xfId="313" xr:uid="{536EB91F-5A9D-49A9-8299-7509CE1D78E7}"/>
    <cellStyle name="Normal GHG Textfiels Bold" xfId="105" xr:uid="{EC6E9231-9716-4EC2-8775-33A7163864D7}"/>
    <cellStyle name="Normal GHG Textfiels Bold 2" xfId="244" xr:uid="{3E0E48A5-DCAE-41AB-8BED-012F2C752649}"/>
    <cellStyle name="Normal GHG Textfiels Bold 3" xfId="168" xr:uid="{69576DEF-7886-4E45-BE81-09878F2EF784}"/>
    <cellStyle name="Normal GHG Textfiels Bold 3 2" xfId="401" xr:uid="{39578056-DDDF-417D-BA22-B76767F513FA}"/>
    <cellStyle name="Normal GHG whole table" xfId="106" xr:uid="{F7D17D04-4FD4-49C5-9924-E717440AFE04}"/>
    <cellStyle name="Normal GHG whole table 10" xfId="587" xr:uid="{DF12960F-CCE8-42F4-A879-291093B6E1F8}"/>
    <cellStyle name="Normal GHG whole table 2" xfId="245" xr:uid="{C1BEA04E-9526-4315-AA42-FC3D3996C1DC}"/>
    <cellStyle name="Normal GHG whole table 2 2" xfId="452" xr:uid="{4441E398-FA78-409B-96B0-233FDD7EAA0F}"/>
    <cellStyle name="Normal GHG whole table 2 3" xfId="299" xr:uid="{44A31CE2-EF0B-4D45-B5DE-31DDA390CED2}"/>
    <cellStyle name="Normal GHG whole table 2 4" xfId="474" xr:uid="{ACFCAC49-10DC-4D4F-9962-2C1B58E281F2}"/>
    <cellStyle name="Normal GHG whole table 2 5" xfId="503" xr:uid="{BCA15510-8353-4F89-A430-790FE080E91C}"/>
    <cellStyle name="Normal GHG whole table 2 6" xfId="527" xr:uid="{508C56FF-FE81-4D9B-9135-5B9EF279E6E4}"/>
    <cellStyle name="Normal GHG whole table 2 7" xfId="547" xr:uid="{A1443B21-81EE-442F-9EFB-6816FE56382D}"/>
    <cellStyle name="Normal GHG whole table 2 8" xfId="537" xr:uid="{1E6B1269-7402-4760-BB7B-0FD0323F0CB4}"/>
    <cellStyle name="Normal GHG whole table 3" xfId="169" xr:uid="{FDD0E016-A97A-4931-9461-FC32A8461FD3}"/>
    <cellStyle name="Normal GHG whole table 3 2" xfId="320" xr:uid="{E6BAE06F-AAB5-4BFC-93EE-D596C4CCC085}"/>
    <cellStyle name="Normal GHG whole table 4" xfId="360" xr:uid="{AA46658C-2C71-4084-90C9-6676C7FF6484}"/>
    <cellStyle name="Normal GHG whole table 5" xfId="486" xr:uid="{C85429D3-00C6-4BD2-83AC-E9BC14700FB8}"/>
    <cellStyle name="Normal GHG whole table 6" xfId="513" xr:uid="{3E24CEFA-FDFA-4067-B874-55C210488AA0}"/>
    <cellStyle name="Normal GHG whole table 7" xfId="534" xr:uid="{20CD6356-E4A9-4FE3-8980-C6DC938FB597}"/>
    <cellStyle name="Normal GHG whole table 8" xfId="556" xr:uid="{877AE997-35CF-4E72-A462-A3E6580E6187}"/>
    <cellStyle name="Normal GHG whole table 9" xfId="573" xr:uid="{E67FC28D-D62B-4474-B5AE-9B9BEF372838}"/>
    <cellStyle name="Normal GHG-Shade" xfId="107" xr:uid="{5F578CB4-7780-4580-AC1A-CBBC257091EC}"/>
    <cellStyle name="Normal GHG-Shade 2" xfId="246" xr:uid="{F44C0503-2A01-4149-9345-D5B0FB9B80E7}"/>
    <cellStyle name="Normal GHG-Shade 3" xfId="170" xr:uid="{A81DBBA4-7088-4156-87B7-603DD929CFAC}"/>
    <cellStyle name="Normal_Book1" xfId="3" xr:uid="{00000000-0005-0000-0000-000003000000}"/>
    <cellStyle name="Normal_CO2FFC Module_1.18.05" xfId="4" xr:uid="{00000000-0005-0000-0000-000004000000}"/>
    <cellStyle name="Normal_Energy Module2" xfId="5" xr:uid="{00000000-0005-0000-0000-000005000000}"/>
    <cellStyle name="Normal_Non-highway" xfId="6" xr:uid="{00000000-0005-0000-0000-000006000000}"/>
    <cellStyle name="Normal_State Transportation Module 02.13.02" xfId="7" xr:uid="{00000000-0005-0000-0000-000007000000}"/>
    <cellStyle name="Normal_uncertainty" xfId="8" xr:uid="{00000000-0005-0000-0000-000008000000}"/>
    <cellStyle name="Note 10" xfId="477" xr:uid="{D3CCDE62-C92A-411D-942A-5A5436282CD4}"/>
    <cellStyle name="Note 11" xfId="506" xr:uid="{4CC2E1B1-42BC-46AC-B7D6-209594640861}"/>
    <cellStyle name="Note 12" xfId="530" xr:uid="{05CDADE3-3AB6-457A-9552-4E2AE9AB6930}"/>
    <cellStyle name="Note 13" xfId="334" xr:uid="{A4681E6B-F29D-47C0-8A5D-6BEE2A3E75E9}"/>
    <cellStyle name="Note 2" xfId="109" xr:uid="{62768495-231B-49DC-AA5A-9DA7A4FD748A}"/>
    <cellStyle name="Note 3" xfId="110" xr:uid="{92010328-22BC-414B-9635-B1E78C3542BE}"/>
    <cellStyle name="Note 3 2" xfId="284" xr:uid="{686095C0-930E-4B11-82BE-31F53D09DC2B}"/>
    <cellStyle name="Note 3 2 2" xfId="480" xr:uid="{41B35459-6C18-4A31-8B35-FCEB5D50759F}"/>
    <cellStyle name="Note 3 2 3" xfId="508" xr:uid="{AF449DA9-EE9A-4801-9A84-F11EE72AE233}"/>
    <cellStyle name="Note 3 2 4" xfId="532" xr:uid="{8B0F1045-98C6-41AE-AD47-FBB4CB504F1F}"/>
    <cellStyle name="Note 3 2 5" xfId="552" xr:uid="{C05EA5D8-B611-4020-837D-3736DC70291B}"/>
    <cellStyle name="Note 3 2 6" xfId="571" xr:uid="{A165419E-EBDD-475C-B380-91829CB0CE77}"/>
    <cellStyle name="Note 3 2 7" xfId="586" xr:uid="{DDE0C1A4-C1AC-4465-B32C-3E1E484B0310}"/>
    <cellStyle name="Note 3 2 8" xfId="600" xr:uid="{5AF40E1D-3D0C-47DA-81B8-6E5760C6BD28}"/>
    <cellStyle name="Note 3 3" xfId="365" xr:uid="{C1DEAF47-7DD2-4710-B57E-C2914B570B72}"/>
    <cellStyle name="Note 3 4" xfId="450" xr:uid="{3EE8FCAD-FFF1-49A5-901B-81EF5927A8DC}"/>
    <cellStyle name="Note 3 5" xfId="427" xr:uid="{0B166B40-4173-46FC-895D-C2D559ABFDE5}"/>
    <cellStyle name="Note 3 6" xfId="315" xr:uid="{85280E2C-E16E-4AFA-BD0E-7293CD33FCD3}"/>
    <cellStyle name="Note 3 7" xfId="376" xr:uid="{3981332F-1F2D-47BB-A41D-142855C40BB2}"/>
    <cellStyle name="Note 3 8" xfId="343" xr:uid="{5A1B31C2-2FB7-4A30-9A5C-0D8467FF2FBE}"/>
    <cellStyle name="Note 3 9" xfId="431" xr:uid="{D3C75C1D-8751-4B46-84BC-9E8CCF335B19}"/>
    <cellStyle name="Note 4" xfId="278" xr:uid="{7C051E22-DD56-4417-8CA1-D4711C48AEB3}"/>
    <cellStyle name="Note 4 2" xfId="476" xr:uid="{7CD11B78-7F2E-4AD3-A1BF-0EC751B7CB0C}"/>
    <cellStyle name="Note 4 3" xfId="505" xr:uid="{0AE6AA92-365F-47B0-B8D2-95C5CB2C4599}"/>
    <cellStyle name="Note 4 4" xfId="529" xr:uid="{1FAD0E9C-3E7A-4CC4-B885-E9C49731D856}"/>
    <cellStyle name="Note 4 5" xfId="548" xr:uid="{A8CAE252-08EC-43E8-B336-809CDB7F7403}"/>
    <cellStyle name="Note 4 6" xfId="569" xr:uid="{8D31933F-91BA-4DC6-AE57-C1450053401A}"/>
    <cellStyle name="Note 4 7" xfId="584" xr:uid="{FDEEB22B-EC3F-439C-A3A7-E28F46D7019E}"/>
    <cellStyle name="Note 4 8" xfId="598" xr:uid="{5C8DE2CA-7156-48DD-BAFE-19E4AE92E862}"/>
    <cellStyle name="Note 5" xfId="283" xr:uid="{E40D6927-B1CE-4D18-9A17-D29C8B70A6DF}"/>
    <cellStyle name="Note 5 2" xfId="479" xr:uid="{E78753D6-2B76-4384-98B0-7A763BB7ABE7}"/>
    <cellStyle name="Note 5 3" xfId="507" xr:uid="{1F11B89F-6230-4BD2-B612-1FEB77A019DF}"/>
    <cellStyle name="Note 5 4" xfId="531" xr:uid="{78CB2D44-2074-4992-900E-1A7EF2B53241}"/>
    <cellStyle name="Note 5 5" xfId="551" xr:uid="{E8069B14-3C73-4AFA-A74A-458BBA492084}"/>
    <cellStyle name="Note 5 6" xfId="570" xr:uid="{0014F7D9-971F-4055-B69A-E9631E6B99D3}"/>
    <cellStyle name="Note 5 7" xfId="585" xr:uid="{E0573BEF-59FB-407B-906B-C25F4633D49B}"/>
    <cellStyle name="Note 5 8" xfId="599" xr:uid="{7AE1FECC-88DE-4EDF-97BB-E3DE41665C3D}"/>
    <cellStyle name="Note 6" xfId="108" xr:uid="{DF9FCE8A-0738-4339-BCCE-969AD734859B}"/>
    <cellStyle name="Note 7" xfId="363" xr:uid="{EE70E86E-1F3F-4A06-B191-CF19B658B1D3}"/>
    <cellStyle name="Note 8" xfId="355" xr:uid="{85F14A0E-28F8-4238-9DCE-664B38B12C52}"/>
    <cellStyle name="Note 9" xfId="397" xr:uid="{91587AE5-419C-4D5D-9AB9-77154CFE1313}"/>
    <cellStyle name="Output 10" xfId="481" xr:uid="{D2BE7E28-EE61-4F08-8EC4-7A496920AB12}"/>
    <cellStyle name="Output 11" xfId="550" xr:uid="{5FEACE67-4012-45E6-BCD8-B85B2FD133A1}"/>
    <cellStyle name="Output 2" xfId="112" xr:uid="{6152FAAC-3276-47DC-A93A-9BDC9925E864}"/>
    <cellStyle name="Output 3" xfId="247" xr:uid="{12857478-B20E-4A76-AE67-A78A0A43139A}"/>
    <cellStyle name="Output 3 2" xfId="454" xr:uid="{920ACB11-9859-4687-92BB-E2682D3ED06F}"/>
    <cellStyle name="Output 3 3" xfId="425" xr:uid="{A634E92D-B03A-4673-A712-6F5CAB4B8C76}"/>
    <cellStyle name="Output 3 4" xfId="316" xr:uid="{47759054-8A17-46FD-825C-CD0534B205A6}"/>
    <cellStyle name="Output 3 5" xfId="413" xr:uid="{A3643280-0A41-451C-B24D-52C8C741DC31}"/>
    <cellStyle name="Output 3 6" xfId="325" xr:uid="{627B2E56-AC1D-4DA2-B527-C83CDD72DF3D}"/>
    <cellStyle name="Output 3 7" xfId="409" xr:uid="{A206713A-CA2D-4AD1-891C-2D043CA698D0}"/>
    <cellStyle name="Output 3 8" xfId="511" xr:uid="{9860A223-4DC6-40B2-A6B7-1F4970DFB186}"/>
    <cellStyle name="Output 4" xfId="111" xr:uid="{F6611ADC-DEA1-4083-B82E-1FC6643774D2}"/>
    <cellStyle name="Output 5" xfId="366" xr:uid="{99F17FCB-F9ED-490D-97CF-991052F17C5F}"/>
    <cellStyle name="Output 6" xfId="354" xr:uid="{8500D9C0-F28D-4197-A639-2F71B85BB5EC}"/>
    <cellStyle name="Output 7" xfId="358" xr:uid="{BE2E983D-61B9-4B28-9E1C-177BF377299B}"/>
    <cellStyle name="Output 8" xfId="394" xr:uid="{332CFEEF-0C1C-4A7A-948B-EB7928393A0A}"/>
    <cellStyle name="Output 9" xfId="396" xr:uid="{8EDC2534-3A99-4266-8CEF-F778A2D6C2A9}"/>
    <cellStyle name="Pattern" xfId="113" xr:uid="{C46D7091-97B7-489F-BACB-40D74B19322E}"/>
    <cellStyle name="Pattern 2" xfId="248" xr:uid="{5B59A023-7134-4AE0-B860-92DBD85C23EE}"/>
    <cellStyle name="Pattern 3" xfId="171" xr:uid="{3209EE85-0EA3-4188-B356-5F75A6B761F4}"/>
    <cellStyle name="Pattern 3 2" xfId="348" xr:uid="{0A6D29A7-B2B9-452A-AA51-A0F47541F3AF}"/>
    <cellStyle name="Percent" xfId="9" builtinId="5"/>
    <cellStyle name="Percent 2" xfId="115" xr:uid="{CDA98932-2EE9-4F16-84FB-5908EC537BDE}"/>
    <cellStyle name="Percent 2 2" xfId="290" xr:uid="{5928E278-CD99-4D7E-AF3D-492CDA46936E}"/>
    <cellStyle name="Percent 3" xfId="156" xr:uid="{3145F22D-39FB-467E-A692-BBF00F1BAA45}"/>
    <cellStyle name="Percent 3 2" xfId="249" xr:uid="{614F6420-4127-4A4A-AB1D-E8CB39C20491}"/>
    <cellStyle name="Percent 3 3" xfId="289" xr:uid="{2DE284EB-019D-4742-9566-C2B6C8197512}"/>
    <cellStyle name="Percent 4" xfId="279" xr:uid="{AAE6E7F1-AB6C-43E6-8CF8-307DF1DC43D6}"/>
    <cellStyle name="Percent 4 2" xfId="288" xr:uid="{2AE5B0DB-B9B5-41CE-A004-67ED9049910A}"/>
    <cellStyle name="Percent 5" xfId="114" xr:uid="{BC98CCC4-DEA0-4BE3-B586-72A662A54535}"/>
    <cellStyle name="RISKbigPercent" xfId="116" xr:uid="{59E05C84-8A71-41DC-8B85-188434A45A0C}"/>
    <cellStyle name="RISKbigPercent 2" xfId="250" xr:uid="{AFD6AEFF-21FC-4102-AB55-9D19A3A14EB5}"/>
    <cellStyle name="RISKbigPercent 3" xfId="172" xr:uid="{D0734C40-01BE-47E1-8D1B-F2FCB20E544C}"/>
    <cellStyle name="RISKblandrEdge" xfId="117" xr:uid="{80EC741C-4005-4DDB-9815-CCDCC19C876F}"/>
    <cellStyle name="RISKblandrEdge 2" xfId="251" xr:uid="{EEC34813-2998-4B7F-B988-1D007CA30ADF}"/>
    <cellStyle name="RISKblandrEdge 3" xfId="173" xr:uid="{5B77A95B-9116-41D2-B8DB-348EE00FFF0E}"/>
    <cellStyle name="RISKblCorner" xfId="118" xr:uid="{1AEDDC25-0755-40A3-8096-493155ADE24A}"/>
    <cellStyle name="RISKblCorner 2" xfId="252" xr:uid="{A302D5BC-C251-4394-A5E7-CD736B444749}"/>
    <cellStyle name="RISKblCorner 3" xfId="174" xr:uid="{C94CBF91-BE67-43B5-9556-132A8060EFC7}"/>
    <cellStyle name="RISKbottomEdge" xfId="119" xr:uid="{877A465F-A8F4-4970-A920-8537293A95C9}"/>
    <cellStyle name="RISKbottomEdge 2" xfId="253" xr:uid="{A1C98449-60BF-43A3-A409-E87CBFBACFC8}"/>
    <cellStyle name="RISKbottomEdge 3" xfId="175" xr:uid="{F81AF0AA-4F07-4E4E-B880-902124B80443}"/>
    <cellStyle name="RISKbrCorner" xfId="120" xr:uid="{B389AFDF-54C9-4BB2-AA3A-09F679930C9F}"/>
    <cellStyle name="RISKbrCorner 2" xfId="254" xr:uid="{3B62E263-1E84-4EA7-8D00-647DFAE91733}"/>
    <cellStyle name="RISKbrCorner 3" xfId="176" xr:uid="{88FAAC4D-2090-4D58-A3D6-D0C62354F674}"/>
    <cellStyle name="RISKdarkBoxed" xfId="121" xr:uid="{52883C63-97E8-4B39-88C6-0A7C8B24DC8D}"/>
    <cellStyle name="RISKdarkBoxed 10" xfId="553" xr:uid="{41F7AB86-F7AD-4C81-8F1C-8F35CB74D7EE}"/>
    <cellStyle name="RISKdarkBoxed 2" xfId="255" xr:uid="{785D40A6-B3DB-4F69-9055-C666AF340078}"/>
    <cellStyle name="RISKdarkBoxed 2 2" xfId="460" xr:uid="{A3D4CCA1-852C-42C4-8670-9DC187A4E565}"/>
    <cellStyle name="RISKdarkBoxed 2 3" xfId="490" xr:uid="{C8E4DE5E-D4D8-4461-A456-EFF77B887747}"/>
    <cellStyle name="RISKdarkBoxed 2 4" xfId="515" xr:uid="{A1334DF8-7949-4F0E-88E9-F710F780EF48}"/>
    <cellStyle name="RISKdarkBoxed 2 5" xfId="535" xr:uid="{10EA1E63-BA9F-4335-B1BA-8E8BE1B50984}"/>
    <cellStyle name="RISKdarkBoxed 2 6" xfId="557" xr:uid="{D2EB2EE5-E8FD-4343-909A-7FE24199EE60}"/>
    <cellStyle name="RISKdarkBoxed 2 7" xfId="574" xr:uid="{42C753DD-EC9A-4E72-8ED3-07229CB5AA1F}"/>
    <cellStyle name="RISKdarkBoxed 2 8" xfId="588" xr:uid="{AEE96509-D9E0-4E14-A388-4BE07E2C8362}"/>
    <cellStyle name="RISKdarkBoxed 3" xfId="177" xr:uid="{EF8DCD83-4C31-4338-B996-9C340A9C2850}"/>
    <cellStyle name="RISKdarkBoxed 3 2" xfId="411" xr:uid="{3C41BE0F-7F30-46CC-A59C-3C668A68AB99}"/>
    <cellStyle name="RISKdarkBoxed 3 3" xfId="327" xr:uid="{83338BB6-2F2B-48E5-B032-00C7BE7D168F}"/>
    <cellStyle name="RISKdarkBoxed 3 4" xfId="371" xr:uid="{1CF006B4-6164-44F2-B767-4448D5950607}"/>
    <cellStyle name="RISKdarkBoxed 3 5" xfId="347" xr:uid="{0B0ECE35-8463-44F5-889F-1C7340FC0385}"/>
    <cellStyle name="RISKdarkBoxed 3 6" xfId="453" xr:uid="{E879CB8E-2C7C-4345-A7FE-453AD865D811}"/>
    <cellStyle name="RISKdarkBoxed 3 7" xfId="298" xr:uid="{83A81F90-D3DE-4DF4-AD12-A198411CDC17}"/>
    <cellStyle name="RISKdarkBoxed 3 8" xfId="517" xr:uid="{8DF53EAF-ED7A-4396-B830-65D49F5BA3B7}"/>
    <cellStyle name="RISKdarkBoxed 4" xfId="373" xr:uid="{888C6C2A-4DD8-49AE-9114-06FD2026B781}"/>
    <cellStyle name="RISKdarkBoxed 5" xfId="346" xr:uid="{42F6DA74-C629-4AF1-A1A3-A00454E15EF1}"/>
    <cellStyle name="RISKdarkBoxed 6" xfId="407" xr:uid="{13E5E8FE-3280-4198-A5FB-58D1A344AEB2}"/>
    <cellStyle name="RISKdarkBoxed 7" xfId="440" xr:uid="{60795EFD-087E-40A6-B200-34804517CBCA}"/>
    <cellStyle name="RISKdarkBoxed 8" xfId="306" xr:uid="{492CAC79-95E0-4969-ADCE-357CD0E46DF0}"/>
    <cellStyle name="RISKdarkBoxed 9" xfId="381" xr:uid="{B0FC99D4-3588-4F0A-B007-80750DA804C1}"/>
    <cellStyle name="RISKdarkShade" xfId="122" xr:uid="{7253122C-E0C6-49D6-BDCF-CE88933B4E90}"/>
    <cellStyle name="RISKdarkShade 2" xfId="256" xr:uid="{858DECF6-D750-44D1-9074-D5631F35AFFD}"/>
    <cellStyle name="RISKdarkShade 3" xfId="178" xr:uid="{2097F6D6-C115-4E71-A2D2-D4F5A60F933B}"/>
    <cellStyle name="RISKdbottomEdge" xfId="123" xr:uid="{40062175-07BE-4F0F-BF05-F5910E8C05A7}"/>
    <cellStyle name="RISKdbottomEdge 2" xfId="257" xr:uid="{C4F64E1C-94E4-4664-AFB9-FFB6E07697E3}"/>
    <cellStyle name="RISKdbottomEdge 3" xfId="179" xr:uid="{584B52A2-F6E7-4480-BE75-7FF53820CBCC}"/>
    <cellStyle name="RISKdrightEdge" xfId="124" xr:uid="{E8B58B49-4139-4B96-B22B-84ECC86317F2}"/>
    <cellStyle name="RISKdrightEdge 2" xfId="258" xr:uid="{F591DB56-6A0E-4A84-B00D-5A34B96CD7E4}"/>
    <cellStyle name="RISKdrightEdge 3" xfId="180" xr:uid="{C479DAA2-DA66-4A91-BE6A-AD01EC243CB4}"/>
    <cellStyle name="RISKdurationTime" xfId="125" xr:uid="{3E164986-C28D-49BE-862B-AEA231E8EFE2}"/>
    <cellStyle name="RISKdurationTime 2" xfId="259" xr:uid="{C4548B58-CADF-4E19-B043-836D8332CE39}"/>
    <cellStyle name="RISKdurationTime 3" xfId="181" xr:uid="{B7063E0F-0CA6-4AB8-9F3A-3A3086B4064C}"/>
    <cellStyle name="RISKinNumber" xfId="126" xr:uid="{4C949775-1B6B-46D6-812F-8E373CF17635}"/>
    <cellStyle name="RISKlandrEdge" xfId="127" xr:uid="{DCED803C-B883-4A82-AEE6-7B6B4EB50F7B}"/>
    <cellStyle name="RISKlandrEdge 2" xfId="260" xr:uid="{3CE97C25-DF5B-4B70-AD13-D81A4893A39B}"/>
    <cellStyle name="RISKlandrEdge 3" xfId="182" xr:uid="{42CCDB97-8351-49A5-BEF7-8CE44C15C2FB}"/>
    <cellStyle name="RISKleftEdge" xfId="128" xr:uid="{0F6D6581-036D-42BF-8CB0-FB2A6EADDFAB}"/>
    <cellStyle name="RISKleftEdge 2" xfId="261" xr:uid="{7233BF53-6FCD-4D57-B44C-6252533B6856}"/>
    <cellStyle name="RISKleftEdge 3" xfId="183" xr:uid="{568FA3ED-0440-41E7-AC63-4809CC2F3A3D}"/>
    <cellStyle name="RISKlightBoxed" xfId="129" xr:uid="{B3E03D0B-FEC0-4908-842B-2E05306683FB}"/>
    <cellStyle name="RISKlightBoxed 10" xfId="392" xr:uid="{D2D3ED7B-9C7A-47EB-A29F-FAB0A053DFE1}"/>
    <cellStyle name="RISKlightBoxed 2" xfId="262" xr:uid="{940A63A4-59C7-4E8B-9439-F9DCD5782B74}"/>
    <cellStyle name="RISKlightBoxed 2 2" xfId="464" xr:uid="{8D7A8D0C-3FFA-434A-8838-4A470BF15C97}"/>
    <cellStyle name="RISKlightBoxed 2 3" xfId="492" xr:uid="{3786F9CC-A196-42DF-9EEB-546B26F792C6}"/>
    <cellStyle name="RISKlightBoxed 2 4" xfId="518" xr:uid="{7083DAE0-0110-4472-B627-0DF6A551DAB3}"/>
    <cellStyle name="RISKlightBoxed 2 5" xfId="538" xr:uid="{CD8332C4-4389-4ADC-A010-058F12E0C27D}"/>
    <cellStyle name="RISKlightBoxed 2 6" xfId="560" xr:uid="{EDCC70BD-4703-41F0-9B66-29DD7D19829A}"/>
    <cellStyle name="RISKlightBoxed 2 7" xfId="575" xr:uid="{F350448D-DD5D-4CA7-9DA9-5C5E6608BCB0}"/>
    <cellStyle name="RISKlightBoxed 2 8" xfId="589" xr:uid="{AEB199DE-3A29-46DC-9590-7E2396E70A58}"/>
    <cellStyle name="RISKlightBoxed 3" xfId="184" xr:uid="{21326F73-1E28-43AA-99FF-9361813922D5}"/>
    <cellStyle name="RISKlightBoxed 3 2" xfId="415" xr:uid="{2FF23E64-EA75-4424-974E-EE825E12F3A9}"/>
    <cellStyle name="RISKlightBoxed 3 3" xfId="439" xr:uid="{613D785A-9487-4796-967A-BCC024636707}"/>
    <cellStyle name="RISKlightBoxed 3 4" xfId="308" xr:uid="{DC4F3E41-6AC0-4105-BB95-290BAA2F6DEC}"/>
    <cellStyle name="RISKlightBoxed 3 5" xfId="418" xr:uid="{6F54427C-D21D-4922-B6F7-6D230CF92C99}"/>
    <cellStyle name="RISKlightBoxed 3 6" xfId="438" xr:uid="{8A1F1D7D-5537-4FE7-83DC-134AB285086D}"/>
    <cellStyle name="RISKlightBoxed 3 7" xfId="309" xr:uid="{819BE56B-BAE6-44B0-B137-04E42EDF0EE1}"/>
    <cellStyle name="RISKlightBoxed 3 8" xfId="558" xr:uid="{F1FA7B6F-C180-4E8A-990C-DDD16DD474B1}"/>
    <cellStyle name="RISKlightBoxed 4" xfId="377" xr:uid="{13D32D6A-2DEB-48DC-BFD9-9511CB7B60C5}"/>
    <cellStyle name="RISKlightBoxed 5" xfId="448" xr:uid="{A518C4C6-4665-4588-9A6B-C787C589B7EA}"/>
    <cellStyle name="RISKlightBoxed 6" xfId="428" xr:uid="{91080278-1723-4777-B3B2-BE617D6BF9AA}"/>
    <cellStyle name="RISKlightBoxed 7" xfId="434" xr:uid="{9F4C2D56-8689-4054-B501-5ED77E081CDB}"/>
    <cellStyle name="RISKlightBoxed 8" xfId="312" xr:uid="{8C595046-1410-4459-99D9-5E6BD512FD4A}"/>
    <cellStyle name="RISKlightBoxed 9" xfId="463" xr:uid="{B27006E8-3761-4BBF-BF58-B6AD06B4A469}"/>
    <cellStyle name="RISKltandbEdge" xfId="130" xr:uid="{120C3A35-6EC1-4C3F-9D90-1BD2A8E78BC3}"/>
    <cellStyle name="RISKltandbEdge 10" xfId="497" xr:uid="{98ED1704-9DC4-4873-8775-13F576CE5CD0}"/>
    <cellStyle name="RISKltandbEdge 2" xfId="263" xr:uid="{AF85718D-74C6-446F-8FF4-65924D62E0E3}"/>
    <cellStyle name="RISKltandbEdge 2 2" xfId="465" xr:uid="{F14CB27F-E503-4146-A611-6B5125190BB3}"/>
    <cellStyle name="RISKltandbEdge 2 3" xfId="493" xr:uid="{5CFE8BF3-01B7-4217-B2B1-491B3B229DCE}"/>
    <cellStyle name="RISKltandbEdge 2 4" xfId="519" xr:uid="{DDF03709-3E44-409A-83B2-46B22AA4EA06}"/>
    <cellStyle name="RISKltandbEdge 2 5" xfId="539" xr:uid="{032E43B4-6E44-4F87-9110-B773A1E3FA93}"/>
    <cellStyle name="RISKltandbEdge 2 6" xfId="561" xr:uid="{669E54C3-95FA-4C55-9028-A90FBFAE4581}"/>
    <cellStyle name="RISKltandbEdge 2 7" xfId="576" xr:uid="{414888CA-3A1A-4A86-BF38-8542AC85E221}"/>
    <cellStyle name="RISKltandbEdge 2 8" xfId="590" xr:uid="{3949603E-E754-4768-845C-741DAAC0D971}"/>
    <cellStyle name="RISKltandbEdge 3" xfId="185" xr:uid="{8AD4AC10-E76E-412A-B541-4D3113A8DEAB}"/>
    <cellStyle name="RISKltandbEdge 3 2" xfId="416" xr:uid="{0B7142B0-6538-407B-B7C8-5E8432AC3FAA}"/>
    <cellStyle name="RISKltandbEdge 3 3" xfId="322" xr:uid="{C17A7B9B-762A-4ED4-A30B-5FB9FB95A40A}"/>
    <cellStyle name="RISKltandbEdge 3 4" xfId="410" xr:uid="{AE6E4DB4-82FD-4D2E-8ABF-0A1A02F6BC7B}"/>
    <cellStyle name="RISKltandbEdge 3 5" xfId="328" xr:uid="{C527CEBD-D2B3-4A3B-A1BD-D3D017273616}"/>
    <cellStyle name="RISKltandbEdge 3 6" xfId="408" xr:uid="{750F1242-A51B-4044-99E1-A7CE193AF57A}"/>
    <cellStyle name="RISKltandbEdge 3 7" xfId="329" xr:uid="{1136E7A5-C4B9-4494-B6A7-9EC362D020BC}"/>
    <cellStyle name="RISKltandbEdge 3 8" xfId="340" xr:uid="{82116FC6-1995-474A-AC5D-FED70C20E053}"/>
    <cellStyle name="RISKltandbEdge 4" xfId="378" xr:uid="{F4C896B8-C159-47DE-A2A3-6F5462D9C65A}"/>
    <cellStyle name="RISKltandbEdge 5" xfId="342" xr:uid="{B54AAF38-4F25-416D-A2B9-5A1D183CD3CA}"/>
    <cellStyle name="RISKltandbEdge 6" xfId="362" xr:uid="{E5CB9E65-8FC9-4044-BC5A-22A7D964BA14}"/>
    <cellStyle name="RISKltandbEdge 7" xfId="356" xr:uid="{1E310296-50F5-4DD8-84F0-38052946B937}"/>
    <cellStyle name="RISKltandbEdge 8" xfId="395" xr:uid="{2CA21EEC-1D90-40F8-98F0-C2619B04B41F}"/>
    <cellStyle name="RISKltandbEdge 9" xfId="487" xr:uid="{030E7F90-A475-44BD-831B-EBA01CC9B775}"/>
    <cellStyle name="RISKnormBoxed" xfId="131" xr:uid="{3E2BA8E7-FF31-4C07-BEC5-B7C344D4075A}"/>
    <cellStyle name="RISKnormBoxed 10" xfId="462" xr:uid="{5AC0C341-A421-4DBE-BB78-C265E3C9DABE}"/>
    <cellStyle name="RISKnormBoxed 2" xfId="264" xr:uid="{A1451BED-525F-4792-BFE4-BC50C863894C}"/>
    <cellStyle name="RISKnormBoxed 2 2" xfId="466" xr:uid="{FB0C99BD-A587-4E29-B301-B453C1D51130}"/>
    <cellStyle name="RISKnormBoxed 2 3" xfId="494" xr:uid="{5FBE8A05-C1AC-45D6-84F8-36467E2AC06C}"/>
    <cellStyle name="RISKnormBoxed 2 4" xfId="520" xr:uid="{223679C3-55DD-4365-9167-6722F596ACC5}"/>
    <cellStyle name="RISKnormBoxed 2 5" xfId="540" xr:uid="{88CFE197-188D-4698-8799-D50B3A4FB9ED}"/>
    <cellStyle name="RISKnormBoxed 2 6" xfId="562" xr:uid="{CDF6B6FE-4981-48BA-B595-E8C377A3945F}"/>
    <cellStyle name="RISKnormBoxed 2 7" xfId="577" xr:uid="{50F2B317-0B99-4B80-8B38-80A9A3B73173}"/>
    <cellStyle name="RISKnormBoxed 2 8" xfId="591" xr:uid="{B33089F2-D57C-4061-AA3B-EB611B44F6EA}"/>
    <cellStyle name="RISKnormBoxed 3" xfId="186" xr:uid="{D2F61127-9B55-4346-881F-407B7E73CF4A}"/>
    <cellStyle name="RISKnormBoxed 3 2" xfId="417" xr:uid="{55E5E9CE-4315-4094-9ECF-29B4FEDB36B2}"/>
    <cellStyle name="RISKnormBoxed 3 3" xfId="321" xr:uid="{2E1F3A1D-A946-4EFE-AB9D-F76D0F9D0540}"/>
    <cellStyle name="RISKnormBoxed 3 4" xfId="374" xr:uid="{41E32BA1-2631-4EAF-A471-92BFD28AF791}"/>
    <cellStyle name="RISKnormBoxed 3 5" xfId="345" xr:uid="{D6F213CD-D892-4AF3-BB85-E3916DA30165}"/>
    <cellStyle name="RISKnormBoxed 3 6" xfId="361" xr:uid="{46F39E50-6376-414C-8258-060E97A90C28}"/>
    <cellStyle name="RISKnormBoxed 3 7" xfId="357" xr:uid="{5599F970-3571-426D-9E03-B4A0AD999E84}"/>
    <cellStyle name="RISKnormBoxed 3 8" xfId="482" xr:uid="{38C088D1-FE3A-4B32-931D-887158E6BE81}"/>
    <cellStyle name="RISKnormBoxed 4" xfId="379" xr:uid="{549DF685-2980-459B-A2BE-50746E5627C9}"/>
    <cellStyle name="RISKnormBoxed 5" xfId="341" xr:uid="{46C7B135-5608-45DA-BCAA-4D8746AE7592}"/>
    <cellStyle name="RISKnormBoxed 6" xfId="364" xr:uid="{5AA3DC33-52EF-4D7F-A6FD-82C439934F59}"/>
    <cellStyle name="RISKnormBoxed 7" xfId="295" xr:uid="{E4A55078-7972-4BF2-9C75-843B6875EC1B}"/>
    <cellStyle name="RISKnormBoxed 8" xfId="475" xr:uid="{4B080733-E2B0-4D5D-BE73-9D455E0428DF}"/>
    <cellStyle name="RISKnormBoxed 9" xfId="504" xr:uid="{2C266607-9D08-4231-99AA-EE01B1E8C941}"/>
    <cellStyle name="RISKnormCenter" xfId="132" xr:uid="{9162C5CF-5222-48DD-8BC2-816A1C013EB3}"/>
    <cellStyle name="RISKnormCenter 2" xfId="265" xr:uid="{9DB2C206-5F42-4E80-9F8A-88084BCC557B}"/>
    <cellStyle name="RISKnormCenter 3" xfId="187" xr:uid="{45D3BA12-4C8C-444F-A5C7-E9A4D5BCC7A9}"/>
    <cellStyle name="RISKnormHeading" xfId="133" xr:uid="{FDC4AE2E-5AFC-46B5-9200-344850B9C214}"/>
    <cellStyle name="RISKnormItal" xfId="134" xr:uid="{1EE46B99-30FB-4502-B40E-9438FD0F6FF3}"/>
    <cellStyle name="RISKnormLabel" xfId="135" xr:uid="{3A0525B2-A628-4B6E-8A3A-EE3AAD9C9A0D}"/>
    <cellStyle name="RISKnormShade" xfId="136" xr:uid="{CAACAC52-E2A4-4A50-BC24-D3E0E878E77F}"/>
    <cellStyle name="RISKnormShade 2" xfId="266" xr:uid="{940CCB7E-6A55-4229-A982-B35BCCF99C0E}"/>
    <cellStyle name="RISKnormShade 3" xfId="188" xr:uid="{AD45BF73-A615-4E66-98AB-9218092B80AA}"/>
    <cellStyle name="RISKnormTitle" xfId="137" xr:uid="{677C8271-9C0E-43F8-8088-AB9EB198E887}"/>
    <cellStyle name="RISKoutNumber" xfId="138" xr:uid="{B85FB46C-9F64-4248-B159-0DD83E5899A4}"/>
    <cellStyle name="RISKrightEdge" xfId="139" xr:uid="{75821C50-8391-4F49-B43C-86F2A1B52ECC}"/>
    <cellStyle name="RISKrightEdge 2" xfId="267" xr:uid="{2F14DEB7-19C5-4E79-8D31-07E419430015}"/>
    <cellStyle name="RISKrightEdge 3" xfId="189" xr:uid="{5FE375D3-42F1-4173-ACB5-8764C158D161}"/>
    <cellStyle name="RISKrtandbEdge" xfId="140" xr:uid="{375DEBAC-7553-414B-9FA2-68F2C2B31499}"/>
    <cellStyle name="RISKrtandbEdge 10" xfId="426" xr:uid="{96C1E93B-1BCA-459F-871E-022C4086E8FE}"/>
    <cellStyle name="RISKrtandbEdge 2" xfId="268" xr:uid="{5C886272-79E5-4C25-BACD-FB39655283BD}"/>
    <cellStyle name="RISKrtandbEdge 2 2" xfId="468" xr:uid="{48E91793-5276-4EBD-A41C-94FEE87809BD}"/>
    <cellStyle name="RISKrtandbEdge 2 3" xfId="496" xr:uid="{C7A3C402-7A5C-4CF5-BB62-8379034E86EB}"/>
    <cellStyle name="RISKrtandbEdge 2 4" xfId="521" xr:uid="{4DAEF1AE-32E0-4393-B40E-66CA7B18E7F4}"/>
    <cellStyle name="RISKrtandbEdge 2 5" xfId="541" xr:uid="{93FEBBFD-CEEF-4AA8-B406-26D6B50B3A8F}"/>
    <cellStyle name="RISKrtandbEdge 2 6" xfId="563" xr:uid="{417D7592-C0A4-4EC3-973B-C624790911E6}"/>
    <cellStyle name="RISKrtandbEdge 2 7" xfId="578" xr:uid="{17973249-E6EE-4136-8246-26A81580EFE8}"/>
    <cellStyle name="RISKrtandbEdge 2 8" xfId="592" xr:uid="{D13AAEAF-C5E2-483D-A024-8F41815FBF5F}"/>
    <cellStyle name="RISKrtandbEdge 3" xfId="190" xr:uid="{C8474896-E86A-46B9-95D2-1CC580FC6872}"/>
    <cellStyle name="RISKrtandbEdge 3 2" xfId="419" xr:uid="{80871794-494C-40FC-B502-028387D7FFBC}"/>
    <cellStyle name="RISKrtandbEdge 3 3" xfId="437" xr:uid="{FD416D11-1BB8-44C4-82CA-41C7151B32F8}"/>
    <cellStyle name="RISKrtandbEdge 3 4" xfId="432" xr:uid="{539B764C-81B4-45EB-A8C4-362201879F11}"/>
    <cellStyle name="RISKrtandbEdge 3 5" xfId="433" xr:uid="{F7250045-6649-45A6-8834-1B655BB99253}"/>
    <cellStyle name="RISKrtandbEdge 3 6" xfId="400" xr:uid="{7C247B26-7DFE-449E-9EDF-4B71A6F36A4F}"/>
    <cellStyle name="RISKrtandbEdge 3 7" xfId="398" xr:uid="{086A00AE-8C76-4D57-8F97-3D4531460189}"/>
    <cellStyle name="RISKrtandbEdge 3 8" xfId="514" xr:uid="{ABA061E4-A594-4B31-ADAB-64744D86884F}"/>
    <cellStyle name="RISKrtandbEdge 4" xfId="385" xr:uid="{967C4D8D-7402-473F-AD92-18C16A7A28C1}"/>
    <cellStyle name="RISKrtandbEdge 5" xfId="338" xr:uid="{79F6A9CC-F59F-454B-A63D-2AA6E4DA9F33}"/>
    <cellStyle name="RISKrtandbEdge 6" xfId="367" xr:uid="{6F61A850-8CAF-4822-B184-6738B4D3E6A1}"/>
    <cellStyle name="RISKrtandbEdge 7" xfId="353" xr:uid="{C42EE847-5D91-45D0-B260-4F4335474F75}"/>
    <cellStyle name="RISKrtandbEdge 8" xfId="404" xr:uid="{180A1A13-C510-4F46-8E58-C4CA8FC2C5CA}"/>
    <cellStyle name="RISKrtandbEdge 9" xfId="332" xr:uid="{28683CAA-C81D-4F5E-B878-9F9E31CD702E}"/>
    <cellStyle name="RISKssTime" xfId="141" xr:uid="{6D0BCBB5-6C8B-4E5F-B93A-2C817307FB35}"/>
    <cellStyle name="RISKssTime 2" xfId="269" xr:uid="{CC985834-6362-4B48-8705-83664A750B24}"/>
    <cellStyle name="RISKssTime 3" xfId="191" xr:uid="{20A24CFD-D890-4A17-8483-A28A1A79BE44}"/>
    <cellStyle name="RISKtandbEdge" xfId="142" xr:uid="{9C8BEB45-2E8A-43FF-B923-13E1C5A8107D}"/>
    <cellStyle name="RISKtandbEdge 10" xfId="572" xr:uid="{8AB81CE2-EA65-49DE-A28F-BD18758FA81D}"/>
    <cellStyle name="RISKtandbEdge 2" xfId="270" xr:uid="{D3FFF214-F466-4CC4-910C-4556828C320D}"/>
    <cellStyle name="RISKtandbEdge 2 2" xfId="469" xr:uid="{E38A26B6-A2C1-47B8-B7B3-D909011C2EE5}"/>
    <cellStyle name="RISKtandbEdge 2 3" xfId="498" xr:uid="{97CB2CE0-F64A-49F4-9676-28D7DCDCA954}"/>
    <cellStyle name="RISKtandbEdge 2 4" xfId="522" xr:uid="{5B16E08A-C15D-4C85-9D83-269F0708D0B5}"/>
    <cellStyle name="RISKtandbEdge 2 5" xfId="542" xr:uid="{A6DE171E-F8ED-4E50-87BF-7185A4452031}"/>
    <cellStyle name="RISKtandbEdge 2 6" xfId="564" xr:uid="{DC502E49-D9FE-490A-91E4-B4C9D42F5095}"/>
    <cellStyle name="RISKtandbEdge 2 7" xfId="579" xr:uid="{F393EC95-6F38-4333-90D3-B7621FC32B3C}"/>
    <cellStyle name="RISKtandbEdge 2 8" xfId="593" xr:uid="{5BDA72EE-E849-4EFE-8A66-7447E9748586}"/>
    <cellStyle name="RISKtandbEdge 3" xfId="192" xr:uid="{CC3A5566-A9A2-4CD5-B5FE-3DB3098AF19D}"/>
    <cellStyle name="RISKtandbEdge 3 2" xfId="420" xr:uid="{EA003223-3811-4376-A85F-A6989DB36102}"/>
    <cellStyle name="RISKtandbEdge 3 3" xfId="319" xr:uid="{75082415-6D4E-4A75-80A4-0E56AF4A86A4}"/>
    <cellStyle name="RISKtandbEdge 3 4" xfId="461" xr:uid="{3108A780-FFC8-43E6-9C94-F158D1EA30A1}"/>
    <cellStyle name="RISKtandbEdge 3 5" xfId="491" xr:uid="{D4FC0085-C1E7-40DB-83CB-7AAC5479BAB8}"/>
    <cellStyle name="RISKtandbEdge 3 6" xfId="516" xr:uid="{7BBC4AB0-136A-41F3-8023-C99DB7F08E9E}"/>
    <cellStyle name="RISKtandbEdge 3 7" xfId="536" xr:uid="{47AC03BC-788F-4262-BE47-F4301A45273F}"/>
    <cellStyle name="RISKtandbEdge 3 8" xfId="489" xr:uid="{0425BDEB-CFE0-49FC-A1A9-49A497A6170C}"/>
    <cellStyle name="RISKtandbEdge 4" xfId="387" xr:uid="{6F00B533-A6C5-4888-80F5-29109C53E650}"/>
    <cellStyle name="RISKtandbEdge 5" xfId="444" xr:uid="{6D7D6463-1FAE-42C1-B845-01973BDC2A7A}"/>
    <cellStyle name="RISKtandbEdge 6" xfId="303" xr:uid="{99281AC2-3060-48E6-9F26-1CC2406F5841}"/>
    <cellStyle name="RISKtandbEdge 7" xfId="384" xr:uid="{C9229248-2C96-43FF-9A50-FC4CE33A8107}"/>
    <cellStyle name="RISKtandbEdge 8" xfId="445" xr:uid="{DEDB0B4A-66FC-4F12-B3A6-EA2B47C5749A}"/>
    <cellStyle name="RISKtandbEdge 9" xfId="399" xr:uid="{6BDB6E24-CC06-4806-AAE1-1504D458AC4B}"/>
    <cellStyle name="RISKtlandrEdge" xfId="143" xr:uid="{085816C6-F7FE-4F25-B628-98EC0E31EDA9}"/>
    <cellStyle name="RISKtlandrEdge 10" xfId="554" xr:uid="{DFF6B967-9611-4FD5-AB02-23BEACA55DBF}"/>
    <cellStyle name="RISKtlandrEdge 2" xfId="271" xr:uid="{873D8943-2589-4BA1-AC82-AE5117C96410}"/>
    <cellStyle name="RISKtlandrEdge 2 2" xfId="470" xr:uid="{6340D90C-E162-452A-AD1C-16BB325349F8}"/>
    <cellStyle name="RISKtlandrEdge 2 3" xfId="499" xr:uid="{0AA0AE02-F699-48C4-AF27-46C865466F89}"/>
    <cellStyle name="RISKtlandrEdge 2 4" xfId="523" xr:uid="{4707F3DC-C078-43C8-9861-7F8DDBAA5C30}"/>
    <cellStyle name="RISKtlandrEdge 2 5" xfId="543" xr:uid="{8E178C30-9E55-4067-B366-AA282ACE7372}"/>
    <cellStyle name="RISKtlandrEdge 2 6" xfId="565" xr:uid="{240CAC19-CC14-456D-B8BF-B966AF9412E2}"/>
    <cellStyle name="RISKtlandrEdge 2 7" xfId="580" xr:uid="{E96FC2CC-4DC9-406D-B43A-936700C5157A}"/>
    <cellStyle name="RISKtlandrEdge 2 8" xfId="594" xr:uid="{76826060-9B01-4CFF-BFDC-08AE89427532}"/>
    <cellStyle name="RISKtlandrEdge 3" xfId="193" xr:uid="{95D5357D-1A54-4C7F-B5B5-D4C1900370A5}"/>
    <cellStyle name="RISKtlandrEdge 3 2" xfId="421" xr:uid="{2DCA3C65-8548-4394-AF96-6062D9869494}"/>
    <cellStyle name="RISKtlandrEdge 3 3" xfId="436" xr:uid="{89A78EAE-8AC3-4F20-983D-9462F5D9A239}"/>
    <cellStyle name="RISKtlandrEdge 3 4" xfId="310" xr:uid="{13286D87-7D0A-4A93-850D-97A56D69709F}"/>
    <cellStyle name="RISKtlandrEdge 3 5" xfId="380" xr:uid="{E4A6A9FC-170F-477F-A32F-4FC20E20D4DA}"/>
    <cellStyle name="RISKtlandrEdge 3 6" xfId="447" xr:uid="{890121C0-B48A-439C-BF61-175A74657771}"/>
    <cellStyle name="RISKtlandrEdge 3 7" xfId="302" xr:uid="{968CDF13-FBCF-4ADA-8B49-FF79B9B77AF5}"/>
    <cellStyle name="RISKtlandrEdge 3 8" xfId="559" xr:uid="{03F12153-C9CF-4606-ACE6-F72291491D18}"/>
    <cellStyle name="RISKtlandrEdge 4" xfId="388" xr:uid="{B1F5AFEE-2A17-4B58-936C-0EBD267E8889}"/>
    <cellStyle name="RISKtlandrEdge 5" xfId="337" xr:uid="{597B66E5-4CD9-4958-A3C8-376D188DD657}"/>
    <cellStyle name="RISKtlandrEdge 6" xfId="368" xr:uid="{9F013AA9-0C29-495C-B184-83B35BAB8B14}"/>
    <cellStyle name="RISKtlandrEdge 7" xfId="352" xr:uid="{FC3E05C3-B8A1-4488-9BD4-8222DB27D699}"/>
    <cellStyle name="RISKtlandrEdge 8" xfId="359" xr:uid="{A64234B4-E527-4956-85CF-18918ECA2FEB}"/>
    <cellStyle name="RISKtlandrEdge 9" xfId="478" xr:uid="{15CDE684-491F-4232-A510-7DCCFDCAA1AC}"/>
    <cellStyle name="RISKtlCorner" xfId="144" xr:uid="{E87045EC-F7B0-49DB-BEEB-3B0D88E1B2B2}"/>
    <cellStyle name="RISKtlCorner 10" xfId="301" xr:uid="{042C2E68-9DB9-4BA4-AA1A-1E79DF9E800A}"/>
    <cellStyle name="RISKtlCorner 2" xfId="272" xr:uid="{0C31D479-14F4-4E32-8F45-8E3DEB878E72}"/>
    <cellStyle name="RISKtlCorner 2 2" xfId="471" xr:uid="{D3411CD1-7104-485F-BDC6-9B93AA1A6FCD}"/>
    <cellStyle name="RISKtlCorner 2 3" xfId="500" xr:uid="{51FB1854-6817-48FC-89DA-1545CAFCF67D}"/>
    <cellStyle name="RISKtlCorner 2 4" xfId="524" xr:uid="{898CCB4E-EAC8-4E46-9DF1-944C875210C8}"/>
    <cellStyle name="RISKtlCorner 2 5" xfId="544" xr:uid="{3E011D94-E9A7-4855-8AC7-D8EAE07CF4C6}"/>
    <cellStyle name="RISKtlCorner 2 6" xfId="566" xr:uid="{37ABEDB4-2FA4-42D6-A0F4-0FF327340048}"/>
    <cellStyle name="RISKtlCorner 2 7" xfId="581" xr:uid="{569E2A9E-1910-48C8-93A9-5528B7356B6D}"/>
    <cellStyle name="RISKtlCorner 2 8" xfId="595" xr:uid="{ABF2C0D7-3DCC-4D07-998A-D556DBCB7993}"/>
    <cellStyle name="RISKtlCorner 3" xfId="194" xr:uid="{A412219A-88CD-4AEF-BEFF-82637819C076}"/>
    <cellStyle name="RISKtlCorner 3 2" xfId="422" xr:uid="{1BA0BE52-9BB7-4EED-B373-E181C85168B0}"/>
    <cellStyle name="RISKtlCorner 3 3" xfId="318" xr:uid="{98F49F44-6B50-4C97-A599-51AD22CFA6EA}"/>
    <cellStyle name="RISKtlCorner 3 4" xfId="412" xr:uid="{527CED33-7D5A-483F-BD87-7E490C69852B}"/>
    <cellStyle name="RISKtlCorner 3 5" xfId="326" xr:uid="{15FFD624-E80B-498D-B6E4-5E90829312FB}"/>
    <cellStyle name="RISKtlCorner 3 6" xfId="458" xr:uid="{5BF24AE6-E444-45E2-81BB-DD84B0F6FF42}"/>
    <cellStyle name="RISKtlCorner 3 7" xfId="488" xr:uid="{220BF67D-71E8-47CF-AA3B-4C03D32A881F}"/>
    <cellStyle name="RISKtlCorner 3 8" xfId="307" xr:uid="{E288AF36-936C-4737-AFBC-B5D3C9C2ED87}"/>
    <cellStyle name="RISKtlCorner 4" xfId="389" xr:uid="{A2B5D0B5-DF9A-49B9-BD80-EF8F1FB92816}"/>
    <cellStyle name="RISKtlCorner 5" xfId="402" xr:uid="{594AD7FD-BA95-44E3-9B57-FD1210ABFE59}"/>
    <cellStyle name="RISKtlCorner 6" xfId="333" xr:uid="{A6DD9E87-7F47-4690-969E-81520E78E551}"/>
    <cellStyle name="RISKtlCorner 7" xfId="369" xr:uid="{DFB3546E-C46F-4E58-86BD-DCA5F1FA2E27}"/>
    <cellStyle name="RISKtlCorner 8" xfId="351" xr:uid="{EB1B26F2-C86D-4072-BABD-AEF96D28ECDF}"/>
    <cellStyle name="RISKtlCorner 9" xfId="451" xr:uid="{8DC5B0A0-67EC-48E2-BA37-761D09C348AF}"/>
    <cellStyle name="RISKtopEdge" xfId="145" xr:uid="{BE5D56E2-97CE-4D96-BDF0-14AAFDC77B80}"/>
    <cellStyle name="RISKtopEdge 10" xfId="495" xr:uid="{679BFFA4-E0BC-4134-A130-285D44B9D748}"/>
    <cellStyle name="RISKtopEdge 2" xfId="273" xr:uid="{D64EA336-2D62-4AF0-8512-6E8DFED77183}"/>
    <cellStyle name="RISKtopEdge 2 2" xfId="472" xr:uid="{475F9A2F-6F07-491D-8A54-633CCA60E01E}"/>
    <cellStyle name="RISKtopEdge 2 3" xfId="501" xr:uid="{C93A000C-5FB3-4A66-8A4A-CA5B8C5E2CA5}"/>
    <cellStyle name="RISKtopEdge 2 4" xfId="525" xr:uid="{DF783910-3D4B-4461-9194-1282EA8825CA}"/>
    <cellStyle name="RISKtopEdge 2 5" xfId="545" xr:uid="{57459F74-324A-49A0-A34C-EA89812152AF}"/>
    <cellStyle name="RISKtopEdge 2 6" xfId="567" xr:uid="{DE970CE8-4860-485C-953F-A3AF198581F4}"/>
    <cellStyle name="RISKtopEdge 2 7" xfId="582" xr:uid="{D387A8D8-AA50-406A-83F0-193DE3359E4E}"/>
    <cellStyle name="RISKtopEdge 2 8" xfId="596" xr:uid="{175F5C64-83D9-4FB3-AC82-9C7D4A67A648}"/>
    <cellStyle name="RISKtopEdge 3" xfId="195" xr:uid="{6846D44B-1417-44AA-A717-4C66E6EABC75}"/>
    <cellStyle name="RISKtopEdge 3 2" xfId="423" xr:uid="{B286A2F4-503B-441D-B26F-5D5C308B04AE}"/>
    <cellStyle name="RISKtopEdge 3 3" xfId="317" xr:uid="{F23C6487-077D-45A6-961B-76FED61DE6DF}"/>
    <cellStyle name="RISKtopEdge 3 4" xfId="375" xr:uid="{6F5289CA-1FFE-4DCC-AE2D-7F2614ABB6A6}"/>
    <cellStyle name="RISKtopEdge 3 5" xfId="344" xr:uid="{560530C0-5D51-4F61-A55D-74E4C748CD7C}"/>
    <cellStyle name="RISKtopEdge 3 6" xfId="483" xr:uid="{BC363447-900C-4375-BE93-5C78C9010D7C}"/>
    <cellStyle name="RISKtopEdge 3 7" xfId="510" xr:uid="{19DDB2BC-CD40-4847-BE9E-3379FFFF8601}"/>
    <cellStyle name="RISKtopEdge 3 8" xfId="372" xr:uid="{3043E48A-C063-424A-A760-9E50A97DDC69}"/>
    <cellStyle name="RISKtopEdge 4" xfId="390" xr:uid="{DD2931BE-29A0-4899-BB1A-843BDBC450DA}"/>
    <cellStyle name="RISKtopEdge 5" xfId="443" xr:uid="{3A0C760C-5A7F-44A2-929D-F76BA11C9A5F}"/>
    <cellStyle name="RISKtopEdge 6" xfId="304" xr:uid="{2879DAA1-EE95-482D-8471-3C58AC37EAF8}"/>
    <cellStyle name="RISKtopEdge 7" xfId="383" xr:uid="{1A493453-C92D-4995-81BE-3E320C43C381}"/>
    <cellStyle name="RISKtopEdge 8" xfId="339" xr:uid="{D4B06FB2-4789-4212-A834-9C89A8228B63}"/>
    <cellStyle name="RISKtopEdge 9" xfId="455" xr:uid="{73A16E33-B9D3-4E88-B2D1-AF60370E7257}"/>
    <cellStyle name="RISKtrCorner" xfId="146" xr:uid="{909F8EE0-D415-4C6E-AA62-EE1206F1E4D4}"/>
    <cellStyle name="RISKtrCorner 10" xfId="528" xr:uid="{0E93BEB0-0CF0-474F-8E5A-086BC35847DC}"/>
    <cellStyle name="RISKtrCorner 2" xfId="274" xr:uid="{A43BD9C9-4630-4842-9823-BF6C21EA6E45}"/>
    <cellStyle name="RISKtrCorner 2 2" xfId="473" xr:uid="{ACB961A8-1FB8-4948-AE3C-876EE4BCC111}"/>
    <cellStyle name="RISKtrCorner 2 3" xfId="502" xr:uid="{9B3117FF-10E0-4D15-BB02-53B9AE21B5A4}"/>
    <cellStyle name="RISKtrCorner 2 4" xfId="526" xr:uid="{A80C6A29-4B41-4DC5-BAB8-E9A1AEA14FE0}"/>
    <cellStyle name="RISKtrCorner 2 5" xfId="546" xr:uid="{CA5F0A61-7FDF-4E30-8372-910269E117B8}"/>
    <cellStyle name="RISKtrCorner 2 6" xfId="568" xr:uid="{CB48ACD6-7A12-4577-B02B-9579475FFCAE}"/>
    <cellStyle name="RISKtrCorner 2 7" xfId="583" xr:uid="{99DEFCF7-FBDD-4635-BC41-D924AB043312}"/>
    <cellStyle name="RISKtrCorner 2 8" xfId="597" xr:uid="{B9057EB2-BC63-4F16-A56A-E981B1BB0E3B}"/>
    <cellStyle name="RISKtrCorner 3" xfId="196" xr:uid="{6858D9D6-5F9A-4D17-A9D4-92F2478E65F1}"/>
    <cellStyle name="RISKtrCorner 3 2" xfId="424" xr:uid="{F2DA1DBC-61C0-4F4C-96F2-69100CAB5485}"/>
    <cellStyle name="RISKtrCorner 3 3" xfId="435" xr:uid="{FEE4520F-D3F4-4524-8032-364ED3E53D57}"/>
    <cellStyle name="RISKtrCorner 3 4" xfId="311" xr:uid="{BADCD79A-7CE7-4B1C-92BF-75E29C1D470F}"/>
    <cellStyle name="RISKtrCorner 3 5" xfId="414" xr:uid="{0799CAFA-3843-427F-B230-2F770C20805E}"/>
    <cellStyle name="RISKtrCorner 3 6" xfId="323" xr:uid="{9F791BC1-AB98-482D-923C-E04554CCC659}"/>
    <cellStyle name="RISKtrCorner 3 7" xfId="459" xr:uid="{33DB0FF9-EE5D-4184-9856-49639D0DFC0D}"/>
    <cellStyle name="RISKtrCorner 3 8" xfId="509" xr:uid="{55EFF3BA-23FD-4924-8F52-E7BF3D50FE2F}"/>
    <cellStyle name="RISKtrCorner 4" xfId="391" xr:uid="{6BD37493-26B5-47F8-B505-2A4A6DA23952}"/>
    <cellStyle name="RISKtrCorner 5" xfId="336" xr:uid="{5EB5D9C5-1CD3-4C87-8E0C-61E425EB7E3F}"/>
    <cellStyle name="RISKtrCorner 6" xfId="485" xr:uid="{C6D2BB7D-2C9F-4ADC-AD73-537A797D7A2A}"/>
    <cellStyle name="RISKtrCorner 7" xfId="512" xr:uid="{921CD5AC-3241-4EF7-8E31-174EE5C43F1A}"/>
    <cellStyle name="RISKtrCorner 8" xfId="533" xr:uid="{D872A39D-140E-4F11-80A0-1BCA22CE9458}"/>
    <cellStyle name="RISKtrCorner 9" xfId="555" xr:uid="{94B7DB9D-7932-49C7-8A23-39ECF4E62E97}"/>
    <cellStyle name="Title 2" xfId="275" xr:uid="{70690243-43E9-46F7-AEDD-EF724D1A2FC2}"/>
    <cellStyle name="Title 3" xfId="147" xr:uid="{1EE2774B-FC39-4373-A625-7671143166C4}"/>
    <cellStyle name="Total 2" xfId="149" xr:uid="{BFE94F15-67C3-4114-A362-83BABF683FE8}"/>
    <cellStyle name="Total 3" xfId="276" xr:uid="{58702BF7-E3BE-4D79-9367-63BD2786D895}"/>
    <cellStyle name="Total 4" xfId="148" xr:uid="{515EF144-8EAF-4E01-A3AD-C02ACD7BC784}"/>
    <cellStyle name="Warning Text 2" xfId="151" xr:uid="{E8AC90DA-2644-4EE5-8710-9824171EE98A}"/>
    <cellStyle name="Warning Text 3" xfId="277" xr:uid="{B8A0EF7A-9655-4C90-87A4-0CB2E80F8124}"/>
    <cellStyle name="Warning Text 4" xfId="150" xr:uid="{3A02523D-C2B4-41FF-80D6-0970EC98D38E}"/>
  </cellStyles>
  <dxfs count="3">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Summary!$C$26</c:f>
          <c:strCache>
            <c:ptCount val="1"/>
            <c:pt idx="0">
              <c:v>Methane Emissions from Industrial Wastewater, 1990-0</c:v>
            </c:pt>
          </c:strCache>
        </c:strRef>
      </c:tx>
      <c:layout>
        <c:manualLayout>
          <c:xMode val="edge"/>
          <c:yMode val="edge"/>
          <c:x val="0.21626050807368197"/>
          <c:y val="1.7064956041333994E-2"/>
        </c:manualLayout>
      </c:layout>
      <c:overlay val="0"/>
      <c:spPr>
        <a:noFill/>
        <a:ln w="25400">
          <a:noFill/>
        </a:ln>
      </c:spPr>
      <c:txPr>
        <a:bodyPr/>
        <a:lstStyle/>
        <a:p>
          <a:pPr>
            <a:defRPr sz="1000" b="1" i="0" u="none" strike="noStrike" baseline="0">
              <a:solidFill>
                <a:srgbClr val="000000"/>
              </a:solidFill>
              <a:latin typeface="Comic Sans MS"/>
              <a:ea typeface="Comic Sans MS"/>
              <a:cs typeface="Comic Sans MS"/>
            </a:defRPr>
          </a:pPr>
          <a:endParaRPr lang="en-US"/>
        </a:p>
      </c:txPr>
    </c:title>
    <c:autoTitleDeleted val="0"/>
    <c:plotArea>
      <c:layout>
        <c:manualLayout>
          <c:layoutTarget val="inner"/>
          <c:xMode val="edge"/>
          <c:yMode val="edge"/>
          <c:x val="0.11869937547538026"/>
          <c:y val="0.20543836952176395"/>
          <c:w val="0.8650420240123603"/>
          <c:h val="0.65256893848089725"/>
        </c:manualLayout>
      </c:layout>
      <c:lineChart>
        <c:grouping val="standard"/>
        <c:varyColors val="0"/>
        <c:ser>
          <c:idx val="0"/>
          <c:order val="0"/>
          <c:tx>
            <c:strRef>
              <c:f>Summary!$B$9</c:f>
              <c:strCache>
                <c:ptCount val="1"/>
                <c:pt idx="0">
                  <c:v>Fruits &amp; Vegetables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[0]!ChartRange_FruitVeg</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0-1090-4F88-A3C4-2F649F9BAC1A}"/>
            </c:ext>
          </c:extLst>
        </c:ser>
        <c:ser>
          <c:idx val="1"/>
          <c:order val="1"/>
          <c:tx>
            <c:strRef>
              <c:f>Summary!$B$10</c:f>
              <c:strCache>
                <c:ptCount val="1"/>
                <c:pt idx="0">
                  <c:v>Red Meat</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val>
            <c:numRef>
              <c:f>[0]!ChartRange_Red_Meat</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1-1090-4F88-A3C4-2F649F9BAC1A}"/>
            </c:ext>
          </c:extLst>
        </c:ser>
        <c:ser>
          <c:idx val="2"/>
          <c:order val="2"/>
          <c:tx>
            <c:strRef>
              <c:f>Summary!$B$12</c:f>
              <c:strCache>
                <c:ptCount val="1"/>
                <c:pt idx="0">
                  <c:v>Pulp &amp; Paper</c:v>
                </c:pt>
              </c:strCache>
            </c:strRef>
          </c:tx>
          <c:spPr>
            <a:ln w="12700">
              <a:solidFill>
                <a:srgbClr val="00B050"/>
              </a:solidFill>
              <a:prstDash val="solid"/>
            </a:ln>
          </c:spPr>
          <c:marker>
            <c:symbol val="triangle"/>
            <c:size val="5"/>
            <c:spPr>
              <a:solidFill>
                <a:srgbClr val="00B050"/>
              </a:solidFill>
              <a:ln>
                <a:solidFill>
                  <a:srgbClr val="00B050"/>
                </a:solidFill>
                <a:prstDash val="solid"/>
              </a:ln>
            </c:spPr>
          </c:marker>
          <c:val>
            <c:numRef>
              <c:f>[0]!ChartRange_PulpPaper</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2-1090-4F88-A3C4-2F649F9BAC1A}"/>
            </c:ext>
          </c:extLst>
        </c:ser>
        <c:ser>
          <c:idx val="3"/>
          <c:order val="3"/>
          <c:tx>
            <c:strRef>
              <c:f>Summary!$B$11</c:f>
              <c:strCache>
                <c:ptCount val="1"/>
                <c:pt idx="0">
                  <c:v>Poultry</c:v>
                </c:pt>
              </c:strCache>
            </c:strRef>
          </c:tx>
          <c:spPr>
            <a:ln w="12700">
              <a:solidFill>
                <a:srgbClr val="FFC000"/>
              </a:solidFill>
              <a:prstDash val="solid"/>
            </a:ln>
          </c:spPr>
          <c:marker>
            <c:symbol val="x"/>
            <c:size val="5"/>
            <c:spPr>
              <a:noFill/>
              <a:ln>
                <a:solidFill>
                  <a:srgbClr val="FFC000"/>
                </a:solidFill>
                <a:prstDash val="solid"/>
              </a:ln>
            </c:spPr>
          </c:marker>
          <c:val>
            <c:numRef>
              <c:f>[0]!ChartRange_Poultry</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3-1090-4F88-A3C4-2F649F9BAC1A}"/>
            </c:ext>
          </c:extLst>
        </c:ser>
        <c:dLbls>
          <c:showLegendKey val="0"/>
          <c:showVal val="0"/>
          <c:showCatName val="0"/>
          <c:showSerName val="0"/>
          <c:showPercent val="0"/>
          <c:showBubbleSize val="0"/>
        </c:dLbls>
        <c:marker val="1"/>
        <c:smooth val="0"/>
        <c:axId val="768741912"/>
        <c:axId val="768739560"/>
      </c:lineChart>
      <c:catAx>
        <c:axId val="768741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Comic Sans MS"/>
                <a:ea typeface="Comic Sans MS"/>
                <a:cs typeface="Comic Sans MS"/>
              </a:defRPr>
            </a:pPr>
            <a:endParaRPr lang="en-US"/>
          </a:p>
        </c:txPr>
        <c:crossAx val="768739560"/>
        <c:crosses val="autoZero"/>
        <c:auto val="1"/>
        <c:lblAlgn val="ctr"/>
        <c:lblOffset val="100"/>
        <c:tickLblSkip val="1"/>
        <c:tickMarkSkip val="1"/>
        <c:noMultiLvlLbl val="0"/>
      </c:catAx>
      <c:valAx>
        <c:axId val="768739560"/>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Comic Sans MS"/>
                  </a:rPr>
                  <a:t>Emissions (MMTCO</a:t>
                </a:r>
                <a:r>
                  <a:rPr lang="en-US" sz="800" b="1" i="0" u="none" strike="noStrike" baseline="-25000">
                    <a:solidFill>
                      <a:srgbClr val="000000"/>
                    </a:solidFill>
                    <a:latin typeface="Comic Sans MS"/>
                  </a:rPr>
                  <a:t>2</a:t>
                </a:r>
                <a:r>
                  <a:rPr lang="en-US" sz="800" b="1" i="0" u="none" strike="noStrike" baseline="0">
                    <a:solidFill>
                      <a:srgbClr val="000000"/>
                    </a:solidFill>
                    <a:latin typeface="Comic Sans MS"/>
                  </a:rPr>
                  <a:t>E)</a:t>
                </a:r>
              </a:p>
            </c:rich>
          </c:tx>
          <c:layout>
            <c:manualLayout>
              <c:xMode val="edge"/>
              <c:yMode val="edge"/>
              <c:x val="8.1299980545344718E-3"/>
              <c:y val="0.324232023444621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Comic Sans MS"/>
                <a:ea typeface="Comic Sans MS"/>
                <a:cs typeface="Comic Sans MS"/>
              </a:defRPr>
            </a:pPr>
            <a:endParaRPr lang="en-US"/>
          </a:p>
        </c:txPr>
        <c:crossAx val="768741912"/>
        <c:crosses val="autoZero"/>
        <c:crossBetween val="between"/>
      </c:valAx>
      <c:spPr>
        <a:solidFill>
          <a:srgbClr val="FFFFFF"/>
        </a:solidFill>
        <a:ln w="25400">
          <a:noFill/>
        </a:ln>
      </c:spPr>
    </c:plotArea>
    <c:legend>
      <c:legendPos val="r"/>
      <c:layout>
        <c:manualLayout>
          <c:xMode val="edge"/>
          <c:yMode val="edge"/>
          <c:x val="0.14174269341169807"/>
          <c:y val="9.0909090909090912E-2"/>
          <c:w val="0.75162668223039097"/>
          <c:h val="9.5571095571095582E-2"/>
        </c:manualLayout>
      </c:layout>
      <c:overlay val="0"/>
      <c:spPr>
        <a:solidFill>
          <a:srgbClr val="FFFFFF"/>
        </a:solidFill>
        <a:ln w="25400">
          <a:noFill/>
        </a:ln>
      </c:spPr>
      <c:txPr>
        <a:bodyPr/>
        <a:lstStyle/>
        <a:p>
          <a:pPr>
            <a:defRPr sz="600" b="0" i="0" u="none" strike="noStrike" baseline="0">
              <a:solidFill>
                <a:srgbClr val="000000"/>
              </a:solidFill>
              <a:latin typeface="Comic Sans MS"/>
              <a:ea typeface="Comic Sans MS"/>
              <a:cs typeface="Comic Sans MS"/>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Summary!$C$25</c:f>
          <c:strCache>
            <c:ptCount val="1"/>
            <c:pt idx="0">
              <c:v>Total Wastewater Emissions, 1990-0</c:v>
            </c:pt>
          </c:strCache>
        </c:strRef>
      </c:tx>
      <c:layout>
        <c:manualLayout>
          <c:xMode val="edge"/>
          <c:yMode val="edge"/>
          <c:x val="0.27941230467953165"/>
          <c:y val="1.7006764999445492E-2"/>
        </c:manualLayout>
      </c:layout>
      <c:overlay val="0"/>
      <c:spPr>
        <a:noFill/>
        <a:ln w="25400">
          <a:noFill/>
        </a:ln>
      </c:spPr>
      <c:txPr>
        <a:bodyPr/>
        <a:lstStyle/>
        <a:p>
          <a:pPr>
            <a:defRPr sz="1000" b="1" i="0" u="none" strike="noStrike" baseline="0">
              <a:solidFill>
                <a:srgbClr val="000000"/>
              </a:solidFill>
              <a:latin typeface="Comic Sans MS"/>
              <a:ea typeface="Comic Sans MS"/>
              <a:cs typeface="Comic Sans MS"/>
            </a:defRPr>
          </a:pPr>
          <a:endParaRPr lang="en-US"/>
        </a:p>
      </c:txPr>
    </c:title>
    <c:autoTitleDeleted val="0"/>
    <c:plotArea>
      <c:layout>
        <c:manualLayout>
          <c:layoutTarget val="inner"/>
          <c:xMode val="edge"/>
          <c:yMode val="edge"/>
          <c:x val="0.12254921515844433"/>
          <c:y val="0.19756838905775076"/>
          <c:w val="0.86928243285723172"/>
          <c:h val="0.65653495440729481"/>
        </c:manualLayout>
      </c:layout>
      <c:lineChart>
        <c:grouping val="standard"/>
        <c:varyColors val="0"/>
        <c:ser>
          <c:idx val="0"/>
          <c:order val="0"/>
          <c:tx>
            <c:strRef>
              <c:f>Summary!$B$6</c:f>
              <c:strCache>
                <c:ptCount val="1"/>
                <c:pt idx="0">
                  <c:v>Municipal CH4</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[0]!ChartRange_Municipal_CH4</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0-63F4-4FFE-8F25-6C6B3F4E482F}"/>
            </c:ext>
          </c:extLst>
        </c:ser>
        <c:ser>
          <c:idx val="1"/>
          <c:order val="1"/>
          <c:tx>
            <c:strRef>
              <c:f>Summary!$B$7</c:f>
              <c:strCache>
                <c:ptCount val="1"/>
                <c:pt idx="0">
                  <c:v>Municipal N2O</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val>
            <c:numRef>
              <c:f>[0]!ChartRange_Municipal_N2O</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1-63F4-4FFE-8F25-6C6B3F4E482F}"/>
            </c:ext>
          </c:extLst>
        </c:ser>
        <c:ser>
          <c:idx val="2"/>
          <c:order val="2"/>
          <c:tx>
            <c:strRef>
              <c:f>Summary!$B$8</c:f>
              <c:strCache>
                <c:ptCount val="1"/>
                <c:pt idx="0">
                  <c:v>Industrial CH4</c:v>
                </c:pt>
              </c:strCache>
            </c:strRef>
          </c:tx>
          <c:spPr>
            <a:ln w="12700">
              <a:solidFill>
                <a:srgbClr val="00B050"/>
              </a:solidFill>
              <a:prstDash val="solid"/>
            </a:ln>
          </c:spPr>
          <c:marker>
            <c:symbol val="triangle"/>
            <c:size val="5"/>
            <c:spPr>
              <a:solidFill>
                <a:srgbClr val="00B050"/>
              </a:solidFill>
              <a:ln>
                <a:solidFill>
                  <a:srgbClr val="00B050"/>
                </a:solidFill>
                <a:prstDash val="solid"/>
              </a:ln>
            </c:spPr>
          </c:marker>
          <c:val>
            <c:numRef>
              <c:f>[0]!ChartRange_Industrial_CH4</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2-63F4-4FFE-8F25-6C6B3F4E482F}"/>
            </c:ext>
          </c:extLst>
        </c:ser>
        <c:dLbls>
          <c:showLegendKey val="0"/>
          <c:showVal val="0"/>
          <c:showCatName val="0"/>
          <c:showSerName val="0"/>
          <c:showPercent val="0"/>
          <c:showBubbleSize val="0"/>
        </c:dLbls>
        <c:marker val="1"/>
        <c:smooth val="0"/>
        <c:axId val="768737600"/>
        <c:axId val="768757592"/>
      </c:lineChart>
      <c:catAx>
        <c:axId val="76873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Comic Sans MS"/>
                <a:ea typeface="Comic Sans MS"/>
                <a:cs typeface="Comic Sans MS"/>
              </a:defRPr>
            </a:pPr>
            <a:endParaRPr lang="en-US"/>
          </a:p>
        </c:txPr>
        <c:crossAx val="768757592"/>
        <c:crosses val="autoZero"/>
        <c:auto val="1"/>
        <c:lblAlgn val="ctr"/>
        <c:lblOffset val="100"/>
        <c:tickLblSkip val="1"/>
        <c:tickMarkSkip val="1"/>
        <c:noMultiLvlLbl val="0"/>
      </c:catAx>
      <c:valAx>
        <c:axId val="768757592"/>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Comic Sans MS"/>
                  </a:rPr>
                  <a:t>Emissions (MMTCO</a:t>
                </a:r>
                <a:r>
                  <a:rPr lang="en-US" sz="800" b="1" i="0" u="none" strike="noStrike" baseline="-25000">
                    <a:solidFill>
                      <a:srgbClr val="000000"/>
                    </a:solidFill>
                    <a:latin typeface="Comic Sans MS"/>
                  </a:rPr>
                  <a:t>2</a:t>
                </a:r>
                <a:r>
                  <a:rPr lang="en-US" sz="800" b="1" i="0" u="none" strike="noStrike" baseline="0">
                    <a:solidFill>
                      <a:srgbClr val="000000"/>
                    </a:solidFill>
                    <a:latin typeface="Comic Sans MS"/>
                  </a:rPr>
                  <a:t>E)</a:t>
                </a:r>
              </a:p>
            </c:rich>
          </c:tx>
          <c:layout>
            <c:manualLayout>
              <c:xMode val="edge"/>
              <c:yMode val="edge"/>
              <c:x val="8.1699713054002969E-3"/>
              <c:y val="0.29591943612682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Comic Sans MS"/>
                <a:ea typeface="Comic Sans MS"/>
                <a:cs typeface="Comic Sans MS"/>
              </a:defRPr>
            </a:pPr>
            <a:endParaRPr lang="en-US"/>
          </a:p>
        </c:txPr>
        <c:crossAx val="768737600"/>
        <c:crosses val="autoZero"/>
        <c:crossBetween val="between"/>
      </c:valAx>
      <c:spPr>
        <a:solidFill>
          <a:srgbClr val="FFFFFF"/>
        </a:solidFill>
        <a:ln w="25400">
          <a:noFill/>
        </a:ln>
      </c:spPr>
    </c:plotArea>
    <c:legend>
      <c:legendPos val="r"/>
      <c:layout>
        <c:manualLayout>
          <c:xMode val="edge"/>
          <c:yMode val="edge"/>
          <c:x val="0.18264248704663211"/>
          <c:y val="0.10093927519623427"/>
          <c:w val="0.63860120626113448"/>
          <c:h val="5.3990918388722525E-2"/>
        </c:manualLayout>
      </c:layout>
      <c:overlay val="0"/>
      <c:spPr>
        <a:solidFill>
          <a:srgbClr val="FFFFFF"/>
        </a:solidFill>
        <a:ln w="25400">
          <a:noFill/>
        </a:ln>
      </c:spPr>
      <c:txPr>
        <a:bodyPr/>
        <a:lstStyle/>
        <a:p>
          <a:pPr>
            <a:defRPr sz="630" b="0" i="0" u="none" strike="noStrike" baseline="0">
              <a:solidFill>
                <a:srgbClr val="000000"/>
              </a:solidFill>
              <a:latin typeface="Comic Sans MS"/>
              <a:ea typeface="Comic Sans MS"/>
              <a:cs typeface="Comic Sans MS"/>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www.epa.gov/statelocalenergy/download-state-inventory-and-projection-tool"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5.vml.rels><?xml version="1.0" encoding="UTF-8" standalone="yes"?>
<Relationships xmlns="http://schemas.openxmlformats.org/package/2006/relationships"><Relationship Id="rId26" Type="http://schemas.openxmlformats.org/officeDocument/2006/relationships/image" Target="../media/image40.emf"/><Relationship Id="rId21" Type="http://schemas.openxmlformats.org/officeDocument/2006/relationships/image" Target="../media/image35.emf"/><Relationship Id="rId34" Type="http://schemas.openxmlformats.org/officeDocument/2006/relationships/image" Target="../media/image48.emf"/><Relationship Id="rId42" Type="http://schemas.openxmlformats.org/officeDocument/2006/relationships/image" Target="../media/image56.emf"/><Relationship Id="rId47" Type="http://schemas.openxmlformats.org/officeDocument/2006/relationships/image" Target="../media/image61.emf"/><Relationship Id="rId50" Type="http://schemas.openxmlformats.org/officeDocument/2006/relationships/image" Target="../media/image64.emf"/><Relationship Id="rId55" Type="http://schemas.openxmlformats.org/officeDocument/2006/relationships/image" Target="../media/image69.emf"/><Relationship Id="rId63" Type="http://schemas.openxmlformats.org/officeDocument/2006/relationships/image" Target="../media/image77.emf"/><Relationship Id="rId7" Type="http://schemas.openxmlformats.org/officeDocument/2006/relationships/image" Target="../media/image21.emf"/><Relationship Id="rId2" Type="http://schemas.openxmlformats.org/officeDocument/2006/relationships/image" Target="../media/image16.emf"/><Relationship Id="rId16" Type="http://schemas.openxmlformats.org/officeDocument/2006/relationships/image" Target="../media/image30.emf"/><Relationship Id="rId29" Type="http://schemas.openxmlformats.org/officeDocument/2006/relationships/image" Target="../media/image43.emf"/><Relationship Id="rId11" Type="http://schemas.openxmlformats.org/officeDocument/2006/relationships/image" Target="../media/image25.emf"/><Relationship Id="rId24" Type="http://schemas.openxmlformats.org/officeDocument/2006/relationships/image" Target="../media/image38.emf"/><Relationship Id="rId32" Type="http://schemas.openxmlformats.org/officeDocument/2006/relationships/image" Target="../media/image46.emf"/><Relationship Id="rId37" Type="http://schemas.openxmlformats.org/officeDocument/2006/relationships/image" Target="../media/image51.emf"/><Relationship Id="rId40" Type="http://schemas.openxmlformats.org/officeDocument/2006/relationships/image" Target="../media/image54.emf"/><Relationship Id="rId45" Type="http://schemas.openxmlformats.org/officeDocument/2006/relationships/image" Target="../media/image59.emf"/><Relationship Id="rId53" Type="http://schemas.openxmlformats.org/officeDocument/2006/relationships/image" Target="../media/image67.emf"/><Relationship Id="rId58" Type="http://schemas.openxmlformats.org/officeDocument/2006/relationships/image" Target="../media/image72.emf"/><Relationship Id="rId66" Type="http://schemas.openxmlformats.org/officeDocument/2006/relationships/image" Target="../media/image80.emf"/><Relationship Id="rId5" Type="http://schemas.openxmlformats.org/officeDocument/2006/relationships/image" Target="../media/image19.emf"/><Relationship Id="rId61" Type="http://schemas.openxmlformats.org/officeDocument/2006/relationships/image" Target="../media/image75.emf"/><Relationship Id="rId19" Type="http://schemas.openxmlformats.org/officeDocument/2006/relationships/image" Target="../media/image33.emf"/><Relationship Id="rId14" Type="http://schemas.openxmlformats.org/officeDocument/2006/relationships/image" Target="../media/image28.emf"/><Relationship Id="rId22" Type="http://schemas.openxmlformats.org/officeDocument/2006/relationships/image" Target="../media/image36.emf"/><Relationship Id="rId27" Type="http://schemas.openxmlformats.org/officeDocument/2006/relationships/image" Target="../media/image41.emf"/><Relationship Id="rId30" Type="http://schemas.openxmlformats.org/officeDocument/2006/relationships/image" Target="../media/image44.emf"/><Relationship Id="rId35" Type="http://schemas.openxmlformats.org/officeDocument/2006/relationships/image" Target="../media/image49.emf"/><Relationship Id="rId43" Type="http://schemas.openxmlformats.org/officeDocument/2006/relationships/image" Target="../media/image57.emf"/><Relationship Id="rId48" Type="http://schemas.openxmlformats.org/officeDocument/2006/relationships/image" Target="../media/image62.emf"/><Relationship Id="rId56" Type="http://schemas.openxmlformats.org/officeDocument/2006/relationships/image" Target="../media/image70.emf"/><Relationship Id="rId64" Type="http://schemas.openxmlformats.org/officeDocument/2006/relationships/image" Target="../media/image78.emf"/><Relationship Id="rId8" Type="http://schemas.openxmlformats.org/officeDocument/2006/relationships/image" Target="../media/image22.emf"/><Relationship Id="rId51" Type="http://schemas.openxmlformats.org/officeDocument/2006/relationships/image" Target="../media/image65.emf"/><Relationship Id="rId3" Type="http://schemas.openxmlformats.org/officeDocument/2006/relationships/image" Target="../media/image17.emf"/><Relationship Id="rId12" Type="http://schemas.openxmlformats.org/officeDocument/2006/relationships/image" Target="../media/image26.emf"/><Relationship Id="rId17" Type="http://schemas.openxmlformats.org/officeDocument/2006/relationships/image" Target="../media/image31.emf"/><Relationship Id="rId25" Type="http://schemas.openxmlformats.org/officeDocument/2006/relationships/image" Target="../media/image39.emf"/><Relationship Id="rId33" Type="http://schemas.openxmlformats.org/officeDocument/2006/relationships/image" Target="../media/image47.emf"/><Relationship Id="rId38" Type="http://schemas.openxmlformats.org/officeDocument/2006/relationships/image" Target="../media/image52.emf"/><Relationship Id="rId46" Type="http://schemas.openxmlformats.org/officeDocument/2006/relationships/image" Target="../media/image60.emf"/><Relationship Id="rId59" Type="http://schemas.openxmlformats.org/officeDocument/2006/relationships/image" Target="../media/image73.emf"/><Relationship Id="rId67" Type="http://schemas.openxmlformats.org/officeDocument/2006/relationships/image" Target="../media/image81.emf"/><Relationship Id="rId20" Type="http://schemas.openxmlformats.org/officeDocument/2006/relationships/image" Target="../media/image34.emf"/><Relationship Id="rId41" Type="http://schemas.openxmlformats.org/officeDocument/2006/relationships/image" Target="../media/image55.emf"/><Relationship Id="rId54" Type="http://schemas.openxmlformats.org/officeDocument/2006/relationships/image" Target="../media/image68.emf"/><Relationship Id="rId62" Type="http://schemas.openxmlformats.org/officeDocument/2006/relationships/image" Target="../media/image76.emf"/><Relationship Id="rId1" Type="http://schemas.openxmlformats.org/officeDocument/2006/relationships/image" Target="../media/image15.emf"/><Relationship Id="rId6" Type="http://schemas.openxmlformats.org/officeDocument/2006/relationships/image" Target="../media/image20.emf"/><Relationship Id="rId15" Type="http://schemas.openxmlformats.org/officeDocument/2006/relationships/image" Target="../media/image29.emf"/><Relationship Id="rId23" Type="http://schemas.openxmlformats.org/officeDocument/2006/relationships/image" Target="../media/image37.emf"/><Relationship Id="rId28" Type="http://schemas.openxmlformats.org/officeDocument/2006/relationships/image" Target="../media/image42.emf"/><Relationship Id="rId36" Type="http://schemas.openxmlformats.org/officeDocument/2006/relationships/image" Target="../media/image50.emf"/><Relationship Id="rId49" Type="http://schemas.openxmlformats.org/officeDocument/2006/relationships/image" Target="../media/image63.emf"/><Relationship Id="rId57" Type="http://schemas.openxmlformats.org/officeDocument/2006/relationships/image" Target="../media/image71.emf"/><Relationship Id="rId10" Type="http://schemas.openxmlformats.org/officeDocument/2006/relationships/image" Target="../media/image24.emf"/><Relationship Id="rId31" Type="http://schemas.openxmlformats.org/officeDocument/2006/relationships/image" Target="../media/image45.emf"/><Relationship Id="rId44" Type="http://schemas.openxmlformats.org/officeDocument/2006/relationships/image" Target="../media/image58.emf"/><Relationship Id="rId52" Type="http://schemas.openxmlformats.org/officeDocument/2006/relationships/image" Target="../media/image66.emf"/><Relationship Id="rId60" Type="http://schemas.openxmlformats.org/officeDocument/2006/relationships/image" Target="../media/image74.emf"/><Relationship Id="rId65" Type="http://schemas.openxmlformats.org/officeDocument/2006/relationships/image" Target="../media/image79.emf"/><Relationship Id="rId4" Type="http://schemas.openxmlformats.org/officeDocument/2006/relationships/image" Target="../media/image18.emf"/><Relationship Id="rId9" Type="http://schemas.openxmlformats.org/officeDocument/2006/relationships/image" Target="../media/image23.emf"/><Relationship Id="rId13" Type="http://schemas.openxmlformats.org/officeDocument/2006/relationships/image" Target="../media/image27.emf"/><Relationship Id="rId18" Type="http://schemas.openxmlformats.org/officeDocument/2006/relationships/image" Target="../media/image32.emf"/><Relationship Id="rId39" Type="http://schemas.openxmlformats.org/officeDocument/2006/relationships/image" Target="../media/image5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83.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84.emf"/></Relationships>
</file>

<file path=xl/drawings/drawing1.xml><?xml version="1.0" encoding="utf-8"?>
<xdr:wsDr xmlns:xdr="http://schemas.openxmlformats.org/drawingml/2006/spreadsheetDrawing" xmlns:a="http://schemas.openxmlformats.org/drawingml/2006/main">
  <xdr:twoCellAnchor>
    <xdr:from>
      <xdr:col>1</xdr:col>
      <xdr:colOff>199909</xdr:colOff>
      <xdr:row>77</xdr:row>
      <xdr:rowOff>123825</xdr:rowOff>
    </xdr:from>
    <xdr:to>
      <xdr:col>1</xdr:col>
      <xdr:colOff>1189082</xdr:colOff>
      <xdr:row>80</xdr:row>
      <xdr:rowOff>83820</xdr:rowOff>
    </xdr:to>
    <xdr:sp macro="[0]!gotodomch4" textlink="">
      <xdr:nvSpPr>
        <xdr:cNvPr id="5186" name="AutoShape 66">
          <a:extLst>
            <a:ext uri="{FF2B5EF4-FFF2-40B4-BE49-F238E27FC236}">
              <a16:creationId xmlns:a16="http://schemas.microsoft.com/office/drawing/2014/main" id="{00000000-0008-0000-0000-000042140000}"/>
            </a:ext>
          </a:extLst>
        </xdr:cNvPr>
        <xdr:cNvSpPr>
          <a:spLocks noChangeArrowheads="1"/>
        </xdr:cNvSpPr>
      </xdr:nvSpPr>
      <xdr:spPr bwMode="auto">
        <a:xfrm>
          <a:off x="436129" y="10060305"/>
          <a:ext cx="989173" cy="371475"/>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5</xdr:col>
      <xdr:colOff>60902</xdr:colOff>
      <xdr:row>4</xdr:row>
      <xdr:rowOff>29903</xdr:rowOff>
    </xdr:from>
    <xdr:to>
      <xdr:col>6</xdr:col>
      <xdr:colOff>366215</xdr:colOff>
      <xdr:row>5</xdr:row>
      <xdr:rowOff>82631</xdr:rowOff>
    </xdr:to>
    <xdr:sp macro="" textlink="">
      <xdr:nvSpPr>
        <xdr:cNvPr id="5237" name="Rectangle 89">
          <a:hlinkClick xmlns:r="http://schemas.openxmlformats.org/officeDocument/2006/relationships" r:id="rId1"/>
          <a:extLst>
            <a:ext uri="{FF2B5EF4-FFF2-40B4-BE49-F238E27FC236}">
              <a16:creationId xmlns:a16="http://schemas.microsoft.com/office/drawing/2014/main" id="{00000000-0008-0000-0000-000075140000}"/>
            </a:ext>
          </a:extLst>
        </xdr:cNvPr>
        <xdr:cNvSpPr>
          <a:spLocks noChangeArrowheads="1"/>
        </xdr:cNvSpPr>
      </xdr:nvSpPr>
      <xdr:spPr bwMode="auto">
        <a:xfrm>
          <a:off x="4651952" y="563303"/>
          <a:ext cx="1295913" cy="211478"/>
        </a:xfrm>
        <a:prstGeom prst="rect">
          <a:avLst/>
        </a:prstGeom>
        <a:solidFill>
          <a:srgbClr val="C0C0C0"/>
        </a:solidFill>
        <a:ln w="9525">
          <a:solidFill>
            <a:srgbClr val="000000"/>
          </a:solidFill>
          <a:miter lim="800000"/>
          <a:headEnd/>
          <a:tailEnd/>
        </a:ln>
      </xdr:spPr>
      <xdr:txBody>
        <a:bodyPr vertOverflow="clip" wrap="square" lIns="27432" tIns="27432" rIns="27432" bIns="0" anchor="t" upright="1"/>
        <a:lstStyle/>
        <a:p>
          <a:pPr algn="ctr" rtl="0">
            <a:defRPr sz="1000"/>
          </a:pPr>
          <a:r>
            <a:rPr lang="en-US" sz="800" b="0" i="0" u="none" strike="noStrike" baseline="0">
              <a:solidFill>
                <a:srgbClr val="000000"/>
              </a:solidFill>
              <a:latin typeface="Comic Sans MS"/>
            </a:rPr>
            <a:t>Consult User's Guide</a:t>
          </a:r>
        </a:p>
      </xdr:txBody>
    </xdr:sp>
    <xdr:clientData/>
  </xdr:twoCellAnchor>
  <xdr:twoCellAnchor>
    <xdr:from>
      <xdr:col>1</xdr:col>
      <xdr:colOff>183456</xdr:colOff>
      <xdr:row>83</xdr:row>
      <xdr:rowOff>49530</xdr:rowOff>
    </xdr:from>
    <xdr:to>
      <xdr:col>1</xdr:col>
      <xdr:colOff>1196339</xdr:colOff>
      <xdr:row>85</xdr:row>
      <xdr:rowOff>114389</xdr:rowOff>
    </xdr:to>
    <xdr:sp macro="[0]!gotosumm" textlink="">
      <xdr:nvSpPr>
        <xdr:cNvPr id="5229" name="AutoShape 109">
          <a:extLst>
            <a:ext uri="{FF2B5EF4-FFF2-40B4-BE49-F238E27FC236}">
              <a16:creationId xmlns:a16="http://schemas.microsoft.com/office/drawing/2014/main" id="{00000000-0008-0000-0000-00006D140000}"/>
            </a:ext>
          </a:extLst>
        </xdr:cNvPr>
        <xdr:cNvSpPr>
          <a:spLocks noChangeArrowheads="1"/>
        </xdr:cNvSpPr>
      </xdr:nvSpPr>
      <xdr:spPr bwMode="auto">
        <a:xfrm>
          <a:off x="419676" y="10808970"/>
          <a:ext cx="1012883" cy="339179"/>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Go to the Summary Sheet</a:t>
          </a:r>
        </a:p>
      </xdr:txBody>
    </xdr:sp>
    <xdr:clientData/>
  </xdr:twoCellAnchor>
  <mc:AlternateContent xmlns:mc="http://schemas.openxmlformats.org/markup-compatibility/2006">
    <mc:Choice xmlns:a14="http://schemas.microsoft.com/office/drawing/2010/main" Requires="a14">
      <xdr:twoCellAnchor editAs="oneCell">
        <xdr:from>
          <xdr:col>6</xdr:col>
          <xdr:colOff>457200</xdr:colOff>
          <xdr:row>18</xdr:row>
          <xdr:rowOff>38100</xdr:rowOff>
        </xdr:from>
        <xdr:to>
          <xdr:col>6</xdr:col>
          <xdr:colOff>660400</xdr:colOff>
          <xdr:row>19</xdr:row>
          <xdr:rowOff>25400</xdr:rowOff>
        </xdr:to>
        <xdr:sp macro="" textlink="">
          <xdr:nvSpPr>
            <xdr:cNvPr id="5157" name="CheckBox1"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165100</xdr:colOff>
          <xdr:row>12</xdr:row>
          <xdr:rowOff>165100</xdr:rowOff>
        </xdr:from>
        <xdr:to>
          <xdr:col>6</xdr:col>
          <xdr:colOff>596900</xdr:colOff>
          <xdr:row>15</xdr:row>
          <xdr:rowOff>101600</xdr:rowOff>
        </xdr:to>
        <xdr:sp macro="" textlink="">
          <xdr:nvSpPr>
            <xdr:cNvPr id="5175" name="SelectAll1" hidden="1">
              <a:extLst>
                <a:ext uri="{63B3BB69-23CF-44E3-9099-C40C66FF867C}">
                  <a14:compatExt spid="_x0000_s5175"/>
                </a:ext>
                <a:ext uri="{FF2B5EF4-FFF2-40B4-BE49-F238E27FC236}">
                  <a16:creationId xmlns:a16="http://schemas.microsoft.com/office/drawing/2014/main" id="{00000000-0008-0000-0000-00003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5</xdr:row>
          <xdr:rowOff>139700</xdr:rowOff>
        </xdr:from>
        <xdr:to>
          <xdr:col>1</xdr:col>
          <xdr:colOff>444500</xdr:colOff>
          <xdr:row>7</xdr:row>
          <xdr:rowOff>25400</xdr:rowOff>
        </xdr:to>
        <xdr:sp macro="" textlink="">
          <xdr:nvSpPr>
            <xdr:cNvPr id="5179" name="FruitBox" hidden="1">
              <a:extLst>
                <a:ext uri="{63B3BB69-23CF-44E3-9099-C40C66FF867C}">
                  <a14:compatExt spid="_x0000_s5179"/>
                </a:ext>
                <a:ext uri="{FF2B5EF4-FFF2-40B4-BE49-F238E27FC236}">
                  <a16:creationId xmlns:a16="http://schemas.microsoft.com/office/drawing/2014/main" id="{00000000-0008-0000-0000-00003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6</xdr:row>
          <xdr:rowOff>139700</xdr:rowOff>
        </xdr:from>
        <xdr:to>
          <xdr:col>1</xdr:col>
          <xdr:colOff>419100</xdr:colOff>
          <xdr:row>8</xdr:row>
          <xdr:rowOff>50800</xdr:rowOff>
        </xdr:to>
        <xdr:sp macro="" textlink="">
          <xdr:nvSpPr>
            <xdr:cNvPr id="5180" name="MeatBox" hidden="1">
              <a:extLst>
                <a:ext uri="{63B3BB69-23CF-44E3-9099-C40C66FF867C}">
                  <a14:compatExt spid="_x0000_s5180"/>
                </a:ext>
                <a:ext uri="{FF2B5EF4-FFF2-40B4-BE49-F238E27FC236}">
                  <a16:creationId xmlns:a16="http://schemas.microsoft.com/office/drawing/2014/main" id="{00000000-0008-0000-0000-00003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8</xdr:row>
          <xdr:rowOff>139700</xdr:rowOff>
        </xdr:from>
        <xdr:to>
          <xdr:col>1</xdr:col>
          <xdr:colOff>457200</xdr:colOff>
          <xdr:row>10</xdr:row>
          <xdr:rowOff>101600</xdr:rowOff>
        </xdr:to>
        <xdr:sp macro="" textlink="">
          <xdr:nvSpPr>
            <xdr:cNvPr id="5181" name="PulpBox" hidden="1">
              <a:extLst>
                <a:ext uri="{63B3BB69-23CF-44E3-9099-C40C66FF867C}">
                  <a14:compatExt spid="_x0000_s5181"/>
                </a:ext>
                <a:ext uri="{FF2B5EF4-FFF2-40B4-BE49-F238E27FC236}">
                  <a16:creationId xmlns:a16="http://schemas.microsoft.com/office/drawing/2014/main" id="{00000000-0008-0000-0000-00003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10</xdr:row>
          <xdr:rowOff>12700</xdr:rowOff>
        </xdr:from>
        <xdr:to>
          <xdr:col>6</xdr:col>
          <xdr:colOff>571500</xdr:colOff>
          <xdr:row>12</xdr:row>
          <xdr:rowOff>101600</xdr:rowOff>
        </xdr:to>
        <xdr:sp macro="" textlink="">
          <xdr:nvSpPr>
            <xdr:cNvPr id="5185" name="CommandButton2" hidden="1">
              <a:extLst>
                <a:ext uri="{63B3BB69-23CF-44E3-9099-C40C66FF867C}">
                  <a14:compatExt spid="_x0000_s5185"/>
                </a:ext>
                <a:ext uri="{FF2B5EF4-FFF2-40B4-BE49-F238E27FC236}">
                  <a16:creationId xmlns:a16="http://schemas.microsoft.com/office/drawing/2014/main" id="{00000000-0008-0000-0000-00004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89</xdr:row>
          <xdr:rowOff>0</xdr:rowOff>
        </xdr:from>
        <xdr:to>
          <xdr:col>1</xdr:col>
          <xdr:colOff>1358900</xdr:colOff>
          <xdr:row>91</xdr:row>
          <xdr:rowOff>63500</xdr:rowOff>
        </xdr:to>
        <xdr:sp macro="" textlink="">
          <xdr:nvSpPr>
            <xdr:cNvPr id="5187" name="Exportbtn" hidden="1">
              <a:extLst>
                <a:ext uri="{63B3BB69-23CF-44E3-9099-C40C66FF867C}">
                  <a14:compatExt spid="_x0000_s5187"/>
                </a:ext>
                <a:ext uri="{FF2B5EF4-FFF2-40B4-BE49-F238E27FC236}">
                  <a16:creationId xmlns:a16="http://schemas.microsoft.com/office/drawing/2014/main" id="{00000000-0008-0000-0000-00004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1028700</xdr:colOff>
          <xdr:row>10</xdr:row>
          <xdr:rowOff>114300</xdr:rowOff>
        </xdr:from>
        <xdr:to>
          <xdr:col>4</xdr:col>
          <xdr:colOff>50800</xdr:colOff>
          <xdr:row>12</xdr:row>
          <xdr:rowOff>63500</xdr:rowOff>
        </xdr:to>
        <xdr:sp macro="" textlink="">
          <xdr:nvSpPr>
            <xdr:cNvPr id="5188" name="ComboBox1" hidden="1">
              <a:extLst>
                <a:ext uri="{63B3BB69-23CF-44E3-9099-C40C66FF867C}">
                  <a14:compatExt spid="_x0000_s5188"/>
                </a:ext>
                <a:ext uri="{FF2B5EF4-FFF2-40B4-BE49-F238E27FC236}">
                  <a16:creationId xmlns:a16="http://schemas.microsoft.com/office/drawing/2014/main" id="{00000000-0008-0000-0000-00004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19</xdr:row>
          <xdr:rowOff>38100</xdr:rowOff>
        </xdr:from>
        <xdr:to>
          <xdr:col>6</xdr:col>
          <xdr:colOff>660400</xdr:colOff>
          <xdr:row>20</xdr:row>
          <xdr:rowOff>25400</xdr:rowOff>
        </xdr:to>
        <xdr:sp macro="" textlink="">
          <xdr:nvSpPr>
            <xdr:cNvPr id="5189" name="CheckBox2" hidden="1">
              <a:extLst>
                <a:ext uri="{63B3BB69-23CF-44E3-9099-C40C66FF867C}">
                  <a14:compatExt spid="_x0000_s5189"/>
                </a:ext>
                <a:ext uri="{FF2B5EF4-FFF2-40B4-BE49-F238E27FC236}">
                  <a16:creationId xmlns:a16="http://schemas.microsoft.com/office/drawing/2014/main" id="{00000000-0008-0000-0000-00004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20</xdr:row>
          <xdr:rowOff>38100</xdr:rowOff>
        </xdr:from>
        <xdr:to>
          <xdr:col>6</xdr:col>
          <xdr:colOff>660400</xdr:colOff>
          <xdr:row>21</xdr:row>
          <xdr:rowOff>25400</xdr:rowOff>
        </xdr:to>
        <xdr:sp macro="" textlink="">
          <xdr:nvSpPr>
            <xdr:cNvPr id="5190" name="CheckBox3" hidden="1">
              <a:extLst>
                <a:ext uri="{63B3BB69-23CF-44E3-9099-C40C66FF867C}">
                  <a14:compatExt spid="_x0000_s5190"/>
                </a:ext>
                <a:ext uri="{FF2B5EF4-FFF2-40B4-BE49-F238E27FC236}">
                  <a16:creationId xmlns:a16="http://schemas.microsoft.com/office/drawing/2014/main" id="{00000000-0008-0000-0000-00004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24</xdr:row>
          <xdr:rowOff>38100</xdr:rowOff>
        </xdr:from>
        <xdr:to>
          <xdr:col>6</xdr:col>
          <xdr:colOff>660400</xdr:colOff>
          <xdr:row>25</xdr:row>
          <xdr:rowOff>25400</xdr:rowOff>
        </xdr:to>
        <xdr:sp macro="" textlink="">
          <xdr:nvSpPr>
            <xdr:cNvPr id="5191" name="CheckBox4" hidden="1">
              <a:extLst>
                <a:ext uri="{63B3BB69-23CF-44E3-9099-C40C66FF867C}">
                  <a14:compatExt spid="_x0000_s5191"/>
                </a:ext>
                <a:ext uri="{FF2B5EF4-FFF2-40B4-BE49-F238E27FC236}">
                  <a16:creationId xmlns:a16="http://schemas.microsoft.com/office/drawing/2014/main" id="{00000000-0008-0000-0000-00004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25</xdr:row>
          <xdr:rowOff>38100</xdr:rowOff>
        </xdr:from>
        <xdr:to>
          <xdr:col>6</xdr:col>
          <xdr:colOff>660400</xdr:colOff>
          <xdr:row>26</xdr:row>
          <xdr:rowOff>25400</xdr:rowOff>
        </xdr:to>
        <xdr:sp macro="" textlink="">
          <xdr:nvSpPr>
            <xdr:cNvPr id="5192" name="CheckBox5" hidden="1">
              <a:extLst>
                <a:ext uri="{63B3BB69-23CF-44E3-9099-C40C66FF867C}">
                  <a14:compatExt spid="_x0000_s5192"/>
                </a:ext>
                <a:ext uri="{FF2B5EF4-FFF2-40B4-BE49-F238E27FC236}">
                  <a16:creationId xmlns:a16="http://schemas.microsoft.com/office/drawing/2014/main" id="{00000000-0008-0000-0000-00004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26</xdr:row>
          <xdr:rowOff>38100</xdr:rowOff>
        </xdr:from>
        <xdr:to>
          <xdr:col>6</xdr:col>
          <xdr:colOff>660400</xdr:colOff>
          <xdr:row>27</xdr:row>
          <xdr:rowOff>25400</xdr:rowOff>
        </xdr:to>
        <xdr:sp macro="" textlink="">
          <xdr:nvSpPr>
            <xdr:cNvPr id="5193" name="CheckBox6" hidden="1">
              <a:extLst>
                <a:ext uri="{63B3BB69-23CF-44E3-9099-C40C66FF867C}">
                  <a14:compatExt spid="_x0000_s5193"/>
                </a:ext>
                <a:ext uri="{FF2B5EF4-FFF2-40B4-BE49-F238E27FC236}">
                  <a16:creationId xmlns:a16="http://schemas.microsoft.com/office/drawing/2014/main" id="{00000000-0008-0000-0000-00004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31</xdr:row>
          <xdr:rowOff>38100</xdr:rowOff>
        </xdr:from>
        <xdr:to>
          <xdr:col>6</xdr:col>
          <xdr:colOff>660400</xdr:colOff>
          <xdr:row>32</xdr:row>
          <xdr:rowOff>25400</xdr:rowOff>
        </xdr:to>
        <xdr:sp macro="" textlink="">
          <xdr:nvSpPr>
            <xdr:cNvPr id="5194" name="CheckBox7" hidden="1">
              <a:extLst>
                <a:ext uri="{63B3BB69-23CF-44E3-9099-C40C66FF867C}">
                  <a14:compatExt spid="_x0000_s5194"/>
                </a:ext>
                <a:ext uri="{FF2B5EF4-FFF2-40B4-BE49-F238E27FC236}">
                  <a16:creationId xmlns:a16="http://schemas.microsoft.com/office/drawing/2014/main" id="{00000000-0008-0000-00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32</xdr:row>
          <xdr:rowOff>38100</xdr:rowOff>
        </xdr:from>
        <xdr:to>
          <xdr:col>6</xdr:col>
          <xdr:colOff>660400</xdr:colOff>
          <xdr:row>33</xdr:row>
          <xdr:rowOff>25400</xdr:rowOff>
        </xdr:to>
        <xdr:sp macro="" textlink="">
          <xdr:nvSpPr>
            <xdr:cNvPr id="5195" name="CheckBox8" hidden="1">
              <a:extLst>
                <a:ext uri="{63B3BB69-23CF-44E3-9099-C40C66FF867C}">
                  <a14:compatExt spid="_x0000_s5195"/>
                </a:ext>
                <a:ext uri="{FF2B5EF4-FFF2-40B4-BE49-F238E27FC236}">
                  <a16:creationId xmlns:a16="http://schemas.microsoft.com/office/drawing/2014/main" id="{00000000-0008-0000-00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36</xdr:row>
          <xdr:rowOff>38100</xdr:rowOff>
        </xdr:from>
        <xdr:to>
          <xdr:col>6</xdr:col>
          <xdr:colOff>660400</xdr:colOff>
          <xdr:row>37</xdr:row>
          <xdr:rowOff>25400</xdr:rowOff>
        </xdr:to>
        <xdr:sp macro="" textlink="">
          <xdr:nvSpPr>
            <xdr:cNvPr id="5196" name="CheckBox9" hidden="1">
              <a:extLst>
                <a:ext uri="{63B3BB69-23CF-44E3-9099-C40C66FF867C}">
                  <a14:compatExt spid="_x0000_s5196"/>
                </a:ext>
                <a:ext uri="{FF2B5EF4-FFF2-40B4-BE49-F238E27FC236}">
                  <a16:creationId xmlns:a16="http://schemas.microsoft.com/office/drawing/2014/main" id="{00000000-0008-0000-0000-00004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37</xdr:row>
          <xdr:rowOff>38100</xdr:rowOff>
        </xdr:from>
        <xdr:to>
          <xdr:col>6</xdr:col>
          <xdr:colOff>660400</xdr:colOff>
          <xdr:row>38</xdr:row>
          <xdr:rowOff>25400</xdr:rowOff>
        </xdr:to>
        <xdr:sp macro="" textlink="">
          <xdr:nvSpPr>
            <xdr:cNvPr id="5197" name="CheckBox10" hidden="1">
              <a:extLst>
                <a:ext uri="{63B3BB69-23CF-44E3-9099-C40C66FF867C}">
                  <a14:compatExt spid="_x0000_s5197"/>
                </a:ext>
                <a:ext uri="{FF2B5EF4-FFF2-40B4-BE49-F238E27FC236}">
                  <a16:creationId xmlns:a16="http://schemas.microsoft.com/office/drawing/2014/main" id="{00000000-0008-0000-0000-00004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38</xdr:row>
          <xdr:rowOff>38100</xdr:rowOff>
        </xdr:from>
        <xdr:to>
          <xdr:col>6</xdr:col>
          <xdr:colOff>660400</xdr:colOff>
          <xdr:row>39</xdr:row>
          <xdr:rowOff>25400</xdr:rowOff>
        </xdr:to>
        <xdr:sp macro="" textlink="">
          <xdr:nvSpPr>
            <xdr:cNvPr id="5198" name="CheckBox11" hidden="1">
              <a:extLst>
                <a:ext uri="{63B3BB69-23CF-44E3-9099-C40C66FF867C}">
                  <a14:compatExt spid="_x0000_s5198"/>
                </a:ext>
                <a:ext uri="{FF2B5EF4-FFF2-40B4-BE49-F238E27FC236}">
                  <a16:creationId xmlns:a16="http://schemas.microsoft.com/office/drawing/2014/main" id="{00000000-0008-0000-0000-00004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39</xdr:row>
          <xdr:rowOff>38100</xdr:rowOff>
        </xdr:from>
        <xdr:to>
          <xdr:col>6</xdr:col>
          <xdr:colOff>660400</xdr:colOff>
          <xdr:row>40</xdr:row>
          <xdr:rowOff>25400</xdr:rowOff>
        </xdr:to>
        <xdr:sp macro="" textlink="">
          <xdr:nvSpPr>
            <xdr:cNvPr id="5199" name="CheckBox12" hidden="1">
              <a:extLst>
                <a:ext uri="{63B3BB69-23CF-44E3-9099-C40C66FF867C}">
                  <a14:compatExt spid="_x0000_s5199"/>
                </a:ext>
                <a:ext uri="{FF2B5EF4-FFF2-40B4-BE49-F238E27FC236}">
                  <a16:creationId xmlns:a16="http://schemas.microsoft.com/office/drawing/2014/main" id="{00000000-0008-0000-0000-00004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43</xdr:row>
          <xdr:rowOff>38100</xdr:rowOff>
        </xdr:from>
        <xdr:to>
          <xdr:col>6</xdr:col>
          <xdr:colOff>660400</xdr:colOff>
          <xdr:row>44</xdr:row>
          <xdr:rowOff>25400</xdr:rowOff>
        </xdr:to>
        <xdr:sp macro="" textlink="">
          <xdr:nvSpPr>
            <xdr:cNvPr id="5200" name="CheckBox13" hidden="1">
              <a:extLst>
                <a:ext uri="{63B3BB69-23CF-44E3-9099-C40C66FF867C}">
                  <a14:compatExt spid="_x0000_s5200"/>
                </a:ext>
                <a:ext uri="{FF2B5EF4-FFF2-40B4-BE49-F238E27FC236}">
                  <a16:creationId xmlns:a16="http://schemas.microsoft.com/office/drawing/2014/main" id="{00000000-0008-0000-0000-00005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44</xdr:row>
          <xdr:rowOff>38100</xdr:rowOff>
        </xdr:from>
        <xdr:to>
          <xdr:col>6</xdr:col>
          <xdr:colOff>660400</xdr:colOff>
          <xdr:row>45</xdr:row>
          <xdr:rowOff>25400</xdr:rowOff>
        </xdr:to>
        <xdr:sp macro="" textlink="">
          <xdr:nvSpPr>
            <xdr:cNvPr id="5201" name="CheckBox14" hidden="1">
              <a:extLst>
                <a:ext uri="{63B3BB69-23CF-44E3-9099-C40C66FF867C}">
                  <a14:compatExt spid="_x0000_s5201"/>
                </a:ext>
                <a:ext uri="{FF2B5EF4-FFF2-40B4-BE49-F238E27FC236}">
                  <a16:creationId xmlns:a16="http://schemas.microsoft.com/office/drawing/2014/main" id="{00000000-0008-0000-0000-00005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45</xdr:row>
          <xdr:rowOff>38100</xdr:rowOff>
        </xdr:from>
        <xdr:to>
          <xdr:col>6</xdr:col>
          <xdr:colOff>660400</xdr:colOff>
          <xdr:row>46</xdr:row>
          <xdr:rowOff>25400</xdr:rowOff>
        </xdr:to>
        <xdr:sp macro="" textlink="">
          <xdr:nvSpPr>
            <xdr:cNvPr id="5202" name="CheckBox15" hidden="1">
              <a:extLst>
                <a:ext uri="{63B3BB69-23CF-44E3-9099-C40C66FF867C}">
                  <a14:compatExt spid="_x0000_s5202"/>
                </a:ext>
                <a:ext uri="{FF2B5EF4-FFF2-40B4-BE49-F238E27FC236}">
                  <a16:creationId xmlns:a16="http://schemas.microsoft.com/office/drawing/2014/main" id="{00000000-0008-0000-0000-00005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46</xdr:row>
          <xdr:rowOff>38100</xdr:rowOff>
        </xdr:from>
        <xdr:to>
          <xdr:col>6</xdr:col>
          <xdr:colOff>660400</xdr:colOff>
          <xdr:row>47</xdr:row>
          <xdr:rowOff>25400</xdr:rowOff>
        </xdr:to>
        <xdr:sp macro="" textlink="">
          <xdr:nvSpPr>
            <xdr:cNvPr id="5203" name="CheckBox16" hidden="1">
              <a:extLst>
                <a:ext uri="{63B3BB69-23CF-44E3-9099-C40C66FF867C}">
                  <a14:compatExt spid="_x0000_s5203"/>
                </a:ext>
                <a:ext uri="{FF2B5EF4-FFF2-40B4-BE49-F238E27FC236}">
                  <a16:creationId xmlns:a16="http://schemas.microsoft.com/office/drawing/2014/main" id="{00000000-0008-0000-0000-00005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56</xdr:row>
          <xdr:rowOff>38100</xdr:rowOff>
        </xdr:from>
        <xdr:to>
          <xdr:col>6</xdr:col>
          <xdr:colOff>660400</xdr:colOff>
          <xdr:row>57</xdr:row>
          <xdr:rowOff>25400</xdr:rowOff>
        </xdr:to>
        <xdr:sp macro="" textlink="">
          <xdr:nvSpPr>
            <xdr:cNvPr id="5204" name="CheckBox17" hidden="1">
              <a:extLst>
                <a:ext uri="{63B3BB69-23CF-44E3-9099-C40C66FF867C}">
                  <a14:compatExt spid="_x0000_s5204"/>
                </a:ext>
                <a:ext uri="{FF2B5EF4-FFF2-40B4-BE49-F238E27FC236}">
                  <a16:creationId xmlns:a16="http://schemas.microsoft.com/office/drawing/2014/main" id="{00000000-0008-0000-0000-00005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57</xdr:row>
          <xdr:rowOff>38100</xdr:rowOff>
        </xdr:from>
        <xdr:to>
          <xdr:col>6</xdr:col>
          <xdr:colOff>660400</xdr:colOff>
          <xdr:row>58</xdr:row>
          <xdr:rowOff>25400</xdr:rowOff>
        </xdr:to>
        <xdr:sp macro="" textlink="">
          <xdr:nvSpPr>
            <xdr:cNvPr id="5205" name="CheckBox18" hidden="1">
              <a:extLst>
                <a:ext uri="{63B3BB69-23CF-44E3-9099-C40C66FF867C}">
                  <a14:compatExt spid="_x0000_s5205"/>
                </a:ext>
                <a:ext uri="{FF2B5EF4-FFF2-40B4-BE49-F238E27FC236}">
                  <a16:creationId xmlns:a16="http://schemas.microsoft.com/office/drawing/2014/main" id="{00000000-0008-0000-0000-00005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58</xdr:row>
          <xdr:rowOff>38100</xdr:rowOff>
        </xdr:from>
        <xdr:to>
          <xdr:col>6</xdr:col>
          <xdr:colOff>660400</xdr:colOff>
          <xdr:row>59</xdr:row>
          <xdr:rowOff>25400</xdr:rowOff>
        </xdr:to>
        <xdr:sp macro="" textlink="">
          <xdr:nvSpPr>
            <xdr:cNvPr id="5206" name="CheckBox19" hidden="1">
              <a:extLst>
                <a:ext uri="{63B3BB69-23CF-44E3-9099-C40C66FF867C}">
                  <a14:compatExt spid="_x0000_s5206"/>
                </a:ext>
                <a:ext uri="{FF2B5EF4-FFF2-40B4-BE49-F238E27FC236}">
                  <a16:creationId xmlns:a16="http://schemas.microsoft.com/office/drawing/2014/main" id="{00000000-0008-0000-0000-00005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59</xdr:row>
          <xdr:rowOff>38100</xdr:rowOff>
        </xdr:from>
        <xdr:to>
          <xdr:col>6</xdr:col>
          <xdr:colOff>660400</xdr:colOff>
          <xdr:row>60</xdr:row>
          <xdr:rowOff>25400</xdr:rowOff>
        </xdr:to>
        <xdr:sp macro="" textlink="">
          <xdr:nvSpPr>
            <xdr:cNvPr id="5208" name="CheckBox20" hidden="1">
              <a:extLst>
                <a:ext uri="{63B3BB69-23CF-44E3-9099-C40C66FF867C}">
                  <a14:compatExt spid="_x0000_s5208"/>
                </a:ext>
                <a:ext uri="{FF2B5EF4-FFF2-40B4-BE49-F238E27FC236}">
                  <a16:creationId xmlns:a16="http://schemas.microsoft.com/office/drawing/2014/main" id="{00000000-0008-0000-0000-00005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49</xdr:row>
          <xdr:rowOff>38100</xdr:rowOff>
        </xdr:from>
        <xdr:to>
          <xdr:col>6</xdr:col>
          <xdr:colOff>660400</xdr:colOff>
          <xdr:row>50</xdr:row>
          <xdr:rowOff>25400</xdr:rowOff>
        </xdr:to>
        <xdr:sp macro="" textlink="">
          <xdr:nvSpPr>
            <xdr:cNvPr id="5223" name="CheckBox21" hidden="1">
              <a:extLst>
                <a:ext uri="{63B3BB69-23CF-44E3-9099-C40C66FF867C}">
                  <a14:compatExt spid="_x0000_s5223"/>
                </a:ext>
                <a:ext uri="{FF2B5EF4-FFF2-40B4-BE49-F238E27FC236}">
                  <a16:creationId xmlns:a16="http://schemas.microsoft.com/office/drawing/2014/main" id="{00000000-0008-0000-0000-00006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7</xdr:row>
          <xdr:rowOff>139700</xdr:rowOff>
        </xdr:from>
        <xdr:to>
          <xdr:col>1</xdr:col>
          <xdr:colOff>469900</xdr:colOff>
          <xdr:row>9</xdr:row>
          <xdr:rowOff>50800</xdr:rowOff>
        </xdr:to>
        <xdr:sp macro="" textlink="">
          <xdr:nvSpPr>
            <xdr:cNvPr id="5224" name="PoultryBox" hidden="1">
              <a:extLst>
                <a:ext uri="{63B3BB69-23CF-44E3-9099-C40C66FF867C}">
                  <a14:compatExt spid="_x0000_s5224"/>
                </a:ext>
                <a:ext uri="{FF2B5EF4-FFF2-40B4-BE49-F238E27FC236}">
                  <a16:creationId xmlns:a16="http://schemas.microsoft.com/office/drawing/2014/main" id="{00000000-0008-0000-0000-00006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50</xdr:row>
          <xdr:rowOff>38100</xdr:rowOff>
        </xdr:from>
        <xdr:to>
          <xdr:col>6</xdr:col>
          <xdr:colOff>660400</xdr:colOff>
          <xdr:row>51</xdr:row>
          <xdr:rowOff>25400</xdr:rowOff>
        </xdr:to>
        <xdr:sp macro="" textlink="">
          <xdr:nvSpPr>
            <xdr:cNvPr id="5225" name="CheckBox22" hidden="1">
              <a:extLst>
                <a:ext uri="{63B3BB69-23CF-44E3-9099-C40C66FF867C}">
                  <a14:compatExt spid="_x0000_s5225"/>
                </a:ext>
                <a:ext uri="{FF2B5EF4-FFF2-40B4-BE49-F238E27FC236}">
                  <a16:creationId xmlns:a16="http://schemas.microsoft.com/office/drawing/2014/main" id="{00000000-0008-0000-0000-00006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51</xdr:row>
          <xdr:rowOff>38100</xdr:rowOff>
        </xdr:from>
        <xdr:to>
          <xdr:col>6</xdr:col>
          <xdr:colOff>660400</xdr:colOff>
          <xdr:row>52</xdr:row>
          <xdr:rowOff>25400</xdr:rowOff>
        </xdr:to>
        <xdr:sp macro="" textlink="">
          <xdr:nvSpPr>
            <xdr:cNvPr id="5226" name="CheckBox23" hidden="1">
              <a:extLst>
                <a:ext uri="{63B3BB69-23CF-44E3-9099-C40C66FF867C}">
                  <a14:compatExt spid="_x0000_s5226"/>
                </a:ext>
                <a:ext uri="{FF2B5EF4-FFF2-40B4-BE49-F238E27FC236}">
                  <a16:creationId xmlns:a16="http://schemas.microsoft.com/office/drawing/2014/main" id="{00000000-0008-0000-0000-00006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52</xdr:row>
          <xdr:rowOff>38100</xdr:rowOff>
        </xdr:from>
        <xdr:to>
          <xdr:col>6</xdr:col>
          <xdr:colOff>660400</xdr:colOff>
          <xdr:row>53</xdr:row>
          <xdr:rowOff>25400</xdr:rowOff>
        </xdr:to>
        <xdr:sp macro="" textlink="">
          <xdr:nvSpPr>
            <xdr:cNvPr id="5227" name="CheckBox24" hidden="1">
              <a:extLst>
                <a:ext uri="{63B3BB69-23CF-44E3-9099-C40C66FF867C}">
                  <a14:compatExt spid="_x0000_s5227"/>
                </a:ext>
                <a:ext uri="{FF2B5EF4-FFF2-40B4-BE49-F238E27FC236}">
                  <a16:creationId xmlns:a16="http://schemas.microsoft.com/office/drawing/2014/main" id="{00000000-0008-0000-0000-00006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27824</xdr:colOff>
      <xdr:row>4</xdr:row>
      <xdr:rowOff>50223</xdr:rowOff>
    </xdr:from>
    <xdr:to>
      <xdr:col>13</xdr:col>
      <xdr:colOff>496254</xdr:colOff>
      <xdr:row>53</xdr:row>
      <xdr:rowOff>22884</xdr:rowOff>
    </xdr:to>
    <xdr:sp macro="" textlink="">
      <xdr:nvSpPr>
        <xdr:cNvPr id="16392" name="Text Box 1">
          <a:extLst>
            <a:ext uri="{FF2B5EF4-FFF2-40B4-BE49-F238E27FC236}">
              <a16:creationId xmlns:a16="http://schemas.microsoft.com/office/drawing/2014/main" id="{00000000-0008-0000-0C00-000008400000}"/>
            </a:ext>
          </a:extLst>
        </xdr:cNvPr>
        <xdr:cNvSpPr txBox="1">
          <a:spLocks noChangeArrowheads="1"/>
        </xdr:cNvSpPr>
      </xdr:nvSpPr>
      <xdr:spPr bwMode="auto">
        <a:xfrm>
          <a:off x="295275" y="809625"/>
          <a:ext cx="6848475" cy="6972300"/>
        </a:xfrm>
        <a:prstGeom prst="rect">
          <a:avLst/>
        </a:prstGeom>
        <a:solidFill>
          <a:srgbClr val="FFFFFF"/>
        </a:solidFill>
        <a:ln w="3175">
          <a:solidFill>
            <a:srgbClr val="000000"/>
          </a:solidFill>
          <a:miter lim="800000"/>
          <a:headEnd/>
          <a:tailEnd/>
        </a:ln>
        <a:effectLst>
          <a:outerShdw dist="35921" dir="2700000" algn="ctr" rotWithShape="0">
            <a:srgbClr val="000000"/>
          </a:outerShdw>
        </a:effectLst>
      </xdr:spPr>
      <xdr:txBody>
        <a:bodyPr vertOverflow="clip" wrap="square" lIns="27432" tIns="32004" rIns="0" bIns="0" anchor="t" upright="1"/>
        <a:lstStyle/>
        <a:p>
          <a:pPr algn="l" rtl="0">
            <a:defRPr sz="1000"/>
          </a:pPr>
          <a:r>
            <a:rPr lang="en-US" sz="900" b="0" i="0" u="none" strike="noStrike" baseline="0">
              <a:solidFill>
                <a:srgbClr val="000000"/>
              </a:solidFill>
              <a:latin typeface="Comic Sans MS"/>
            </a:rPr>
            <a:t>This chapter presents methodology for estimating methane (CH</a:t>
          </a:r>
          <a:r>
            <a:rPr lang="en-US" sz="900" b="0" i="0" u="none" strike="noStrike" baseline="-25000">
              <a:solidFill>
                <a:srgbClr val="000000"/>
              </a:solidFill>
              <a:latin typeface="Comic Sans MS"/>
            </a:rPr>
            <a:t>4</a:t>
          </a:r>
          <a:r>
            <a:rPr lang="en-US" sz="900" b="0" i="0" u="none" strike="noStrike" baseline="0">
              <a:solidFill>
                <a:srgbClr val="000000"/>
              </a:solidFill>
              <a:latin typeface="Comic Sans MS"/>
            </a:rPr>
            <a:t>) and nitrous oxide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from municipal and industrial wastewater treatment. Uncertainty surrounds both the emission factors and activity data used in these calculations.</a:t>
          </a:r>
        </a:p>
        <a:p>
          <a:pPr algn="l" rtl="0">
            <a:defRPr sz="1000"/>
          </a:pPr>
          <a:r>
            <a:rPr lang="en-US" sz="900" b="0" i="0" u="none" strike="noStrike" baseline="0">
              <a:solidFill>
                <a:srgbClr val="000000"/>
              </a:solidFill>
              <a:latin typeface="Comic Sans MS"/>
            </a:rPr>
            <a:t>The quantity of CH</a:t>
          </a:r>
          <a:r>
            <a:rPr lang="en-US" sz="900" b="0" i="0" u="none" strike="noStrike" baseline="-25000">
              <a:solidFill>
                <a:srgbClr val="000000"/>
              </a:solidFill>
              <a:latin typeface="Comic Sans MS"/>
            </a:rPr>
            <a:t>4</a:t>
          </a:r>
          <a:r>
            <a:rPr lang="en-US" sz="900" b="0" i="0" u="none" strike="noStrike" baseline="0">
              <a:solidFill>
                <a:srgbClr val="000000"/>
              </a:solidFill>
              <a:latin typeface="Comic Sans MS"/>
            </a:rPr>
            <a:t> emissions from wastewater treatment is based on several factors with varying degrees of uncertainty. For domestic wastewater, there is some degree of uncertainty associated with the factor used to estimate the occurrence of anaerobic conditions in treatment systems based on septic tank usage data. The national default estimate of the fraction of the wastewater stream not on septic is 75 percent, but this fraction varies from state to state. There can also be variation in the per-capita BOD production associated with food consumption, food waste, and disposal characteristics for organic matter. Additionally, there is variation in these factors that can be attributed to specific characteristics of wastewater treatment regimes.</a:t>
          </a:r>
        </a:p>
        <a:p>
          <a:pPr algn="l" rtl="0">
            <a:defRPr sz="1000"/>
          </a:pPr>
          <a:endParaRPr lang="en-US" sz="900" b="0" i="0" u="none" strike="noStrike" baseline="0">
            <a:solidFill>
              <a:srgbClr val="000000"/>
            </a:solidFill>
            <a:latin typeface="Comic Sans MS"/>
          </a:endParaRPr>
        </a:p>
        <a:p>
          <a:pPr algn="l" rtl="0">
            <a:defRPr sz="1000"/>
          </a:pPr>
          <a:r>
            <a:rPr lang="en-US" sz="900" b="0" i="0" u="none" strike="noStrike" baseline="0">
              <a:solidFill>
                <a:srgbClr val="000000"/>
              </a:solidFill>
              <a:latin typeface="Comic Sans MS"/>
            </a:rPr>
            <a:t>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are dependent on nitrogen (N) inputs into the wastewater and the characteristics of wastewater treatment methods. Estimates of U.S. population, per capita protein consumption data, and fraction of nitrogen in protein are believed to be fairly accurate. However, the fraction that is used to represent the ratio of non-consumption nitrogen also contributes to the overall uncertainty of these calculations. The emission factor for effluent is the default emission factor from IPCC (1997) where it is expressed as 0.01 based on a range of 0.002 to 0.02 kg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per kg N-sewage, and consequently presents a significant level of uncertainty when calculating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Methods of sludge disposal also present a level of complexity to estimating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from wastewater treatment. Disposal methods for sewage sludge, or biosolids, include incineration, landfilling, or land-application as fertilizer.  </a:t>
          </a:r>
        </a:p>
        <a:p>
          <a:pPr algn="l" rtl="0">
            <a:defRPr sz="1000"/>
          </a:pPr>
          <a:endParaRPr lang="en-US" sz="900" b="0" i="0" u="none" strike="noStrike" baseline="0">
            <a:solidFill>
              <a:srgbClr val="000000"/>
            </a:solidFill>
            <a:latin typeface="Comic Sans MS"/>
          </a:endParaRPr>
        </a:p>
        <a:p>
          <a:pPr algn="l" rtl="0">
            <a:defRPr sz="1000"/>
          </a:pPr>
          <a:r>
            <a:rPr lang="en-US" sz="900" b="0" i="0" u="none" strike="noStrike" baseline="0">
              <a:solidFill>
                <a:srgbClr val="000000"/>
              </a:solidFill>
              <a:latin typeface="Comic Sans MS"/>
            </a:rPr>
            <a:t>There are large uncertainties associated with the industrial wastewater emission estimates. Wastewater outflows and organics loadings vary considerably for different plants and different sub-sectors (e.g., office paper vs. newsprint, or fish vs. beef). Again, there can also be variation in the per-capita BOD production associated with industrial processes, and disposal characteristics for organic matter. Furthermore, there is variation in these factors that can be attributed to characteristics of industrial pretreatment treatment systems as well as eventual treatment at municipal facilities.</a:t>
          </a:r>
        </a:p>
      </xdr:txBody>
    </xdr:sp>
    <xdr:clientData/>
  </xdr:twoCellAnchor>
  <xdr:twoCellAnchor>
    <xdr:from>
      <xdr:col>10</xdr:col>
      <xdr:colOff>28575</xdr:colOff>
      <xdr:row>0</xdr:row>
      <xdr:rowOff>76200</xdr:rowOff>
    </xdr:from>
    <xdr:to>
      <xdr:col>12</xdr:col>
      <xdr:colOff>179565</xdr:colOff>
      <xdr:row>2</xdr:row>
      <xdr:rowOff>106687</xdr:rowOff>
    </xdr:to>
    <xdr:sp macro="[0]!gotosumm" textlink="">
      <xdr:nvSpPr>
        <xdr:cNvPr id="16386" name="AutoShape 2">
          <a:extLst>
            <a:ext uri="{FF2B5EF4-FFF2-40B4-BE49-F238E27FC236}">
              <a16:creationId xmlns:a16="http://schemas.microsoft.com/office/drawing/2014/main" id="{00000000-0008-0000-0C00-000002400000}"/>
            </a:ext>
          </a:extLst>
        </xdr:cNvPr>
        <xdr:cNvSpPr>
          <a:spLocks noChangeArrowheads="1"/>
        </xdr:cNvSpPr>
      </xdr:nvSpPr>
      <xdr:spPr bwMode="auto">
        <a:xfrm flipH="1">
          <a:off x="5086350" y="76200"/>
          <a:ext cx="1200150" cy="485775"/>
        </a:xfrm>
        <a:prstGeom prst="homePlate">
          <a:avLst>
            <a:gd name="adj" fmla="val 61765"/>
          </a:avLst>
        </a:prstGeom>
        <a:solidFill>
          <a:srgbClr val="C0C0C0"/>
        </a:solidFill>
        <a:ln w="3175">
          <a:solidFill>
            <a:srgbClr val="000000"/>
          </a:solidFill>
          <a:miter lim="800000"/>
          <a:headEnd/>
          <a:tailEnd/>
        </a:ln>
        <a:effectLst/>
      </xdr:spPr>
      <xdr:txBody>
        <a:bodyPr vertOverflow="clip" wrap="square" lIns="27432" tIns="22860" rIns="27432" bIns="22860" anchor="ctr" upright="1"/>
        <a:lstStyle/>
        <a:p>
          <a:pPr algn="ctr" rtl="0">
            <a:defRPr sz="1000"/>
          </a:pPr>
          <a:r>
            <a:rPr lang="en-US" sz="800" b="0" i="0" strike="noStrike">
              <a:solidFill>
                <a:srgbClr val="000000"/>
              </a:solidFill>
              <a:latin typeface="Arial"/>
              <a:cs typeface="Arial"/>
            </a:rPr>
            <a:t>Return to the Summary Sheet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241300</xdr:colOff>
          <xdr:row>26</xdr:row>
          <xdr:rowOff>38100</xdr:rowOff>
        </xdr:from>
        <xdr:to>
          <xdr:col>6</xdr:col>
          <xdr:colOff>368300</xdr:colOff>
          <xdr:row>28</xdr:row>
          <xdr:rowOff>76200</xdr:rowOff>
        </xdr:to>
        <xdr:sp macro="" textlink="">
          <xdr:nvSpPr>
            <xdr:cNvPr id="11265" name="cmdReturn" hidden="1">
              <a:extLst>
                <a:ext uri="{63B3BB69-23CF-44E3-9099-C40C66FF867C}">
                  <a14:compatExt spid="_x0000_s11265"/>
                </a:ext>
                <a:ext uri="{FF2B5EF4-FFF2-40B4-BE49-F238E27FC236}">
                  <a16:creationId xmlns:a16="http://schemas.microsoft.com/office/drawing/2014/main" id="{00000000-0008-0000-10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3</xdr:col>
      <xdr:colOff>333259</xdr:colOff>
      <xdr:row>0</xdr:row>
      <xdr:rowOff>104082</xdr:rowOff>
    </xdr:from>
    <xdr:to>
      <xdr:col>4</xdr:col>
      <xdr:colOff>594748</xdr:colOff>
      <xdr:row>2</xdr:row>
      <xdr:rowOff>122793</xdr:rowOff>
    </xdr:to>
    <xdr:sp macro="[0]!ReturnFromNotes" textlink="">
      <xdr:nvSpPr>
        <xdr:cNvPr id="14337" name="AutoShape 1">
          <a:extLst>
            <a:ext uri="{FF2B5EF4-FFF2-40B4-BE49-F238E27FC236}">
              <a16:creationId xmlns:a16="http://schemas.microsoft.com/office/drawing/2014/main" id="{00000000-0008-0000-1200-000001380000}"/>
            </a:ext>
          </a:extLst>
        </xdr:cNvPr>
        <xdr:cNvSpPr>
          <a:spLocks noChangeArrowheads="1"/>
        </xdr:cNvSpPr>
      </xdr:nvSpPr>
      <xdr:spPr bwMode="auto">
        <a:xfrm flipH="1">
          <a:off x="2152650" y="104775"/>
          <a:ext cx="876300" cy="352425"/>
        </a:xfrm>
        <a:prstGeom prst="homePlate">
          <a:avLst>
            <a:gd name="adj" fmla="val 62162"/>
          </a:avLst>
        </a:prstGeom>
        <a:solidFill>
          <a:srgbClr val="C0C0C0"/>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Return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377017</xdr:colOff>
      <xdr:row>1</xdr:row>
      <xdr:rowOff>123824</xdr:rowOff>
    </xdr:from>
    <xdr:to>
      <xdr:col>17</xdr:col>
      <xdr:colOff>19050</xdr:colOff>
      <xdr:row>1</xdr:row>
      <xdr:rowOff>480059</xdr:rowOff>
    </xdr:to>
    <xdr:sp macro="[0]!gotodomn2o_direct" textlink="">
      <xdr:nvSpPr>
        <xdr:cNvPr id="6170" name="AutoShape 26">
          <a:extLst>
            <a:ext uri="{FF2B5EF4-FFF2-40B4-BE49-F238E27FC236}">
              <a16:creationId xmlns:a16="http://schemas.microsoft.com/office/drawing/2014/main" id="{00000000-0008-0000-0300-00001A180000}"/>
            </a:ext>
          </a:extLst>
        </xdr:cNvPr>
        <xdr:cNvSpPr>
          <a:spLocks noChangeArrowheads="1"/>
        </xdr:cNvSpPr>
      </xdr:nvSpPr>
      <xdr:spPr bwMode="auto">
        <a:xfrm>
          <a:off x="6434917" y="405764"/>
          <a:ext cx="998393" cy="356235"/>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1</xdr:col>
      <xdr:colOff>76200</xdr:colOff>
      <xdr:row>1</xdr:row>
      <xdr:rowOff>114300</xdr:rowOff>
    </xdr:from>
    <xdr:to>
      <xdr:col>4</xdr:col>
      <xdr:colOff>139035</xdr:colOff>
      <xdr:row>2</xdr:row>
      <xdr:rowOff>304800</xdr:rowOff>
    </xdr:to>
    <xdr:sp macro="[0]!DomWWSources" textlink="">
      <xdr:nvSpPr>
        <xdr:cNvPr id="6171" name="Oval 27">
          <a:extLst>
            <a:ext uri="{FF2B5EF4-FFF2-40B4-BE49-F238E27FC236}">
              <a16:creationId xmlns:a16="http://schemas.microsoft.com/office/drawing/2014/main" id="{00000000-0008-0000-0300-00001B180000}"/>
            </a:ext>
          </a:extLst>
        </xdr:cNvPr>
        <xdr:cNvSpPr>
          <a:spLocks noChangeArrowheads="1"/>
        </xdr:cNvSpPr>
      </xdr:nvSpPr>
      <xdr:spPr bwMode="auto">
        <a:xfrm>
          <a:off x="266700" y="400050"/>
          <a:ext cx="1371600" cy="790575"/>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243032</xdr:colOff>
      <xdr:row>1</xdr:row>
      <xdr:rowOff>123825</xdr:rowOff>
    </xdr:from>
    <xdr:to>
      <xdr:col>14</xdr:col>
      <xdr:colOff>179697</xdr:colOff>
      <xdr:row>2</xdr:row>
      <xdr:rowOff>421069</xdr:rowOff>
    </xdr:to>
    <xdr:sp macro="" textlink="">
      <xdr:nvSpPr>
        <xdr:cNvPr id="6173" name="Text Box 29">
          <a:extLst>
            <a:ext uri="{FF2B5EF4-FFF2-40B4-BE49-F238E27FC236}">
              <a16:creationId xmlns:a16="http://schemas.microsoft.com/office/drawing/2014/main" id="{00000000-0008-0000-0300-00001D180000}"/>
            </a:ext>
          </a:extLst>
        </xdr:cNvPr>
        <xdr:cNvSpPr txBox="1">
          <a:spLocks noChangeArrowheads="1"/>
        </xdr:cNvSpPr>
      </xdr:nvSpPr>
      <xdr:spPr bwMode="auto">
        <a:xfrm>
          <a:off x="1752600" y="409575"/>
          <a:ext cx="4286250" cy="9048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To calculate methane emissions from municipal wastewater treatment, the total annual BOD</a:t>
          </a:r>
          <a:r>
            <a:rPr lang="en-US" sz="800" b="0" i="0" strike="noStrike" baseline="-25000">
              <a:solidFill>
                <a:srgbClr val="000000"/>
              </a:solidFill>
              <a:latin typeface="Arial"/>
              <a:cs typeface="Arial"/>
            </a:rPr>
            <a:t>5</a:t>
          </a:r>
          <a:r>
            <a:rPr lang="en-US" sz="800" b="0" i="0" strike="noStrike">
              <a:solidFill>
                <a:srgbClr val="000000"/>
              </a:solidFill>
              <a:latin typeface="Arial"/>
              <a:cs typeface="Arial"/>
            </a:rPr>
            <a:t> production in metric tons is multiplied by the fraction that is treated anaerobically and by the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produced per metric ton of BOD</a:t>
          </a:r>
          <a:r>
            <a:rPr lang="en-US" sz="800" b="0" i="0" strike="noStrike" baseline="-25000">
              <a:solidFill>
                <a:srgbClr val="000000"/>
              </a:solidFill>
              <a:latin typeface="Arial"/>
              <a:cs typeface="Arial"/>
            </a:rPr>
            <a:t>5</a:t>
          </a:r>
          <a:r>
            <a:rPr lang="en-US" sz="800" b="0" i="0" strike="noStrike">
              <a:solidFill>
                <a:srgbClr val="000000"/>
              </a:solidFill>
              <a:latin typeface="Arial"/>
              <a:cs typeface="Arial"/>
            </a:rPr>
            <a:t>,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14</xdr:col>
          <xdr:colOff>381000</xdr:colOff>
          <xdr:row>2</xdr:row>
          <xdr:rowOff>190500</xdr:rowOff>
        </xdr:from>
        <xdr:to>
          <xdr:col>17</xdr:col>
          <xdr:colOff>114300</xdr:colOff>
          <xdr:row>2</xdr:row>
          <xdr:rowOff>444500</xdr:rowOff>
        </xdr:to>
        <xdr:sp macro="" textlink="">
          <xdr:nvSpPr>
            <xdr:cNvPr id="6168" name="CommandButton2" hidden="1">
              <a:extLst>
                <a:ext uri="{63B3BB69-23CF-44E3-9099-C40C66FF867C}">
                  <a14:compatExt spid="_x0000_s6168"/>
                </a:ext>
                <a:ext uri="{FF2B5EF4-FFF2-40B4-BE49-F238E27FC236}">
                  <a16:creationId xmlns:a16="http://schemas.microsoft.com/office/drawing/2014/main" id="{00000000-0008-0000-0300-00001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406400</xdr:colOff>
          <xdr:row>1</xdr:row>
          <xdr:rowOff>495300</xdr:rowOff>
        </xdr:from>
        <xdr:to>
          <xdr:col>17</xdr:col>
          <xdr:colOff>114300</xdr:colOff>
          <xdr:row>2</xdr:row>
          <xdr:rowOff>177800</xdr:rowOff>
        </xdr:to>
        <xdr:sp macro="" textlink="">
          <xdr:nvSpPr>
            <xdr:cNvPr id="6169" name="CommandButton3" hidden="1">
              <a:extLst>
                <a:ext uri="{63B3BB69-23CF-44E3-9099-C40C66FF867C}">
                  <a14:compatExt spid="_x0000_s6169"/>
                </a:ext>
                <a:ext uri="{FF2B5EF4-FFF2-40B4-BE49-F238E27FC236}">
                  <a16:creationId xmlns:a16="http://schemas.microsoft.com/office/drawing/2014/main" id="{00000000-0008-0000-0300-00001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3175</xdr:colOff>
      <xdr:row>1</xdr:row>
      <xdr:rowOff>502920</xdr:rowOff>
    </xdr:from>
    <xdr:ext cx="18531" cy="354071"/>
    <xdr:sp macro="" textlink="">
      <xdr:nvSpPr>
        <xdr:cNvPr id="13313" name="Text Box 1">
          <a:extLst>
            <a:ext uri="{FF2B5EF4-FFF2-40B4-BE49-F238E27FC236}">
              <a16:creationId xmlns:a16="http://schemas.microsoft.com/office/drawing/2014/main" id="{00000000-0008-0000-0400-000001340000}"/>
            </a:ext>
          </a:extLst>
        </xdr:cNvPr>
        <xdr:cNvSpPr txBox="1">
          <a:spLocks noChangeArrowheads="1"/>
        </xdr:cNvSpPr>
      </xdr:nvSpPr>
      <xdr:spPr bwMode="auto">
        <a:xfrm>
          <a:off x="201295" y="769620"/>
          <a:ext cx="18531" cy="354071"/>
        </a:xfrm>
        <a:prstGeom prst="rect">
          <a:avLst/>
        </a:prstGeom>
        <a:noFill/>
        <a:ln w="9525">
          <a:noFill/>
          <a:miter lim="800000"/>
          <a:headEnd/>
          <a:tailEnd/>
        </a:ln>
      </xdr:spPr>
      <xdr:txBody>
        <a:bodyPr wrap="none" lIns="18288" tIns="32004" rIns="0" bIns="0" anchor="t" upright="1">
          <a:spAutoFit/>
        </a:bodyPr>
        <a:lstStyle/>
        <a:p>
          <a:pPr algn="l" rtl="0">
            <a:defRPr sz="1000"/>
          </a:pPr>
          <a:endParaRPr lang="en-US" sz="900" b="0" i="0" strike="noStrike">
            <a:solidFill>
              <a:srgbClr val="000000"/>
            </a:solidFill>
            <a:latin typeface="Comic Sans MS"/>
          </a:endParaRPr>
        </a:p>
        <a:p>
          <a:pPr algn="l" rtl="0">
            <a:defRPr sz="1000"/>
          </a:pPr>
          <a:endParaRPr lang="en-US" sz="900" b="0" i="0" strike="noStrike">
            <a:solidFill>
              <a:srgbClr val="000000"/>
            </a:solidFill>
            <a:latin typeface="Comic Sans MS"/>
          </a:endParaRPr>
        </a:p>
      </xdr:txBody>
    </xdr:sp>
    <xdr:clientData/>
  </xdr:oneCellAnchor>
  <xdr:twoCellAnchor>
    <xdr:from>
      <xdr:col>16</xdr:col>
      <xdr:colOff>135197</xdr:colOff>
      <xdr:row>1</xdr:row>
      <xdr:rowOff>206374</xdr:rowOff>
    </xdr:from>
    <xdr:to>
      <xdr:col>18</xdr:col>
      <xdr:colOff>453356</xdr:colOff>
      <xdr:row>1</xdr:row>
      <xdr:rowOff>579119</xdr:rowOff>
    </xdr:to>
    <xdr:sp macro="[0]!gotodomn2o" textlink="">
      <xdr:nvSpPr>
        <xdr:cNvPr id="13314" name="AutoShape 2">
          <a:extLst>
            <a:ext uri="{FF2B5EF4-FFF2-40B4-BE49-F238E27FC236}">
              <a16:creationId xmlns:a16="http://schemas.microsoft.com/office/drawing/2014/main" id="{00000000-0008-0000-0400-000002340000}"/>
            </a:ext>
          </a:extLst>
        </xdr:cNvPr>
        <xdr:cNvSpPr>
          <a:spLocks noChangeArrowheads="1"/>
        </xdr:cNvSpPr>
      </xdr:nvSpPr>
      <xdr:spPr bwMode="auto">
        <a:xfrm>
          <a:off x="7282757" y="473074"/>
          <a:ext cx="996339" cy="372745"/>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126884</xdr:colOff>
      <xdr:row>1</xdr:row>
      <xdr:rowOff>116205</xdr:rowOff>
    </xdr:from>
    <xdr:to>
      <xdr:col>3</xdr:col>
      <xdr:colOff>74326</xdr:colOff>
      <xdr:row>1</xdr:row>
      <xdr:rowOff>838345</xdr:rowOff>
    </xdr:to>
    <xdr:sp macro="[0]!DomesticDirect" textlink="">
      <xdr:nvSpPr>
        <xdr:cNvPr id="13315" name="Oval 3">
          <a:extLst>
            <a:ext uri="{FF2B5EF4-FFF2-40B4-BE49-F238E27FC236}">
              <a16:creationId xmlns:a16="http://schemas.microsoft.com/office/drawing/2014/main" id="{00000000-0008-0000-0400-000003340000}"/>
            </a:ext>
          </a:extLst>
        </xdr:cNvPr>
        <xdr:cNvSpPr>
          <a:spLocks noChangeArrowheads="1"/>
        </xdr:cNvSpPr>
      </xdr:nvSpPr>
      <xdr:spPr bwMode="auto">
        <a:xfrm>
          <a:off x="123825" y="419100"/>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55187</xdr:colOff>
      <xdr:row>1</xdr:row>
      <xdr:rowOff>152400</xdr:rowOff>
    </xdr:from>
    <xdr:to>
      <xdr:col>15</xdr:col>
      <xdr:colOff>93300</xdr:colOff>
      <xdr:row>1</xdr:row>
      <xdr:rowOff>828675</xdr:rowOff>
    </xdr:to>
    <xdr:sp macro="" textlink="">
      <xdr:nvSpPr>
        <xdr:cNvPr id="13316" name="Text Box 4">
          <a:extLst>
            <a:ext uri="{FF2B5EF4-FFF2-40B4-BE49-F238E27FC236}">
              <a16:creationId xmlns:a16="http://schemas.microsoft.com/office/drawing/2014/main" id="{00000000-0008-0000-0400-000004340000}"/>
            </a:ext>
          </a:extLst>
        </xdr:cNvPr>
        <xdr:cNvSpPr txBox="1">
          <a:spLocks noChangeArrowheads="1"/>
        </xdr:cNvSpPr>
      </xdr:nvSpPr>
      <xdr:spPr bwMode="auto">
        <a:xfrm>
          <a:off x="1600200" y="438150"/>
          <a:ext cx="5305425" cy="666750"/>
        </a:xfrm>
        <a:prstGeom prst="rect">
          <a:avLst/>
        </a:prstGeom>
        <a:solidFill>
          <a:srgbClr val="C0C0C0"/>
        </a:solidFill>
        <a:ln w="9525">
          <a:solidFill>
            <a:srgbClr val="000000"/>
          </a:solidFill>
          <a:miter lim="800000"/>
          <a:headEnd/>
          <a:tailEnd/>
        </a:ln>
      </xdr:spPr>
      <xdr:txBody>
        <a:bodyPr vertOverflow="clip" wrap="square" lIns="27432" tIns="22860" rIns="0" bIns="22860" anchor="ctr" upright="1"/>
        <a:lstStyle/>
        <a:p>
          <a:pPr algn="l" rtl="0">
            <a:defRPr sz="1000"/>
          </a:pPr>
          <a:r>
            <a:rPr lang="en-US" sz="800" b="0" i="0" strike="noStrike">
              <a:solidFill>
                <a:srgbClr val="000000"/>
              </a:solidFill>
              <a:latin typeface="Arial"/>
              <a:cs typeface="Arial"/>
            </a:rPr>
            <a:t>Municipal wastewater treatment direct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are calculated by multiplying total population served by an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 factor per person per year,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3175</xdr:colOff>
      <xdr:row>1</xdr:row>
      <xdr:rowOff>496570</xdr:rowOff>
    </xdr:from>
    <xdr:ext cx="18531" cy="354071"/>
    <xdr:sp macro="" textlink="">
      <xdr:nvSpPr>
        <xdr:cNvPr id="10248" name="Text Box 8">
          <a:extLst>
            <a:ext uri="{FF2B5EF4-FFF2-40B4-BE49-F238E27FC236}">
              <a16:creationId xmlns:a16="http://schemas.microsoft.com/office/drawing/2014/main" id="{00000000-0008-0000-0500-000008280000}"/>
            </a:ext>
          </a:extLst>
        </xdr:cNvPr>
        <xdr:cNvSpPr txBox="1">
          <a:spLocks noChangeArrowheads="1"/>
        </xdr:cNvSpPr>
      </xdr:nvSpPr>
      <xdr:spPr bwMode="auto">
        <a:xfrm>
          <a:off x="201295" y="763270"/>
          <a:ext cx="18531" cy="354071"/>
        </a:xfrm>
        <a:prstGeom prst="rect">
          <a:avLst/>
        </a:prstGeom>
        <a:noFill/>
        <a:ln w="9525">
          <a:noFill/>
          <a:miter lim="800000"/>
          <a:headEnd/>
          <a:tailEnd/>
        </a:ln>
      </xdr:spPr>
      <xdr:txBody>
        <a:bodyPr wrap="none" lIns="18288" tIns="32004" rIns="0" bIns="0" anchor="t" upright="1">
          <a:spAutoFit/>
        </a:bodyPr>
        <a:lstStyle/>
        <a:p>
          <a:pPr algn="l" rtl="0">
            <a:defRPr sz="1000"/>
          </a:pPr>
          <a:endParaRPr lang="en-US" sz="900" b="0" i="0" strike="noStrike">
            <a:solidFill>
              <a:srgbClr val="000000"/>
            </a:solidFill>
            <a:latin typeface="Comic Sans MS"/>
          </a:endParaRPr>
        </a:p>
        <a:p>
          <a:pPr algn="l" rtl="0">
            <a:defRPr sz="1000"/>
          </a:pPr>
          <a:endParaRPr lang="en-US" sz="900" b="0" i="0" strike="noStrike">
            <a:solidFill>
              <a:srgbClr val="000000"/>
            </a:solidFill>
            <a:latin typeface="Comic Sans MS"/>
          </a:endParaRPr>
        </a:p>
      </xdr:txBody>
    </xdr:sp>
    <xdr:clientData/>
  </xdr:oneCellAnchor>
  <xdr:twoCellAnchor>
    <xdr:from>
      <xdr:col>18</xdr:col>
      <xdr:colOff>461357</xdr:colOff>
      <xdr:row>1</xdr:row>
      <xdr:rowOff>49530</xdr:rowOff>
    </xdr:from>
    <xdr:to>
      <xdr:col>20</xdr:col>
      <xdr:colOff>738160</xdr:colOff>
      <xdr:row>1</xdr:row>
      <xdr:rowOff>392212</xdr:rowOff>
    </xdr:to>
    <xdr:sp macro="[0]!IndustrialContinue" textlink="">
      <xdr:nvSpPr>
        <xdr:cNvPr id="10250" name="AutoShape 10">
          <a:extLst>
            <a:ext uri="{FF2B5EF4-FFF2-40B4-BE49-F238E27FC236}">
              <a16:creationId xmlns:a16="http://schemas.microsoft.com/office/drawing/2014/main" id="{00000000-0008-0000-0500-00000A280000}"/>
            </a:ext>
          </a:extLst>
        </xdr:cNvPr>
        <xdr:cNvSpPr>
          <a:spLocks noChangeArrowheads="1"/>
        </xdr:cNvSpPr>
      </xdr:nvSpPr>
      <xdr:spPr bwMode="auto">
        <a:xfrm>
          <a:off x="8077200" y="342900"/>
          <a:ext cx="1152525" cy="342900"/>
        </a:xfrm>
        <a:prstGeom prst="homePlate">
          <a:avLst>
            <a:gd name="adj" fmla="val 84028"/>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126884</xdr:colOff>
      <xdr:row>1</xdr:row>
      <xdr:rowOff>142182</xdr:rowOff>
    </xdr:from>
    <xdr:to>
      <xdr:col>3</xdr:col>
      <xdr:colOff>74326</xdr:colOff>
      <xdr:row>1</xdr:row>
      <xdr:rowOff>838317</xdr:rowOff>
    </xdr:to>
    <xdr:sp macro="[0]!HumanSources" textlink="">
      <xdr:nvSpPr>
        <xdr:cNvPr id="10251" name="Oval 11">
          <a:extLst>
            <a:ext uri="{FF2B5EF4-FFF2-40B4-BE49-F238E27FC236}">
              <a16:creationId xmlns:a16="http://schemas.microsoft.com/office/drawing/2014/main" id="{00000000-0008-0000-0500-00000B280000}"/>
            </a:ext>
          </a:extLst>
        </xdr:cNvPr>
        <xdr:cNvSpPr>
          <a:spLocks noChangeArrowheads="1"/>
        </xdr:cNvSpPr>
      </xdr:nvSpPr>
      <xdr:spPr bwMode="auto">
        <a:xfrm>
          <a:off x="123825" y="419100"/>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3</xdr:col>
      <xdr:colOff>117359</xdr:colOff>
      <xdr:row>1</xdr:row>
      <xdr:rowOff>49530</xdr:rowOff>
    </xdr:from>
    <xdr:to>
      <xdr:col>18</xdr:col>
      <xdr:colOff>235419</xdr:colOff>
      <xdr:row>1</xdr:row>
      <xdr:rowOff>1363980</xdr:rowOff>
    </xdr:to>
    <xdr:sp macro="" textlink="">
      <xdr:nvSpPr>
        <xdr:cNvPr id="10252" name="Text Box 12">
          <a:extLst>
            <a:ext uri="{FF2B5EF4-FFF2-40B4-BE49-F238E27FC236}">
              <a16:creationId xmlns:a16="http://schemas.microsoft.com/office/drawing/2014/main" id="{00000000-0008-0000-0500-00000C280000}"/>
            </a:ext>
          </a:extLst>
        </xdr:cNvPr>
        <xdr:cNvSpPr txBox="1">
          <a:spLocks noChangeArrowheads="1"/>
        </xdr:cNvSpPr>
      </xdr:nvSpPr>
      <xdr:spPr bwMode="auto">
        <a:xfrm>
          <a:off x="1580399" y="316230"/>
          <a:ext cx="6480760" cy="1314450"/>
        </a:xfrm>
        <a:prstGeom prst="rect">
          <a:avLst/>
        </a:prstGeom>
        <a:solidFill>
          <a:srgbClr val="C0C0C0"/>
        </a:solidFill>
        <a:ln w="9525">
          <a:solidFill>
            <a:srgbClr val="000000"/>
          </a:solidFill>
          <a:miter lim="800000"/>
          <a:headEnd/>
          <a:tailEnd/>
        </a:ln>
      </xdr:spPr>
      <xdr:txBody>
        <a:bodyPr vertOverflow="clip" wrap="square" lIns="27432" tIns="22860" rIns="0" bIns="22860" anchor="ctr" upright="1"/>
        <a:lstStyle/>
        <a:p>
          <a:pPr algn="l" rtl="0">
            <a:defRPr sz="1000"/>
          </a:pPr>
          <a:r>
            <a:rPr lang="en-US" sz="800" b="0" i="0" strike="noStrike">
              <a:solidFill>
                <a:srgbClr val="000000"/>
              </a:solidFill>
              <a:latin typeface="Arial"/>
              <a:cs typeface="Arial"/>
            </a:rPr>
            <a:t>Municipal wastewater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from biosolids are calculated by multiplying the total annual protein consumption by the nitrogen content of protein and fraction of nitrogen not consumed, an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 factor per metric ton of nitrogen treated, subtracting direct emissions,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Direct and biosolids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are then added to produce an estimate of total municipal wastewater treatment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The methodology and factors used for these calculations are discussed in detail in the Wastewater Chapter of the User's Guide.  Sewage sludge is often applied to agricultural fields as fertilizer. Emissions from this use should be accounted under Agricultural Soil Management. The Agriculture Module of the SIT is designed to calculate emissions from sewage sludge applied to land, but to be consistent, users should enter the percentage of sewage sludge applied to agricultural soils in Column S so that emissions are not double-counted. Currently, there are no default data for this percentage.</a:t>
          </a:r>
        </a:p>
      </xdr:txBody>
    </xdr:sp>
    <xdr:clientData/>
  </xdr:twoCellAnchor>
  <mc:AlternateContent xmlns:mc="http://schemas.openxmlformats.org/markup-compatibility/2006">
    <mc:Choice xmlns:a14="http://schemas.microsoft.com/office/drawing/2010/main" Requires="a14">
      <xdr:twoCellAnchor>
        <xdr:from>
          <xdr:col>18</xdr:col>
          <xdr:colOff>495300</xdr:colOff>
          <xdr:row>1</xdr:row>
          <xdr:rowOff>774700</xdr:rowOff>
        </xdr:from>
        <xdr:to>
          <xdr:col>20</xdr:col>
          <xdr:colOff>673100</xdr:colOff>
          <xdr:row>1</xdr:row>
          <xdr:rowOff>1066800</xdr:rowOff>
        </xdr:to>
        <xdr:sp macro="" textlink="">
          <xdr:nvSpPr>
            <xdr:cNvPr id="10246" name="CommandButton2" hidden="1">
              <a:extLst>
                <a:ext uri="{63B3BB69-23CF-44E3-9099-C40C66FF867C}">
                  <a14:compatExt spid="_x0000_s10246"/>
                </a:ext>
                <a:ext uri="{FF2B5EF4-FFF2-40B4-BE49-F238E27FC236}">
                  <a16:creationId xmlns:a16="http://schemas.microsoft.com/office/drawing/2014/main" id="{00000000-0008-0000-0500-000006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508000</xdr:colOff>
          <xdr:row>1</xdr:row>
          <xdr:rowOff>419100</xdr:rowOff>
        </xdr:from>
        <xdr:to>
          <xdr:col>20</xdr:col>
          <xdr:colOff>673100</xdr:colOff>
          <xdr:row>1</xdr:row>
          <xdr:rowOff>711200</xdr:rowOff>
        </xdr:to>
        <xdr:sp macro="" textlink="">
          <xdr:nvSpPr>
            <xdr:cNvPr id="10247" name="CommandButton3" hidden="1">
              <a:extLst>
                <a:ext uri="{63B3BB69-23CF-44E3-9099-C40C66FF867C}">
                  <a14:compatExt spid="_x0000_s10247"/>
                </a:ext>
                <a:ext uri="{FF2B5EF4-FFF2-40B4-BE49-F238E27FC236}">
                  <a16:creationId xmlns:a16="http://schemas.microsoft.com/office/drawing/2014/main" id="{00000000-0008-0000-0500-000007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20</xdr:col>
      <xdr:colOff>0</xdr:colOff>
      <xdr:row>1</xdr:row>
      <xdr:rowOff>125730</xdr:rowOff>
    </xdr:from>
    <xdr:to>
      <xdr:col>22</xdr:col>
      <xdr:colOff>344056</xdr:colOff>
      <xdr:row>2</xdr:row>
      <xdr:rowOff>76287</xdr:rowOff>
    </xdr:to>
    <xdr:sp macro="[0]!IndustrialContinue" textlink="">
      <xdr:nvSpPr>
        <xdr:cNvPr id="1053" name="AutoShape 29">
          <a:extLst>
            <a:ext uri="{FF2B5EF4-FFF2-40B4-BE49-F238E27FC236}">
              <a16:creationId xmlns:a16="http://schemas.microsoft.com/office/drawing/2014/main" id="{00000000-0008-0000-0600-00001D040000}"/>
            </a:ext>
          </a:extLst>
        </xdr:cNvPr>
        <xdr:cNvSpPr>
          <a:spLocks noChangeArrowheads="1"/>
        </xdr:cNvSpPr>
      </xdr:nvSpPr>
      <xdr:spPr bwMode="auto">
        <a:xfrm>
          <a:off x="7791450" y="419100"/>
          <a:ext cx="971550" cy="342900"/>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74237</xdr:colOff>
      <xdr:row>1</xdr:row>
      <xdr:rowOff>104775</xdr:rowOff>
    </xdr:from>
    <xdr:to>
      <xdr:col>4</xdr:col>
      <xdr:colOff>76212</xdr:colOff>
      <xdr:row>2</xdr:row>
      <xdr:rowOff>409575</xdr:rowOff>
    </xdr:to>
    <xdr:sp macro="[0]!IndWWFruitSources" textlink="">
      <xdr:nvSpPr>
        <xdr:cNvPr id="1054" name="Oval 30">
          <a:extLst>
            <a:ext uri="{FF2B5EF4-FFF2-40B4-BE49-F238E27FC236}">
              <a16:creationId xmlns:a16="http://schemas.microsoft.com/office/drawing/2014/main" id="{00000000-0008-0000-0600-00001E040000}"/>
            </a:ext>
          </a:extLst>
        </xdr:cNvPr>
        <xdr:cNvSpPr>
          <a:spLocks noChangeArrowheads="1"/>
        </xdr:cNvSpPr>
      </xdr:nvSpPr>
      <xdr:spPr bwMode="auto">
        <a:xfrm>
          <a:off x="76200" y="390525"/>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239222</xdr:colOff>
      <xdr:row>1</xdr:row>
      <xdr:rowOff>76200</xdr:rowOff>
    </xdr:from>
    <xdr:to>
      <xdr:col>18</xdr:col>
      <xdr:colOff>361087</xdr:colOff>
      <xdr:row>2</xdr:row>
      <xdr:rowOff>428625</xdr:rowOff>
    </xdr:to>
    <xdr:sp macro="" textlink="">
      <xdr:nvSpPr>
        <xdr:cNvPr id="1055" name="Text Box 31">
          <a:extLst>
            <a:ext uri="{FF2B5EF4-FFF2-40B4-BE49-F238E27FC236}">
              <a16:creationId xmlns:a16="http://schemas.microsoft.com/office/drawing/2014/main" id="{00000000-0008-0000-0600-00001F040000}"/>
            </a:ext>
          </a:extLst>
        </xdr:cNvPr>
        <xdr:cNvSpPr txBox="1">
          <a:spLocks noChangeArrowheads="1"/>
        </xdr:cNvSpPr>
      </xdr:nvSpPr>
      <xdr:spPr bwMode="auto">
        <a:xfrm>
          <a:off x="1609725" y="361950"/>
          <a:ext cx="5715000" cy="7524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fruit and vegetables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20</xdr:col>
          <xdr:colOff>0</xdr:colOff>
          <xdr:row>2</xdr:row>
          <xdr:rowOff>152400</xdr:rowOff>
        </xdr:from>
        <xdr:to>
          <xdr:col>22</xdr:col>
          <xdr:colOff>152400</xdr:colOff>
          <xdr:row>2</xdr:row>
          <xdr:rowOff>381000</xdr:rowOff>
        </xdr:to>
        <xdr:sp macro="" textlink="">
          <xdr:nvSpPr>
            <xdr:cNvPr id="1052" name="CommandButton2" hidden="1">
              <a:extLst>
                <a:ext uri="{63B3BB69-23CF-44E3-9099-C40C66FF867C}">
                  <a14:compatExt spid="_x0000_s1052"/>
                </a:ext>
                <a:ext uri="{FF2B5EF4-FFF2-40B4-BE49-F238E27FC236}">
                  <a16:creationId xmlns:a16="http://schemas.microsoft.com/office/drawing/2014/main" id="{00000000-0008-0000-0600-00001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20</xdr:col>
      <xdr:colOff>1212</xdr:colOff>
      <xdr:row>1</xdr:row>
      <xdr:rowOff>31750</xdr:rowOff>
    </xdr:from>
    <xdr:to>
      <xdr:col>23</xdr:col>
      <xdr:colOff>27832</xdr:colOff>
      <xdr:row>1</xdr:row>
      <xdr:rowOff>381120</xdr:rowOff>
    </xdr:to>
    <xdr:sp macro="[0]!gotoindwwpoultry" textlink="">
      <xdr:nvSpPr>
        <xdr:cNvPr id="2083" name="AutoShape 35">
          <a:extLst>
            <a:ext uri="{FF2B5EF4-FFF2-40B4-BE49-F238E27FC236}">
              <a16:creationId xmlns:a16="http://schemas.microsoft.com/office/drawing/2014/main" id="{00000000-0008-0000-0700-000023080000}"/>
            </a:ext>
          </a:extLst>
        </xdr:cNvPr>
        <xdr:cNvSpPr>
          <a:spLocks noChangeArrowheads="1"/>
        </xdr:cNvSpPr>
      </xdr:nvSpPr>
      <xdr:spPr bwMode="auto">
        <a:xfrm>
          <a:off x="7800975" y="323850"/>
          <a:ext cx="971550" cy="342900"/>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105410</xdr:colOff>
      <xdr:row>1</xdr:row>
      <xdr:rowOff>104775</xdr:rowOff>
    </xdr:from>
    <xdr:to>
      <xdr:col>4</xdr:col>
      <xdr:colOff>28577</xdr:colOff>
      <xdr:row>2</xdr:row>
      <xdr:rowOff>73083</xdr:rowOff>
    </xdr:to>
    <xdr:sp macro="[0]!IndWWMeatSources" textlink="">
      <xdr:nvSpPr>
        <xdr:cNvPr id="2084" name="Oval 36">
          <a:extLst>
            <a:ext uri="{FF2B5EF4-FFF2-40B4-BE49-F238E27FC236}">
              <a16:creationId xmlns:a16="http://schemas.microsoft.com/office/drawing/2014/main" id="{00000000-0008-0000-0700-000024080000}"/>
            </a:ext>
          </a:extLst>
        </xdr:cNvPr>
        <xdr:cNvSpPr>
          <a:spLocks noChangeArrowheads="1"/>
        </xdr:cNvSpPr>
      </xdr:nvSpPr>
      <xdr:spPr bwMode="auto">
        <a:xfrm>
          <a:off x="85725" y="390525"/>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73025</xdr:colOff>
      <xdr:row>1</xdr:row>
      <xdr:rowOff>57150</xdr:rowOff>
    </xdr:from>
    <xdr:to>
      <xdr:col>19</xdr:col>
      <xdr:colOff>53351</xdr:colOff>
      <xdr:row>2</xdr:row>
      <xdr:rowOff>73052</xdr:rowOff>
    </xdr:to>
    <xdr:sp macro="" textlink="">
      <xdr:nvSpPr>
        <xdr:cNvPr id="2085" name="Text Box 37">
          <a:extLst>
            <a:ext uri="{FF2B5EF4-FFF2-40B4-BE49-F238E27FC236}">
              <a16:creationId xmlns:a16="http://schemas.microsoft.com/office/drawing/2014/main" id="{00000000-0008-0000-0700-000025080000}"/>
            </a:ext>
          </a:extLst>
        </xdr:cNvPr>
        <xdr:cNvSpPr txBox="1">
          <a:spLocks noChangeArrowheads="1"/>
        </xdr:cNvSpPr>
      </xdr:nvSpPr>
      <xdr:spPr bwMode="auto">
        <a:xfrm>
          <a:off x="1495425" y="342900"/>
          <a:ext cx="6219825" cy="7524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red meat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  USDA default data are unavailable for the following states: CT, DC, ME, MA, NH, RI, and VT.  </a:t>
          </a:r>
        </a:p>
      </xdr:txBody>
    </xdr:sp>
    <xdr:clientData/>
  </xdr:twoCellAnchor>
  <mc:AlternateContent xmlns:mc="http://schemas.openxmlformats.org/markup-compatibility/2006">
    <mc:Choice xmlns:a14="http://schemas.microsoft.com/office/drawing/2010/main" Requires="a14">
      <xdr:twoCellAnchor>
        <xdr:from>
          <xdr:col>20</xdr:col>
          <xdr:colOff>38100</xdr:colOff>
          <xdr:row>1</xdr:row>
          <xdr:rowOff>419100</xdr:rowOff>
        </xdr:from>
        <xdr:to>
          <xdr:col>24</xdr:col>
          <xdr:colOff>38100</xdr:colOff>
          <xdr:row>1</xdr:row>
          <xdr:rowOff>647700</xdr:rowOff>
        </xdr:to>
        <xdr:sp macro="" textlink="">
          <xdr:nvSpPr>
            <xdr:cNvPr id="2080" name="ClearAll" hidden="1">
              <a:extLst>
                <a:ext uri="{63B3BB69-23CF-44E3-9099-C40C66FF867C}">
                  <a14:compatExt spid="_x0000_s2080"/>
                </a:ext>
                <a:ext uri="{FF2B5EF4-FFF2-40B4-BE49-F238E27FC236}">
                  <a16:creationId xmlns:a16="http://schemas.microsoft.com/office/drawing/2014/main" id="{00000000-0008-0000-0700-00002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38100</xdr:colOff>
          <xdr:row>1</xdr:row>
          <xdr:rowOff>685800</xdr:rowOff>
        </xdr:from>
        <xdr:to>
          <xdr:col>24</xdr:col>
          <xdr:colOff>38100</xdr:colOff>
          <xdr:row>2</xdr:row>
          <xdr:rowOff>152400</xdr:rowOff>
        </xdr:to>
        <xdr:sp macro="" textlink="">
          <xdr:nvSpPr>
            <xdr:cNvPr id="2089" name="CheckAll" hidden="1">
              <a:extLst>
                <a:ext uri="{63B3BB69-23CF-44E3-9099-C40C66FF867C}">
                  <a14:compatExt spid="_x0000_s2089"/>
                </a:ext>
                <a:ext uri="{FF2B5EF4-FFF2-40B4-BE49-F238E27FC236}">
                  <a16:creationId xmlns:a16="http://schemas.microsoft.com/office/drawing/2014/main" id="{00000000-0008-0000-0700-00002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203200</xdr:colOff>
          <xdr:row>5</xdr:row>
          <xdr:rowOff>12700</xdr:rowOff>
        </xdr:from>
        <xdr:to>
          <xdr:col>30</xdr:col>
          <xdr:colOff>114300</xdr:colOff>
          <xdr:row>6</xdr:row>
          <xdr:rowOff>50800</xdr:rowOff>
        </xdr:to>
        <xdr:sp macro="" textlink="">
          <xdr:nvSpPr>
            <xdr:cNvPr id="2090" name="CheckBox1" hidden="1">
              <a:extLst>
                <a:ext uri="{63B3BB69-23CF-44E3-9099-C40C66FF867C}">
                  <a14:compatExt spid="_x0000_s2090"/>
                </a:ext>
                <a:ext uri="{FF2B5EF4-FFF2-40B4-BE49-F238E27FC236}">
                  <a16:creationId xmlns:a16="http://schemas.microsoft.com/office/drawing/2014/main" id="{00000000-0008-0000-0700-00002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203200</xdr:colOff>
          <xdr:row>7</xdr:row>
          <xdr:rowOff>0</xdr:rowOff>
        </xdr:from>
        <xdr:to>
          <xdr:col>30</xdr:col>
          <xdr:colOff>114300</xdr:colOff>
          <xdr:row>8</xdr:row>
          <xdr:rowOff>38100</xdr:rowOff>
        </xdr:to>
        <xdr:sp macro="" textlink="">
          <xdr:nvSpPr>
            <xdr:cNvPr id="2091" name="CheckBox2" hidden="1">
              <a:extLst>
                <a:ext uri="{63B3BB69-23CF-44E3-9099-C40C66FF867C}">
                  <a14:compatExt spid="_x0000_s2091"/>
                </a:ext>
                <a:ext uri="{FF2B5EF4-FFF2-40B4-BE49-F238E27FC236}">
                  <a16:creationId xmlns:a16="http://schemas.microsoft.com/office/drawing/2014/main" id="{00000000-0008-0000-0700-00002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203200</xdr:colOff>
          <xdr:row>9</xdr:row>
          <xdr:rowOff>0</xdr:rowOff>
        </xdr:from>
        <xdr:to>
          <xdr:col>30</xdr:col>
          <xdr:colOff>114300</xdr:colOff>
          <xdr:row>10</xdr:row>
          <xdr:rowOff>38100</xdr:rowOff>
        </xdr:to>
        <xdr:sp macro="" textlink="">
          <xdr:nvSpPr>
            <xdr:cNvPr id="2092" name="CheckBox3" hidden="1">
              <a:extLst>
                <a:ext uri="{63B3BB69-23CF-44E3-9099-C40C66FF867C}">
                  <a14:compatExt spid="_x0000_s2092"/>
                </a:ext>
                <a:ext uri="{FF2B5EF4-FFF2-40B4-BE49-F238E27FC236}">
                  <a16:creationId xmlns:a16="http://schemas.microsoft.com/office/drawing/2014/main" id="{00000000-0008-0000-0700-00002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11</xdr:row>
          <xdr:rowOff>12700</xdr:rowOff>
        </xdr:from>
        <xdr:to>
          <xdr:col>30</xdr:col>
          <xdr:colOff>127000</xdr:colOff>
          <xdr:row>12</xdr:row>
          <xdr:rowOff>50800</xdr:rowOff>
        </xdr:to>
        <xdr:sp macro="" textlink="">
          <xdr:nvSpPr>
            <xdr:cNvPr id="2093" name="CheckBox4" hidden="1">
              <a:extLst>
                <a:ext uri="{63B3BB69-23CF-44E3-9099-C40C66FF867C}">
                  <a14:compatExt spid="_x0000_s2093"/>
                </a:ext>
                <a:ext uri="{FF2B5EF4-FFF2-40B4-BE49-F238E27FC236}">
                  <a16:creationId xmlns:a16="http://schemas.microsoft.com/office/drawing/2014/main" id="{00000000-0008-0000-0700-00002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13</xdr:row>
          <xdr:rowOff>12700</xdr:rowOff>
        </xdr:from>
        <xdr:to>
          <xdr:col>30</xdr:col>
          <xdr:colOff>127000</xdr:colOff>
          <xdr:row>14</xdr:row>
          <xdr:rowOff>50800</xdr:rowOff>
        </xdr:to>
        <xdr:sp macro="" textlink="">
          <xdr:nvSpPr>
            <xdr:cNvPr id="2094" name="CheckBox5" hidden="1">
              <a:extLst>
                <a:ext uri="{63B3BB69-23CF-44E3-9099-C40C66FF867C}">
                  <a14:compatExt spid="_x0000_s2094"/>
                </a:ext>
                <a:ext uri="{FF2B5EF4-FFF2-40B4-BE49-F238E27FC236}">
                  <a16:creationId xmlns:a16="http://schemas.microsoft.com/office/drawing/2014/main" id="{00000000-0008-0000-0700-00002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15</xdr:row>
          <xdr:rowOff>38100</xdr:rowOff>
        </xdr:from>
        <xdr:to>
          <xdr:col>30</xdr:col>
          <xdr:colOff>127000</xdr:colOff>
          <xdr:row>16</xdr:row>
          <xdr:rowOff>76200</xdr:rowOff>
        </xdr:to>
        <xdr:sp macro="" textlink="">
          <xdr:nvSpPr>
            <xdr:cNvPr id="2095" name="CheckBox6" hidden="1">
              <a:extLst>
                <a:ext uri="{63B3BB69-23CF-44E3-9099-C40C66FF867C}">
                  <a14:compatExt spid="_x0000_s2095"/>
                </a:ext>
                <a:ext uri="{FF2B5EF4-FFF2-40B4-BE49-F238E27FC236}">
                  <a16:creationId xmlns:a16="http://schemas.microsoft.com/office/drawing/2014/main" id="{00000000-0008-0000-0700-00002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17</xdr:row>
          <xdr:rowOff>38100</xdr:rowOff>
        </xdr:from>
        <xdr:to>
          <xdr:col>30</xdr:col>
          <xdr:colOff>127000</xdr:colOff>
          <xdr:row>18</xdr:row>
          <xdr:rowOff>76200</xdr:rowOff>
        </xdr:to>
        <xdr:sp macro="" textlink="">
          <xdr:nvSpPr>
            <xdr:cNvPr id="2096" name="CheckBox7" hidden="1">
              <a:extLst>
                <a:ext uri="{63B3BB69-23CF-44E3-9099-C40C66FF867C}">
                  <a14:compatExt spid="_x0000_s2096"/>
                </a:ext>
                <a:ext uri="{FF2B5EF4-FFF2-40B4-BE49-F238E27FC236}">
                  <a16:creationId xmlns:a16="http://schemas.microsoft.com/office/drawing/2014/main" id="{00000000-0008-0000-0700-00003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19</xdr:row>
          <xdr:rowOff>12700</xdr:rowOff>
        </xdr:from>
        <xdr:to>
          <xdr:col>30</xdr:col>
          <xdr:colOff>127000</xdr:colOff>
          <xdr:row>20</xdr:row>
          <xdr:rowOff>50800</xdr:rowOff>
        </xdr:to>
        <xdr:sp macro="" textlink="">
          <xdr:nvSpPr>
            <xdr:cNvPr id="2097" name="CheckBox8" hidden="1">
              <a:extLst>
                <a:ext uri="{63B3BB69-23CF-44E3-9099-C40C66FF867C}">
                  <a14:compatExt spid="_x0000_s2097"/>
                </a:ext>
                <a:ext uri="{FF2B5EF4-FFF2-40B4-BE49-F238E27FC236}">
                  <a16:creationId xmlns:a16="http://schemas.microsoft.com/office/drawing/2014/main" id="{00000000-0008-0000-0700-00003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21</xdr:row>
          <xdr:rowOff>12700</xdr:rowOff>
        </xdr:from>
        <xdr:to>
          <xdr:col>30</xdr:col>
          <xdr:colOff>127000</xdr:colOff>
          <xdr:row>22</xdr:row>
          <xdr:rowOff>50800</xdr:rowOff>
        </xdr:to>
        <xdr:sp macro="" textlink="">
          <xdr:nvSpPr>
            <xdr:cNvPr id="2098" name="CheckBox9" hidden="1">
              <a:extLst>
                <a:ext uri="{63B3BB69-23CF-44E3-9099-C40C66FF867C}">
                  <a14:compatExt spid="_x0000_s2098"/>
                </a:ext>
                <a:ext uri="{FF2B5EF4-FFF2-40B4-BE49-F238E27FC236}">
                  <a16:creationId xmlns:a16="http://schemas.microsoft.com/office/drawing/2014/main" id="{00000000-0008-0000-0700-00003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23</xdr:row>
          <xdr:rowOff>12700</xdr:rowOff>
        </xdr:from>
        <xdr:to>
          <xdr:col>30</xdr:col>
          <xdr:colOff>127000</xdr:colOff>
          <xdr:row>24</xdr:row>
          <xdr:rowOff>50800</xdr:rowOff>
        </xdr:to>
        <xdr:sp macro="" textlink="">
          <xdr:nvSpPr>
            <xdr:cNvPr id="2099" name="CheckBox10" hidden="1">
              <a:extLst>
                <a:ext uri="{63B3BB69-23CF-44E3-9099-C40C66FF867C}">
                  <a14:compatExt spid="_x0000_s2099"/>
                </a:ext>
                <a:ext uri="{FF2B5EF4-FFF2-40B4-BE49-F238E27FC236}">
                  <a16:creationId xmlns:a16="http://schemas.microsoft.com/office/drawing/2014/main" id="{00000000-0008-0000-0700-00003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25</xdr:row>
          <xdr:rowOff>12700</xdr:rowOff>
        </xdr:from>
        <xdr:to>
          <xdr:col>30</xdr:col>
          <xdr:colOff>88900</xdr:colOff>
          <xdr:row>26</xdr:row>
          <xdr:rowOff>50800</xdr:rowOff>
        </xdr:to>
        <xdr:sp macro="" textlink="">
          <xdr:nvSpPr>
            <xdr:cNvPr id="2100" name="CheckBox11" hidden="1">
              <a:extLst>
                <a:ext uri="{63B3BB69-23CF-44E3-9099-C40C66FF867C}">
                  <a14:compatExt spid="_x0000_s2100"/>
                </a:ext>
                <a:ext uri="{FF2B5EF4-FFF2-40B4-BE49-F238E27FC236}">
                  <a16:creationId xmlns:a16="http://schemas.microsoft.com/office/drawing/2014/main" id="{00000000-0008-0000-0700-00003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27</xdr:row>
          <xdr:rowOff>0</xdr:rowOff>
        </xdr:from>
        <xdr:to>
          <xdr:col>30</xdr:col>
          <xdr:colOff>88900</xdr:colOff>
          <xdr:row>28</xdr:row>
          <xdr:rowOff>38100</xdr:rowOff>
        </xdr:to>
        <xdr:sp macro="" textlink="">
          <xdr:nvSpPr>
            <xdr:cNvPr id="2101" name="CheckBox12" hidden="1">
              <a:extLst>
                <a:ext uri="{63B3BB69-23CF-44E3-9099-C40C66FF867C}">
                  <a14:compatExt spid="_x0000_s2101"/>
                </a:ext>
                <a:ext uri="{FF2B5EF4-FFF2-40B4-BE49-F238E27FC236}">
                  <a16:creationId xmlns:a16="http://schemas.microsoft.com/office/drawing/2014/main" id="{00000000-0008-0000-0700-00003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29</xdr:row>
          <xdr:rowOff>38100</xdr:rowOff>
        </xdr:from>
        <xdr:to>
          <xdr:col>30</xdr:col>
          <xdr:colOff>88900</xdr:colOff>
          <xdr:row>30</xdr:row>
          <xdr:rowOff>76200</xdr:rowOff>
        </xdr:to>
        <xdr:sp macro="" textlink="">
          <xdr:nvSpPr>
            <xdr:cNvPr id="2102" name="CheckBox13" hidden="1">
              <a:extLst>
                <a:ext uri="{63B3BB69-23CF-44E3-9099-C40C66FF867C}">
                  <a14:compatExt spid="_x0000_s2102"/>
                </a:ext>
                <a:ext uri="{FF2B5EF4-FFF2-40B4-BE49-F238E27FC236}">
                  <a16:creationId xmlns:a16="http://schemas.microsoft.com/office/drawing/2014/main" id="{00000000-0008-0000-0700-00003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31</xdr:row>
          <xdr:rowOff>0</xdr:rowOff>
        </xdr:from>
        <xdr:to>
          <xdr:col>30</xdr:col>
          <xdr:colOff>88900</xdr:colOff>
          <xdr:row>32</xdr:row>
          <xdr:rowOff>38100</xdr:rowOff>
        </xdr:to>
        <xdr:sp macro="" textlink="">
          <xdr:nvSpPr>
            <xdr:cNvPr id="2103" name="CheckBox14" hidden="1">
              <a:extLst>
                <a:ext uri="{63B3BB69-23CF-44E3-9099-C40C66FF867C}">
                  <a14:compatExt spid="_x0000_s2103"/>
                </a:ext>
                <a:ext uri="{FF2B5EF4-FFF2-40B4-BE49-F238E27FC236}">
                  <a16:creationId xmlns:a16="http://schemas.microsoft.com/office/drawing/2014/main" id="{00000000-0008-0000-0700-00003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33</xdr:row>
          <xdr:rowOff>38100</xdr:rowOff>
        </xdr:from>
        <xdr:to>
          <xdr:col>30</xdr:col>
          <xdr:colOff>88900</xdr:colOff>
          <xdr:row>34</xdr:row>
          <xdr:rowOff>76200</xdr:rowOff>
        </xdr:to>
        <xdr:sp macro="" textlink="">
          <xdr:nvSpPr>
            <xdr:cNvPr id="2104" name="CheckBox15" hidden="1">
              <a:extLst>
                <a:ext uri="{63B3BB69-23CF-44E3-9099-C40C66FF867C}">
                  <a14:compatExt spid="_x0000_s2104"/>
                </a:ext>
                <a:ext uri="{FF2B5EF4-FFF2-40B4-BE49-F238E27FC236}">
                  <a16:creationId xmlns:a16="http://schemas.microsoft.com/office/drawing/2014/main" id="{00000000-0008-0000-0700-00003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35</xdr:row>
          <xdr:rowOff>0</xdr:rowOff>
        </xdr:from>
        <xdr:to>
          <xdr:col>30</xdr:col>
          <xdr:colOff>76200</xdr:colOff>
          <xdr:row>36</xdr:row>
          <xdr:rowOff>38100</xdr:rowOff>
        </xdr:to>
        <xdr:sp macro="" textlink="">
          <xdr:nvSpPr>
            <xdr:cNvPr id="2105" name="CheckBox16" hidden="1">
              <a:extLst>
                <a:ext uri="{63B3BB69-23CF-44E3-9099-C40C66FF867C}">
                  <a14:compatExt spid="_x0000_s2105"/>
                </a:ext>
                <a:ext uri="{FF2B5EF4-FFF2-40B4-BE49-F238E27FC236}">
                  <a16:creationId xmlns:a16="http://schemas.microsoft.com/office/drawing/2014/main" id="{00000000-0008-0000-0700-00003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35</xdr:row>
          <xdr:rowOff>38100</xdr:rowOff>
        </xdr:from>
        <xdr:to>
          <xdr:col>30</xdr:col>
          <xdr:colOff>88900</xdr:colOff>
          <xdr:row>36</xdr:row>
          <xdr:rowOff>76200</xdr:rowOff>
        </xdr:to>
        <xdr:sp macro="" textlink="">
          <xdr:nvSpPr>
            <xdr:cNvPr id="2108" name="CheckBox17" hidden="1">
              <a:extLst>
                <a:ext uri="{63B3BB69-23CF-44E3-9099-C40C66FF867C}">
                  <a14:compatExt spid="_x0000_s2108"/>
                </a:ext>
                <a:ext uri="{FF2B5EF4-FFF2-40B4-BE49-F238E27FC236}">
                  <a16:creationId xmlns:a16="http://schemas.microsoft.com/office/drawing/2014/main" id="{00000000-0008-0000-0700-00003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37</xdr:row>
          <xdr:rowOff>0</xdr:rowOff>
        </xdr:from>
        <xdr:to>
          <xdr:col>30</xdr:col>
          <xdr:colOff>76200</xdr:colOff>
          <xdr:row>38</xdr:row>
          <xdr:rowOff>38100</xdr:rowOff>
        </xdr:to>
        <xdr:sp macro="" textlink="">
          <xdr:nvSpPr>
            <xdr:cNvPr id="2109" name="CheckBox18" hidden="1">
              <a:extLst>
                <a:ext uri="{63B3BB69-23CF-44E3-9099-C40C66FF867C}">
                  <a14:compatExt spid="_x0000_s2109"/>
                </a:ext>
                <a:ext uri="{FF2B5EF4-FFF2-40B4-BE49-F238E27FC236}">
                  <a16:creationId xmlns:a16="http://schemas.microsoft.com/office/drawing/2014/main" id="{00000000-0008-0000-0700-00003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37</xdr:row>
          <xdr:rowOff>38100</xdr:rowOff>
        </xdr:from>
        <xdr:to>
          <xdr:col>30</xdr:col>
          <xdr:colOff>88900</xdr:colOff>
          <xdr:row>38</xdr:row>
          <xdr:rowOff>76200</xdr:rowOff>
        </xdr:to>
        <xdr:sp macro="" textlink="">
          <xdr:nvSpPr>
            <xdr:cNvPr id="2110" name="CheckBox19" hidden="1">
              <a:extLst>
                <a:ext uri="{63B3BB69-23CF-44E3-9099-C40C66FF867C}">
                  <a14:compatExt spid="_x0000_s2110"/>
                </a:ext>
                <a:ext uri="{FF2B5EF4-FFF2-40B4-BE49-F238E27FC236}">
                  <a16:creationId xmlns:a16="http://schemas.microsoft.com/office/drawing/2014/main" id="{00000000-0008-0000-0700-00003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39</xdr:row>
          <xdr:rowOff>0</xdr:rowOff>
        </xdr:from>
        <xdr:to>
          <xdr:col>30</xdr:col>
          <xdr:colOff>76200</xdr:colOff>
          <xdr:row>40</xdr:row>
          <xdr:rowOff>38100</xdr:rowOff>
        </xdr:to>
        <xdr:sp macro="" textlink="">
          <xdr:nvSpPr>
            <xdr:cNvPr id="2111" name="CheckBox20" hidden="1">
              <a:extLst>
                <a:ext uri="{63B3BB69-23CF-44E3-9099-C40C66FF867C}">
                  <a14:compatExt spid="_x0000_s2111"/>
                </a:ext>
                <a:ext uri="{FF2B5EF4-FFF2-40B4-BE49-F238E27FC236}">
                  <a16:creationId xmlns:a16="http://schemas.microsoft.com/office/drawing/2014/main" id="{00000000-0008-0000-0700-00003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39</xdr:row>
          <xdr:rowOff>38100</xdr:rowOff>
        </xdr:from>
        <xdr:to>
          <xdr:col>30</xdr:col>
          <xdr:colOff>88900</xdr:colOff>
          <xdr:row>40</xdr:row>
          <xdr:rowOff>76200</xdr:rowOff>
        </xdr:to>
        <xdr:sp macro="" textlink="">
          <xdr:nvSpPr>
            <xdr:cNvPr id="2112" name="CheckBox21" hidden="1">
              <a:extLst>
                <a:ext uri="{63B3BB69-23CF-44E3-9099-C40C66FF867C}">
                  <a14:compatExt spid="_x0000_s2112"/>
                </a:ext>
                <a:ext uri="{FF2B5EF4-FFF2-40B4-BE49-F238E27FC236}">
                  <a16:creationId xmlns:a16="http://schemas.microsoft.com/office/drawing/2014/main" id="{00000000-0008-0000-0700-00004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39</xdr:row>
          <xdr:rowOff>38100</xdr:rowOff>
        </xdr:from>
        <xdr:to>
          <xdr:col>30</xdr:col>
          <xdr:colOff>88900</xdr:colOff>
          <xdr:row>40</xdr:row>
          <xdr:rowOff>76200</xdr:rowOff>
        </xdr:to>
        <xdr:sp macro="" textlink="">
          <xdr:nvSpPr>
            <xdr:cNvPr id="2113" name="CheckBox22" hidden="1">
              <a:extLst>
                <a:ext uri="{63B3BB69-23CF-44E3-9099-C40C66FF867C}">
                  <a14:compatExt spid="_x0000_s2113"/>
                </a:ext>
                <a:ext uri="{FF2B5EF4-FFF2-40B4-BE49-F238E27FC236}">
                  <a16:creationId xmlns:a16="http://schemas.microsoft.com/office/drawing/2014/main" id="{00000000-0008-0000-0700-00004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41</xdr:row>
          <xdr:rowOff>0</xdr:rowOff>
        </xdr:from>
        <xdr:to>
          <xdr:col>30</xdr:col>
          <xdr:colOff>76200</xdr:colOff>
          <xdr:row>42</xdr:row>
          <xdr:rowOff>38100</xdr:rowOff>
        </xdr:to>
        <xdr:sp macro="" textlink="">
          <xdr:nvSpPr>
            <xdr:cNvPr id="2114" name="CheckBox23" hidden="1">
              <a:extLst>
                <a:ext uri="{63B3BB69-23CF-44E3-9099-C40C66FF867C}">
                  <a14:compatExt spid="_x0000_s2114"/>
                </a:ext>
                <a:ext uri="{FF2B5EF4-FFF2-40B4-BE49-F238E27FC236}">
                  <a16:creationId xmlns:a16="http://schemas.microsoft.com/office/drawing/2014/main" id="{00000000-0008-0000-0700-00004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41</xdr:row>
          <xdr:rowOff>38100</xdr:rowOff>
        </xdr:from>
        <xdr:to>
          <xdr:col>30</xdr:col>
          <xdr:colOff>88900</xdr:colOff>
          <xdr:row>42</xdr:row>
          <xdr:rowOff>76200</xdr:rowOff>
        </xdr:to>
        <xdr:sp macro="" textlink="">
          <xdr:nvSpPr>
            <xdr:cNvPr id="2115" name="CheckBox24" hidden="1">
              <a:extLst>
                <a:ext uri="{63B3BB69-23CF-44E3-9099-C40C66FF867C}">
                  <a14:compatExt spid="_x0000_s2115"/>
                </a:ext>
                <a:ext uri="{FF2B5EF4-FFF2-40B4-BE49-F238E27FC236}">
                  <a16:creationId xmlns:a16="http://schemas.microsoft.com/office/drawing/2014/main" id="{00000000-0008-0000-0700-00004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41</xdr:row>
          <xdr:rowOff>38100</xdr:rowOff>
        </xdr:from>
        <xdr:to>
          <xdr:col>30</xdr:col>
          <xdr:colOff>88900</xdr:colOff>
          <xdr:row>42</xdr:row>
          <xdr:rowOff>76200</xdr:rowOff>
        </xdr:to>
        <xdr:sp macro="" textlink="">
          <xdr:nvSpPr>
            <xdr:cNvPr id="2116" name="CheckBox25" hidden="1">
              <a:extLst>
                <a:ext uri="{63B3BB69-23CF-44E3-9099-C40C66FF867C}">
                  <a14:compatExt spid="_x0000_s2116"/>
                </a:ext>
                <a:ext uri="{FF2B5EF4-FFF2-40B4-BE49-F238E27FC236}">
                  <a16:creationId xmlns:a16="http://schemas.microsoft.com/office/drawing/2014/main" id="{00000000-0008-0000-0700-00004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43</xdr:row>
          <xdr:rowOff>0</xdr:rowOff>
        </xdr:from>
        <xdr:to>
          <xdr:col>30</xdr:col>
          <xdr:colOff>76200</xdr:colOff>
          <xdr:row>44</xdr:row>
          <xdr:rowOff>38100</xdr:rowOff>
        </xdr:to>
        <xdr:sp macro="" textlink="">
          <xdr:nvSpPr>
            <xdr:cNvPr id="2117" name="CheckBox26" hidden="1">
              <a:extLst>
                <a:ext uri="{63B3BB69-23CF-44E3-9099-C40C66FF867C}">
                  <a14:compatExt spid="_x0000_s2117"/>
                </a:ext>
                <a:ext uri="{FF2B5EF4-FFF2-40B4-BE49-F238E27FC236}">
                  <a16:creationId xmlns:a16="http://schemas.microsoft.com/office/drawing/2014/main" id="{00000000-0008-0000-0700-00004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43</xdr:row>
          <xdr:rowOff>38100</xdr:rowOff>
        </xdr:from>
        <xdr:to>
          <xdr:col>30</xdr:col>
          <xdr:colOff>88900</xdr:colOff>
          <xdr:row>44</xdr:row>
          <xdr:rowOff>76200</xdr:rowOff>
        </xdr:to>
        <xdr:sp macro="" textlink="">
          <xdr:nvSpPr>
            <xdr:cNvPr id="2118" name="CheckBox27" hidden="1">
              <a:extLst>
                <a:ext uri="{63B3BB69-23CF-44E3-9099-C40C66FF867C}">
                  <a14:compatExt spid="_x0000_s2118"/>
                </a:ext>
                <a:ext uri="{FF2B5EF4-FFF2-40B4-BE49-F238E27FC236}">
                  <a16:creationId xmlns:a16="http://schemas.microsoft.com/office/drawing/2014/main" id="{00000000-0008-0000-0700-00004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43</xdr:row>
          <xdr:rowOff>38100</xdr:rowOff>
        </xdr:from>
        <xdr:to>
          <xdr:col>30</xdr:col>
          <xdr:colOff>88900</xdr:colOff>
          <xdr:row>44</xdr:row>
          <xdr:rowOff>76200</xdr:rowOff>
        </xdr:to>
        <xdr:sp macro="" textlink="">
          <xdr:nvSpPr>
            <xdr:cNvPr id="2119" name="CheckBox28" hidden="1">
              <a:extLst>
                <a:ext uri="{63B3BB69-23CF-44E3-9099-C40C66FF867C}">
                  <a14:compatExt spid="_x0000_s2119"/>
                </a:ext>
                <a:ext uri="{FF2B5EF4-FFF2-40B4-BE49-F238E27FC236}">
                  <a16:creationId xmlns:a16="http://schemas.microsoft.com/office/drawing/2014/main" id="{00000000-0008-0000-0700-00004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45</xdr:row>
          <xdr:rowOff>0</xdr:rowOff>
        </xdr:from>
        <xdr:to>
          <xdr:col>30</xdr:col>
          <xdr:colOff>76200</xdr:colOff>
          <xdr:row>46</xdr:row>
          <xdr:rowOff>38100</xdr:rowOff>
        </xdr:to>
        <xdr:sp macro="" textlink="">
          <xdr:nvSpPr>
            <xdr:cNvPr id="2120" name="CheckBox29" hidden="1">
              <a:extLst>
                <a:ext uri="{63B3BB69-23CF-44E3-9099-C40C66FF867C}">
                  <a14:compatExt spid="_x0000_s2120"/>
                </a:ext>
                <a:ext uri="{FF2B5EF4-FFF2-40B4-BE49-F238E27FC236}">
                  <a16:creationId xmlns:a16="http://schemas.microsoft.com/office/drawing/2014/main" id="{00000000-0008-0000-0700-00004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45</xdr:row>
          <xdr:rowOff>38100</xdr:rowOff>
        </xdr:from>
        <xdr:to>
          <xdr:col>30</xdr:col>
          <xdr:colOff>88900</xdr:colOff>
          <xdr:row>46</xdr:row>
          <xdr:rowOff>76200</xdr:rowOff>
        </xdr:to>
        <xdr:sp macro="" textlink="">
          <xdr:nvSpPr>
            <xdr:cNvPr id="2121" name="CheckBox30" hidden="1">
              <a:extLst>
                <a:ext uri="{63B3BB69-23CF-44E3-9099-C40C66FF867C}">
                  <a14:compatExt spid="_x0000_s2121"/>
                </a:ext>
                <a:ext uri="{FF2B5EF4-FFF2-40B4-BE49-F238E27FC236}">
                  <a16:creationId xmlns:a16="http://schemas.microsoft.com/office/drawing/2014/main" id="{00000000-0008-0000-0700-00004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45</xdr:row>
          <xdr:rowOff>38100</xdr:rowOff>
        </xdr:from>
        <xdr:to>
          <xdr:col>30</xdr:col>
          <xdr:colOff>88900</xdr:colOff>
          <xdr:row>46</xdr:row>
          <xdr:rowOff>76200</xdr:rowOff>
        </xdr:to>
        <xdr:sp macro="" textlink="">
          <xdr:nvSpPr>
            <xdr:cNvPr id="2122" name="CheckBox31" hidden="1">
              <a:extLst>
                <a:ext uri="{63B3BB69-23CF-44E3-9099-C40C66FF867C}">
                  <a14:compatExt spid="_x0000_s2122"/>
                </a:ext>
                <a:ext uri="{FF2B5EF4-FFF2-40B4-BE49-F238E27FC236}">
                  <a16:creationId xmlns:a16="http://schemas.microsoft.com/office/drawing/2014/main" id="{00000000-0008-0000-0700-00004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47</xdr:row>
          <xdr:rowOff>0</xdr:rowOff>
        </xdr:from>
        <xdr:to>
          <xdr:col>30</xdr:col>
          <xdr:colOff>76200</xdr:colOff>
          <xdr:row>48</xdr:row>
          <xdr:rowOff>38100</xdr:rowOff>
        </xdr:to>
        <xdr:sp macro="" textlink="">
          <xdr:nvSpPr>
            <xdr:cNvPr id="2123" name="CheckBox32" hidden="1">
              <a:extLst>
                <a:ext uri="{63B3BB69-23CF-44E3-9099-C40C66FF867C}">
                  <a14:compatExt spid="_x0000_s2123"/>
                </a:ext>
                <a:ext uri="{FF2B5EF4-FFF2-40B4-BE49-F238E27FC236}">
                  <a16:creationId xmlns:a16="http://schemas.microsoft.com/office/drawing/2014/main" id="{00000000-0008-0000-0700-00004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47</xdr:row>
          <xdr:rowOff>38100</xdr:rowOff>
        </xdr:from>
        <xdr:to>
          <xdr:col>30</xdr:col>
          <xdr:colOff>88900</xdr:colOff>
          <xdr:row>48</xdr:row>
          <xdr:rowOff>76200</xdr:rowOff>
        </xdr:to>
        <xdr:sp macro="" textlink="">
          <xdr:nvSpPr>
            <xdr:cNvPr id="2124" name="CheckBox33" hidden="1">
              <a:extLst>
                <a:ext uri="{63B3BB69-23CF-44E3-9099-C40C66FF867C}">
                  <a14:compatExt spid="_x0000_s2124"/>
                </a:ext>
                <a:ext uri="{FF2B5EF4-FFF2-40B4-BE49-F238E27FC236}">
                  <a16:creationId xmlns:a16="http://schemas.microsoft.com/office/drawing/2014/main" id="{00000000-0008-0000-0700-00004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47</xdr:row>
          <xdr:rowOff>38100</xdr:rowOff>
        </xdr:from>
        <xdr:to>
          <xdr:col>30</xdr:col>
          <xdr:colOff>88900</xdr:colOff>
          <xdr:row>48</xdr:row>
          <xdr:rowOff>76200</xdr:rowOff>
        </xdr:to>
        <xdr:sp macro="" textlink="">
          <xdr:nvSpPr>
            <xdr:cNvPr id="2125" name="CheckBox34" hidden="1">
              <a:extLst>
                <a:ext uri="{63B3BB69-23CF-44E3-9099-C40C66FF867C}">
                  <a14:compatExt spid="_x0000_s2125"/>
                </a:ext>
                <a:ext uri="{FF2B5EF4-FFF2-40B4-BE49-F238E27FC236}">
                  <a16:creationId xmlns:a16="http://schemas.microsoft.com/office/drawing/2014/main" id="{00000000-0008-0000-0700-00004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49</xdr:row>
          <xdr:rowOff>0</xdr:rowOff>
        </xdr:from>
        <xdr:to>
          <xdr:col>30</xdr:col>
          <xdr:colOff>76200</xdr:colOff>
          <xdr:row>50</xdr:row>
          <xdr:rowOff>38100</xdr:rowOff>
        </xdr:to>
        <xdr:sp macro="" textlink="">
          <xdr:nvSpPr>
            <xdr:cNvPr id="2126" name="CheckBox35" hidden="1">
              <a:extLst>
                <a:ext uri="{63B3BB69-23CF-44E3-9099-C40C66FF867C}">
                  <a14:compatExt spid="_x0000_s2126"/>
                </a:ext>
                <a:ext uri="{FF2B5EF4-FFF2-40B4-BE49-F238E27FC236}">
                  <a16:creationId xmlns:a16="http://schemas.microsoft.com/office/drawing/2014/main" id="{00000000-0008-0000-0700-00004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49</xdr:row>
          <xdr:rowOff>38100</xdr:rowOff>
        </xdr:from>
        <xdr:to>
          <xdr:col>30</xdr:col>
          <xdr:colOff>88900</xdr:colOff>
          <xdr:row>50</xdr:row>
          <xdr:rowOff>76200</xdr:rowOff>
        </xdr:to>
        <xdr:sp macro="" textlink="">
          <xdr:nvSpPr>
            <xdr:cNvPr id="2127" name="CheckBox36" hidden="1">
              <a:extLst>
                <a:ext uri="{63B3BB69-23CF-44E3-9099-C40C66FF867C}">
                  <a14:compatExt spid="_x0000_s2127"/>
                </a:ext>
                <a:ext uri="{FF2B5EF4-FFF2-40B4-BE49-F238E27FC236}">
                  <a16:creationId xmlns:a16="http://schemas.microsoft.com/office/drawing/2014/main" id="{00000000-0008-0000-0700-00004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49</xdr:row>
          <xdr:rowOff>38100</xdr:rowOff>
        </xdr:from>
        <xdr:to>
          <xdr:col>30</xdr:col>
          <xdr:colOff>88900</xdr:colOff>
          <xdr:row>50</xdr:row>
          <xdr:rowOff>76200</xdr:rowOff>
        </xdr:to>
        <xdr:sp macro="" textlink="">
          <xdr:nvSpPr>
            <xdr:cNvPr id="2128" name="CheckBox37" hidden="1">
              <a:extLst>
                <a:ext uri="{63B3BB69-23CF-44E3-9099-C40C66FF867C}">
                  <a14:compatExt spid="_x0000_s2128"/>
                </a:ext>
                <a:ext uri="{FF2B5EF4-FFF2-40B4-BE49-F238E27FC236}">
                  <a16:creationId xmlns:a16="http://schemas.microsoft.com/office/drawing/2014/main" id="{00000000-0008-0000-0700-00005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51</xdr:row>
          <xdr:rowOff>0</xdr:rowOff>
        </xdr:from>
        <xdr:to>
          <xdr:col>30</xdr:col>
          <xdr:colOff>76200</xdr:colOff>
          <xdr:row>52</xdr:row>
          <xdr:rowOff>38100</xdr:rowOff>
        </xdr:to>
        <xdr:sp macro="" textlink="">
          <xdr:nvSpPr>
            <xdr:cNvPr id="2129" name="CheckBox38" hidden="1">
              <a:extLst>
                <a:ext uri="{63B3BB69-23CF-44E3-9099-C40C66FF867C}">
                  <a14:compatExt spid="_x0000_s2129"/>
                </a:ext>
                <a:ext uri="{FF2B5EF4-FFF2-40B4-BE49-F238E27FC236}">
                  <a16:creationId xmlns:a16="http://schemas.microsoft.com/office/drawing/2014/main" id="{00000000-0008-0000-0700-00005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51</xdr:row>
          <xdr:rowOff>38100</xdr:rowOff>
        </xdr:from>
        <xdr:to>
          <xdr:col>30</xdr:col>
          <xdr:colOff>88900</xdr:colOff>
          <xdr:row>52</xdr:row>
          <xdr:rowOff>76200</xdr:rowOff>
        </xdr:to>
        <xdr:sp macro="" textlink="">
          <xdr:nvSpPr>
            <xdr:cNvPr id="2130" name="CheckBox39" hidden="1">
              <a:extLst>
                <a:ext uri="{63B3BB69-23CF-44E3-9099-C40C66FF867C}">
                  <a14:compatExt spid="_x0000_s2130"/>
                </a:ext>
                <a:ext uri="{FF2B5EF4-FFF2-40B4-BE49-F238E27FC236}">
                  <a16:creationId xmlns:a16="http://schemas.microsoft.com/office/drawing/2014/main" id="{00000000-0008-0000-0700-00005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51</xdr:row>
          <xdr:rowOff>38100</xdr:rowOff>
        </xdr:from>
        <xdr:to>
          <xdr:col>30</xdr:col>
          <xdr:colOff>88900</xdr:colOff>
          <xdr:row>52</xdr:row>
          <xdr:rowOff>76200</xdr:rowOff>
        </xdr:to>
        <xdr:sp macro="" textlink="">
          <xdr:nvSpPr>
            <xdr:cNvPr id="2131" name="CheckBox40" hidden="1">
              <a:extLst>
                <a:ext uri="{63B3BB69-23CF-44E3-9099-C40C66FF867C}">
                  <a14:compatExt spid="_x0000_s2131"/>
                </a:ext>
                <a:ext uri="{FF2B5EF4-FFF2-40B4-BE49-F238E27FC236}">
                  <a16:creationId xmlns:a16="http://schemas.microsoft.com/office/drawing/2014/main" id="{00000000-0008-0000-0700-00005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53</xdr:row>
          <xdr:rowOff>0</xdr:rowOff>
        </xdr:from>
        <xdr:to>
          <xdr:col>30</xdr:col>
          <xdr:colOff>76200</xdr:colOff>
          <xdr:row>54</xdr:row>
          <xdr:rowOff>38100</xdr:rowOff>
        </xdr:to>
        <xdr:sp macro="" textlink="">
          <xdr:nvSpPr>
            <xdr:cNvPr id="2132" name="CheckBox41" hidden="1">
              <a:extLst>
                <a:ext uri="{63B3BB69-23CF-44E3-9099-C40C66FF867C}">
                  <a14:compatExt spid="_x0000_s2132"/>
                </a:ext>
                <a:ext uri="{FF2B5EF4-FFF2-40B4-BE49-F238E27FC236}">
                  <a16:creationId xmlns:a16="http://schemas.microsoft.com/office/drawing/2014/main" id="{00000000-0008-0000-0700-00005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53</xdr:row>
          <xdr:rowOff>38100</xdr:rowOff>
        </xdr:from>
        <xdr:to>
          <xdr:col>30</xdr:col>
          <xdr:colOff>88900</xdr:colOff>
          <xdr:row>54</xdr:row>
          <xdr:rowOff>76200</xdr:rowOff>
        </xdr:to>
        <xdr:sp macro="" textlink="">
          <xdr:nvSpPr>
            <xdr:cNvPr id="2133" name="CheckBox42" hidden="1">
              <a:extLst>
                <a:ext uri="{63B3BB69-23CF-44E3-9099-C40C66FF867C}">
                  <a14:compatExt spid="_x0000_s2133"/>
                </a:ext>
                <a:ext uri="{FF2B5EF4-FFF2-40B4-BE49-F238E27FC236}">
                  <a16:creationId xmlns:a16="http://schemas.microsoft.com/office/drawing/2014/main" id="{00000000-0008-0000-0700-00005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53</xdr:row>
          <xdr:rowOff>38100</xdr:rowOff>
        </xdr:from>
        <xdr:to>
          <xdr:col>30</xdr:col>
          <xdr:colOff>88900</xdr:colOff>
          <xdr:row>54</xdr:row>
          <xdr:rowOff>76200</xdr:rowOff>
        </xdr:to>
        <xdr:sp macro="" textlink="">
          <xdr:nvSpPr>
            <xdr:cNvPr id="2134" name="CheckBox43" hidden="1">
              <a:extLst>
                <a:ext uri="{63B3BB69-23CF-44E3-9099-C40C66FF867C}">
                  <a14:compatExt spid="_x0000_s2134"/>
                </a:ext>
                <a:ext uri="{FF2B5EF4-FFF2-40B4-BE49-F238E27FC236}">
                  <a16:creationId xmlns:a16="http://schemas.microsoft.com/office/drawing/2014/main" id="{00000000-0008-0000-0700-00005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55</xdr:row>
          <xdr:rowOff>0</xdr:rowOff>
        </xdr:from>
        <xdr:to>
          <xdr:col>30</xdr:col>
          <xdr:colOff>76200</xdr:colOff>
          <xdr:row>56</xdr:row>
          <xdr:rowOff>38100</xdr:rowOff>
        </xdr:to>
        <xdr:sp macro="" textlink="">
          <xdr:nvSpPr>
            <xdr:cNvPr id="2135" name="CheckBox44" hidden="1">
              <a:extLst>
                <a:ext uri="{63B3BB69-23CF-44E3-9099-C40C66FF867C}">
                  <a14:compatExt spid="_x0000_s2135"/>
                </a:ext>
                <a:ext uri="{FF2B5EF4-FFF2-40B4-BE49-F238E27FC236}">
                  <a16:creationId xmlns:a16="http://schemas.microsoft.com/office/drawing/2014/main" id="{00000000-0008-0000-0700-00005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55</xdr:row>
          <xdr:rowOff>38100</xdr:rowOff>
        </xdr:from>
        <xdr:to>
          <xdr:col>30</xdr:col>
          <xdr:colOff>88900</xdr:colOff>
          <xdr:row>56</xdr:row>
          <xdr:rowOff>76200</xdr:rowOff>
        </xdr:to>
        <xdr:sp macro="" textlink="">
          <xdr:nvSpPr>
            <xdr:cNvPr id="2136" name="CheckBox45" hidden="1">
              <a:extLst>
                <a:ext uri="{63B3BB69-23CF-44E3-9099-C40C66FF867C}">
                  <a14:compatExt spid="_x0000_s2136"/>
                </a:ext>
                <a:ext uri="{FF2B5EF4-FFF2-40B4-BE49-F238E27FC236}">
                  <a16:creationId xmlns:a16="http://schemas.microsoft.com/office/drawing/2014/main" id="{00000000-0008-0000-0700-00005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55</xdr:row>
          <xdr:rowOff>38100</xdr:rowOff>
        </xdr:from>
        <xdr:to>
          <xdr:col>30</xdr:col>
          <xdr:colOff>88900</xdr:colOff>
          <xdr:row>56</xdr:row>
          <xdr:rowOff>76200</xdr:rowOff>
        </xdr:to>
        <xdr:sp macro="" textlink="">
          <xdr:nvSpPr>
            <xdr:cNvPr id="2137" name="CheckBox46" hidden="1">
              <a:extLst>
                <a:ext uri="{63B3BB69-23CF-44E3-9099-C40C66FF867C}">
                  <a14:compatExt spid="_x0000_s2137"/>
                </a:ext>
                <a:ext uri="{FF2B5EF4-FFF2-40B4-BE49-F238E27FC236}">
                  <a16:creationId xmlns:a16="http://schemas.microsoft.com/office/drawing/2014/main" id="{00000000-0008-0000-0700-00005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57</xdr:row>
          <xdr:rowOff>0</xdr:rowOff>
        </xdr:from>
        <xdr:to>
          <xdr:col>30</xdr:col>
          <xdr:colOff>76200</xdr:colOff>
          <xdr:row>58</xdr:row>
          <xdr:rowOff>38100</xdr:rowOff>
        </xdr:to>
        <xdr:sp macro="" textlink="">
          <xdr:nvSpPr>
            <xdr:cNvPr id="2138" name="CheckBox47" hidden="1">
              <a:extLst>
                <a:ext uri="{63B3BB69-23CF-44E3-9099-C40C66FF867C}">
                  <a14:compatExt spid="_x0000_s2138"/>
                </a:ext>
                <a:ext uri="{FF2B5EF4-FFF2-40B4-BE49-F238E27FC236}">
                  <a16:creationId xmlns:a16="http://schemas.microsoft.com/office/drawing/2014/main" id="{00000000-0008-0000-0700-00005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57</xdr:row>
          <xdr:rowOff>38100</xdr:rowOff>
        </xdr:from>
        <xdr:to>
          <xdr:col>30</xdr:col>
          <xdr:colOff>88900</xdr:colOff>
          <xdr:row>58</xdr:row>
          <xdr:rowOff>76200</xdr:rowOff>
        </xdr:to>
        <xdr:sp macro="" textlink="">
          <xdr:nvSpPr>
            <xdr:cNvPr id="2139" name="CheckBox48" hidden="1">
              <a:extLst>
                <a:ext uri="{63B3BB69-23CF-44E3-9099-C40C66FF867C}">
                  <a14:compatExt spid="_x0000_s2139"/>
                </a:ext>
                <a:ext uri="{FF2B5EF4-FFF2-40B4-BE49-F238E27FC236}">
                  <a16:creationId xmlns:a16="http://schemas.microsoft.com/office/drawing/2014/main" id="{00000000-0008-0000-0700-00005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57</xdr:row>
          <xdr:rowOff>38100</xdr:rowOff>
        </xdr:from>
        <xdr:to>
          <xdr:col>30</xdr:col>
          <xdr:colOff>88900</xdr:colOff>
          <xdr:row>58</xdr:row>
          <xdr:rowOff>76200</xdr:rowOff>
        </xdr:to>
        <xdr:sp macro="" textlink="">
          <xdr:nvSpPr>
            <xdr:cNvPr id="2140" name="CheckBox49" hidden="1">
              <a:extLst>
                <a:ext uri="{63B3BB69-23CF-44E3-9099-C40C66FF867C}">
                  <a14:compatExt spid="_x0000_s2140"/>
                </a:ext>
                <a:ext uri="{FF2B5EF4-FFF2-40B4-BE49-F238E27FC236}">
                  <a16:creationId xmlns:a16="http://schemas.microsoft.com/office/drawing/2014/main" id="{00000000-0008-0000-0700-00005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59</xdr:row>
          <xdr:rowOff>0</xdr:rowOff>
        </xdr:from>
        <xdr:to>
          <xdr:col>30</xdr:col>
          <xdr:colOff>76200</xdr:colOff>
          <xdr:row>60</xdr:row>
          <xdr:rowOff>38100</xdr:rowOff>
        </xdr:to>
        <xdr:sp macro="" textlink="">
          <xdr:nvSpPr>
            <xdr:cNvPr id="2141" name="CheckBox50" hidden="1">
              <a:extLst>
                <a:ext uri="{63B3BB69-23CF-44E3-9099-C40C66FF867C}">
                  <a14:compatExt spid="_x0000_s2141"/>
                </a:ext>
                <a:ext uri="{FF2B5EF4-FFF2-40B4-BE49-F238E27FC236}">
                  <a16:creationId xmlns:a16="http://schemas.microsoft.com/office/drawing/2014/main" id="{00000000-0008-0000-0700-00005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59</xdr:row>
          <xdr:rowOff>38100</xdr:rowOff>
        </xdr:from>
        <xdr:to>
          <xdr:col>30</xdr:col>
          <xdr:colOff>88900</xdr:colOff>
          <xdr:row>60</xdr:row>
          <xdr:rowOff>76200</xdr:rowOff>
        </xdr:to>
        <xdr:sp macro="" textlink="">
          <xdr:nvSpPr>
            <xdr:cNvPr id="2142" name="CheckBox51" hidden="1">
              <a:extLst>
                <a:ext uri="{63B3BB69-23CF-44E3-9099-C40C66FF867C}">
                  <a14:compatExt spid="_x0000_s2142"/>
                </a:ext>
                <a:ext uri="{FF2B5EF4-FFF2-40B4-BE49-F238E27FC236}">
                  <a16:creationId xmlns:a16="http://schemas.microsoft.com/office/drawing/2014/main" id="{00000000-0008-0000-0700-00005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59</xdr:row>
          <xdr:rowOff>38100</xdr:rowOff>
        </xdr:from>
        <xdr:to>
          <xdr:col>30</xdr:col>
          <xdr:colOff>88900</xdr:colOff>
          <xdr:row>60</xdr:row>
          <xdr:rowOff>76200</xdr:rowOff>
        </xdr:to>
        <xdr:sp macro="" textlink="">
          <xdr:nvSpPr>
            <xdr:cNvPr id="2143" name="CheckBox52" hidden="1">
              <a:extLst>
                <a:ext uri="{63B3BB69-23CF-44E3-9099-C40C66FF867C}">
                  <a14:compatExt spid="_x0000_s2143"/>
                </a:ext>
                <a:ext uri="{FF2B5EF4-FFF2-40B4-BE49-F238E27FC236}">
                  <a16:creationId xmlns:a16="http://schemas.microsoft.com/office/drawing/2014/main" id="{00000000-0008-0000-0700-00005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61</xdr:row>
          <xdr:rowOff>0</xdr:rowOff>
        </xdr:from>
        <xdr:to>
          <xdr:col>30</xdr:col>
          <xdr:colOff>76200</xdr:colOff>
          <xdr:row>62</xdr:row>
          <xdr:rowOff>38100</xdr:rowOff>
        </xdr:to>
        <xdr:sp macro="" textlink="">
          <xdr:nvSpPr>
            <xdr:cNvPr id="2144" name="CheckBox53" hidden="1">
              <a:extLst>
                <a:ext uri="{63B3BB69-23CF-44E3-9099-C40C66FF867C}">
                  <a14:compatExt spid="_x0000_s2144"/>
                </a:ext>
                <a:ext uri="{FF2B5EF4-FFF2-40B4-BE49-F238E27FC236}">
                  <a16:creationId xmlns:a16="http://schemas.microsoft.com/office/drawing/2014/main" id="{00000000-0008-0000-0700-00006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61</xdr:row>
          <xdr:rowOff>38100</xdr:rowOff>
        </xdr:from>
        <xdr:to>
          <xdr:col>30</xdr:col>
          <xdr:colOff>88900</xdr:colOff>
          <xdr:row>62</xdr:row>
          <xdr:rowOff>76200</xdr:rowOff>
        </xdr:to>
        <xdr:sp macro="" textlink="">
          <xdr:nvSpPr>
            <xdr:cNvPr id="2145" name="CheckBox54" hidden="1">
              <a:extLst>
                <a:ext uri="{63B3BB69-23CF-44E3-9099-C40C66FF867C}">
                  <a14:compatExt spid="_x0000_s2145"/>
                </a:ext>
                <a:ext uri="{FF2B5EF4-FFF2-40B4-BE49-F238E27FC236}">
                  <a16:creationId xmlns:a16="http://schemas.microsoft.com/office/drawing/2014/main" id="{00000000-0008-0000-0700-00006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61</xdr:row>
          <xdr:rowOff>38100</xdr:rowOff>
        </xdr:from>
        <xdr:to>
          <xdr:col>30</xdr:col>
          <xdr:colOff>88900</xdr:colOff>
          <xdr:row>62</xdr:row>
          <xdr:rowOff>76200</xdr:rowOff>
        </xdr:to>
        <xdr:sp macro="" textlink="">
          <xdr:nvSpPr>
            <xdr:cNvPr id="2146" name="CheckBox55" hidden="1">
              <a:extLst>
                <a:ext uri="{63B3BB69-23CF-44E3-9099-C40C66FF867C}">
                  <a14:compatExt spid="_x0000_s2146"/>
                </a:ext>
                <a:ext uri="{FF2B5EF4-FFF2-40B4-BE49-F238E27FC236}">
                  <a16:creationId xmlns:a16="http://schemas.microsoft.com/office/drawing/2014/main" id="{00000000-0008-0000-0700-00006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63</xdr:row>
          <xdr:rowOff>0</xdr:rowOff>
        </xdr:from>
        <xdr:to>
          <xdr:col>30</xdr:col>
          <xdr:colOff>76200</xdr:colOff>
          <xdr:row>64</xdr:row>
          <xdr:rowOff>38100</xdr:rowOff>
        </xdr:to>
        <xdr:sp macro="" textlink="">
          <xdr:nvSpPr>
            <xdr:cNvPr id="2147" name="CheckBox56" hidden="1">
              <a:extLst>
                <a:ext uri="{63B3BB69-23CF-44E3-9099-C40C66FF867C}">
                  <a14:compatExt spid="_x0000_s2147"/>
                </a:ext>
                <a:ext uri="{FF2B5EF4-FFF2-40B4-BE49-F238E27FC236}">
                  <a16:creationId xmlns:a16="http://schemas.microsoft.com/office/drawing/2014/main" id="{00000000-0008-0000-0700-00006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63</xdr:row>
          <xdr:rowOff>38100</xdr:rowOff>
        </xdr:from>
        <xdr:to>
          <xdr:col>30</xdr:col>
          <xdr:colOff>88900</xdr:colOff>
          <xdr:row>64</xdr:row>
          <xdr:rowOff>76200</xdr:rowOff>
        </xdr:to>
        <xdr:sp macro="" textlink="">
          <xdr:nvSpPr>
            <xdr:cNvPr id="2148" name="CheckBox57" hidden="1">
              <a:extLst>
                <a:ext uri="{63B3BB69-23CF-44E3-9099-C40C66FF867C}">
                  <a14:compatExt spid="_x0000_s2148"/>
                </a:ext>
                <a:ext uri="{FF2B5EF4-FFF2-40B4-BE49-F238E27FC236}">
                  <a16:creationId xmlns:a16="http://schemas.microsoft.com/office/drawing/2014/main" id="{00000000-0008-0000-0700-00006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63</xdr:row>
          <xdr:rowOff>38100</xdr:rowOff>
        </xdr:from>
        <xdr:to>
          <xdr:col>30</xdr:col>
          <xdr:colOff>88900</xdr:colOff>
          <xdr:row>64</xdr:row>
          <xdr:rowOff>76200</xdr:rowOff>
        </xdr:to>
        <xdr:sp macro="" textlink="">
          <xdr:nvSpPr>
            <xdr:cNvPr id="2149" name="CheckBox58" hidden="1">
              <a:extLst>
                <a:ext uri="{63B3BB69-23CF-44E3-9099-C40C66FF867C}">
                  <a14:compatExt spid="_x0000_s2149"/>
                </a:ext>
                <a:ext uri="{FF2B5EF4-FFF2-40B4-BE49-F238E27FC236}">
                  <a16:creationId xmlns:a16="http://schemas.microsoft.com/office/drawing/2014/main" id="{00000000-0008-0000-0700-00006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65</xdr:row>
          <xdr:rowOff>0</xdr:rowOff>
        </xdr:from>
        <xdr:to>
          <xdr:col>30</xdr:col>
          <xdr:colOff>76200</xdr:colOff>
          <xdr:row>66</xdr:row>
          <xdr:rowOff>38100</xdr:rowOff>
        </xdr:to>
        <xdr:sp macro="" textlink="">
          <xdr:nvSpPr>
            <xdr:cNvPr id="2150" name="CheckBox59" hidden="1">
              <a:extLst>
                <a:ext uri="{63B3BB69-23CF-44E3-9099-C40C66FF867C}">
                  <a14:compatExt spid="_x0000_s2150"/>
                </a:ext>
                <a:ext uri="{FF2B5EF4-FFF2-40B4-BE49-F238E27FC236}">
                  <a16:creationId xmlns:a16="http://schemas.microsoft.com/office/drawing/2014/main" id="{00000000-0008-0000-0700-00006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65</xdr:row>
          <xdr:rowOff>38100</xdr:rowOff>
        </xdr:from>
        <xdr:to>
          <xdr:col>30</xdr:col>
          <xdr:colOff>88900</xdr:colOff>
          <xdr:row>66</xdr:row>
          <xdr:rowOff>76200</xdr:rowOff>
        </xdr:to>
        <xdr:sp macro="" textlink="">
          <xdr:nvSpPr>
            <xdr:cNvPr id="2151" name="CheckBox60" hidden="1">
              <a:extLst>
                <a:ext uri="{63B3BB69-23CF-44E3-9099-C40C66FF867C}">
                  <a14:compatExt spid="_x0000_s2151"/>
                </a:ext>
                <a:ext uri="{FF2B5EF4-FFF2-40B4-BE49-F238E27FC236}">
                  <a16:creationId xmlns:a16="http://schemas.microsoft.com/office/drawing/2014/main" id="{00000000-0008-0000-0700-00006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67</xdr:row>
          <xdr:rowOff>38100</xdr:rowOff>
        </xdr:from>
        <xdr:to>
          <xdr:col>30</xdr:col>
          <xdr:colOff>88900</xdr:colOff>
          <xdr:row>68</xdr:row>
          <xdr:rowOff>76200</xdr:rowOff>
        </xdr:to>
        <xdr:sp macro="" textlink="">
          <xdr:nvSpPr>
            <xdr:cNvPr id="2152" name="CheckBox61" hidden="1">
              <a:extLst>
                <a:ext uri="{63B3BB69-23CF-44E3-9099-C40C66FF867C}">
                  <a14:compatExt spid="_x0000_s2152"/>
                </a:ext>
                <a:ext uri="{FF2B5EF4-FFF2-40B4-BE49-F238E27FC236}">
                  <a16:creationId xmlns:a16="http://schemas.microsoft.com/office/drawing/2014/main" id="{00000000-0008-0000-0700-00006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69</xdr:row>
          <xdr:rowOff>38100</xdr:rowOff>
        </xdr:from>
        <xdr:to>
          <xdr:col>30</xdr:col>
          <xdr:colOff>88900</xdr:colOff>
          <xdr:row>70</xdr:row>
          <xdr:rowOff>76200</xdr:rowOff>
        </xdr:to>
        <xdr:sp macro="" textlink="">
          <xdr:nvSpPr>
            <xdr:cNvPr id="2153" name="CheckBox62" hidden="1">
              <a:extLst>
                <a:ext uri="{63B3BB69-23CF-44E3-9099-C40C66FF867C}">
                  <a14:compatExt spid="_x0000_s2153"/>
                </a:ext>
                <a:ext uri="{FF2B5EF4-FFF2-40B4-BE49-F238E27FC236}">
                  <a16:creationId xmlns:a16="http://schemas.microsoft.com/office/drawing/2014/main" id="{00000000-0008-0000-0700-00006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71</xdr:row>
          <xdr:rowOff>38100</xdr:rowOff>
        </xdr:from>
        <xdr:to>
          <xdr:col>30</xdr:col>
          <xdr:colOff>88900</xdr:colOff>
          <xdr:row>72</xdr:row>
          <xdr:rowOff>76200</xdr:rowOff>
        </xdr:to>
        <xdr:sp macro="" textlink="">
          <xdr:nvSpPr>
            <xdr:cNvPr id="2154" name="CheckBox63" hidden="1">
              <a:extLst>
                <a:ext uri="{63B3BB69-23CF-44E3-9099-C40C66FF867C}">
                  <a14:compatExt spid="_x0000_s2154"/>
                </a:ext>
                <a:ext uri="{FF2B5EF4-FFF2-40B4-BE49-F238E27FC236}">
                  <a16:creationId xmlns:a16="http://schemas.microsoft.com/office/drawing/2014/main" id="{00000000-0008-0000-0700-00006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73</xdr:row>
          <xdr:rowOff>38100</xdr:rowOff>
        </xdr:from>
        <xdr:to>
          <xdr:col>30</xdr:col>
          <xdr:colOff>88900</xdr:colOff>
          <xdr:row>74</xdr:row>
          <xdr:rowOff>76200</xdr:rowOff>
        </xdr:to>
        <xdr:sp macro="" textlink="">
          <xdr:nvSpPr>
            <xdr:cNvPr id="2155" name="CheckBox64" hidden="1">
              <a:extLst>
                <a:ext uri="{63B3BB69-23CF-44E3-9099-C40C66FF867C}">
                  <a14:compatExt spid="_x0000_s2155"/>
                </a:ext>
                <a:ext uri="{FF2B5EF4-FFF2-40B4-BE49-F238E27FC236}">
                  <a16:creationId xmlns:a16="http://schemas.microsoft.com/office/drawing/2014/main" id="{00000000-0008-0000-0700-00006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75</xdr:row>
          <xdr:rowOff>38100</xdr:rowOff>
        </xdr:from>
        <xdr:to>
          <xdr:col>30</xdr:col>
          <xdr:colOff>88900</xdr:colOff>
          <xdr:row>76</xdr:row>
          <xdr:rowOff>76200</xdr:rowOff>
        </xdr:to>
        <xdr:sp macro="" textlink="">
          <xdr:nvSpPr>
            <xdr:cNvPr id="2156" name="CheckBox65" hidden="1">
              <a:extLst>
                <a:ext uri="{63B3BB69-23CF-44E3-9099-C40C66FF867C}">
                  <a14:compatExt spid="_x0000_s2156"/>
                </a:ext>
                <a:ext uri="{FF2B5EF4-FFF2-40B4-BE49-F238E27FC236}">
                  <a16:creationId xmlns:a16="http://schemas.microsoft.com/office/drawing/2014/main" id="{00000000-0008-0000-0700-00006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18</xdr:col>
      <xdr:colOff>437284</xdr:colOff>
      <xdr:row>1</xdr:row>
      <xdr:rowOff>123825</xdr:rowOff>
    </xdr:from>
    <xdr:to>
      <xdr:col>21</xdr:col>
      <xdr:colOff>117290</xdr:colOff>
      <xdr:row>1</xdr:row>
      <xdr:rowOff>466725</xdr:rowOff>
    </xdr:to>
    <xdr:sp macro="[0]!IndustrialContinue" textlink="">
      <xdr:nvSpPr>
        <xdr:cNvPr id="17410" name="AutoShape 2">
          <a:extLst>
            <a:ext uri="{FF2B5EF4-FFF2-40B4-BE49-F238E27FC236}">
              <a16:creationId xmlns:a16="http://schemas.microsoft.com/office/drawing/2014/main" id="{00000000-0008-0000-0800-000002440000}"/>
            </a:ext>
          </a:extLst>
        </xdr:cNvPr>
        <xdr:cNvSpPr>
          <a:spLocks noChangeArrowheads="1"/>
        </xdr:cNvSpPr>
      </xdr:nvSpPr>
      <xdr:spPr bwMode="auto">
        <a:xfrm>
          <a:off x="7524750" y="409575"/>
          <a:ext cx="971550" cy="342900"/>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110432</xdr:colOff>
      <xdr:row>1</xdr:row>
      <xdr:rowOff>85725</xdr:rowOff>
    </xdr:from>
    <xdr:to>
      <xdr:col>4</xdr:col>
      <xdr:colOff>38651</xdr:colOff>
      <xdr:row>2</xdr:row>
      <xdr:rowOff>55979</xdr:rowOff>
    </xdr:to>
    <xdr:sp macro="[0]!IndWWPoultrySources" textlink="">
      <xdr:nvSpPr>
        <xdr:cNvPr id="17411" name="Oval 3">
          <a:extLst>
            <a:ext uri="{FF2B5EF4-FFF2-40B4-BE49-F238E27FC236}">
              <a16:creationId xmlns:a16="http://schemas.microsoft.com/office/drawing/2014/main" id="{00000000-0008-0000-0800-000003440000}"/>
            </a:ext>
          </a:extLst>
        </xdr:cNvPr>
        <xdr:cNvSpPr>
          <a:spLocks noChangeArrowheads="1"/>
        </xdr:cNvSpPr>
      </xdr:nvSpPr>
      <xdr:spPr bwMode="auto">
        <a:xfrm>
          <a:off x="104775" y="371475"/>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179647</xdr:colOff>
      <xdr:row>1</xdr:row>
      <xdr:rowOff>73025</xdr:rowOff>
    </xdr:from>
    <xdr:to>
      <xdr:col>18</xdr:col>
      <xdr:colOff>165675</xdr:colOff>
      <xdr:row>2</xdr:row>
      <xdr:rowOff>76227</xdr:rowOff>
    </xdr:to>
    <xdr:sp macro="" textlink="">
      <xdr:nvSpPr>
        <xdr:cNvPr id="17412" name="Text Box 4">
          <a:extLst>
            <a:ext uri="{FF2B5EF4-FFF2-40B4-BE49-F238E27FC236}">
              <a16:creationId xmlns:a16="http://schemas.microsoft.com/office/drawing/2014/main" id="{00000000-0008-0000-0800-000004440000}"/>
            </a:ext>
          </a:extLst>
        </xdr:cNvPr>
        <xdr:cNvSpPr txBox="1">
          <a:spLocks noChangeArrowheads="1"/>
        </xdr:cNvSpPr>
      </xdr:nvSpPr>
      <xdr:spPr bwMode="auto">
        <a:xfrm>
          <a:off x="1590675" y="352425"/>
          <a:ext cx="5486400" cy="7524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poultry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18</xdr:col>
          <xdr:colOff>457200</xdr:colOff>
          <xdr:row>1</xdr:row>
          <xdr:rowOff>533400</xdr:rowOff>
        </xdr:from>
        <xdr:to>
          <xdr:col>20</xdr:col>
          <xdr:colOff>342900</xdr:colOff>
          <xdr:row>2</xdr:row>
          <xdr:rowOff>38100</xdr:rowOff>
        </xdr:to>
        <xdr:sp macro="" textlink="">
          <xdr:nvSpPr>
            <xdr:cNvPr id="17409" name="CommandButton2" hidden="1">
              <a:extLst>
                <a:ext uri="{63B3BB69-23CF-44E3-9099-C40C66FF867C}">
                  <a14:compatExt spid="_x0000_s17409"/>
                </a:ext>
                <a:ext uri="{FF2B5EF4-FFF2-40B4-BE49-F238E27FC236}">
                  <a16:creationId xmlns:a16="http://schemas.microsoft.com/office/drawing/2014/main" id="{00000000-0008-0000-0800-000001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18</xdr:col>
      <xdr:colOff>94499</xdr:colOff>
      <xdr:row>1</xdr:row>
      <xdr:rowOff>131444</xdr:rowOff>
    </xdr:from>
    <xdr:to>
      <xdr:col>21</xdr:col>
      <xdr:colOff>393537</xdr:colOff>
      <xdr:row>1</xdr:row>
      <xdr:rowOff>502919</xdr:rowOff>
    </xdr:to>
    <xdr:sp macro="[0]!IndustrialContinue" textlink="">
      <xdr:nvSpPr>
        <xdr:cNvPr id="3091" name="AutoShape 19">
          <a:extLst>
            <a:ext uri="{FF2B5EF4-FFF2-40B4-BE49-F238E27FC236}">
              <a16:creationId xmlns:a16="http://schemas.microsoft.com/office/drawing/2014/main" id="{00000000-0008-0000-0900-0000130C0000}"/>
            </a:ext>
          </a:extLst>
        </xdr:cNvPr>
        <xdr:cNvSpPr>
          <a:spLocks noChangeArrowheads="1"/>
        </xdr:cNvSpPr>
      </xdr:nvSpPr>
      <xdr:spPr bwMode="auto">
        <a:xfrm>
          <a:off x="7554479" y="413384"/>
          <a:ext cx="1251538" cy="371475"/>
        </a:xfrm>
        <a:prstGeom prst="homePlate">
          <a:avLst>
            <a:gd name="adj" fmla="val 87500"/>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156152</xdr:colOff>
      <xdr:row>1</xdr:row>
      <xdr:rowOff>114300</xdr:rowOff>
    </xdr:from>
    <xdr:to>
      <xdr:col>4</xdr:col>
      <xdr:colOff>156152</xdr:colOff>
      <xdr:row>1</xdr:row>
      <xdr:rowOff>811571</xdr:rowOff>
    </xdr:to>
    <xdr:sp macro="[0]!IndWWPPSources" textlink="">
      <xdr:nvSpPr>
        <xdr:cNvPr id="3092" name="Oval 20">
          <a:extLst>
            <a:ext uri="{FF2B5EF4-FFF2-40B4-BE49-F238E27FC236}">
              <a16:creationId xmlns:a16="http://schemas.microsoft.com/office/drawing/2014/main" id="{00000000-0008-0000-0900-0000140C0000}"/>
            </a:ext>
          </a:extLst>
        </xdr:cNvPr>
        <xdr:cNvSpPr>
          <a:spLocks noChangeArrowheads="1"/>
        </xdr:cNvSpPr>
      </xdr:nvSpPr>
      <xdr:spPr bwMode="auto">
        <a:xfrm>
          <a:off x="152400" y="400050"/>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5</xdr:col>
      <xdr:colOff>111644</xdr:colOff>
      <xdr:row>1</xdr:row>
      <xdr:rowOff>85725</xdr:rowOff>
    </xdr:from>
    <xdr:to>
      <xdr:col>17</xdr:col>
      <xdr:colOff>956484</xdr:colOff>
      <xdr:row>2</xdr:row>
      <xdr:rowOff>47625</xdr:rowOff>
    </xdr:to>
    <xdr:sp macro="" textlink="">
      <xdr:nvSpPr>
        <xdr:cNvPr id="3093" name="Text Box 21">
          <a:extLst>
            <a:ext uri="{FF2B5EF4-FFF2-40B4-BE49-F238E27FC236}">
              <a16:creationId xmlns:a16="http://schemas.microsoft.com/office/drawing/2014/main" id="{00000000-0008-0000-0900-0000150C0000}"/>
            </a:ext>
          </a:extLst>
        </xdr:cNvPr>
        <xdr:cNvSpPr txBox="1">
          <a:spLocks noChangeArrowheads="1"/>
        </xdr:cNvSpPr>
      </xdr:nvSpPr>
      <xdr:spPr bwMode="auto">
        <a:xfrm>
          <a:off x="1685925" y="371475"/>
          <a:ext cx="5486400" cy="85725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pulp and paper production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18</xdr:col>
          <xdr:colOff>114300</xdr:colOff>
          <xdr:row>1</xdr:row>
          <xdr:rowOff>571500</xdr:rowOff>
        </xdr:from>
        <xdr:to>
          <xdr:col>21</xdr:col>
          <xdr:colOff>114300</xdr:colOff>
          <xdr:row>1</xdr:row>
          <xdr:rowOff>812800</xdr:rowOff>
        </xdr:to>
        <xdr:sp macro="" textlink="">
          <xdr:nvSpPr>
            <xdr:cNvPr id="3090" name="CommandButton2"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9</xdr:col>
      <xdr:colOff>83820</xdr:colOff>
      <xdr:row>28</xdr:row>
      <xdr:rowOff>45720</xdr:rowOff>
    </xdr:from>
    <xdr:to>
      <xdr:col>18</xdr:col>
      <xdr:colOff>457200</xdr:colOff>
      <xdr:row>47</xdr:row>
      <xdr:rowOff>129540</xdr:rowOff>
    </xdr:to>
    <xdr:graphicFrame macro="">
      <xdr:nvGraphicFramePr>
        <xdr:cNvPr id="9843" name="Chart 1">
          <a:extLst>
            <a:ext uri="{FF2B5EF4-FFF2-40B4-BE49-F238E27FC236}">
              <a16:creationId xmlns:a16="http://schemas.microsoft.com/office/drawing/2014/main" id="{00000000-0008-0000-0A00-000073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45720</xdr:rowOff>
    </xdr:from>
    <xdr:to>
      <xdr:col>8</xdr:col>
      <xdr:colOff>403860</xdr:colOff>
      <xdr:row>47</xdr:row>
      <xdr:rowOff>106680</xdr:rowOff>
    </xdr:to>
    <xdr:graphicFrame macro="">
      <xdr:nvGraphicFramePr>
        <xdr:cNvPr id="9844" name="Chart 2">
          <a:extLst>
            <a:ext uri="{FF2B5EF4-FFF2-40B4-BE49-F238E27FC236}">
              <a16:creationId xmlns:a16="http://schemas.microsoft.com/office/drawing/2014/main" id="{00000000-0008-0000-0A00-000074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0</xdr:row>
      <xdr:rowOff>73025</xdr:rowOff>
    </xdr:from>
    <xdr:to>
      <xdr:col>7</xdr:col>
      <xdr:colOff>559333</xdr:colOff>
      <xdr:row>0</xdr:row>
      <xdr:rowOff>497339</xdr:rowOff>
    </xdr:to>
    <xdr:sp macro="[0]!gotocontrol" textlink="">
      <xdr:nvSpPr>
        <xdr:cNvPr id="9224" name="AutoShape 8">
          <a:extLst>
            <a:ext uri="{FF2B5EF4-FFF2-40B4-BE49-F238E27FC236}">
              <a16:creationId xmlns:a16="http://schemas.microsoft.com/office/drawing/2014/main" id="{00000000-0008-0000-0A00-000008240000}"/>
            </a:ext>
          </a:extLst>
        </xdr:cNvPr>
        <xdr:cNvSpPr>
          <a:spLocks noChangeArrowheads="1"/>
        </xdr:cNvSpPr>
      </xdr:nvSpPr>
      <xdr:spPr bwMode="auto">
        <a:xfrm flipH="1">
          <a:off x="4286250" y="66675"/>
          <a:ext cx="1095375" cy="438150"/>
        </a:xfrm>
        <a:prstGeom prst="homePlate">
          <a:avLst>
            <a:gd name="adj" fmla="val 62500"/>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Return to Control Sheet</a:t>
          </a:r>
        </a:p>
      </xdr:txBody>
    </xdr:sp>
    <xdr:clientData/>
  </xdr:twoCellAnchor>
  <xdr:twoCellAnchor>
    <xdr:from>
      <xdr:col>8</xdr:col>
      <xdr:colOff>1212</xdr:colOff>
      <xdr:row>0</xdr:row>
      <xdr:rowOff>73025</xdr:rowOff>
    </xdr:from>
    <xdr:to>
      <xdr:col>10</xdr:col>
      <xdr:colOff>236134</xdr:colOff>
      <xdr:row>0</xdr:row>
      <xdr:rowOff>497339</xdr:rowOff>
    </xdr:to>
    <xdr:sp macro="[0]!GotoUncertainty" textlink="">
      <xdr:nvSpPr>
        <xdr:cNvPr id="9225" name="AutoShape 9">
          <a:extLst>
            <a:ext uri="{FF2B5EF4-FFF2-40B4-BE49-F238E27FC236}">
              <a16:creationId xmlns:a16="http://schemas.microsoft.com/office/drawing/2014/main" id="{00000000-0008-0000-0A00-000009240000}"/>
            </a:ext>
          </a:extLst>
        </xdr:cNvPr>
        <xdr:cNvSpPr>
          <a:spLocks noChangeArrowheads="1"/>
        </xdr:cNvSpPr>
      </xdr:nvSpPr>
      <xdr:spPr bwMode="auto">
        <a:xfrm>
          <a:off x="5438775" y="66675"/>
          <a:ext cx="1447800" cy="438150"/>
        </a:xfrm>
        <a:prstGeom prst="homePlate">
          <a:avLst>
            <a:gd name="adj" fmla="val 82609"/>
          </a:avLst>
        </a:prstGeom>
        <a:solidFill>
          <a:srgbClr val="C0C0C0"/>
        </a:solidFill>
        <a:ln w="3175">
          <a:solidFill>
            <a:srgbClr val="000000"/>
          </a:solidFill>
          <a:miter lim="800000"/>
          <a:headEnd/>
          <a:tailEnd/>
        </a:ln>
        <a:effectLst/>
      </xdr:spPr>
      <xdr:txBody>
        <a:bodyPr vertOverflow="clip" wrap="square" lIns="27432" tIns="22860" rIns="27432" bIns="22860" anchor="ctr" upright="1"/>
        <a:lstStyle/>
        <a:p>
          <a:pPr algn="ctr" rtl="0">
            <a:defRPr sz="1000"/>
          </a:pPr>
          <a:r>
            <a:rPr lang="en-US" sz="800" b="0" i="0" strike="noStrike">
              <a:solidFill>
                <a:srgbClr val="000000"/>
              </a:solidFill>
              <a:latin typeface="Arial"/>
              <a:cs typeface="Arial"/>
            </a:rPr>
            <a:t>Review discussion of uncertainty associated with these results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Control"/>
  <dimension ref="A1:AF108"/>
  <sheetViews>
    <sheetView showGridLines="0" tabSelected="1" zoomScale="94" zoomScaleNormal="100" workbookViewId="0">
      <selection activeCell="I16" sqref="I16"/>
    </sheetView>
  </sheetViews>
  <sheetFormatPr baseColWidth="10" defaultColWidth="8" defaultRowHeight="11.25" customHeight="1"/>
  <cols>
    <col min="1" max="1" width="3.5" style="2" customWidth="1"/>
    <col min="2" max="2" width="32" style="2" customWidth="1"/>
    <col min="3" max="3" width="17" style="2" customWidth="1"/>
    <col min="4" max="4" width="8.83203125" style="7" customWidth="1"/>
    <col min="5" max="5" width="4.5" style="2" customWidth="1"/>
    <col min="6" max="6" width="14.1640625" style="2" customWidth="1"/>
    <col min="7" max="7" width="15.1640625" style="2" customWidth="1"/>
    <col min="8" max="14" width="8.83203125" style="2" customWidth="1"/>
    <col min="15" max="15" width="10.83203125" style="2" customWidth="1"/>
    <col min="16" max="29" width="8" style="2" customWidth="1"/>
    <col min="30" max="30" width="8.83203125" style="7" customWidth="1"/>
    <col min="31" max="31" width="10" style="2" customWidth="1"/>
    <col min="32" max="16384" width="8" style="2"/>
  </cols>
  <sheetData>
    <row r="1" spans="1:31" ht="42" customHeight="1">
      <c r="A1" s="263" t="s">
        <v>324</v>
      </c>
      <c r="B1" s="264"/>
      <c r="C1" s="264"/>
      <c r="D1" s="264"/>
      <c r="E1" s="264"/>
      <c r="F1" s="264"/>
      <c r="G1" s="264"/>
      <c r="AD1" s="2"/>
    </row>
    <row r="2" spans="1:31" ht="16" customHeight="1">
      <c r="A2" s="62" t="s">
        <v>325</v>
      </c>
    </row>
    <row r="3" spans="1:31" ht="6.75" customHeight="1">
      <c r="A3" s="3"/>
      <c r="B3" s="4"/>
      <c r="C3" s="4"/>
      <c r="D3" s="2"/>
      <c r="AB3" s="3"/>
      <c r="AC3" s="4"/>
      <c r="AD3" s="2"/>
    </row>
    <row r="4" spans="1:31" ht="6.75" customHeight="1">
      <c r="A4" s="111"/>
      <c r="C4" s="89"/>
      <c r="D4" s="2"/>
      <c r="F4" s="29"/>
      <c r="AB4" s="3"/>
      <c r="AC4" s="4"/>
      <c r="AD4" s="2"/>
    </row>
    <row r="5" spans="1:31" ht="12.75" customHeight="1">
      <c r="A5" s="185" t="s">
        <v>0</v>
      </c>
      <c r="C5" s="89"/>
      <c r="D5" s="2"/>
      <c r="AB5" s="3"/>
      <c r="AC5" s="4"/>
      <c r="AD5" s="2"/>
    </row>
    <row r="6" spans="1:31" ht="12.75" customHeight="1">
      <c r="A6" s="29"/>
      <c r="B6" s="91" t="s">
        <v>1</v>
      </c>
      <c r="C6" s="89"/>
      <c r="D6" s="2"/>
      <c r="F6" s="4"/>
      <c r="AB6" s="3"/>
      <c r="AC6" s="4"/>
      <c r="AD6" s="2"/>
    </row>
    <row r="7" spans="1:31" ht="12.75" customHeight="1">
      <c r="A7" s="29"/>
      <c r="B7" s="93" t="s">
        <v>2</v>
      </c>
      <c r="C7" s="90"/>
      <c r="D7" s="2"/>
      <c r="AB7" s="3"/>
      <c r="AC7" s="4"/>
      <c r="AD7" s="2"/>
    </row>
    <row r="8" spans="1:31" ht="12.75" customHeight="1">
      <c r="A8" s="29"/>
      <c r="B8" s="93" t="s">
        <v>3</v>
      </c>
      <c r="C8" s="90"/>
      <c r="D8" s="2"/>
      <c r="AB8" s="3"/>
      <c r="AC8" s="4"/>
      <c r="AD8" s="2"/>
    </row>
    <row r="9" spans="1:31" ht="12.75" customHeight="1">
      <c r="A9" s="29"/>
      <c r="B9" s="93" t="s">
        <v>4</v>
      </c>
      <c r="C9" s="90"/>
      <c r="D9" s="2"/>
      <c r="AB9" s="3"/>
      <c r="AC9" s="4"/>
      <c r="AD9" s="2"/>
    </row>
    <row r="10" spans="1:31" ht="12.75" customHeight="1">
      <c r="A10" s="29"/>
      <c r="B10" s="93" t="s">
        <v>5</v>
      </c>
      <c r="C10" s="90"/>
      <c r="D10" s="2"/>
      <c r="AB10" s="3"/>
      <c r="AC10" s="4"/>
      <c r="AD10" s="2"/>
    </row>
    <row r="11" spans="1:31" ht="11.25" customHeight="1">
      <c r="A11" s="3"/>
      <c r="B11" s="9"/>
      <c r="C11" s="4"/>
      <c r="E11" s="7"/>
      <c r="H11" s="18"/>
      <c r="I11" s="18"/>
      <c r="J11" s="18"/>
      <c r="K11" s="18"/>
      <c r="L11" s="18"/>
      <c r="M11" s="18"/>
      <c r="AE11" s="7"/>
    </row>
    <row r="12" spans="1:31" ht="11.25" customHeight="1">
      <c r="A12" s="3" t="s">
        <v>6</v>
      </c>
      <c r="D12" s="11"/>
      <c r="H12" s="18"/>
      <c r="I12" s="18"/>
      <c r="J12" s="18"/>
      <c r="K12" s="18"/>
      <c r="L12" s="18"/>
      <c r="M12" s="18"/>
      <c r="AD12" s="11"/>
    </row>
    <row r="13" spans="1:31" ht="19.5" customHeight="1">
      <c r="A13" s="62" t="s">
        <v>7</v>
      </c>
      <c r="D13" s="2"/>
      <c r="AB13" s="3"/>
      <c r="AC13" s="4"/>
      <c r="AD13" s="2"/>
    </row>
    <row r="14" spans="1:31" ht="11.25" customHeight="1">
      <c r="A14" s="3"/>
      <c r="B14" s="4"/>
      <c r="C14" s="4"/>
      <c r="D14" s="2"/>
      <c r="AB14" s="3"/>
      <c r="AC14" s="4"/>
      <c r="AD14" s="2"/>
    </row>
    <row r="15" spans="1:31" ht="11.25" customHeight="1">
      <c r="A15" s="3" t="s">
        <v>8</v>
      </c>
      <c r="B15" s="4"/>
      <c r="C15" s="4"/>
      <c r="D15" s="2"/>
      <c r="AB15" s="3"/>
      <c r="AC15" s="4"/>
      <c r="AD15" s="2"/>
    </row>
    <row r="16" spans="1:31" ht="11.25" customHeight="1">
      <c r="B16" s="3"/>
      <c r="C16" s="3"/>
      <c r="D16" s="4"/>
      <c r="AC16" s="3"/>
      <c r="AD16" s="4"/>
    </row>
    <row r="17" spans="1:31" ht="11.25" customHeight="1">
      <c r="A17" s="5" t="s">
        <v>9</v>
      </c>
      <c r="B17" s="3"/>
      <c r="C17" s="3"/>
      <c r="D17" s="4"/>
      <c r="AC17" s="3"/>
      <c r="AD17" s="4"/>
    </row>
    <row r="18" spans="1:31" ht="21" customHeight="1">
      <c r="B18" s="25"/>
      <c r="C18" s="25"/>
      <c r="D18" s="6" t="s">
        <v>10</v>
      </c>
      <c r="E18" s="25"/>
      <c r="F18" s="6" t="s">
        <v>11</v>
      </c>
      <c r="G18" s="101" t="s">
        <v>12</v>
      </c>
      <c r="J18" s="25"/>
      <c r="AD18" s="5"/>
      <c r="AE18" s="7"/>
    </row>
    <row r="19" spans="1:31" ht="12.75" customHeight="1">
      <c r="B19" s="32" t="s">
        <v>13</v>
      </c>
      <c r="C19" s="32"/>
      <c r="D19" s="94">
        <v>0.09</v>
      </c>
      <c r="E19" s="32"/>
      <c r="F19" s="102"/>
      <c r="H19" s="207"/>
      <c r="AD19" s="8"/>
      <c r="AE19" s="7"/>
    </row>
    <row r="20" spans="1:31" ht="12.75" customHeight="1">
      <c r="B20" s="32" t="s">
        <v>14</v>
      </c>
      <c r="C20" s="32"/>
      <c r="D20" s="199">
        <f>0.05*D26+0.5*(1-D26)</f>
        <v>0.12650000000000003</v>
      </c>
      <c r="E20" s="32"/>
      <c r="F20" s="103"/>
      <c r="H20" s="207"/>
      <c r="J20" s="72"/>
      <c r="AD20" s="8"/>
      <c r="AE20" s="7"/>
    </row>
    <row r="21" spans="1:31" ht="12.75" customHeight="1">
      <c r="B21" s="32" t="s">
        <v>15</v>
      </c>
      <c r="C21" s="32"/>
      <c r="D21" s="94">
        <v>0.6</v>
      </c>
      <c r="E21" s="32"/>
      <c r="F21" s="102"/>
      <c r="H21" s="207"/>
      <c r="AD21" s="8"/>
      <c r="AE21" s="7"/>
    </row>
    <row r="22" spans="1:31" ht="12.75" customHeight="1">
      <c r="B22" s="8"/>
      <c r="C22" s="8"/>
      <c r="E22" s="8"/>
      <c r="F22" s="95"/>
      <c r="H22" s="207"/>
      <c r="AD22" s="2"/>
    </row>
    <row r="23" spans="1:31" ht="12.75" customHeight="1">
      <c r="A23" s="5" t="s">
        <v>16</v>
      </c>
      <c r="B23" s="3"/>
      <c r="C23" s="3"/>
      <c r="D23" s="4"/>
      <c r="E23" s="3"/>
      <c r="F23" s="96"/>
      <c r="H23" s="207"/>
      <c r="AD23" s="2"/>
      <c r="AE23" s="3"/>
    </row>
    <row r="24" spans="1:31" ht="12.75" customHeight="1">
      <c r="H24" s="207"/>
      <c r="AD24" s="5"/>
      <c r="AE24" s="7"/>
    </row>
    <row r="25" spans="1:31" ht="12.75" customHeight="1">
      <c r="B25" s="32" t="s">
        <v>17</v>
      </c>
      <c r="C25" s="32"/>
      <c r="D25" s="94">
        <v>1.75</v>
      </c>
      <c r="E25" s="32"/>
      <c r="F25" s="102"/>
      <c r="H25" s="207"/>
      <c r="AD25" s="8"/>
      <c r="AE25" s="7"/>
    </row>
    <row r="26" spans="1:31" ht="12.75" customHeight="1">
      <c r="B26" s="32" t="s">
        <v>18</v>
      </c>
      <c r="C26" s="32"/>
      <c r="D26" s="97">
        <v>0.83</v>
      </c>
      <c r="E26" s="32"/>
      <c r="F26" s="104"/>
      <c r="H26" s="207"/>
      <c r="J26" s="73"/>
      <c r="AD26" s="8"/>
      <c r="AE26" s="7"/>
    </row>
    <row r="27" spans="1:31" ht="12.75" customHeight="1">
      <c r="B27" s="32" t="s">
        <v>19</v>
      </c>
      <c r="C27" s="32"/>
      <c r="D27" s="138">
        <v>4</v>
      </c>
      <c r="E27" s="32"/>
      <c r="F27" s="141"/>
      <c r="H27" s="207"/>
      <c r="J27" s="73"/>
      <c r="AD27" s="8"/>
      <c r="AE27" s="7"/>
    </row>
    <row r="28" spans="1:31" ht="12.75" customHeight="1">
      <c r="D28" s="2"/>
      <c r="H28" s="207"/>
      <c r="J28" s="73"/>
      <c r="AD28" s="8"/>
      <c r="AE28" s="7"/>
    </row>
    <row r="29" spans="1:31" ht="12.75" customHeight="1">
      <c r="D29" s="2"/>
      <c r="H29" s="207"/>
      <c r="J29" s="73"/>
      <c r="AD29" s="8"/>
      <c r="AE29" s="7"/>
    </row>
    <row r="30" spans="1:31" ht="12.75" customHeight="1">
      <c r="A30" s="5" t="s">
        <v>20</v>
      </c>
      <c r="D30" s="2"/>
      <c r="H30" s="207"/>
      <c r="J30" s="73"/>
      <c r="AD30" s="8"/>
      <c r="AE30" s="7"/>
    </row>
    <row r="31" spans="1:31" ht="12.75" customHeight="1">
      <c r="A31" s="5"/>
      <c r="D31" s="2"/>
      <c r="H31" s="207"/>
      <c r="J31" s="73"/>
      <c r="AD31" s="8"/>
      <c r="AE31" s="7"/>
    </row>
    <row r="32" spans="1:31" ht="12.75" customHeight="1">
      <c r="B32" s="32" t="s">
        <v>21</v>
      </c>
      <c r="C32" s="32"/>
      <c r="D32" s="94">
        <v>5.0000000000000001E-3</v>
      </c>
      <c r="E32" s="32"/>
      <c r="F32" s="102"/>
      <c r="H32" s="207"/>
      <c r="J32" s="73"/>
      <c r="AD32" s="8"/>
      <c r="AE32" s="7"/>
    </row>
    <row r="33" spans="1:31" ht="12.75" customHeight="1">
      <c r="B33" s="32" t="s">
        <v>22</v>
      </c>
      <c r="C33" s="32"/>
      <c r="D33" s="97">
        <v>0.16</v>
      </c>
      <c r="E33" s="32"/>
      <c r="F33" s="104"/>
      <c r="H33" s="207"/>
      <c r="J33" s="73"/>
      <c r="AD33" s="8"/>
      <c r="AE33" s="7"/>
    </row>
    <row r="34" spans="1:31" ht="12.75" customHeight="1">
      <c r="B34" s="8"/>
      <c r="C34" s="8"/>
      <c r="D34" s="95"/>
      <c r="E34" s="8"/>
      <c r="F34" s="95"/>
      <c r="H34" s="207"/>
      <c r="AD34" s="2"/>
    </row>
    <row r="35" spans="1:31" ht="12.75" customHeight="1">
      <c r="A35" s="5" t="s">
        <v>23</v>
      </c>
      <c r="B35" s="3"/>
      <c r="C35" s="3"/>
      <c r="D35" s="96"/>
      <c r="E35" s="3"/>
      <c r="F35" s="96"/>
      <c r="H35" s="207"/>
      <c r="AD35" s="2"/>
      <c r="AE35" s="3"/>
    </row>
    <row r="36" spans="1:31" ht="12.75" customHeight="1">
      <c r="B36" s="25"/>
      <c r="C36" s="25"/>
      <c r="D36" s="6"/>
      <c r="E36" s="25"/>
      <c r="F36" s="6"/>
      <c r="H36" s="207"/>
      <c r="AD36" s="5"/>
      <c r="AE36" s="7"/>
    </row>
    <row r="37" spans="1:31" ht="12.75" customHeight="1">
      <c r="B37" s="32" t="s">
        <v>24</v>
      </c>
      <c r="C37" s="32"/>
      <c r="D37" s="261">
        <f>AVERAGE(10.27, 9.85,9.08,10.11,12.59,2.78)</f>
        <v>9.1133333333333315</v>
      </c>
      <c r="E37" s="32"/>
      <c r="F37" s="262"/>
      <c r="H37" s="207"/>
      <c r="AD37" s="8"/>
      <c r="AE37" s="7"/>
    </row>
    <row r="38" spans="1:31" ht="12.75" customHeight="1">
      <c r="B38" s="32" t="s">
        <v>25</v>
      </c>
      <c r="C38" s="32"/>
      <c r="D38" s="94">
        <v>5</v>
      </c>
      <c r="E38" s="32"/>
      <c r="F38" s="102"/>
      <c r="H38" s="207"/>
      <c r="AD38" s="8"/>
      <c r="AE38" s="7"/>
    </row>
    <row r="39" spans="1:31" ht="12.75" customHeight="1">
      <c r="B39" s="32" t="s">
        <v>26</v>
      </c>
      <c r="C39" s="32"/>
      <c r="D39" s="97">
        <v>0</v>
      </c>
      <c r="E39" s="32"/>
      <c r="F39" s="104"/>
      <c r="H39" s="207"/>
      <c r="AD39" s="8"/>
      <c r="AE39" s="7"/>
    </row>
    <row r="40" spans="1:31" ht="12.75" customHeight="1">
      <c r="B40" s="32" t="s">
        <v>27</v>
      </c>
      <c r="C40" s="32"/>
      <c r="D40" s="94">
        <v>0.25</v>
      </c>
      <c r="E40" s="32"/>
      <c r="F40" s="102"/>
      <c r="H40" s="207"/>
      <c r="AD40" s="8"/>
      <c r="AE40" s="7"/>
    </row>
    <row r="41" spans="1:31" ht="12.75" customHeight="1">
      <c r="B41" s="8"/>
      <c r="C41" s="8"/>
      <c r="D41" s="95"/>
      <c r="E41" s="8"/>
      <c r="F41" s="95"/>
      <c r="H41" s="207"/>
      <c r="AD41" s="2"/>
    </row>
    <row r="42" spans="1:31" ht="12.75" customHeight="1">
      <c r="A42" s="5" t="s">
        <v>28</v>
      </c>
      <c r="B42" s="3"/>
      <c r="C42" s="3"/>
      <c r="D42" s="96"/>
      <c r="E42" s="3"/>
      <c r="F42" s="96"/>
      <c r="H42" s="207"/>
      <c r="AD42" s="2"/>
      <c r="AE42" s="3"/>
    </row>
    <row r="43" spans="1:31" ht="12.75" customHeight="1">
      <c r="B43" s="25"/>
      <c r="C43" s="25"/>
      <c r="D43" s="6"/>
      <c r="E43" s="25"/>
      <c r="F43" s="6"/>
      <c r="H43" s="207"/>
      <c r="AD43" s="5"/>
      <c r="AE43" s="7"/>
    </row>
    <row r="44" spans="1:31" ht="12.75" customHeight="1">
      <c r="B44" s="32" t="s">
        <v>29</v>
      </c>
      <c r="C44" s="32"/>
      <c r="D44" s="94">
        <v>5.3</v>
      </c>
      <c r="E44" s="32"/>
      <c r="F44" s="102"/>
      <c r="H44" s="207"/>
      <c r="AD44" s="8"/>
      <c r="AE44" s="7"/>
    </row>
    <row r="45" spans="1:31" ht="12.75" customHeight="1">
      <c r="B45" s="32" t="s">
        <v>25</v>
      </c>
      <c r="C45" s="32"/>
      <c r="D45" s="94">
        <v>4.0999999999999996</v>
      </c>
      <c r="E45" s="32"/>
      <c r="F45" s="102"/>
      <c r="H45" s="207"/>
      <c r="AD45" s="8"/>
      <c r="AE45" s="7"/>
    </row>
    <row r="46" spans="1:31" ht="12.75" customHeight="1">
      <c r="B46" s="32" t="s">
        <v>26</v>
      </c>
      <c r="C46" s="32"/>
      <c r="D46" s="97">
        <v>0.33</v>
      </c>
      <c r="E46" s="32"/>
      <c r="F46" s="104"/>
      <c r="H46" s="207"/>
      <c r="AD46" s="8"/>
      <c r="AE46" s="7"/>
    </row>
    <row r="47" spans="1:31" ht="12.75" customHeight="1">
      <c r="B47" s="32" t="s">
        <v>27</v>
      </c>
      <c r="C47" s="32"/>
      <c r="D47" s="94">
        <v>0.25</v>
      </c>
      <c r="E47" s="32"/>
      <c r="F47" s="102"/>
      <c r="H47" s="207"/>
      <c r="AD47" s="8"/>
      <c r="AE47" s="7"/>
    </row>
    <row r="48" spans="1:31" ht="12.75" customHeight="1">
      <c r="B48" s="3"/>
      <c r="C48" s="3"/>
      <c r="D48" s="96"/>
      <c r="E48" s="3"/>
      <c r="F48" s="96"/>
      <c r="H48" s="207"/>
      <c r="AD48" s="2"/>
      <c r="AE48" s="3"/>
    </row>
    <row r="49" spans="1:31" ht="12.75" customHeight="1">
      <c r="A49" s="5" t="s">
        <v>30</v>
      </c>
      <c r="B49" s="3"/>
      <c r="C49" s="3"/>
      <c r="D49" s="96"/>
      <c r="E49" s="3"/>
      <c r="F49" s="96"/>
      <c r="H49" s="207"/>
      <c r="AD49" s="2"/>
      <c r="AE49" s="3"/>
    </row>
    <row r="50" spans="1:31" ht="12.75" customHeight="1">
      <c r="B50" s="32" t="s">
        <v>31</v>
      </c>
      <c r="C50" s="32"/>
      <c r="D50" s="94">
        <v>12.5</v>
      </c>
      <c r="E50" s="32"/>
      <c r="F50" s="102"/>
      <c r="H50" s="207"/>
      <c r="AD50" s="8"/>
      <c r="AE50" s="7"/>
    </row>
    <row r="51" spans="1:31" ht="12.75" customHeight="1">
      <c r="B51" s="32" t="s">
        <v>25</v>
      </c>
      <c r="C51" s="32"/>
      <c r="D51" s="94">
        <v>4.0999999999999996</v>
      </c>
      <c r="E51" s="32"/>
      <c r="F51" s="102"/>
      <c r="H51" s="207"/>
      <c r="AD51" s="8"/>
      <c r="AE51" s="7"/>
    </row>
    <row r="52" spans="1:31" ht="12.75" customHeight="1">
      <c r="B52" s="32" t="s">
        <v>26</v>
      </c>
      <c r="C52" s="32"/>
      <c r="D52" s="97">
        <v>0.25</v>
      </c>
      <c r="E52" s="32"/>
      <c r="F52" s="104"/>
      <c r="H52" s="207"/>
      <c r="AD52" s="8"/>
      <c r="AE52" s="7"/>
    </row>
    <row r="53" spans="1:31" ht="12.75" customHeight="1">
      <c r="B53" s="32" t="s">
        <v>27</v>
      </c>
      <c r="C53" s="32"/>
      <c r="D53" s="94">
        <v>0.25</v>
      </c>
      <c r="E53" s="32"/>
      <c r="F53" s="102"/>
      <c r="H53" s="207"/>
      <c r="AD53" s="8"/>
      <c r="AE53" s="7"/>
    </row>
    <row r="54" spans="1:31" ht="12.75" customHeight="1">
      <c r="B54" s="3"/>
      <c r="C54" s="3"/>
      <c r="D54" s="96"/>
      <c r="E54" s="3"/>
      <c r="F54" s="96"/>
      <c r="H54" s="207"/>
      <c r="AD54" s="2"/>
      <c r="AE54" s="3"/>
    </row>
    <row r="55" spans="1:31" ht="12.75" customHeight="1">
      <c r="A55" s="5" t="s">
        <v>32</v>
      </c>
      <c r="B55" s="3"/>
      <c r="C55" s="3"/>
      <c r="D55" s="96"/>
      <c r="E55" s="3"/>
      <c r="F55" s="96"/>
      <c r="H55" s="207"/>
      <c r="AD55" s="2"/>
      <c r="AE55" s="3"/>
    </row>
    <row r="56" spans="1:31" ht="12.75" customHeight="1">
      <c r="B56" s="25"/>
      <c r="C56" s="25"/>
      <c r="D56" s="6"/>
      <c r="E56" s="25"/>
      <c r="F56" s="6"/>
      <c r="H56" s="207"/>
      <c r="AD56" s="5"/>
      <c r="AE56" s="7"/>
    </row>
    <row r="57" spans="1:31" ht="12.75" customHeight="1">
      <c r="B57" s="32" t="s">
        <v>24</v>
      </c>
      <c r="C57" s="32"/>
      <c r="D57" s="94">
        <v>39</v>
      </c>
      <c r="E57" s="32"/>
      <c r="F57" s="102"/>
      <c r="H57" s="207"/>
      <c r="AD57" s="8"/>
      <c r="AE57" s="7"/>
    </row>
    <row r="58" spans="1:31" ht="12.75" customHeight="1">
      <c r="B58" s="32" t="s">
        <v>33</v>
      </c>
      <c r="C58" s="32"/>
      <c r="D58" s="94">
        <v>0.3</v>
      </c>
      <c r="E58" s="32"/>
      <c r="F58" s="102"/>
      <c r="H58" s="207"/>
      <c r="AD58" s="8"/>
      <c r="AE58" s="7"/>
    </row>
    <row r="59" spans="1:31" ht="12.75" customHeight="1">
      <c r="B59" s="32" t="s">
        <v>34</v>
      </c>
      <c r="C59" s="32"/>
      <c r="D59" s="133">
        <v>5.1999999999999998E-2</v>
      </c>
      <c r="E59" s="32"/>
      <c r="F59" s="105"/>
      <c r="H59" s="207"/>
      <c r="AD59" s="8"/>
      <c r="AE59" s="7"/>
    </row>
    <row r="60" spans="1:31" ht="12.75" customHeight="1">
      <c r="B60" s="32" t="s">
        <v>35</v>
      </c>
      <c r="C60" s="32"/>
      <c r="D60" s="94">
        <v>0.6</v>
      </c>
      <c r="E60" s="32"/>
      <c r="F60" s="102"/>
      <c r="H60" s="207"/>
      <c r="AD60" s="2"/>
    </row>
    <row r="61" spans="1:31" ht="11">
      <c r="D61" s="11"/>
      <c r="H61" s="207"/>
      <c r="I61" s="18"/>
      <c r="J61" s="18"/>
      <c r="K61" s="18"/>
      <c r="M61" s="18"/>
      <c r="AD61" s="11"/>
    </row>
    <row r="62" spans="1:31" ht="11.25" hidden="1" customHeight="1">
      <c r="A62" s="3"/>
      <c r="B62" s="4"/>
      <c r="C62" s="4"/>
      <c r="D62" s="2"/>
      <c r="H62" s="207"/>
      <c r="AB62" s="3"/>
      <c r="AC62" s="4"/>
      <c r="AD62" s="2"/>
    </row>
    <row r="63" spans="1:31" ht="11.25" hidden="1" customHeight="1">
      <c r="H63" s="207"/>
      <c r="AC63" s="3"/>
      <c r="AD63" s="4"/>
    </row>
    <row r="64" spans="1:31" ht="11.25" hidden="1" customHeight="1">
      <c r="A64" s="28"/>
      <c r="H64" s="207"/>
      <c r="AC64" s="3"/>
      <c r="AD64" s="4"/>
    </row>
    <row r="65" spans="1:32" ht="11.25" hidden="1" customHeight="1">
      <c r="H65" s="207"/>
      <c r="AB65" s="5"/>
      <c r="AC65" s="7"/>
      <c r="AD65" s="6"/>
    </row>
    <row r="66" spans="1:32" ht="11.25" hidden="1" customHeight="1">
      <c r="H66" s="207"/>
      <c r="AB66" s="5"/>
      <c r="AC66" s="7"/>
      <c r="AD66" s="6"/>
    </row>
    <row r="67" spans="1:32" ht="12.75" hidden="1" customHeight="1">
      <c r="H67" s="207"/>
      <c r="AB67" s="5"/>
      <c r="AC67" s="7"/>
      <c r="AD67" s="98"/>
    </row>
    <row r="68" spans="1:32" ht="12.75" hidden="1" customHeight="1">
      <c r="H68" s="207"/>
      <c r="AB68" s="5"/>
      <c r="AC68" s="7"/>
      <c r="AD68" s="98"/>
    </row>
    <row r="69" spans="1:32" ht="12.75" hidden="1" customHeight="1">
      <c r="H69" s="207"/>
      <c r="AB69" s="8"/>
      <c r="AC69" s="7"/>
      <c r="AD69" s="99"/>
    </row>
    <row r="70" spans="1:32" ht="12.75" hidden="1" customHeight="1">
      <c r="H70" s="207"/>
      <c r="AB70" s="8"/>
      <c r="AC70" s="7"/>
      <c r="AD70" s="99"/>
    </row>
    <row r="71" spans="1:32" ht="12.75" hidden="1" customHeight="1">
      <c r="H71" s="207"/>
      <c r="AB71" s="8"/>
      <c r="AC71" s="7"/>
      <c r="AD71" s="100"/>
    </row>
    <row r="72" spans="1:32" ht="12.75" hidden="1" customHeight="1">
      <c r="H72" s="207"/>
      <c r="AB72" s="8"/>
      <c r="AC72" s="7"/>
      <c r="AD72" s="81"/>
    </row>
    <row r="73" spans="1:32" ht="12.75" hidden="1" customHeight="1">
      <c r="E73" s="4"/>
      <c r="H73" s="207"/>
      <c r="AC73" s="9"/>
      <c r="AD73" s="81"/>
      <c r="AE73" s="10"/>
    </row>
    <row r="74" spans="1:32" ht="12.75" hidden="1" customHeight="1">
      <c r="E74" s="4"/>
      <c r="H74" s="207"/>
      <c r="AC74" s="9"/>
      <c r="AD74" s="81"/>
      <c r="AE74" s="10"/>
    </row>
    <row r="75" spans="1:32" ht="11.25" hidden="1" customHeight="1">
      <c r="H75" s="207"/>
    </row>
    <row r="76" spans="1:32" ht="11.25" customHeight="1">
      <c r="B76" s="51"/>
      <c r="C76" s="51"/>
      <c r="H76" s="207"/>
    </row>
    <row r="77" spans="1:32" ht="11.25" customHeight="1">
      <c r="A77" s="3" t="s">
        <v>36</v>
      </c>
      <c r="B77" s="3"/>
      <c r="C77" s="3"/>
      <c r="D77" s="2"/>
      <c r="E77" s="14"/>
      <c r="F77" s="15"/>
      <c r="H77" s="207"/>
      <c r="K77" s="18"/>
      <c r="AC77" s="12"/>
      <c r="AD77" s="2"/>
      <c r="AE77" s="14"/>
      <c r="AF77" s="15"/>
    </row>
    <row r="78" spans="1:32" ht="11.25" customHeight="1">
      <c r="B78" s="12"/>
      <c r="C78" s="12"/>
      <c r="D78" s="13"/>
      <c r="H78" s="207"/>
      <c r="I78" s="26"/>
      <c r="J78" s="18"/>
      <c r="K78" s="18"/>
      <c r="AD78" s="13"/>
    </row>
    <row r="79" spans="1:32" ht="11.25" customHeight="1">
      <c r="F79" s="18"/>
      <c r="G79" s="18"/>
      <c r="H79" s="207"/>
      <c r="I79" s="18"/>
      <c r="J79" s="18"/>
      <c r="K79" s="18"/>
      <c r="N79" s="18"/>
      <c r="O79" s="18"/>
    </row>
    <row r="80" spans="1:32" ht="11.25" customHeight="1">
      <c r="B80" s="16"/>
      <c r="C80" s="16"/>
      <c r="D80" s="17"/>
      <c r="F80" s="18"/>
      <c r="G80" s="18"/>
      <c r="H80" s="207"/>
      <c r="I80" s="18"/>
      <c r="J80" s="18"/>
      <c r="K80" s="18"/>
      <c r="L80" s="18"/>
      <c r="M80" s="18"/>
      <c r="N80" s="18"/>
      <c r="O80" s="18"/>
      <c r="AD80" s="17"/>
    </row>
    <row r="81" spans="1:30" ht="11.25" customHeight="1">
      <c r="B81" s="16"/>
      <c r="C81" s="16"/>
      <c r="D81" s="17"/>
      <c r="F81" s="18"/>
      <c r="G81" s="18"/>
      <c r="H81" s="207"/>
      <c r="I81" s="18"/>
      <c r="J81" s="18"/>
      <c r="K81" s="18"/>
      <c r="L81" s="18"/>
      <c r="M81" s="18"/>
      <c r="N81" s="18"/>
      <c r="O81" s="18"/>
      <c r="AD81" s="17"/>
    </row>
    <row r="82" spans="1:30" ht="11.25" customHeight="1">
      <c r="A82" s="3" t="s">
        <v>37</v>
      </c>
      <c r="B82" s="16"/>
      <c r="C82" s="16"/>
      <c r="D82" s="17"/>
      <c r="F82" s="18"/>
      <c r="G82" s="18"/>
      <c r="H82" s="207"/>
      <c r="I82" s="27"/>
      <c r="J82" s="27"/>
      <c r="K82" s="27"/>
      <c r="L82" s="27"/>
      <c r="M82" s="18"/>
      <c r="N82" s="18"/>
      <c r="O82" s="18"/>
      <c r="AD82" s="17"/>
    </row>
    <row r="83" spans="1:30" ht="11.25" customHeight="1">
      <c r="H83" s="207"/>
    </row>
    <row r="84" spans="1:30" ht="11.25" customHeight="1">
      <c r="H84" s="207"/>
    </row>
    <row r="85" spans="1:30" ht="11.25" customHeight="1">
      <c r="H85" s="207"/>
    </row>
    <row r="86" spans="1:30" ht="11.25" customHeight="1">
      <c r="H86" s="207"/>
    </row>
    <row r="87" spans="1:30" ht="11.25" customHeight="1">
      <c r="H87" s="207"/>
    </row>
    <row r="88" spans="1:30" ht="11.25" customHeight="1">
      <c r="A88" s="114" t="s">
        <v>38</v>
      </c>
      <c r="B88" s="16"/>
      <c r="C88" s="16"/>
      <c r="D88" s="18"/>
      <c r="E88"/>
      <c r="F88"/>
      <c r="G88"/>
      <c r="H88" s="207"/>
      <c r="I88"/>
      <c r="J88"/>
      <c r="K88"/>
      <c r="L88"/>
      <c r="M88"/>
      <c r="N88"/>
      <c r="O88"/>
      <c r="AD88" s="18"/>
    </row>
    <row r="89" spans="1:30" ht="11.25" customHeight="1">
      <c r="B89"/>
      <c r="C89"/>
      <c r="D89"/>
      <c r="H89" s="207"/>
      <c r="AD89"/>
    </row>
    <row r="90" spans="1:30" ht="11.25" customHeight="1">
      <c r="H90" s="207"/>
    </row>
    <row r="91" spans="1:30" ht="11.25" customHeight="1">
      <c r="H91" s="207"/>
    </row>
    <row r="92" spans="1:30" ht="11.25" customHeight="1">
      <c r="H92" s="207"/>
    </row>
    <row r="93" spans="1:30" ht="11.25" customHeight="1">
      <c r="H93" s="207"/>
    </row>
    <row r="94" spans="1:30" ht="11.25" customHeight="1">
      <c r="A94" s="62" t="s">
        <v>39</v>
      </c>
      <c r="B94" s="3"/>
      <c r="C94" s="3"/>
      <c r="D94" s="4"/>
      <c r="H94" s="207"/>
    </row>
    <row r="95" spans="1:30" ht="11.25" customHeight="1">
      <c r="A95" s="62" t="s">
        <v>323</v>
      </c>
      <c r="B95" s="3"/>
      <c r="C95" s="3"/>
      <c r="D95" s="4"/>
      <c r="H95" s="207"/>
    </row>
    <row r="96" spans="1:30" ht="11.25" customHeight="1">
      <c r="A96" s="62"/>
      <c r="B96" s="3"/>
      <c r="C96" s="3"/>
      <c r="D96" s="4"/>
      <c r="H96" s="207"/>
    </row>
    <row r="97" spans="2:8" ht="11.25" customHeight="1">
      <c r="B97" s="25" t="s">
        <v>40</v>
      </c>
      <c r="C97" s="25"/>
      <c r="D97" s="6" t="s">
        <v>41</v>
      </c>
      <c r="H97" s="207"/>
    </row>
    <row r="98" spans="2:8" ht="11.25" customHeight="1">
      <c r="B98" s="25"/>
      <c r="C98" s="25"/>
      <c r="D98" s="6"/>
      <c r="H98" s="207"/>
    </row>
    <row r="99" spans="2:8" ht="11.25" customHeight="1">
      <c r="B99" s="30" t="s">
        <v>42</v>
      </c>
      <c r="C99" s="30"/>
      <c r="D99" s="184">
        <f>44/28</f>
        <v>1.5714285714285714</v>
      </c>
      <c r="H99" s="207"/>
    </row>
    <row r="100" spans="2:8" ht="11.25" customHeight="1">
      <c r="B100" s="30" t="s">
        <v>43</v>
      </c>
      <c r="C100" s="30"/>
      <c r="D100" s="184">
        <f>12/44</f>
        <v>0.27272727272727271</v>
      </c>
      <c r="H100" s="207"/>
    </row>
    <row r="101" spans="2:8" ht="11.25" customHeight="1">
      <c r="B101" s="30" t="s">
        <v>44</v>
      </c>
      <c r="C101" s="30"/>
      <c r="D101" s="187">
        <v>28</v>
      </c>
      <c r="H101" s="207"/>
    </row>
    <row r="102" spans="2:8" ht="11.25" customHeight="1">
      <c r="B102" s="30" t="s">
        <v>45</v>
      </c>
      <c r="C102" s="30"/>
      <c r="D102" s="187">
        <v>265</v>
      </c>
      <c r="H102" s="207"/>
    </row>
    <row r="103" spans="2:8" ht="11.25" customHeight="1">
      <c r="B103" s="30" t="s">
        <v>46</v>
      </c>
      <c r="C103" s="30"/>
      <c r="D103" s="64">
        <v>365</v>
      </c>
      <c r="H103" s="207"/>
    </row>
    <row r="104" spans="2:8" ht="11.25" customHeight="1">
      <c r="B104" s="30" t="s">
        <v>47</v>
      </c>
      <c r="C104" s="30"/>
      <c r="D104" s="65">
        <v>9.9999999999999995E-7</v>
      </c>
      <c r="H104" s="207"/>
    </row>
    <row r="105" spans="2:8" ht="11.25" customHeight="1">
      <c r="B105" s="30" t="s">
        <v>48</v>
      </c>
      <c r="C105" s="30"/>
      <c r="D105" s="65">
        <v>1E-3</v>
      </c>
      <c r="H105" s="207"/>
    </row>
    <row r="106" spans="2:8" ht="11.25" customHeight="1">
      <c r="B106" s="30" t="s">
        <v>49</v>
      </c>
      <c r="C106" s="30"/>
      <c r="D106" s="65">
        <v>1000</v>
      </c>
      <c r="H106" s="207"/>
    </row>
    <row r="107" spans="2:8" ht="11.25" customHeight="1">
      <c r="B107" s="30" t="s">
        <v>50</v>
      </c>
      <c r="C107" s="30"/>
      <c r="D107" s="65">
        <f>10^-12</f>
        <v>9.9999999999999998E-13</v>
      </c>
      <c r="H107" s="207"/>
    </row>
    <row r="108" spans="2:8" ht="15.75" customHeight="1">
      <c r="B108" s="2" t="s">
        <v>322</v>
      </c>
    </row>
  </sheetData>
  <sheetProtection algorithmName="SHA-512" hashValue="/ay5QyNDU2ivuKBOPbp5tG2Gs7qTfvMTh9j+BQgFV/Dk2QIKYGY1sUvj/1wZSxjnQXEK2A+gFId2zAPp8x5lJA==" saltValue="gjkEKaW3ZVcx7fQUSO8Y/w==" spinCount="100000" sheet="1" objects="1" scenarios="1"/>
  <mergeCells count="1">
    <mergeCell ref="A1:G1"/>
  </mergeCells>
  <phoneticPr fontId="0" type="noConversion"/>
  <conditionalFormatting sqref="F19:F21 F25:F27 F32:F33 F37:F40 F44:F47 F50:F53 F57:F60">
    <cfRule type="cellIs" dxfId="2" priority="1" stopIfTrue="1" operator="notEqual">
      <formula>D19</formula>
    </cfRule>
  </conditionalFormatting>
  <pageMargins left="0.75" right="0.75" top="1" bottom="1" header="0.5" footer="0.5"/>
  <pageSetup scale="96" orientation="portrait" r:id="rId1"/>
  <headerFooter alignWithMargins="0"/>
  <rowBreaks count="1" manualBreakCount="1">
    <brk id="42" max="11" man="1"/>
  </row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D76"/>
  <sheetViews>
    <sheetView showGridLines="0" workbookViewId="0">
      <pane ySplit="4" topLeftCell="A5" activePane="bottomLeft" state="frozen"/>
      <selection pane="bottomLeft" activeCell="D6" sqref="D6"/>
    </sheetView>
  </sheetViews>
  <sheetFormatPr baseColWidth="10" defaultColWidth="8" defaultRowHeight="11.25" customHeight="1"/>
  <cols>
    <col min="1" max="1" width="2.83203125" style="2" customWidth="1"/>
    <col min="2" max="2" width="5.5" style="2" customWidth="1"/>
    <col min="3" max="3" width="1.5" style="7" bestFit="1" customWidth="1"/>
    <col min="4" max="4" width="10.83203125" style="2" customWidth="1"/>
    <col min="5" max="5" width="3" style="2" bestFit="1" customWidth="1"/>
    <col min="6" max="6" width="12.1640625" style="2" customWidth="1"/>
    <col min="7" max="7" width="4.1640625" style="2" bestFit="1" customWidth="1"/>
    <col min="8" max="8" width="8.83203125" style="2" customWidth="1"/>
    <col min="9" max="9" width="1.83203125" style="2" bestFit="1" customWidth="1"/>
    <col min="10" max="10" width="10.1640625" style="2" customWidth="1"/>
    <col min="11" max="11" width="1.83203125" style="2" bestFit="1" customWidth="1"/>
    <col min="12" max="12" width="8.5" style="2" bestFit="1" customWidth="1"/>
    <col min="13" max="13" width="1.83203125" style="2" bestFit="1" customWidth="1"/>
    <col min="14" max="14" width="10.1640625" style="2" customWidth="1"/>
    <col min="15" max="15" width="1.83203125" style="2" bestFit="1" customWidth="1"/>
    <col min="16" max="16" width="7" style="2" customWidth="1"/>
    <col min="17" max="17" width="1.83203125" style="2" bestFit="1" customWidth="1"/>
    <col min="18" max="18" width="15.1640625" style="2" customWidth="1"/>
    <col min="19" max="19" width="1.83203125" style="2" bestFit="1" customWidth="1"/>
    <col min="20" max="20" width="10.1640625" style="2" customWidth="1"/>
    <col min="21" max="21" width="1.83203125" style="2" bestFit="1" customWidth="1"/>
    <col min="22" max="22" width="12.5" style="2" customWidth="1"/>
    <col min="23" max="23" width="1.83203125" style="2" bestFit="1" customWidth="1"/>
    <col min="24" max="24" width="7.83203125" style="2" customWidth="1"/>
    <col min="25" max="25" width="1.83203125" style="2" bestFit="1" customWidth="1"/>
    <col min="26" max="26" width="6" style="2" bestFit="1" customWidth="1"/>
    <col min="27" max="27" width="1.83203125" style="2" bestFit="1" customWidth="1"/>
    <col min="28" max="28" width="9.1640625" style="2" bestFit="1" customWidth="1"/>
    <col min="29" max="29" width="3.1640625" style="2" customWidth="1"/>
    <col min="30" max="30" width="9.83203125" style="2" customWidth="1"/>
    <col min="31" max="16384" width="8" style="2"/>
  </cols>
  <sheetData>
    <row r="1" spans="1:30" s="126" customFormat="1" ht="22.75" customHeight="1">
      <c r="B1" s="127" t="str">
        <f>"10. "&amp;SelectedState &amp; " Industrial Wastewater Methane - Pulp &amp; Paper"</f>
        <v>10. Select a state . . . Industrial Wastewater Methane - Pulp &amp; Paper</v>
      </c>
    </row>
    <row r="2" spans="1:30" ht="70.5" customHeight="1">
      <c r="A2" s="265"/>
      <c r="B2" s="265"/>
      <c r="C2" s="265"/>
      <c r="D2" s="265"/>
      <c r="E2" s="265"/>
      <c r="F2" s="265"/>
      <c r="G2" s="265"/>
      <c r="H2" s="265"/>
      <c r="I2" s="106"/>
      <c r="J2" s="106"/>
      <c r="K2" s="106"/>
      <c r="L2" s="106"/>
      <c r="M2" s="106"/>
      <c r="N2" s="106"/>
      <c r="O2" s="106"/>
      <c r="P2" s="106"/>
      <c r="Q2" s="106"/>
    </row>
    <row r="3" spans="1:30" s="163" customFormat="1" ht="23.25" customHeight="1">
      <c r="A3" s="174"/>
      <c r="B3" s="35"/>
      <c r="C3" s="35"/>
      <c r="D3" s="267" t="s">
        <v>128</v>
      </c>
      <c r="E3" s="267"/>
      <c r="F3" s="267"/>
      <c r="G3" s="161"/>
      <c r="H3" s="161" t="s">
        <v>117</v>
      </c>
      <c r="I3" s="162"/>
      <c r="J3" s="161" t="s">
        <v>71</v>
      </c>
      <c r="K3" s="162"/>
      <c r="L3" s="161" t="s">
        <v>129</v>
      </c>
      <c r="M3" s="162"/>
      <c r="N3" s="161" t="s">
        <v>72</v>
      </c>
      <c r="O3" s="162"/>
      <c r="P3" s="161" t="s">
        <v>130</v>
      </c>
      <c r="Q3" s="162"/>
      <c r="R3" s="161" t="s">
        <v>74</v>
      </c>
      <c r="S3" s="162"/>
      <c r="T3" s="161" t="s">
        <v>71</v>
      </c>
      <c r="U3" s="162"/>
      <c r="V3" s="161" t="s">
        <v>74</v>
      </c>
      <c r="W3" s="162"/>
      <c r="X3" s="161" t="s">
        <v>120</v>
      </c>
      <c r="Y3" s="161"/>
      <c r="Z3" s="161" t="s">
        <v>76</v>
      </c>
      <c r="AA3" s="162"/>
      <c r="AB3" s="161" t="s">
        <v>74</v>
      </c>
      <c r="AD3" s="161" t="s">
        <v>74</v>
      </c>
    </row>
    <row r="4" spans="1:30" s="163" customFormat="1" ht="13">
      <c r="A4" s="175"/>
      <c r="B4" s="35"/>
      <c r="C4" s="35"/>
      <c r="D4" s="36" t="s">
        <v>131</v>
      </c>
      <c r="E4" s="36"/>
      <c r="F4" s="36" t="s">
        <v>132</v>
      </c>
      <c r="G4" s="35"/>
      <c r="H4" s="36" t="s">
        <v>121</v>
      </c>
      <c r="I4" s="36"/>
      <c r="J4" s="36" t="s">
        <v>122</v>
      </c>
      <c r="K4" s="36"/>
      <c r="L4" s="36" t="s">
        <v>133</v>
      </c>
      <c r="M4" s="36"/>
      <c r="N4" s="36" t="s">
        <v>134</v>
      </c>
      <c r="O4" s="36"/>
      <c r="P4" s="36" t="s">
        <v>81</v>
      </c>
      <c r="Q4" s="36"/>
      <c r="R4" s="36" t="s">
        <v>125</v>
      </c>
      <c r="S4" s="36"/>
      <c r="T4" s="36" t="s">
        <v>126</v>
      </c>
      <c r="U4" s="36"/>
      <c r="V4" s="36" t="s">
        <v>127</v>
      </c>
      <c r="W4" s="36"/>
      <c r="X4" s="165" t="s">
        <v>83</v>
      </c>
      <c r="Y4" s="36"/>
      <c r="Z4" s="36"/>
      <c r="AA4" s="36"/>
      <c r="AB4" s="165" t="s">
        <v>85</v>
      </c>
      <c r="AD4" s="165" t="s">
        <v>86</v>
      </c>
    </row>
    <row r="5" spans="1:30" ht="12">
      <c r="A5" s="19"/>
      <c r="B5" s="34"/>
      <c r="C5" s="34"/>
      <c r="D5" s="54"/>
      <c r="E5" s="54"/>
      <c r="F5" s="54"/>
      <c r="G5" s="50"/>
      <c r="H5" s="54"/>
      <c r="I5" s="54"/>
      <c r="J5" s="54"/>
      <c r="K5" s="54"/>
      <c r="L5" s="54"/>
      <c r="M5" s="54"/>
      <c r="N5" s="54"/>
      <c r="O5" s="54"/>
      <c r="P5" s="54"/>
      <c r="Q5" s="54"/>
      <c r="R5" s="54"/>
      <c r="S5" s="54"/>
      <c r="T5" s="54"/>
      <c r="U5" s="54"/>
      <c r="V5" s="54"/>
      <c r="W5" s="54"/>
      <c r="X5" s="54"/>
      <c r="Y5" s="54"/>
      <c r="Z5" s="54"/>
      <c r="AA5" s="54"/>
      <c r="AB5" s="54"/>
    </row>
    <row r="6" spans="1:30" ht="13">
      <c r="A6" s="79"/>
      <c r="B6" s="39">
        <v>1990</v>
      </c>
      <c r="C6" s="60" t="s">
        <v>135</v>
      </c>
      <c r="D6" s="132"/>
      <c r="E6" s="61" t="s">
        <v>115</v>
      </c>
      <c r="F6" s="132"/>
      <c r="G6" s="54" t="s">
        <v>136</v>
      </c>
      <c r="H6" s="75">
        <f>Control!$F$57</f>
        <v>0</v>
      </c>
      <c r="I6" s="51" t="s">
        <v>87</v>
      </c>
      <c r="J6" s="70">
        <f>Control!$D$106</f>
        <v>1000</v>
      </c>
      <c r="K6" s="51" t="s">
        <v>87</v>
      </c>
      <c r="L6" s="76">
        <f>Control!$F$58</f>
        <v>0</v>
      </c>
      <c r="M6" s="51" t="s">
        <v>87</v>
      </c>
      <c r="N6" s="66">
        <f>Control!$F$60</f>
        <v>0</v>
      </c>
      <c r="O6" s="51" t="s">
        <v>87</v>
      </c>
      <c r="P6" s="56">
        <f>Control!$F$59</f>
        <v>0</v>
      </c>
      <c r="Q6" s="52" t="s">
        <v>88</v>
      </c>
      <c r="R6" s="70">
        <f>(D6+F6)*$H$6*$J$6*$L$6*$P$6*$N$6</f>
        <v>0</v>
      </c>
      <c r="S6" s="51" t="s">
        <v>87</v>
      </c>
      <c r="T6" s="65">
        <f>Control!$D$107</f>
        <v>9.9999999999999998E-13</v>
      </c>
      <c r="U6" s="52" t="s">
        <v>88</v>
      </c>
      <c r="V6" s="58">
        <f>R6*T6</f>
        <v>0</v>
      </c>
      <c r="W6" s="51" t="s">
        <v>87</v>
      </c>
      <c r="X6" s="70">
        <f>Control!$D$101</f>
        <v>28</v>
      </c>
      <c r="Y6" s="51" t="s">
        <v>87</v>
      </c>
      <c r="Z6" s="46">
        <f>Control!$D$100</f>
        <v>0.27272727272727271</v>
      </c>
      <c r="AA6" s="52" t="s">
        <v>88</v>
      </c>
      <c r="AB6" s="48">
        <f>V6*X$6*Z$6</f>
        <v>0</v>
      </c>
      <c r="AC6" s="52" t="s">
        <v>88</v>
      </c>
      <c r="AD6" s="48">
        <f>AB6*C_CO2</f>
        <v>0</v>
      </c>
    </row>
    <row r="7" spans="1:30" ht="11">
      <c r="B7" s="40"/>
      <c r="C7" s="41"/>
      <c r="D7" s="49"/>
      <c r="E7" s="59"/>
      <c r="F7" s="49"/>
      <c r="G7" s="50"/>
      <c r="H7" s="77"/>
      <c r="I7" s="50"/>
      <c r="J7" s="50"/>
      <c r="K7" s="50"/>
      <c r="L7" s="78"/>
      <c r="M7" s="50"/>
      <c r="N7" s="85"/>
      <c r="O7" s="50"/>
      <c r="P7" s="50"/>
      <c r="Q7" s="50"/>
      <c r="R7" s="84"/>
      <c r="S7" s="50"/>
      <c r="T7" s="50"/>
      <c r="U7" s="50"/>
      <c r="V7" s="83"/>
      <c r="W7" s="50"/>
      <c r="X7" s="50"/>
      <c r="Y7" s="50"/>
      <c r="Z7" s="82"/>
      <c r="AA7" s="50"/>
      <c r="AB7" s="50"/>
      <c r="AC7" s="50"/>
      <c r="AD7" s="50"/>
    </row>
    <row r="8" spans="1:30" ht="13">
      <c r="A8" s="79"/>
      <c r="B8" s="39">
        <f>B6+1</f>
        <v>1991</v>
      </c>
      <c r="C8" s="60" t="s">
        <v>135</v>
      </c>
      <c r="D8" s="132"/>
      <c r="E8" s="61" t="s">
        <v>115</v>
      </c>
      <c r="F8" s="132"/>
      <c r="G8" s="54" t="s">
        <v>136</v>
      </c>
      <c r="H8" s="75">
        <f>Control!$F$57</f>
        <v>0</v>
      </c>
      <c r="I8" s="51" t="s">
        <v>87</v>
      </c>
      <c r="J8" s="70">
        <f>Control!$D$106</f>
        <v>1000</v>
      </c>
      <c r="K8" s="51" t="s">
        <v>87</v>
      </c>
      <c r="L8" s="76">
        <f>Control!$F$58</f>
        <v>0</v>
      </c>
      <c r="M8" s="51" t="s">
        <v>87</v>
      </c>
      <c r="N8" s="66">
        <f>Control!$F$60</f>
        <v>0</v>
      </c>
      <c r="O8" s="51" t="s">
        <v>87</v>
      </c>
      <c r="P8" s="56">
        <f>Control!$F$59</f>
        <v>0</v>
      </c>
      <c r="Q8" s="52" t="s">
        <v>88</v>
      </c>
      <c r="R8" s="70">
        <f>(D8+F8)*$H$6*$J$6*$L$6*$P$6*$N$6</f>
        <v>0</v>
      </c>
      <c r="S8" s="51" t="s">
        <v>87</v>
      </c>
      <c r="T8" s="65">
        <f>Control!$D$107</f>
        <v>9.9999999999999998E-13</v>
      </c>
      <c r="U8" s="52" t="s">
        <v>88</v>
      </c>
      <c r="V8" s="58">
        <f>R8*T8</f>
        <v>0</v>
      </c>
      <c r="W8" s="51" t="s">
        <v>87</v>
      </c>
      <c r="X8" s="70">
        <f>Control!$D$101</f>
        <v>28</v>
      </c>
      <c r="Y8" s="51" t="s">
        <v>87</v>
      </c>
      <c r="Z8" s="46">
        <f>Control!$D$100</f>
        <v>0.27272727272727271</v>
      </c>
      <c r="AA8" s="52" t="s">
        <v>88</v>
      </c>
      <c r="AB8" s="48">
        <f>V8*X$6*Z$6</f>
        <v>0</v>
      </c>
      <c r="AC8" s="52" t="s">
        <v>88</v>
      </c>
      <c r="AD8" s="48">
        <f>AB8*C_CO2</f>
        <v>0</v>
      </c>
    </row>
    <row r="9" spans="1:30" ht="11">
      <c r="B9" s="41"/>
      <c r="C9" s="41"/>
      <c r="D9" s="53"/>
      <c r="E9" s="59"/>
      <c r="F9" s="53"/>
      <c r="G9" s="50"/>
      <c r="H9" s="77"/>
      <c r="I9" s="50"/>
      <c r="J9" s="50"/>
      <c r="K9" s="50"/>
      <c r="L9" s="78"/>
      <c r="M9" s="50"/>
      <c r="N9" s="85"/>
      <c r="O9" s="50"/>
      <c r="P9" s="50"/>
      <c r="Q9" s="50"/>
      <c r="R9" s="84"/>
      <c r="S9" s="50"/>
      <c r="T9" s="50"/>
      <c r="U9" s="50"/>
      <c r="V9" s="83"/>
      <c r="W9" s="50"/>
      <c r="X9" s="50"/>
      <c r="Y9" s="50"/>
      <c r="Z9" s="82"/>
      <c r="AA9" s="50"/>
      <c r="AB9" s="50"/>
      <c r="AC9" s="50"/>
      <c r="AD9" s="50"/>
    </row>
    <row r="10" spans="1:30" ht="13">
      <c r="A10" s="79"/>
      <c r="B10" s="39">
        <f>B8+1</f>
        <v>1992</v>
      </c>
      <c r="C10" s="60" t="s">
        <v>135</v>
      </c>
      <c r="D10" s="132"/>
      <c r="E10" s="61" t="s">
        <v>115</v>
      </c>
      <c r="F10" s="132"/>
      <c r="G10" s="54" t="s">
        <v>136</v>
      </c>
      <c r="H10" s="75">
        <f>Control!$F$57</f>
        <v>0</v>
      </c>
      <c r="I10" s="51" t="s">
        <v>87</v>
      </c>
      <c r="J10" s="70">
        <f>Control!$D$106</f>
        <v>1000</v>
      </c>
      <c r="K10" s="51" t="s">
        <v>87</v>
      </c>
      <c r="L10" s="76">
        <f>Control!$F$58</f>
        <v>0</v>
      </c>
      <c r="M10" s="51" t="s">
        <v>87</v>
      </c>
      <c r="N10" s="66">
        <f>Control!$F$60</f>
        <v>0</v>
      </c>
      <c r="O10" s="51" t="s">
        <v>87</v>
      </c>
      <c r="P10" s="56">
        <f>Control!$F$59</f>
        <v>0</v>
      </c>
      <c r="Q10" s="52" t="s">
        <v>88</v>
      </c>
      <c r="R10" s="70">
        <f>(D10+F10)*$H$6*$J$6*$L$6*$P$6*$N$6</f>
        <v>0</v>
      </c>
      <c r="S10" s="51" t="s">
        <v>87</v>
      </c>
      <c r="T10" s="65">
        <f>Control!$D$107</f>
        <v>9.9999999999999998E-13</v>
      </c>
      <c r="U10" s="52" t="s">
        <v>88</v>
      </c>
      <c r="V10" s="58">
        <f>R10*T10</f>
        <v>0</v>
      </c>
      <c r="W10" s="51" t="s">
        <v>87</v>
      </c>
      <c r="X10" s="70">
        <f>Control!$D$101</f>
        <v>28</v>
      </c>
      <c r="Y10" s="51" t="s">
        <v>87</v>
      </c>
      <c r="Z10" s="46">
        <f>Control!$D$100</f>
        <v>0.27272727272727271</v>
      </c>
      <c r="AA10" s="52" t="s">
        <v>88</v>
      </c>
      <c r="AB10" s="48">
        <f>V10*X$6*Z$6</f>
        <v>0</v>
      </c>
      <c r="AC10" s="52" t="s">
        <v>88</v>
      </c>
      <c r="AD10" s="48">
        <f>AB10*C_CO2</f>
        <v>0</v>
      </c>
    </row>
    <row r="11" spans="1:30" ht="11">
      <c r="B11" s="40"/>
      <c r="C11" s="41"/>
      <c r="D11" s="49"/>
      <c r="E11" s="59"/>
      <c r="F11" s="49"/>
      <c r="G11" s="50"/>
      <c r="H11" s="77"/>
      <c r="I11" s="50"/>
      <c r="J11" s="50"/>
      <c r="K11" s="50"/>
      <c r="L11" s="78"/>
      <c r="M11" s="50"/>
      <c r="N11" s="85"/>
      <c r="O11" s="50"/>
      <c r="P11" s="50"/>
      <c r="Q11" s="50"/>
      <c r="R11" s="84"/>
      <c r="S11" s="50"/>
      <c r="T11" s="50"/>
      <c r="U11" s="50"/>
      <c r="V11" s="83"/>
      <c r="W11" s="50"/>
      <c r="X11" s="50"/>
      <c r="Y11" s="50"/>
      <c r="Z11" s="82"/>
      <c r="AA11" s="50"/>
      <c r="AB11" s="50"/>
      <c r="AC11" s="50"/>
      <c r="AD11" s="50"/>
    </row>
    <row r="12" spans="1:30" ht="13">
      <c r="A12" s="79"/>
      <c r="B12" s="39">
        <f>B10+1</f>
        <v>1993</v>
      </c>
      <c r="C12" s="60" t="s">
        <v>135</v>
      </c>
      <c r="D12" s="132"/>
      <c r="E12" s="61" t="s">
        <v>115</v>
      </c>
      <c r="F12" s="132"/>
      <c r="G12" s="54" t="s">
        <v>136</v>
      </c>
      <c r="H12" s="75">
        <f>Control!$F$57</f>
        <v>0</v>
      </c>
      <c r="I12" s="51" t="s">
        <v>87</v>
      </c>
      <c r="J12" s="70">
        <f>Control!$D$106</f>
        <v>1000</v>
      </c>
      <c r="K12" s="51" t="s">
        <v>87</v>
      </c>
      <c r="L12" s="76">
        <f>Control!$F$58</f>
        <v>0</v>
      </c>
      <c r="M12" s="51" t="s">
        <v>87</v>
      </c>
      <c r="N12" s="66">
        <f>Control!$F$60</f>
        <v>0</v>
      </c>
      <c r="O12" s="51" t="s">
        <v>87</v>
      </c>
      <c r="P12" s="56">
        <f>Control!$F$59</f>
        <v>0</v>
      </c>
      <c r="Q12" s="52" t="s">
        <v>88</v>
      </c>
      <c r="R12" s="70">
        <f>(D12+F12)*$H$6*$J$6*$L$6*$P$6*$N$6</f>
        <v>0</v>
      </c>
      <c r="S12" s="51" t="s">
        <v>87</v>
      </c>
      <c r="T12" s="65">
        <f>Control!$D$107</f>
        <v>9.9999999999999998E-13</v>
      </c>
      <c r="U12" s="52" t="s">
        <v>88</v>
      </c>
      <c r="V12" s="58">
        <f>R12*T12</f>
        <v>0</v>
      </c>
      <c r="W12" s="51" t="s">
        <v>87</v>
      </c>
      <c r="X12" s="70">
        <f>Control!$D$101</f>
        <v>28</v>
      </c>
      <c r="Y12" s="51" t="s">
        <v>87</v>
      </c>
      <c r="Z12" s="46">
        <f>Control!$D$100</f>
        <v>0.27272727272727271</v>
      </c>
      <c r="AA12" s="52" t="s">
        <v>88</v>
      </c>
      <c r="AB12" s="48">
        <f>V12*X$6*Z$6</f>
        <v>0</v>
      </c>
      <c r="AC12" s="52" t="s">
        <v>88</v>
      </c>
      <c r="AD12" s="48">
        <f>AB12*C_CO2</f>
        <v>0</v>
      </c>
    </row>
    <row r="13" spans="1:30" ht="11">
      <c r="B13" s="40"/>
      <c r="C13" s="41"/>
      <c r="D13" s="49"/>
      <c r="E13" s="59"/>
      <c r="F13" s="49"/>
      <c r="G13" s="50"/>
      <c r="H13" s="77"/>
      <c r="I13" s="50"/>
      <c r="J13" s="50"/>
      <c r="K13" s="50"/>
      <c r="L13" s="78"/>
      <c r="M13" s="50"/>
      <c r="N13" s="85"/>
      <c r="O13" s="50"/>
      <c r="P13" s="50"/>
      <c r="Q13" s="50"/>
      <c r="R13" s="84"/>
      <c r="S13" s="50"/>
      <c r="T13" s="50"/>
      <c r="U13" s="50"/>
      <c r="V13" s="83"/>
      <c r="W13" s="50"/>
      <c r="X13" s="50"/>
      <c r="Y13" s="50"/>
      <c r="Z13" s="82"/>
      <c r="AA13" s="50"/>
      <c r="AB13" s="50"/>
      <c r="AC13" s="50"/>
      <c r="AD13" s="50"/>
    </row>
    <row r="14" spans="1:30" ht="13">
      <c r="A14" s="79"/>
      <c r="B14" s="39">
        <f>B12+1</f>
        <v>1994</v>
      </c>
      <c r="C14" s="60" t="s">
        <v>135</v>
      </c>
      <c r="D14" s="132"/>
      <c r="E14" s="61" t="s">
        <v>115</v>
      </c>
      <c r="F14" s="132"/>
      <c r="G14" s="54" t="s">
        <v>136</v>
      </c>
      <c r="H14" s="75">
        <f>Control!$F$57</f>
        <v>0</v>
      </c>
      <c r="I14" s="51" t="s">
        <v>87</v>
      </c>
      <c r="J14" s="70">
        <f>Control!$D$106</f>
        <v>1000</v>
      </c>
      <c r="K14" s="51" t="s">
        <v>87</v>
      </c>
      <c r="L14" s="76">
        <f>Control!$F$58</f>
        <v>0</v>
      </c>
      <c r="M14" s="51" t="s">
        <v>87</v>
      </c>
      <c r="N14" s="66">
        <f>Control!$F$60</f>
        <v>0</v>
      </c>
      <c r="O14" s="51" t="s">
        <v>87</v>
      </c>
      <c r="P14" s="56">
        <f>Control!$F$59</f>
        <v>0</v>
      </c>
      <c r="Q14" s="52" t="s">
        <v>88</v>
      </c>
      <c r="R14" s="70">
        <f>(D14+F14)*$H$6*$J$6*$L$6*$P$6*$N$6</f>
        <v>0</v>
      </c>
      <c r="S14" s="51" t="s">
        <v>87</v>
      </c>
      <c r="T14" s="65">
        <f>Control!$D$107</f>
        <v>9.9999999999999998E-13</v>
      </c>
      <c r="U14" s="52" t="s">
        <v>88</v>
      </c>
      <c r="V14" s="58">
        <f>R14*T14</f>
        <v>0</v>
      </c>
      <c r="W14" s="51" t="s">
        <v>87</v>
      </c>
      <c r="X14" s="70">
        <f>Control!$D$101</f>
        <v>28</v>
      </c>
      <c r="Y14" s="51" t="s">
        <v>87</v>
      </c>
      <c r="Z14" s="46">
        <f>Control!$D$100</f>
        <v>0.27272727272727271</v>
      </c>
      <c r="AA14" s="52" t="s">
        <v>88</v>
      </c>
      <c r="AB14" s="48">
        <f>V14*X$6*Z$6</f>
        <v>0</v>
      </c>
      <c r="AC14" s="52" t="s">
        <v>88</v>
      </c>
      <c r="AD14" s="48">
        <f>AB14*C_CO2</f>
        <v>0</v>
      </c>
    </row>
    <row r="15" spans="1:30" ht="11">
      <c r="B15" s="40"/>
      <c r="C15" s="41"/>
      <c r="D15" s="49"/>
      <c r="E15" s="59"/>
      <c r="F15" s="53"/>
      <c r="G15" s="50"/>
      <c r="H15" s="77"/>
      <c r="I15" s="50"/>
      <c r="J15" s="50"/>
      <c r="K15" s="50"/>
      <c r="L15" s="78"/>
      <c r="M15" s="50"/>
      <c r="N15" s="85"/>
      <c r="O15" s="50"/>
      <c r="P15" s="50"/>
      <c r="Q15" s="50"/>
      <c r="R15" s="84"/>
      <c r="S15" s="50"/>
      <c r="T15" s="50"/>
      <c r="U15" s="50"/>
      <c r="V15" s="83"/>
      <c r="W15" s="50"/>
      <c r="X15" s="50"/>
      <c r="Y15" s="50"/>
      <c r="Z15" s="82"/>
      <c r="AA15" s="50"/>
      <c r="AB15" s="50"/>
      <c r="AC15" s="50"/>
      <c r="AD15" s="50"/>
    </row>
    <row r="16" spans="1:30" ht="13">
      <c r="A16" s="79"/>
      <c r="B16" s="39">
        <f>B14+1</f>
        <v>1995</v>
      </c>
      <c r="C16" s="60" t="s">
        <v>135</v>
      </c>
      <c r="D16" s="132"/>
      <c r="E16" s="61" t="s">
        <v>115</v>
      </c>
      <c r="F16" s="132"/>
      <c r="G16" s="54" t="s">
        <v>136</v>
      </c>
      <c r="H16" s="75">
        <f>Control!$F$57</f>
        <v>0</v>
      </c>
      <c r="I16" s="51" t="s">
        <v>87</v>
      </c>
      <c r="J16" s="70">
        <f>Control!$D$106</f>
        <v>1000</v>
      </c>
      <c r="K16" s="51" t="s">
        <v>87</v>
      </c>
      <c r="L16" s="76">
        <f>Control!$F$58</f>
        <v>0</v>
      </c>
      <c r="M16" s="51" t="s">
        <v>87</v>
      </c>
      <c r="N16" s="66">
        <f>Control!$F$60</f>
        <v>0</v>
      </c>
      <c r="O16" s="51" t="s">
        <v>87</v>
      </c>
      <c r="P16" s="56">
        <f>Control!$F$59</f>
        <v>0</v>
      </c>
      <c r="Q16" s="52" t="s">
        <v>88</v>
      </c>
      <c r="R16" s="70">
        <f>(D16+F16)*$H$6*$J$6*$L$6*$P$6*$N$6</f>
        <v>0</v>
      </c>
      <c r="S16" s="51" t="s">
        <v>87</v>
      </c>
      <c r="T16" s="65">
        <f>Control!$D$107</f>
        <v>9.9999999999999998E-13</v>
      </c>
      <c r="U16" s="52" t="s">
        <v>88</v>
      </c>
      <c r="V16" s="58">
        <f>R16*T16</f>
        <v>0</v>
      </c>
      <c r="W16" s="51" t="s">
        <v>87</v>
      </c>
      <c r="X16" s="70">
        <f>Control!$D$101</f>
        <v>28</v>
      </c>
      <c r="Y16" s="51" t="s">
        <v>87</v>
      </c>
      <c r="Z16" s="46">
        <f>Control!$D$100</f>
        <v>0.27272727272727271</v>
      </c>
      <c r="AA16" s="52" t="s">
        <v>88</v>
      </c>
      <c r="AB16" s="48">
        <f>V16*X$6*Z$6</f>
        <v>0</v>
      </c>
      <c r="AC16" s="52" t="s">
        <v>88</v>
      </c>
      <c r="AD16" s="48">
        <f>AB16*C_CO2</f>
        <v>0</v>
      </c>
    </row>
    <row r="17" spans="1:30" ht="11">
      <c r="B17" s="40"/>
      <c r="C17" s="41"/>
      <c r="D17" s="53"/>
      <c r="E17" s="59"/>
      <c r="F17" s="53"/>
      <c r="G17" s="50"/>
      <c r="H17" s="77"/>
      <c r="I17" s="50"/>
      <c r="J17" s="50"/>
      <c r="K17" s="50"/>
      <c r="L17" s="78"/>
      <c r="M17" s="50"/>
      <c r="N17" s="85"/>
      <c r="O17" s="50"/>
      <c r="P17" s="50"/>
      <c r="Q17" s="50"/>
      <c r="R17" s="84"/>
      <c r="S17" s="50"/>
      <c r="T17" s="50"/>
      <c r="U17" s="50"/>
      <c r="V17" s="83"/>
      <c r="W17" s="50"/>
      <c r="X17" s="50"/>
      <c r="Y17" s="50"/>
      <c r="Z17" s="82"/>
      <c r="AA17" s="50"/>
      <c r="AB17" s="50"/>
      <c r="AC17" s="50"/>
      <c r="AD17" s="50"/>
    </row>
    <row r="18" spans="1:30" ht="13">
      <c r="A18" s="79"/>
      <c r="B18" s="39">
        <f>B16+1</f>
        <v>1996</v>
      </c>
      <c r="C18" s="60" t="s">
        <v>135</v>
      </c>
      <c r="D18" s="132"/>
      <c r="E18" s="61" t="s">
        <v>115</v>
      </c>
      <c r="F18" s="132"/>
      <c r="G18" s="54" t="s">
        <v>136</v>
      </c>
      <c r="H18" s="75">
        <f>Control!$F$57</f>
        <v>0</v>
      </c>
      <c r="I18" s="51" t="s">
        <v>87</v>
      </c>
      <c r="J18" s="70">
        <f>Control!$D$106</f>
        <v>1000</v>
      </c>
      <c r="K18" s="51" t="s">
        <v>87</v>
      </c>
      <c r="L18" s="76">
        <f>Control!$F$58</f>
        <v>0</v>
      </c>
      <c r="M18" s="51" t="s">
        <v>87</v>
      </c>
      <c r="N18" s="66">
        <f>Control!$F$60</f>
        <v>0</v>
      </c>
      <c r="O18" s="51" t="s">
        <v>87</v>
      </c>
      <c r="P18" s="56">
        <f>Control!$F$59</f>
        <v>0</v>
      </c>
      <c r="Q18" s="52" t="s">
        <v>88</v>
      </c>
      <c r="R18" s="70">
        <f>(D18+F18)*$H$6*$J$6*$L$6*$P$6*$N$6</f>
        <v>0</v>
      </c>
      <c r="S18" s="51" t="s">
        <v>87</v>
      </c>
      <c r="T18" s="65">
        <f>Control!$D$107</f>
        <v>9.9999999999999998E-13</v>
      </c>
      <c r="U18" s="52" t="s">
        <v>88</v>
      </c>
      <c r="V18" s="58">
        <f>R18*T18</f>
        <v>0</v>
      </c>
      <c r="W18" s="51" t="s">
        <v>87</v>
      </c>
      <c r="X18" s="70">
        <f>Control!$D$101</f>
        <v>28</v>
      </c>
      <c r="Y18" s="51" t="s">
        <v>87</v>
      </c>
      <c r="Z18" s="46">
        <f>Control!$D$100</f>
        <v>0.27272727272727271</v>
      </c>
      <c r="AA18" s="52" t="s">
        <v>88</v>
      </c>
      <c r="AB18" s="48">
        <f>V18*X$6*Z$6</f>
        <v>0</v>
      </c>
      <c r="AC18" s="52" t="s">
        <v>88</v>
      </c>
      <c r="AD18" s="48">
        <f>AB18*C_CO2</f>
        <v>0</v>
      </c>
    </row>
    <row r="19" spans="1:30" ht="11">
      <c r="B19" s="40"/>
      <c r="C19" s="41"/>
      <c r="D19" s="49"/>
      <c r="E19" s="59"/>
      <c r="F19" s="53"/>
      <c r="G19" s="50"/>
      <c r="H19" s="77"/>
      <c r="I19" s="50"/>
      <c r="J19" s="50"/>
      <c r="K19" s="50"/>
      <c r="L19" s="78"/>
      <c r="M19" s="50"/>
      <c r="N19" s="85"/>
      <c r="O19" s="50"/>
      <c r="P19" s="50"/>
      <c r="Q19" s="50"/>
      <c r="R19" s="84"/>
      <c r="S19" s="50"/>
      <c r="T19" s="50"/>
      <c r="U19" s="50"/>
      <c r="V19" s="83"/>
      <c r="W19" s="50"/>
      <c r="X19" s="50"/>
      <c r="Y19" s="50"/>
      <c r="Z19" s="82"/>
      <c r="AA19" s="50"/>
      <c r="AB19" s="50"/>
      <c r="AC19" s="50"/>
      <c r="AD19" s="50"/>
    </row>
    <row r="20" spans="1:30" ht="13">
      <c r="A20" s="79"/>
      <c r="B20" s="39">
        <f>B18+1</f>
        <v>1997</v>
      </c>
      <c r="C20" s="60" t="s">
        <v>135</v>
      </c>
      <c r="D20" s="132"/>
      <c r="E20" s="61" t="s">
        <v>115</v>
      </c>
      <c r="F20" s="132"/>
      <c r="G20" s="54" t="s">
        <v>136</v>
      </c>
      <c r="H20" s="75">
        <f>Control!$F$57</f>
        <v>0</v>
      </c>
      <c r="I20" s="51" t="s">
        <v>87</v>
      </c>
      <c r="J20" s="70">
        <f>Control!$D$106</f>
        <v>1000</v>
      </c>
      <c r="K20" s="51" t="s">
        <v>87</v>
      </c>
      <c r="L20" s="76">
        <f>Control!$F$58</f>
        <v>0</v>
      </c>
      <c r="M20" s="51" t="s">
        <v>87</v>
      </c>
      <c r="N20" s="66">
        <f>Control!$F$60</f>
        <v>0</v>
      </c>
      <c r="O20" s="51" t="s">
        <v>87</v>
      </c>
      <c r="P20" s="56">
        <f>Control!$F$59</f>
        <v>0</v>
      </c>
      <c r="Q20" s="52" t="s">
        <v>88</v>
      </c>
      <c r="R20" s="70">
        <f>(D20+F20)*$H$6*$J$6*$L$6*$P$6*$N$6</f>
        <v>0</v>
      </c>
      <c r="S20" s="51" t="s">
        <v>87</v>
      </c>
      <c r="T20" s="65">
        <f>Control!$D$107</f>
        <v>9.9999999999999998E-13</v>
      </c>
      <c r="U20" s="52" t="s">
        <v>88</v>
      </c>
      <c r="V20" s="58">
        <f>R20*T20</f>
        <v>0</v>
      </c>
      <c r="W20" s="51" t="s">
        <v>87</v>
      </c>
      <c r="X20" s="70">
        <f>Control!$D$101</f>
        <v>28</v>
      </c>
      <c r="Y20" s="51" t="s">
        <v>87</v>
      </c>
      <c r="Z20" s="46">
        <f>Control!$D$100</f>
        <v>0.27272727272727271</v>
      </c>
      <c r="AA20" s="52" t="s">
        <v>88</v>
      </c>
      <c r="AB20" s="48">
        <f>V20*X$6*Z$6</f>
        <v>0</v>
      </c>
      <c r="AC20" s="52" t="s">
        <v>88</v>
      </c>
      <c r="AD20" s="48">
        <f>AB20*C_CO2</f>
        <v>0</v>
      </c>
    </row>
    <row r="21" spans="1:30" ht="11">
      <c r="B21" s="40"/>
      <c r="C21" s="41"/>
      <c r="D21" s="53"/>
      <c r="E21" s="59"/>
      <c r="F21" s="53"/>
      <c r="G21" s="50"/>
      <c r="H21" s="77"/>
      <c r="I21" s="50"/>
      <c r="J21" s="50"/>
      <c r="K21" s="50"/>
      <c r="L21" s="78"/>
      <c r="M21" s="50"/>
      <c r="N21" s="85"/>
      <c r="O21" s="50"/>
      <c r="P21" s="50"/>
      <c r="Q21" s="50"/>
      <c r="R21" s="84"/>
      <c r="S21" s="50"/>
      <c r="T21" s="50"/>
      <c r="U21" s="50"/>
      <c r="V21" s="83"/>
      <c r="W21" s="50"/>
      <c r="X21" s="50"/>
      <c r="Y21" s="50"/>
      <c r="Z21" s="82"/>
      <c r="AA21" s="50"/>
      <c r="AB21" s="50"/>
      <c r="AC21" s="50"/>
      <c r="AD21" s="50"/>
    </row>
    <row r="22" spans="1:30" ht="13">
      <c r="A22" s="79"/>
      <c r="B22" s="39">
        <f>B20+1</f>
        <v>1998</v>
      </c>
      <c r="C22" s="60" t="s">
        <v>135</v>
      </c>
      <c r="D22" s="132"/>
      <c r="E22" s="61" t="s">
        <v>115</v>
      </c>
      <c r="F22" s="132"/>
      <c r="G22" s="54" t="s">
        <v>136</v>
      </c>
      <c r="H22" s="75">
        <f>Control!$F$57</f>
        <v>0</v>
      </c>
      <c r="I22" s="51" t="s">
        <v>87</v>
      </c>
      <c r="J22" s="70">
        <f>Control!$D$106</f>
        <v>1000</v>
      </c>
      <c r="K22" s="51" t="s">
        <v>87</v>
      </c>
      <c r="L22" s="76">
        <f>Control!$F$58</f>
        <v>0</v>
      </c>
      <c r="M22" s="51" t="s">
        <v>87</v>
      </c>
      <c r="N22" s="66">
        <f>Control!$F$60</f>
        <v>0</v>
      </c>
      <c r="O22" s="51" t="s">
        <v>87</v>
      </c>
      <c r="P22" s="56">
        <f>Control!$F$59</f>
        <v>0</v>
      </c>
      <c r="Q22" s="52" t="s">
        <v>88</v>
      </c>
      <c r="R22" s="70">
        <f>(D22+F22)*$H$6*$J$6*$L$6*$P$6*$N$6</f>
        <v>0</v>
      </c>
      <c r="S22" s="51" t="s">
        <v>87</v>
      </c>
      <c r="T22" s="65">
        <f>Control!$D$107</f>
        <v>9.9999999999999998E-13</v>
      </c>
      <c r="U22" s="52" t="s">
        <v>88</v>
      </c>
      <c r="V22" s="58">
        <f>R22*T22</f>
        <v>0</v>
      </c>
      <c r="W22" s="51" t="s">
        <v>87</v>
      </c>
      <c r="X22" s="70">
        <f>Control!$D$101</f>
        <v>28</v>
      </c>
      <c r="Y22" s="51" t="s">
        <v>87</v>
      </c>
      <c r="Z22" s="46">
        <f>Control!$D$100</f>
        <v>0.27272727272727271</v>
      </c>
      <c r="AA22" s="52" t="s">
        <v>88</v>
      </c>
      <c r="AB22" s="48">
        <f>V22*X$6*Z$6</f>
        <v>0</v>
      </c>
      <c r="AC22" s="52" t="s">
        <v>88</v>
      </c>
      <c r="AD22" s="48">
        <f>AB22*C_CO2</f>
        <v>0</v>
      </c>
    </row>
    <row r="23" spans="1:30" ht="11">
      <c r="B23" s="40"/>
      <c r="C23" s="41"/>
      <c r="D23" s="49"/>
      <c r="E23" s="59"/>
      <c r="F23" s="53"/>
      <c r="G23" s="50"/>
      <c r="H23" s="77"/>
      <c r="I23" s="50"/>
      <c r="J23" s="50"/>
      <c r="K23" s="50"/>
      <c r="L23" s="78"/>
      <c r="M23" s="50"/>
      <c r="N23" s="85"/>
      <c r="O23" s="50"/>
      <c r="P23" s="50"/>
      <c r="Q23" s="50"/>
      <c r="R23" s="84"/>
      <c r="S23" s="50"/>
      <c r="T23" s="50"/>
      <c r="U23" s="50"/>
      <c r="V23" s="83"/>
      <c r="W23" s="50"/>
      <c r="X23" s="50"/>
      <c r="Y23" s="50"/>
      <c r="Z23" s="82"/>
      <c r="AA23" s="50"/>
      <c r="AB23" s="50"/>
      <c r="AC23" s="50"/>
      <c r="AD23" s="50"/>
    </row>
    <row r="24" spans="1:30" ht="13">
      <c r="A24" s="79"/>
      <c r="B24" s="39">
        <f>B22+1</f>
        <v>1999</v>
      </c>
      <c r="C24" s="60" t="s">
        <v>135</v>
      </c>
      <c r="D24" s="132"/>
      <c r="E24" s="61" t="s">
        <v>115</v>
      </c>
      <c r="F24" s="132"/>
      <c r="G24" s="54" t="s">
        <v>136</v>
      </c>
      <c r="H24" s="75">
        <f>Control!$F$57</f>
        <v>0</v>
      </c>
      <c r="I24" s="51" t="s">
        <v>87</v>
      </c>
      <c r="J24" s="70">
        <f>Control!$D$106</f>
        <v>1000</v>
      </c>
      <c r="K24" s="51" t="s">
        <v>87</v>
      </c>
      <c r="L24" s="76">
        <f>Control!$F$58</f>
        <v>0</v>
      </c>
      <c r="M24" s="51" t="s">
        <v>87</v>
      </c>
      <c r="N24" s="66">
        <f>Control!$F$60</f>
        <v>0</v>
      </c>
      <c r="O24" s="51" t="s">
        <v>87</v>
      </c>
      <c r="P24" s="56">
        <f>Control!$F$59</f>
        <v>0</v>
      </c>
      <c r="Q24" s="52" t="s">
        <v>88</v>
      </c>
      <c r="R24" s="70">
        <f>(D24+F24)*$H$6*$J$6*$L$6*$P$6*$N$6</f>
        <v>0</v>
      </c>
      <c r="S24" s="51" t="s">
        <v>87</v>
      </c>
      <c r="T24" s="65">
        <f>Control!$D$107</f>
        <v>9.9999999999999998E-13</v>
      </c>
      <c r="U24" s="52" t="s">
        <v>88</v>
      </c>
      <c r="V24" s="58">
        <f>R24*T24</f>
        <v>0</v>
      </c>
      <c r="W24" s="51" t="s">
        <v>87</v>
      </c>
      <c r="X24" s="70">
        <f>Control!$D$101</f>
        <v>28</v>
      </c>
      <c r="Y24" s="51" t="s">
        <v>87</v>
      </c>
      <c r="Z24" s="46">
        <f>Control!$D$100</f>
        <v>0.27272727272727271</v>
      </c>
      <c r="AA24" s="52" t="s">
        <v>88</v>
      </c>
      <c r="AB24" s="48">
        <f>V24*X$6*Z$6</f>
        <v>0</v>
      </c>
      <c r="AC24" s="52" t="s">
        <v>88</v>
      </c>
      <c r="AD24" s="48">
        <f>AB24*C_CO2</f>
        <v>0</v>
      </c>
    </row>
    <row r="25" spans="1:30" ht="11">
      <c r="B25" s="40"/>
      <c r="C25" s="41"/>
      <c r="D25" s="53"/>
      <c r="E25" s="59"/>
      <c r="F25" s="53"/>
      <c r="G25" s="50"/>
      <c r="H25" s="77"/>
      <c r="I25" s="50"/>
      <c r="J25" s="50"/>
      <c r="K25" s="50"/>
      <c r="L25" s="78"/>
      <c r="M25" s="50"/>
      <c r="N25" s="85"/>
      <c r="O25" s="50"/>
      <c r="P25" s="50"/>
      <c r="Q25" s="50"/>
      <c r="R25" s="84"/>
      <c r="S25" s="50"/>
      <c r="T25" s="50"/>
      <c r="U25" s="50"/>
      <c r="V25" s="83"/>
      <c r="W25" s="50"/>
      <c r="X25" s="50"/>
      <c r="Y25" s="50"/>
      <c r="Z25" s="82"/>
      <c r="AA25" s="50"/>
      <c r="AB25" s="50"/>
      <c r="AC25" s="50"/>
      <c r="AD25" s="50"/>
    </row>
    <row r="26" spans="1:30" ht="13">
      <c r="A26" s="79"/>
      <c r="B26" s="39">
        <f>B24+1</f>
        <v>2000</v>
      </c>
      <c r="C26" s="60" t="s">
        <v>135</v>
      </c>
      <c r="D26" s="132"/>
      <c r="E26" s="61" t="s">
        <v>115</v>
      </c>
      <c r="F26" s="132"/>
      <c r="G26" s="54" t="s">
        <v>136</v>
      </c>
      <c r="H26" s="75">
        <f>Control!$F$57</f>
        <v>0</v>
      </c>
      <c r="I26" s="51" t="s">
        <v>87</v>
      </c>
      <c r="J26" s="70">
        <f>Control!$D$106</f>
        <v>1000</v>
      </c>
      <c r="K26" s="51" t="s">
        <v>87</v>
      </c>
      <c r="L26" s="76">
        <f>Control!$F$58</f>
        <v>0</v>
      </c>
      <c r="M26" s="51" t="s">
        <v>87</v>
      </c>
      <c r="N26" s="66">
        <f>Control!$F$60</f>
        <v>0</v>
      </c>
      <c r="O26" s="51" t="s">
        <v>87</v>
      </c>
      <c r="P26" s="56">
        <f>Control!$F$59</f>
        <v>0</v>
      </c>
      <c r="Q26" s="52" t="s">
        <v>88</v>
      </c>
      <c r="R26" s="70">
        <f>(D26+F26)*$H$6*$J$6*$L$6*$P$6*$N$6</f>
        <v>0</v>
      </c>
      <c r="S26" s="51" t="s">
        <v>87</v>
      </c>
      <c r="T26" s="65">
        <f>Control!$D$107</f>
        <v>9.9999999999999998E-13</v>
      </c>
      <c r="U26" s="52" t="s">
        <v>88</v>
      </c>
      <c r="V26" s="58">
        <f>R26*T26</f>
        <v>0</v>
      </c>
      <c r="W26" s="51" t="s">
        <v>87</v>
      </c>
      <c r="X26" s="70">
        <f>Control!$D$101</f>
        <v>28</v>
      </c>
      <c r="Y26" s="51" t="s">
        <v>87</v>
      </c>
      <c r="Z26" s="46">
        <f>Control!$D$100</f>
        <v>0.27272727272727271</v>
      </c>
      <c r="AA26" s="52" t="s">
        <v>88</v>
      </c>
      <c r="AB26" s="48">
        <f>V26*X$6*Z$6</f>
        <v>0</v>
      </c>
      <c r="AC26" s="52" t="s">
        <v>88</v>
      </c>
      <c r="AD26" s="48">
        <f>AB26*C_CO2</f>
        <v>0</v>
      </c>
    </row>
    <row r="27" spans="1:30" ht="11">
      <c r="B27" s="53"/>
      <c r="C27" s="53"/>
      <c r="D27" s="53"/>
      <c r="E27" s="53"/>
      <c r="F27" s="53"/>
      <c r="G27" s="50"/>
      <c r="H27" s="77"/>
      <c r="I27" s="50"/>
      <c r="J27" s="50"/>
      <c r="K27" s="50"/>
      <c r="L27" s="78"/>
      <c r="M27" s="50"/>
      <c r="N27" s="85"/>
      <c r="O27" s="50"/>
      <c r="P27" s="50"/>
      <c r="Q27" s="50"/>
      <c r="R27" s="84"/>
      <c r="S27" s="50"/>
      <c r="T27" s="50"/>
      <c r="U27" s="50"/>
      <c r="V27" s="83"/>
      <c r="W27" s="50"/>
      <c r="X27" s="50"/>
      <c r="Y27" s="50"/>
      <c r="Z27" s="82"/>
      <c r="AA27" s="50"/>
      <c r="AB27" s="50"/>
      <c r="AC27" s="50"/>
      <c r="AD27" s="50"/>
    </row>
    <row r="28" spans="1:30" ht="13">
      <c r="A28" s="79"/>
      <c r="B28" s="39">
        <f>B26+1</f>
        <v>2001</v>
      </c>
      <c r="C28" s="60" t="s">
        <v>135</v>
      </c>
      <c r="D28" s="132"/>
      <c r="E28" s="61" t="s">
        <v>115</v>
      </c>
      <c r="F28" s="128"/>
      <c r="G28" s="54" t="s">
        <v>136</v>
      </c>
      <c r="H28" s="75">
        <f>Control!$F$57</f>
        <v>0</v>
      </c>
      <c r="I28" s="51" t="s">
        <v>87</v>
      </c>
      <c r="J28" s="70">
        <f>Control!$D$106</f>
        <v>1000</v>
      </c>
      <c r="K28" s="51" t="s">
        <v>87</v>
      </c>
      <c r="L28" s="76">
        <f>Control!$F$58</f>
        <v>0</v>
      </c>
      <c r="M28" s="51" t="s">
        <v>87</v>
      </c>
      <c r="N28" s="66">
        <f>Control!$F$60</f>
        <v>0</v>
      </c>
      <c r="O28" s="51" t="s">
        <v>87</v>
      </c>
      <c r="P28" s="56">
        <f>Control!$F$59</f>
        <v>0</v>
      </c>
      <c r="Q28" s="52" t="s">
        <v>88</v>
      </c>
      <c r="R28" s="70">
        <f>(D28+F28)*$H$6*$J$6*$L$6*$P$6*$N$6</f>
        <v>0</v>
      </c>
      <c r="S28" s="51" t="s">
        <v>87</v>
      </c>
      <c r="T28" s="65">
        <f>Control!$D$107</f>
        <v>9.9999999999999998E-13</v>
      </c>
      <c r="U28" s="52" t="s">
        <v>88</v>
      </c>
      <c r="V28" s="58">
        <f>R28*T28</f>
        <v>0</v>
      </c>
      <c r="W28" s="51" t="s">
        <v>87</v>
      </c>
      <c r="X28" s="70">
        <f>Control!$D$101</f>
        <v>28</v>
      </c>
      <c r="Y28" s="51" t="s">
        <v>87</v>
      </c>
      <c r="Z28" s="46">
        <f>Control!$D$100</f>
        <v>0.27272727272727271</v>
      </c>
      <c r="AA28" s="52" t="s">
        <v>88</v>
      </c>
      <c r="AB28" s="48">
        <f>V28*X$6*Z$6</f>
        <v>0</v>
      </c>
      <c r="AC28" s="52" t="s">
        <v>88</v>
      </c>
      <c r="AD28" s="48">
        <f>AB28*C_CO2</f>
        <v>0</v>
      </c>
    </row>
    <row r="29" spans="1:30" ht="11">
      <c r="B29" s="40"/>
      <c r="C29" s="41"/>
      <c r="D29" s="53"/>
      <c r="E29" s="59"/>
      <c r="F29" s="53"/>
      <c r="G29" s="50"/>
      <c r="H29" s="77"/>
      <c r="I29" s="50"/>
      <c r="J29" s="50"/>
      <c r="K29" s="50"/>
      <c r="L29" s="78"/>
      <c r="M29" s="50"/>
      <c r="N29" s="85"/>
      <c r="O29" s="50"/>
      <c r="P29" s="50"/>
      <c r="Q29" s="50"/>
      <c r="R29" s="84"/>
      <c r="S29" s="50"/>
      <c r="T29" s="50"/>
      <c r="U29" s="50"/>
      <c r="V29" s="83"/>
      <c r="W29" s="50"/>
      <c r="X29" s="50"/>
      <c r="Y29" s="50"/>
      <c r="Z29" s="82"/>
      <c r="AA29" s="50"/>
      <c r="AB29" s="50"/>
      <c r="AC29" s="50"/>
      <c r="AD29" s="50"/>
    </row>
    <row r="30" spans="1:30" ht="13">
      <c r="A30" s="79"/>
      <c r="B30" s="39">
        <f>B28+1</f>
        <v>2002</v>
      </c>
      <c r="C30" s="60" t="s">
        <v>135</v>
      </c>
      <c r="D30" s="132"/>
      <c r="E30" s="61" t="s">
        <v>115</v>
      </c>
      <c r="F30" s="128"/>
      <c r="G30" s="54" t="s">
        <v>136</v>
      </c>
      <c r="H30" s="75">
        <f>Control!$F$57</f>
        <v>0</v>
      </c>
      <c r="I30" s="51" t="s">
        <v>87</v>
      </c>
      <c r="J30" s="70">
        <f>Control!$D$106</f>
        <v>1000</v>
      </c>
      <c r="K30" s="51" t="s">
        <v>87</v>
      </c>
      <c r="L30" s="76">
        <f>Control!$F$58</f>
        <v>0</v>
      </c>
      <c r="M30" s="51" t="s">
        <v>87</v>
      </c>
      <c r="N30" s="66">
        <f>Control!$F$60</f>
        <v>0</v>
      </c>
      <c r="O30" s="51" t="s">
        <v>87</v>
      </c>
      <c r="P30" s="56">
        <f>Control!$F$59</f>
        <v>0</v>
      </c>
      <c r="Q30" s="52" t="s">
        <v>88</v>
      </c>
      <c r="R30" s="70">
        <f>(D30+F30)*$H$6*$J$6*$L$6*$P$6*$N$6</f>
        <v>0</v>
      </c>
      <c r="S30" s="51" t="s">
        <v>87</v>
      </c>
      <c r="T30" s="65">
        <f>Control!$D$107</f>
        <v>9.9999999999999998E-13</v>
      </c>
      <c r="U30" s="52" t="s">
        <v>88</v>
      </c>
      <c r="V30" s="58">
        <f>R30*T30</f>
        <v>0</v>
      </c>
      <c r="W30" s="51" t="s">
        <v>87</v>
      </c>
      <c r="X30" s="70">
        <f>Control!$D$101</f>
        <v>28</v>
      </c>
      <c r="Y30" s="51" t="s">
        <v>87</v>
      </c>
      <c r="Z30" s="46">
        <f>Control!$D$100</f>
        <v>0.27272727272727271</v>
      </c>
      <c r="AA30" s="52" t="s">
        <v>88</v>
      </c>
      <c r="AB30" s="48">
        <f>V30*X$6*Z$6</f>
        <v>0</v>
      </c>
      <c r="AC30" s="52" t="s">
        <v>88</v>
      </c>
      <c r="AD30" s="48">
        <f>AB30*C_CO2</f>
        <v>0</v>
      </c>
    </row>
    <row r="31" spans="1:30" ht="11">
      <c r="B31" s="40"/>
      <c r="C31" s="41"/>
      <c r="D31" s="49"/>
      <c r="E31" s="59"/>
      <c r="F31" s="53"/>
      <c r="G31" s="50"/>
      <c r="H31" s="77"/>
      <c r="I31" s="50"/>
      <c r="J31" s="50"/>
      <c r="K31" s="50"/>
      <c r="L31" s="78"/>
      <c r="M31" s="50"/>
      <c r="N31" s="85"/>
      <c r="O31" s="50"/>
      <c r="P31" s="50"/>
      <c r="Q31" s="50"/>
      <c r="R31" s="84"/>
      <c r="S31" s="50"/>
      <c r="T31" s="50"/>
      <c r="U31" s="50"/>
      <c r="V31" s="83"/>
      <c r="W31" s="50"/>
      <c r="X31" s="50"/>
      <c r="Y31" s="50"/>
      <c r="Z31" s="82"/>
      <c r="AA31" s="50"/>
      <c r="AB31" s="50"/>
      <c r="AC31" s="50"/>
      <c r="AD31" s="50"/>
    </row>
    <row r="32" spans="1:30" ht="13">
      <c r="A32" s="79"/>
      <c r="B32" s="39">
        <f>B30+1</f>
        <v>2003</v>
      </c>
      <c r="C32" s="60" t="s">
        <v>135</v>
      </c>
      <c r="D32" s="132"/>
      <c r="E32" s="61" t="s">
        <v>115</v>
      </c>
      <c r="F32" s="128"/>
      <c r="G32" s="54" t="s">
        <v>136</v>
      </c>
      <c r="H32" s="75">
        <f>Control!$F$57</f>
        <v>0</v>
      </c>
      <c r="I32" s="51" t="s">
        <v>87</v>
      </c>
      <c r="J32" s="70">
        <f>Control!$D$106</f>
        <v>1000</v>
      </c>
      <c r="K32" s="51" t="s">
        <v>87</v>
      </c>
      <c r="L32" s="76">
        <f>Control!$F$58</f>
        <v>0</v>
      </c>
      <c r="M32" s="51" t="s">
        <v>87</v>
      </c>
      <c r="N32" s="66">
        <f>Control!$F$60</f>
        <v>0</v>
      </c>
      <c r="O32" s="51" t="s">
        <v>87</v>
      </c>
      <c r="P32" s="56">
        <f>Control!$F$59</f>
        <v>0</v>
      </c>
      <c r="Q32" s="52" t="s">
        <v>88</v>
      </c>
      <c r="R32" s="70">
        <f>(D32+F32)*$H$6*$J$6*$L$6*$P$6*$N$6</f>
        <v>0</v>
      </c>
      <c r="S32" s="51" t="s">
        <v>87</v>
      </c>
      <c r="T32" s="65">
        <f>Control!$D$107</f>
        <v>9.9999999999999998E-13</v>
      </c>
      <c r="U32" s="52" t="s">
        <v>88</v>
      </c>
      <c r="V32" s="58">
        <f>R32*T32</f>
        <v>0</v>
      </c>
      <c r="W32" s="51" t="s">
        <v>87</v>
      </c>
      <c r="X32" s="70">
        <f>Control!$D$101</f>
        <v>28</v>
      </c>
      <c r="Y32" s="51" t="s">
        <v>87</v>
      </c>
      <c r="Z32" s="46">
        <f>Control!$D$100</f>
        <v>0.27272727272727271</v>
      </c>
      <c r="AA32" s="52" t="s">
        <v>88</v>
      </c>
      <c r="AB32" s="48">
        <f>V32*X$6*Z$6</f>
        <v>0</v>
      </c>
      <c r="AC32" s="52" t="s">
        <v>88</v>
      </c>
      <c r="AD32" s="48">
        <f>AB32*C_CO2</f>
        <v>0</v>
      </c>
    </row>
    <row r="33" spans="1:30" ht="11">
      <c r="B33" s="40"/>
      <c r="C33" s="41"/>
      <c r="D33" s="53"/>
      <c r="E33" s="59"/>
      <c r="F33" s="53"/>
      <c r="G33" s="50"/>
      <c r="H33" s="77"/>
      <c r="I33" s="50"/>
      <c r="J33" s="50"/>
      <c r="K33" s="50"/>
      <c r="L33" s="78"/>
      <c r="M33" s="50"/>
      <c r="N33" s="85"/>
      <c r="O33" s="50"/>
      <c r="P33" s="50"/>
      <c r="Q33" s="50"/>
      <c r="R33" s="84"/>
      <c r="S33" s="50"/>
      <c r="T33" s="50"/>
      <c r="U33" s="50"/>
      <c r="V33" s="83"/>
      <c r="W33" s="50"/>
      <c r="X33" s="50"/>
      <c r="Y33" s="50"/>
      <c r="Z33" s="82"/>
      <c r="AA33" s="50"/>
      <c r="AB33" s="50"/>
      <c r="AC33" s="50"/>
      <c r="AD33" s="50"/>
    </row>
    <row r="34" spans="1:30" ht="13">
      <c r="A34" s="79"/>
      <c r="B34" s="39">
        <f>B32+1</f>
        <v>2004</v>
      </c>
      <c r="C34" s="60" t="s">
        <v>135</v>
      </c>
      <c r="D34" s="132"/>
      <c r="E34" s="61" t="s">
        <v>115</v>
      </c>
      <c r="F34" s="128"/>
      <c r="G34" s="54" t="s">
        <v>136</v>
      </c>
      <c r="H34" s="75">
        <f>Control!$F$57</f>
        <v>0</v>
      </c>
      <c r="I34" s="51" t="s">
        <v>87</v>
      </c>
      <c r="J34" s="70">
        <f>Control!$D$106</f>
        <v>1000</v>
      </c>
      <c r="K34" s="51" t="s">
        <v>87</v>
      </c>
      <c r="L34" s="76">
        <f>Control!$F$58</f>
        <v>0</v>
      </c>
      <c r="M34" s="51" t="s">
        <v>87</v>
      </c>
      <c r="N34" s="66">
        <f>Control!$F$60</f>
        <v>0</v>
      </c>
      <c r="O34" s="51" t="s">
        <v>87</v>
      </c>
      <c r="P34" s="56">
        <f>Control!$F$59</f>
        <v>0</v>
      </c>
      <c r="Q34" s="52" t="s">
        <v>88</v>
      </c>
      <c r="R34" s="70">
        <f>(D34+F34)*$H$6*$J$6*$L$6*$P$6*$N$6</f>
        <v>0</v>
      </c>
      <c r="S34" s="51" t="s">
        <v>87</v>
      </c>
      <c r="T34" s="65">
        <f>Control!$D$107</f>
        <v>9.9999999999999998E-13</v>
      </c>
      <c r="U34" s="52" t="s">
        <v>88</v>
      </c>
      <c r="V34" s="58">
        <f>R34*T34</f>
        <v>0</v>
      </c>
      <c r="W34" s="51" t="s">
        <v>87</v>
      </c>
      <c r="X34" s="70">
        <f>Control!$D$101</f>
        <v>28</v>
      </c>
      <c r="Y34" s="51" t="s">
        <v>87</v>
      </c>
      <c r="Z34" s="46">
        <f>Control!$D$100</f>
        <v>0.27272727272727271</v>
      </c>
      <c r="AA34" s="52" t="s">
        <v>88</v>
      </c>
      <c r="AB34" s="48">
        <f>V34*X$6*Z$6</f>
        <v>0</v>
      </c>
      <c r="AC34" s="52" t="s">
        <v>88</v>
      </c>
      <c r="AD34" s="48">
        <f>AB34*C_CO2</f>
        <v>0</v>
      </c>
    </row>
    <row r="35" spans="1:30" ht="11">
      <c r="B35" s="40"/>
      <c r="C35" s="41"/>
      <c r="D35" s="49"/>
      <c r="E35" s="59"/>
      <c r="F35" s="53"/>
      <c r="G35" s="50"/>
      <c r="H35" s="77"/>
      <c r="I35" s="50"/>
      <c r="J35" s="50"/>
      <c r="K35" s="50"/>
      <c r="L35" s="78"/>
      <c r="M35" s="50"/>
      <c r="N35" s="85"/>
      <c r="O35" s="50"/>
      <c r="P35" s="50"/>
      <c r="Q35" s="50"/>
      <c r="R35" s="84"/>
      <c r="S35" s="50"/>
      <c r="T35" s="50"/>
      <c r="U35" s="50"/>
      <c r="V35" s="83"/>
      <c r="W35" s="50"/>
      <c r="X35" s="50"/>
      <c r="Y35" s="50"/>
      <c r="Z35" s="82"/>
      <c r="AA35" s="50"/>
      <c r="AB35" s="50"/>
      <c r="AC35" s="50"/>
      <c r="AD35" s="50"/>
    </row>
    <row r="36" spans="1:30" ht="13">
      <c r="A36" s="79"/>
      <c r="B36" s="39">
        <f>B34+1</f>
        <v>2005</v>
      </c>
      <c r="C36" s="60" t="s">
        <v>135</v>
      </c>
      <c r="D36" s="132"/>
      <c r="E36" s="61" t="s">
        <v>115</v>
      </c>
      <c r="F36" s="128"/>
      <c r="G36" s="54" t="s">
        <v>136</v>
      </c>
      <c r="H36" s="75">
        <f>Control!$F$57</f>
        <v>0</v>
      </c>
      <c r="I36" s="51" t="s">
        <v>87</v>
      </c>
      <c r="J36" s="70">
        <f>Control!$D$106</f>
        <v>1000</v>
      </c>
      <c r="K36" s="51" t="s">
        <v>87</v>
      </c>
      <c r="L36" s="76">
        <f>Control!$F$58</f>
        <v>0</v>
      </c>
      <c r="M36" s="51" t="s">
        <v>87</v>
      </c>
      <c r="N36" s="66">
        <f>Control!$F$60</f>
        <v>0</v>
      </c>
      <c r="O36" s="51" t="s">
        <v>87</v>
      </c>
      <c r="P36" s="56">
        <f>Control!$F$59</f>
        <v>0</v>
      </c>
      <c r="Q36" s="52" t="s">
        <v>88</v>
      </c>
      <c r="R36" s="70">
        <f>(D36+F36)*$H$6*$J$6*$L$6*$P$6*$N$6</f>
        <v>0</v>
      </c>
      <c r="S36" s="51" t="s">
        <v>87</v>
      </c>
      <c r="T36" s="65">
        <f>Control!$D$107</f>
        <v>9.9999999999999998E-13</v>
      </c>
      <c r="U36" s="52" t="s">
        <v>88</v>
      </c>
      <c r="V36" s="58">
        <f>R36*T36</f>
        <v>0</v>
      </c>
      <c r="W36" s="51" t="s">
        <v>87</v>
      </c>
      <c r="X36" s="70">
        <f>Control!$D$101</f>
        <v>28</v>
      </c>
      <c r="Y36" s="51" t="s">
        <v>87</v>
      </c>
      <c r="Z36" s="46">
        <f>Control!$D$100</f>
        <v>0.27272727272727271</v>
      </c>
      <c r="AA36" s="52" t="s">
        <v>88</v>
      </c>
      <c r="AB36" s="48">
        <f>V36*X$6*Z$6</f>
        <v>0</v>
      </c>
      <c r="AC36" s="52" t="s">
        <v>88</v>
      </c>
      <c r="AD36" s="48">
        <f>AB36*C_CO2</f>
        <v>0</v>
      </c>
    </row>
    <row r="37" spans="1:30" ht="11">
      <c r="B37" s="40"/>
      <c r="C37" s="41"/>
      <c r="D37" s="49"/>
      <c r="E37" s="59"/>
      <c r="F37" s="53"/>
      <c r="G37" s="50"/>
      <c r="H37" s="77"/>
      <c r="I37" s="50"/>
      <c r="J37" s="50"/>
      <c r="K37" s="50"/>
      <c r="L37" s="78"/>
      <c r="M37" s="50"/>
      <c r="N37" s="85"/>
      <c r="O37" s="50"/>
      <c r="P37" s="50"/>
      <c r="Q37" s="50"/>
      <c r="R37" s="84"/>
      <c r="S37" s="50"/>
      <c r="T37" s="50"/>
      <c r="U37" s="50"/>
      <c r="V37" s="83"/>
      <c r="W37" s="50"/>
      <c r="X37" s="50"/>
      <c r="Y37" s="50"/>
      <c r="Z37" s="82"/>
      <c r="AA37" s="50"/>
      <c r="AB37" s="50"/>
      <c r="AC37" s="50"/>
      <c r="AD37" s="50"/>
    </row>
    <row r="38" spans="1:30" ht="13">
      <c r="A38" s="79"/>
      <c r="B38" s="39">
        <f>B36+1</f>
        <v>2006</v>
      </c>
      <c r="C38" s="60" t="s">
        <v>135</v>
      </c>
      <c r="D38" s="132"/>
      <c r="E38" s="61" t="s">
        <v>115</v>
      </c>
      <c r="F38" s="128"/>
      <c r="G38" s="54" t="s">
        <v>136</v>
      </c>
      <c r="H38" s="75">
        <f>Control!$F$57</f>
        <v>0</v>
      </c>
      <c r="I38" s="51" t="s">
        <v>87</v>
      </c>
      <c r="J38" s="70">
        <f>Control!$D$106</f>
        <v>1000</v>
      </c>
      <c r="K38" s="51" t="s">
        <v>87</v>
      </c>
      <c r="L38" s="76">
        <f>Control!$F$58</f>
        <v>0</v>
      </c>
      <c r="M38" s="51" t="s">
        <v>87</v>
      </c>
      <c r="N38" s="66">
        <f>Control!$F$60</f>
        <v>0</v>
      </c>
      <c r="O38" s="51" t="s">
        <v>87</v>
      </c>
      <c r="P38" s="56">
        <f>Control!$F$59</f>
        <v>0</v>
      </c>
      <c r="Q38" s="52" t="s">
        <v>88</v>
      </c>
      <c r="R38" s="70">
        <f>(D38+F38)*$H$6*$J$6*$L$6*$P$6*$N$6</f>
        <v>0</v>
      </c>
      <c r="S38" s="51" t="s">
        <v>87</v>
      </c>
      <c r="T38" s="65">
        <f>Control!$D$107</f>
        <v>9.9999999999999998E-13</v>
      </c>
      <c r="U38" s="52" t="s">
        <v>88</v>
      </c>
      <c r="V38" s="58">
        <f>R38*T38</f>
        <v>0</v>
      </c>
      <c r="W38" s="51" t="s">
        <v>87</v>
      </c>
      <c r="X38" s="70">
        <f>Control!$D$101</f>
        <v>28</v>
      </c>
      <c r="Y38" s="51" t="s">
        <v>87</v>
      </c>
      <c r="Z38" s="46">
        <f>Control!$D$100</f>
        <v>0.27272727272727271</v>
      </c>
      <c r="AA38" s="52" t="s">
        <v>88</v>
      </c>
      <c r="AB38" s="48">
        <f>V38*X$6*Z$6</f>
        <v>0</v>
      </c>
      <c r="AC38" s="52" t="s">
        <v>88</v>
      </c>
      <c r="AD38" s="48">
        <f>AB38*C_CO2</f>
        <v>0</v>
      </c>
    </row>
    <row r="39" spans="1:30" ht="11">
      <c r="B39" s="40"/>
      <c r="C39" s="41"/>
      <c r="D39" s="49"/>
      <c r="E39" s="59"/>
      <c r="F39" s="53"/>
      <c r="G39" s="50"/>
      <c r="H39" s="77"/>
      <c r="I39" s="50"/>
      <c r="J39" s="50"/>
      <c r="K39" s="50"/>
      <c r="L39" s="78"/>
      <c r="M39" s="50"/>
      <c r="N39" s="85"/>
      <c r="O39" s="50"/>
      <c r="P39" s="50"/>
      <c r="Q39" s="50"/>
      <c r="R39" s="84"/>
      <c r="S39" s="50"/>
      <c r="T39" s="50"/>
      <c r="U39" s="50"/>
      <c r="V39" s="83"/>
      <c r="W39" s="50"/>
      <c r="X39" s="50"/>
      <c r="Y39" s="50"/>
      <c r="Z39" s="82"/>
      <c r="AA39" s="50"/>
      <c r="AB39" s="50"/>
      <c r="AC39" s="50"/>
      <c r="AD39" s="50"/>
    </row>
    <row r="40" spans="1:30" ht="13">
      <c r="A40" s="79"/>
      <c r="B40" s="39">
        <f>B38+1</f>
        <v>2007</v>
      </c>
      <c r="C40" s="60" t="s">
        <v>135</v>
      </c>
      <c r="D40" s="132"/>
      <c r="E40" s="61" t="s">
        <v>115</v>
      </c>
      <c r="F40" s="128"/>
      <c r="G40" s="54" t="s">
        <v>136</v>
      </c>
      <c r="H40" s="75">
        <f>Control!$F$57</f>
        <v>0</v>
      </c>
      <c r="I40" s="51" t="s">
        <v>87</v>
      </c>
      <c r="J40" s="70">
        <f>Control!$D$106</f>
        <v>1000</v>
      </c>
      <c r="K40" s="51" t="s">
        <v>87</v>
      </c>
      <c r="L40" s="76">
        <f>Control!$F$58</f>
        <v>0</v>
      </c>
      <c r="M40" s="51" t="s">
        <v>87</v>
      </c>
      <c r="N40" s="66">
        <f>Control!$F$60</f>
        <v>0</v>
      </c>
      <c r="O40" s="51" t="s">
        <v>87</v>
      </c>
      <c r="P40" s="56">
        <f>Control!$F$59</f>
        <v>0</v>
      </c>
      <c r="Q40" s="52" t="s">
        <v>88</v>
      </c>
      <c r="R40" s="70">
        <f>(D40+F40)*$H$6*$J$6*$L$6*$P$6*$N$6</f>
        <v>0</v>
      </c>
      <c r="S40" s="51" t="s">
        <v>87</v>
      </c>
      <c r="T40" s="65">
        <f>Control!$D$107</f>
        <v>9.9999999999999998E-13</v>
      </c>
      <c r="U40" s="52" t="s">
        <v>88</v>
      </c>
      <c r="V40" s="58">
        <f>R40*T40</f>
        <v>0</v>
      </c>
      <c r="W40" s="51" t="s">
        <v>87</v>
      </c>
      <c r="X40" s="70">
        <f>Control!$D$101</f>
        <v>28</v>
      </c>
      <c r="Y40" s="51" t="s">
        <v>87</v>
      </c>
      <c r="Z40" s="46">
        <f>Control!$D$100</f>
        <v>0.27272727272727271</v>
      </c>
      <c r="AA40" s="52" t="s">
        <v>88</v>
      </c>
      <c r="AB40" s="48">
        <f>V40*X$6*Z$6</f>
        <v>0</v>
      </c>
      <c r="AC40" s="52" t="s">
        <v>88</v>
      </c>
      <c r="AD40" s="48">
        <f>AB40*C_CO2</f>
        <v>0</v>
      </c>
    </row>
    <row r="41" spans="1:30" ht="11">
      <c r="B41" s="40"/>
      <c r="C41" s="41"/>
      <c r="D41" s="53"/>
      <c r="E41" s="53"/>
      <c r="F41" s="53"/>
      <c r="G41" s="50"/>
      <c r="H41" s="77"/>
      <c r="I41" s="50"/>
      <c r="J41" s="50"/>
      <c r="K41" s="50"/>
      <c r="L41" s="78"/>
      <c r="M41" s="50"/>
      <c r="N41" s="85"/>
      <c r="O41" s="50"/>
      <c r="P41" s="50"/>
      <c r="Q41" s="50"/>
      <c r="R41" s="84"/>
      <c r="S41" s="50"/>
      <c r="T41" s="50"/>
      <c r="U41" s="50"/>
      <c r="V41" s="83"/>
      <c r="W41" s="50"/>
      <c r="X41" s="50"/>
      <c r="Y41" s="50"/>
      <c r="Z41" s="82"/>
      <c r="AA41" s="50"/>
      <c r="AB41" s="50"/>
      <c r="AC41" s="50"/>
      <c r="AD41" s="50"/>
    </row>
    <row r="42" spans="1:30" ht="13">
      <c r="A42" s="79"/>
      <c r="B42" s="39">
        <f>B40+1</f>
        <v>2008</v>
      </c>
      <c r="C42" s="60" t="s">
        <v>135</v>
      </c>
      <c r="D42" s="132"/>
      <c r="E42" s="61" t="s">
        <v>115</v>
      </c>
      <c r="F42" s="128"/>
      <c r="G42" s="54" t="s">
        <v>136</v>
      </c>
      <c r="H42" s="75">
        <f>Control!$F$57</f>
        <v>0</v>
      </c>
      <c r="I42" s="51" t="s">
        <v>87</v>
      </c>
      <c r="J42" s="70">
        <f>Control!$D$106</f>
        <v>1000</v>
      </c>
      <c r="K42" s="51" t="s">
        <v>87</v>
      </c>
      <c r="L42" s="76">
        <f>Control!$F$58</f>
        <v>0</v>
      </c>
      <c r="M42" s="51" t="s">
        <v>87</v>
      </c>
      <c r="N42" s="66">
        <f>Control!$F$60</f>
        <v>0</v>
      </c>
      <c r="O42" s="51" t="s">
        <v>87</v>
      </c>
      <c r="P42" s="56">
        <f>Control!$F$59</f>
        <v>0</v>
      </c>
      <c r="Q42" s="52" t="s">
        <v>88</v>
      </c>
      <c r="R42" s="70">
        <f>(D42+F42)*$H$6*$J$6*$L$6*$P$6*$N$6</f>
        <v>0</v>
      </c>
      <c r="S42" s="51" t="s">
        <v>87</v>
      </c>
      <c r="T42" s="65">
        <f>Control!$D$107</f>
        <v>9.9999999999999998E-13</v>
      </c>
      <c r="U42" s="52" t="s">
        <v>88</v>
      </c>
      <c r="V42" s="58">
        <f>R42*T42</f>
        <v>0</v>
      </c>
      <c r="W42" s="51" t="s">
        <v>87</v>
      </c>
      <c r="X42" s="70">
        <f>Control!$D$101</f>
        <v>28</v>
      </c>
      <c r="Y42" s="51" t="s">
        <v>87</v>
      </c>
      <c r="Z42" s="46">
        <f>Control!$D$100</f>
        <v>0.27272727272727271</v>
      </c>
      <c r="AA42" s="52" t="s">
        <v>88</v>
      </c>
      <c r="AB42" s="48">
        <f>V42*X$6*Z$6</f>
        <v>0</v>
      </c>
      <c r="AC42" s="52" t="s">
        <v>88</v>
      </c>
      <c r="AD42" s="48">
        <f>AB42*C_CO2</f>
        <v>0</v>
      </c>
    </row>
    <row r="43" spans="1:30" ht="11">
      <c r="B43" s="40"/>
      <c r="C43" s="41"/>
      <c r="D43" s="49"/>
      <c r="E43" s="59"/>
      <c r="F43" s="53"/>
      <c r="G43" s="50"/>
      <c r="H43" s="77"/>
      <c r="I43" s="50"/>
      <c r="J43" s="50"/>
      <c r="K43" s="50"/>
      <c r="L43" s="78"/>
      <c r="M43" s="50"/>
      <c r="N43" s="85"/>
      <c r="O43" s="50"/>
      <c r="P43" s="50"/>
      <c r="Q43" s="50"/>
      <c r="R43" s="84"/>
      <c r="S43" s="50"/>
      <c r="T43" s="50"/>
      <c r="U43" s="50"/>
      <c r="V43" s="83"/>
      <c r="W43" s="50"/>
      <c r="X43" s="50"/>
      <c r="Y43" s="50"/>
      <c r="Z43" s="82"/>
      <c r="AA43" s="50"/>
      <c r="AB43" s="50"/>
      <c r="AC43" s="50"/>
      <c r="AD43" s="50"/>
    </row>
    <row r="44" spans="1:30" ht="13">
      <c r="A44" s="79"/>
      <c r="B44" s="39">
        <f>B42+1</f>
        <v>2009</v>
      </c>
      <c r="C44" s="60" t="s">
        <v>135</v>
      </c>
      <c r="D44" s="132"/>
      <c r="E44" s="61" t="s">
        <v>115</v>
      </c>
      <c r="F44" s="128"/>
      <c r="G44" s="54" t="s">
        <v>136</v>
      </c>
      <c r="H44" s="75">
        <f>Control!$F$57</f>
        <v>0</v>
      </c>
      <c r="I44" s="51" t="s">
        <v>87</v>
      </c>
      <c r="J44" s="70">
        <f>Control!$D$106</f>
        <v>1000</v>
      </c>
      <c r="K44" s="51" t="s">
        <v>87</v>
      </c>
      <c r="L44" s="76">
        <f>Control!$F$58</f>
        <v>0</v>
      </c>
      <c r="M44" s="51" t="s">
        <v>87</v>
      </c>
      <c r="N44" s="66">
        <f>Control!$F$60</f>
        <v>0</v>
      </c>
      <c r="O44" s="51" t="s">
        <v>87</v>
      </c>
      <c r="P44" s="56">
        <f>Control!$F$59</f>
        <v>0</v>
      </c>
      <c r="Q44" s="52" t="s">
        <v>88</v>
      </c>
      <c r="R44" s="70">
        <f>(D44+F44)*$H$6*$J$6*$L$6*$P$6*$N$6</f>
        <v>0</v>
      </c>
      <c r="S44" s="51" t="s">
        <v>87</v>
      </c>
      <c r="T44" s="65">
        <f>Control!$D$107</f>
        <v>9.9999999999999998E-13</v>
      </c>
      <c r="U44" s="52" t="s">
        <v>88</v>
      </c>
      <c r="V44" s="58">
        <f>R44*T44</f>
        <v>0</v>
      </c>
      <c r="W44" s="51" t="s">
        <v>87</v>
      </c>
      <c r="X44" s="70">
        <f>Control!$D$101</f>
        <v>28</v>
      </c>
      <c r="Y44" s="51" t="s">
        <v>87</v>
      </c>
      <c r="Z44" s="46">
        <f>Control!$D$100</f>
        <v>0.27272727272727271</v>
      </c>
      <c r="AA44" s="52" t="s">
        <v>88</v>
      </c>
      <c r="AB44" s="48">
        <f>V44*X$6*Z$6</f>
        <v>0</v>
      </c>
      <c r="AC44" s="52" t="s">
        <v>88</v>
      </c>
      <c r="AD44" s="48">
        <f>AB44*C_CO2</f>
        <v>0</v>
      </c>
    </row>
    <row r="45" spans="1:30" ht="11">
      <c r="B45" s="40"/>
      <c r="C45" s="41"/>
      <c r="D45" s="49"/>
      <c r="E45" s="59"/>
      <c r="F45" s="53"/>
      <c r="G45" s="50"/>
      <c r="H45" s="77"/>
      <c r="I45" s="50"/>
      <c r="J45" s="50"/>
      <c r="K45" s="50"/>
      <c r="L45" s="78"/>
      <c r="M45" s="50"/>
      <c r="N45" s="85"/>
      <c r="O45" s="50"/>
      <c r="P45" s="50"/>
      <c r="Q45" s="50"/>
      <c r="R45" s="84"/>
      <c r="S45" s="50"/>
      <c r="T45" s="50"/>
      <c r="U45" s="50"/>
      <c r="V45" s="83"/>
      <c r="W45" s="50"/>
      <c r="X45" s="50"/>
      <c r="Y45" s="50"/>
      <c r="Z45" s="82"/>
      <c r="AA45" s="50"/>
      <c r="AB45" s="50"/>
      <c r="AC45" s="50"/>
      <c r="AD45" s="50"/>
    </row>
    <row r="46" spans="1:30" ht="13">
      <c r="A46" s="79"/>
      <c r="B46" s="39">
        <f>B44+1</f>
        <v>2010</v>
      </c>
      <c r="C46" s="60" t="s">
        <v>135</v>
      </c>
      <c r="D46" s="132"/>
      <c r="E46" s="61" t="s">
        <v>115</v>
      </c>
      <c r="F46" s="128"/>
      <c r="G46" s="54" t="s">
        <v>136</v>
      </c>
      <c r="H46" s="75">
        <f>Control!$F$57</f>
        <v>0</v>
      </c>
      <c r="I46" s="51" t="s">
        <v>87</v>
      </c>
      <c r="J46" s="70">
        <f>Control!$D$106</f>
        <v>1000</v>
      </c>
      <c r="K46" s="51" t="s">
        <v>87</v>
      </c>
      <c r="L46" s="76">
        <f>Control!$F$58</f>
        <v>0</v>
      </c>
      <c r="M46" s="51" t="s">
        <v>87</v>
      </c>
      <c r="N46" s="66">
        <f>Control!$F$60</f>
        <v>0</v>
      </c>
      <c r="O46" s="51" t="s">
        <v>87</v>
      </c>
      <c r="P46" s="56">
        <f>Control!$F$59</f>
        <v>0</v>
      </c>
      <c r="Q46" s="52" t="s">
        <v>88</v>
      </c>
      <c r="R46" s="70">
        <f>(D46+F46)*$H$6*$J$6*$L$6*$P$6*$N$6</f>
        <v>0</v>
      </c>
      <c r="S46" s="51" t="s">
        <v>87</v>
      </c>
      <c r="T46" s="65">
        <f>Control!$D$107</f>
        <v>9.9999999999999998E-13</v>
      </c>
      <c r="U46" s="52" t="s">
        <v>88</v>
      </c>
      <c r="V46" s="58">
        <f>R46*T46</f>
        <v>0</v>
      </c>
      <c r="W46" s="51" t="s">
        <v>87</v>
      </c>
      <c r="X46" s="70">
        <f>Control!$D$101</f>
        <v>28</v>
      </c>
      <c r="Y46" s="51" t="s">
        <v>87</v>
      </c>
      <c r="Z46" s="46">
        <f>Control!$D$100</f>
        <v>0.27272727272727271</v>
      </c>
      <c r="AA46" s="52" t="s">
        <v>88</v>
      </c>
      <c r="AB46" s="48">
        <f>V46*X$6*Z$6</f>
        <v>0</v>
      </c>
      <c r="AC46" s="52" t="s">
        <v>88</v>
      </c>
      <c r="AD46" s="48">
        <f>AB46*C_CO2</f>
        <v>0</v>
      </c>
    </row>
    <row r="47" spans="1:30" ht="11">
      <c r="B47" s="40"/>
      <c r="C47" s="41"/>
      <c r="D47" s="49"/>
      <c r="E47" s="59"/>
      <c r="F47" s="53"/>
      <c r="G47" s="50"/>
      <c r="H47" s="77"/>
      <c r="I47" s="50"/>
      <c r="J47" s="50"/>
      <c r="K47" s="50"/>
      <c r="L47" s="78"/>
      <c r="M47" s="50"/>
      <c r="N47" s="85"/>
      <c r="O47" s="50"/>
      <c r="P47" s="50"/>
      <c r="Q47" s="50"/>
      <c r="R47" s="84"/>
      <c r="S47" s="50"/>
      <c r="T47" s="50"/>
      <c r="U47" s="50"/>
      <c r="V47" s="83"/>
      <c r="W47" s="50"/>
      <c r="X47" s="50"/>
      <c r="Y47" s="50"/>
      <c r="Z47" s="82"/>
      <c r="AA47" s="50"/>
      <c r="AB47" s="50"/>
      <c r="AC47" s="50"/>
      <c r="AD47" s="50"/>
    </row>
    <row r="48" spans="1:30" ht="13">
      <c r="A48" s="79"/>
      <c r="B48" s="39">
        <f>B46+1</f>
        <v>2011</v>
      </c>
      <c r="C48" s="60" t="s">
        <v>135</v>
      </c>
      <c r="D48" s="132"/>
      <c r="E48" s="61" t="s">
        <v>115</v>
      </c>
      <c r="F48" s="128"/>
      <c r="G48" s="54" t="s">
        <v>136</v>
      </c>
      <c r="H48" s="75">
        <f>Control!$F$57</f>
        <v>0</v>
      </c>
      <c r="I48" s="51" t="s">
        <v>87</v>
      </c>
      <c r="J48" s="70">
        <f>Control!$D$106</f>
        <v>1000</v>
      </c>
      <c r="K48" s="51" t="s">
        <v>87</v>
      </c>
      <c r="L48" s="76">
        <f>Control!$F$58</f>
        <v>0</v>
      </c>
      <c r="M48" s="51" t="s">
        <v>87</v>
      </c>
      <c r="N48" s="66">
        <f>Control!$F$60</f>
        <v>0</v>
      </c>
      <c r="O48" s="51" t="s">
        <v>87</v>
      </c>
      <c r="P48" s="56">
        <f>Control!$F$59</f>
        <v>0</v>
      </c>
      <c r="Q48" s="52" t="s">
        <v>88</v>
      </c>
      <c r="R48" s="70">
        <f>(D48+F48)*$H$6*$J$6*$L$6*$P$6*$N$6</f>
        <v>0</v>
      </c>
      <c r="S48" s="51" t="s">
        <v>87</v>
      </c>
      <c r="T48" s="65">
        <f>Control!$D$107</f>
        <v>9.9999999999999998E-13</v>
      </c>
      <c r="U48" s="52" t="s">
        <v>88</v>
      </c>
      <c r="V48" s="58">
        <f>R48*T48</f>
        <v>0</v>
      </c>
      <c r="W48" s="51" t="s">
        <v>87</v>
      </c>
      <c r="X48" s="70">
        <f>Control!$D$101</f>
        <v>28</v>
      </c>
      <c r="Y48" s="51" t="s">
        <v>87</v>
      </c>
      <c r="Z48" s="46">
        <f>Control!$D$100</f>
        <v>0.27272727272727271</v>
      </c>
      <c r="AA48" s="52" t="s">
        <v>88</v>
      </c>
      <c r="AB48" s="48">
        <f>V48*X$6*Z$6</f>
        <v>0</v>
      </c>
      <c r="AC48" s="52" t="s">
        <v>88</v>
      </c>
      <c r="AD48" s="48">
        <f>AB48*C_CO2</f>
        <v>0</v>
      </c>
    </row>
    <row r="49" spans="1:30" ht="11">
      <c r="B49" s="40"/>
      <c r="C49" s="41"/>
      <c r="D49" s="49"/>
      <c r="E49" s="59"/>
      <c r="F49" s="53"/>
      <c r="G49" s="50"/>
      <c r="H49" s="77"/>
      <c r="I49" s="50"/>
      <c r="J49" s="50"/>
      <c r="K49" s="50"/>
      <c r="L49" s="78"/>
      <c r="M49" s="50"/>
      <c r="N49" s="85"/>
      <c r="O49" s="50"/>
      <c r="P49" s="50"/>
      <c r="Q49" s="50"/>
      <c r="R49" s="84"/>
      <c r="S49" s="50"/>
      <c r="T49" s="50"/>
      <c r="U49" s="50"/>
      <c r="V49" s="83"/>
      <c r="W49" s="50"/>
      <c r="X49" s="50"/>
      <c r="Y49" s="50"/>
      <c r="Z49" s="82"/>
      <c r="AA49" s="50"/>
      <c r="AB49" s="50"/>
      <c r="AC49" s="50"/>
      <c r="AD49" s="50"/>
    </row>
    <row r="50" spans="1:30" ht="13">
      <c r="A50" s="79"/>
      <c r="B50" s="39">
        <f>B48+1</f>
        <v>2012</v>
      </c>
      <c r="C50" s="60" t="s">
        <v>135</v>
      </c>
      <c r="D50" s="132"/>
      <c r="E50" s="61" t="s">
        <v>115</v>
      </c>
      <c r="F50" s="128"/>
      <c r="G50" s="54" t="s">
        <v>136</v>
      </c>
      <c r="H50" s="75">
        <f>Control!$F$57</f>
        <v>0</v>
      </c>
      <c r="I50" s="51" t="s">
        <v>87</v>
      </c>
      <c r="J50" s="70">
        <f>Control!$D$106</f>
        <v>1000</v>
      </c>
      <c r="K50" s="51" t="s">
        <v>87</v>
      </c>
      <c r="L50" s="76">
        <f>Control!$F$58</f>
        <v>0</v>
      </c>
      <c r="M50" s="51" t="s">
        <v>87</v>
      </c>
      <c r="N50" s="66">
        <f>Control!$F$60</f>
        <v>0</v>
      </c>
      <c r="O50" s="51" t="s">
        <v>87</v>
      </c>
      <c r="P50" s="56">
        <f>Control!$F$59</f>
        <v>0</v>
      </c>
      <c r="Q50" s="52" t="s">
        <v>88</v>
      </c>
      <c r="R50" s="70">
        <f>(D50+F50)*$H$6*$J$6*$L$6*$P$6*$N$6</f>
        <v>0</v>
      </c>
      <c r="S50" s="51" t="s">
        <v>87</v>
      </c>
      <c r="T50" s="65">
        <f>Control!$D$107</f>
        <v>9.9999999999999998E-13</v>
      </c>
      <c r="U50" s="52" t="s">
        <v>88</v>
      </c>
      <c r="V50" s="58">
        <f>R50*T50</f>
        <v>0</v>
      </c>
      <c r="W50" s="51" t="s">
        <v>87</v>
      </c>
      <c r="X50" s="70">
        <f>Control!$D$101</f>
        <v>28</v>
      </c>
      <c r="Y50" s="51" t="s">
        <v>87</v>
      </c>
      <c r="Z50" s="46">
        <f>Control!$D$100</f>
        <v>0.27272727272727271</v>
      </c>
      <c r="AA50" s="52" t="s">
        <v>88</v>
      </c>
      <c r="AB50" s="48">
        <f>V50*X$6*Z$6</f>
        <v>0</v>
      </c>
      <c r="AC50" s="52" t="s">
        <v>88</v>
      </c>
      <c r="AD50" s="48">
        <f>AB50*C_CO2</f>
        <v>0</v>
      </c>
    </row>
    <row r="51" spans="1:30" ht="11">
      <c r="B51" s="40"/>
      <c r="C51" s="41"/>
      <c r="D51" s="49"/>
      <c r="E51" s="59"/>
      <c r="F51" s="53"/>
      <c r="G51" s="50"/>
      <c r="H51" s="77"/>
      <c r="I51" s="50"/>
      <c r="J51" s="50"/>
      <c r="K51" s="50"/>
      <c r="L51" s="78"/>
      <c r="M51" s="50"/>
      <c r="N51" s="85"/>
      <c r="O51" s="50"/>
      <c r="P51" s="50"/>
      <c r="Q51" s="50"/>
      <c r="R51" s="84"/>
      <c r="S51" s="50"/>
      <c r="T51" s="50"/>
      <c r="U51" s="50"/>
      <c r="V51" s="83"/>
      <c r="W51" s="50"/>
      <c r="X51" s="50"/>
      <c r="Y51" s="50"/>
      <c r="Z51" s="82"/>
      <c r="AA51" s="50"/>
      <c r="AB51" s="50"/>
      <c r="AC51" s="50"/>
      <c r="AD51" s="50"/>
    </row>
    <row r="52" spans="1:30" ht="13">
      <c r="A52" s="79"/>
      <c r="B52" s="39">
        <f>B50+1</f>
        <v>2013</v>
      </c>
      <c r="C52" s="60" t="s">
        <v>135</v>
      </c>
      <c r="D52" s="132"/>
      <c r="E52" s="61" t="s">
        <v>115</v>
      </c>
      <c r="F52" s="128"/>
      <c r="G52" s="54" t="s">
        <v>136</v>
      </c>
      <c r="H52" s="75">
        <f>Control!$F$57</f>
        <v>0</v>
      </c>
      <c r="I52" s="51" t="s">
        <v>87</v>
      </c>
      <c r="J52" s="70">
        <f>Control!$D$106</f>
        <v>1000</v>
      </c>
      <c r="K52" s="51" t="s">
        <v>87</v>
      </c>
      <c r="L52" s="76">
        <f>Control!$F$58</f>
        <v>0</v>
      </c>
      <c r="M52" s="51" t="s">
        <v>87</v>
      </c>
      <c r="N52" s="66">
        <f>Control!$F$60</f>
        <v>0</v>
      </c>
      <c r="O52" s="51" t="s">
        <v>87</v>
      </c>
      <c r="P52" s="56">
        <f>Control!$F$59</f>
        <v>0</v>
      </c>
      <c r="Q52" s="52" t="s">
        <v>88</v>
      </c>
      <c r="R52" s="70">
        <f>(D52+F52)*$H$6*$J$6*$L$6*$P$6*$N$6</f>
        <v>0</v>
      </c>
      <c r="S52" s="51" t="s">
        <v>87</v>
      </c>
      <c r="T52" s="65">
        <f>Control!$D$107</f>
        <v>9.9999999999999998E-13</v>
      </c>
      <c r="U52" s="52" t="s">
        <v>88</v>
      </c>
      <c r="V52" s="58">
        <f>R52*T52</f>
        <v>0</v>
      </c>
      <c r="W52" s="51" t="s">
        <v>87</v>
      </c>
      <c r="X52" s="70">
        <f>Control!$D$101</f>
        <v>28</v>
      </c>
      <c r="Y52" s="51" t="s">
        <v>87</v>
      </c>
      <c r="Z52" s="46">
        <f>Control!$D$100</f>
        <v>0.27272727272727271</v>
      </c>
      <c r="AA52" s="52" t="s">
        <v>88</v>
      </c>
      <c r="AB52" s="48">
        <f>V52*X$6*Z$6</f>
        <v>0</v>
      </c>
      <c r="AC52" s="52" t="s">
        <v>88</v>
      </c>
      <c r="AD52" s="48">
        <f>AB52*C_CO2</f>
        <v>0</v>
      </c>
    </row>
    <row r="53" spans="1:30" ht="11">
      <c r="B53" s="40"/>
      <c r="C53" s="41"/>
      <c r="D53" s="49"/>
      <c r="E53" s="59"/>
      <c r="F53" s="53"/>
      <c r="G53" s="50"/>
      <c r="H53" s="77"/>
      <c r="I53" s="50"/>
      <c r="J53" s="50"/>
      <c r="K53" s="50"/>
      <c r="L53" s="78"/>
      <c r="M53" s="50"/>
      <c r="N53" s="85"/>
      <c r="O53" s="50"/>
      <c r="P53" s="50"/>
      <c r="Q53" s="50"/>
      <c r="R53" s="84"/>
      <c r="S53" s="50"/>
      <c r="T53" s="50"/>
      <c r="U53" s="50"/>
      <c r="V53" s="83"/>
      <c r="W53" s="50"/>
      <c r="X53" s="50"/>
      <c r="Y53" s="50"/>
      <c r="Z53" s="82"/>
      <c r="AA53" s="50"/>
      <c r="AB53" s="50"/>
      <c r="AC53" s="50"/>
      <c r="AD53" s="50"/>
    </row>
    <row r="54" spans="1:30" ht="13">
      <c r="A54" s="79"/>
      <c r="B54" s="39">
        <f>B52+1</f>
        <v>2014</v>
      </c>
      <c r="C54" s="60" t="s">
        <v>135</v>
      </c>
      <c r="D54" s="132"/>
      <c r="E54" s="61" t="s">
        <v>115</v>
      </c>
      <c r="F54" s="128"/>
      <c r="G54" s="54" t="s">
        <v>136</v>
      </c>
      <c r="H54" s="75">
        <f>Control!$F$57</f>
        <v>0</v>
      </c>
      <c r="I54" s="51" t="s">
        <v>87</v>
      </c>
      <c r="J54" s="70">
        <f>Control!$D$106</f>
        <v>1000</v>
      </c>
      <c r="K54" s="51" t="s">
        <v>87</v>
      </c>
      <c r="L54" s="76">
        <f>Control!$F$58</f>
        <v>0</v>
      </c>
      <c r="M54" s="51" t="s">
        <v>87</v>
      </c>
      <c r="N54" s="66">
        <f>Control!$F$60</f>
        <v>0</v>
      </c>
      <c r="O54" s="51" t="s">
        <v>87</v>
      </c>
      <c r="P54" s="56">
        <f>Control!$F$59</f>
        <v>0</v>
      </c>
      <c r="Q54" s="52" t="s">
        <v>88</v>
      </c>
      <c r="R54" s="70">
        <f>(D54+F54)*$H$6*$J$6*$L$6*$P$6*$N$6</f>
        <v>0</v>
      </c>
      <c r="S54" s="51" t="s">
        <v>87</v>
      </c>
      <c r="T54" s="65">
        <f>Control!$D$107</f>
        <v>9.9999999999999998E-13</v>
      </c>
      <c r="U54" s="52" t="s">
        <v>88</v>
      </c>
      <c r="V54" s="58">
        <f>R54*T54</f>
        <v>0</v>
      </c>
      <c r="W54" s="51" t="s">
        <v>87</v>
      </c>
      <c r="X54" s="70">
        <f>Control!$D$101</f>
        <v>28</v>
      </c>
      <c r="Y54" s="51" t="s">
        <v>87</v>
      </c>
      <c r="Z54" s="46">
        <f>Control!$D$100</f>
        <v>0.27272727272727271</v>
      </c>
      <c r="AA54" s="52" t="s">
        <v>88</v>
      </c>
      <c r="AB54" s="48">
        <f>V54*X$6*Z$6</f>
        <v>0</v>
      </c>
      <c r="AC54" s="52" t="s">
        <v>88</v>
      </c>
      <c r="AD54" s="48">
        <f>AB54*C_CO2</f>
        <v>0</v>
      </c>
    </row>
    <row r="55" spans="1:30" ht="11">
      <c r="B55" s="40"/>
      <c r="C55" s="41"/>
      <c r="D55" s="49"/>
      <c r="E55" s="59"/>
      <c r="F55" s="53"/>
      <c r="G55" s="50"/>
      <c r="H55" s="77"/>
      <c r="I55" s="50"/>
      <c r="J55" s="50"/>
      <c r="K55" s="50"/>
      <c r="L55" s="78"/>
      <c r="M55" s="50"/>
      <c r="N55" s="85"/>
      <c r="O55" s="50"/>
      <c r="P55" s="50"/>
      <c r="Q55" s="50"/>
      <c r="R55" s="84"/>
      <c r="S55" s="50"/>
      <c r="T55" s="50"/>
      <c r="U55" s="50"/>
      <c r="V55" s="83"/>
      <c r="W55" s="50"/>
      <c r="X55" s="50"/>
      <c r="Y55" s="50"/>
      <c r="Z55" s="82"/>
      <c r="AA55" s="50"/>
      <c r="AB55" s="50"/>
      <c r="AC55" s="50"/>
      <c r="AD55" s="50"/>
    </row>
    <row r="56" spans="1:30" ht="13">
      <c r="A56" s="79"/>
      <c r="B56" s="39">
        <f>B54+1</f>
        <v>2015</v>
      </c>
      <c r="C56" s="60" t="s">
        <v>135</v>
      </c>
      <c r="D56" s="132"/>
      <c r="E56" s="61" t="s">
        <v>115</v>
      </c>
      <c r="F56" s="128"/>
      <c r="G56" s="54" t="s">
        <v>136</v>
      </c>
      <c r="H56" s="75">
        <f>Control!$F$57</f>
        <v>0</v>
      </c>
      <c r="I56" s="51" t="s">
        <v>87</v>
      </c>
      <c r="J56" s="70">
        <f>Control!$D$106</f>
        <v>1000</v>
      </c>
      <c r="K56" s="51" t="s">
        <v>87</v>
      </c>
      <c r="L56" s="76">
        <f>Control!$F$58</f>
        <v>0</v>
      </c>
      <c r="M56" s="51" t="s">
        <v>87</v>
      </c>
      <c r="N56" s="66">
        <f>Control!$F$60</f>
        <v>0</v>
      </c>
      <c r="O56" s="51" t="s">
        <v>87</v>
      </c>
      <c r="P56" s="56">
        <f>Control!$F$59</f>
        <v>0</v>
      </c>
      <c r="Q56" s="52" t="s">
        <v>88</v>
      </c>
      <c r="R56" s="70">
        <f>(D56+F56)*$H$6*$J$6*$L$6*$P$6*$N$6</f>
        <v>0</v>
      </c>
      <c r="S56" s="51" t="s">
        <v>87</v>
      </c>
      <c r="T56" s="65">
        <f>Control!$D$107</f>
        <v>9.9999999999999998E-13</v>
      </c>
      <c r="U56" s="52" t="s">
        <v>88</v>
      </c>
      <c r="V56" s="58">
        <f>R56*T56</f>
        <v>0</v>
      </c>
      <c r="W56" s="51" t="s">
        <v>87</v>
      </c>
      <c r="X56" s="70">
        <f>Control!$D$101</f>
        <v>28</v>
      </c>
      <c r="Y56" s="51" t="s">
        <v>87</v>
      </c>
      <c r="Z56" s="46">
        <f>Control!$D$100</f>
        <v>0.27272727272727271</v>
      </c>
      <c r="AA56" s="52" t="s">
        <v>88</v>
      </c>
      <c r="AB56" s="48">
        <f>V56*X$6*Z$6</f>
        <v>0</v>
      </c>
      <c r="AC56" s="52" t="s">
        <v>88</v>
      </c>
      <c r="AD56" s="48">
        <f>AB56*C_CO2</f>
        <v>0</v>
      </c>
    </row>
    <row r="57" spans="1:30" ht="11">
      <c r="B57" s="40"/>
      <c r="C57" s="41"/>
      <c r="D57" s="49"/>
      <c r="E57" s="59"/>
      <c r="F57" s="53"/>
      <c r="G57" s="50"/>
      <c r="H57" s="77"/>
      <c r="I57" s="50"/>
      <c r="J57" s="50"/>
      <c r="K57" s="50"/>
      <c r="L57" s="78"/>
      <c r="M57" s="50"/>
      <c r="N57" s="85"/>
      <c r="O57" s="50"/>
      <c r="P57" s="50"/>
      <c r="Q57" s="50"/>
      <c r="R57" s="84"/>
      <c r="S57" s="50"/>
      <c r="T57" s="50"/>
      <c r="U57" s="50"/>
      <c r="V57" s="83"/>
      <c r="W57" s="50"/>
      <c r="X57" s="50"/>
      <c r="Y57" s="50"/>
      <c r="Z57" s="82"/>
      <c r="AA57" s="50"/>
      <c r="AB57" s="50"/>
      <c r="AC57" s="50"/>
      <c r="AD57" s="50"/>
    </row>
    <row r="58" spans="1:30" ht="13">
      <c r="A58" s="79"/>
      <c r="B58" s="39">
        <f>B56+1</f>
        <v>2016</v>
      </c>
      <c r="C58" s="60" t="s">
        <v>135</v>
      </c>
      <c r="D58" s="132"/>
      <c r="E58" s="61" t="s">
        <v>115</v>
      </c>
      <c r="F58" s="128"/>
      <c r="G58" s="54" t="s">
        <v>136</v>
      </c>
      <c r="H58" s="75">
        <f>Control!$F$57</f>
        <v>0</v>
      </c>
      <c r="I58" s="51" t="s">
        <v>87</v>
      </c>
      <c r="J58" s="70">
        <f>Control!$D$106</f>
        <v>1000</v>
      </c>
      <c r="K58" s="51" t="s">
        <v>87</v>
      </c>
      <c r="L58" s="76">
        <f>Control!$F$58</f>
        <v>0</v>
      </c>
      <c r="M58" s="51" t="s">
        <v>87</v>
      </c>
      <c r="N58" s="66">
        <f>Control!$F$60</f>
        <v>0</v>
      </c>
      <c r="O58" s="51" t="s">
        <v>87</v>
      </c>
      <c r="P58" s="56">
        <f>Control!$F$59</f>
        <v>0</v>
      </c>
      <c r="Q58" s="52" t="s">
        <v>88</v>
      </c>
      <c r="R58" s="70">
        <f>(D58+F58)*$H$6*$J$6*$L$6*$P$6*$N$6</f>
        <v>0</v>
      </c>
      <c r="S58" s="51" t="s">
        <v>87</v>
      </c>
      <c r="T58" s="65">
        <f>Control!$D$107</f>
        <v>9.9999999999999998E-13</v>
      </c>
      <c r="U58" s="52" t="s">
        <v>88</v>
      </c>
      <c r="V58" s="58">
        <f>R58*T58</f>
        <v>0</v>
      </c>
      <c r="W58" s="51" t="s">
        <v>87</v>
      </c>
      <c r="X58" s="70">
        <f>Control!$D$101</f>
        <v>28</v>
      </c>
      <c r="Y58" s="51" t="s">
        <v>87</v>
      </c>
      <c r="Z58" s="46">
        <f>Control!$D$100</f>
        <v>0.27272727272727271</v>
      </c>
      <c r="AA58" s="52" t="s">
        <v>88</v>
      </c>
      <c r="AB58" s="48">
        <f>V58*X$6*Z$6</f>
        <v>0</v>
      </c>
      <c r="AC58" s="52" t="s">
        <v>88</v>
      </c>
      <c r="AD58" s="48">
        <f>AB58*C_CO2</f>
        <v>0</v>
      </c>
    </row>
    <row r="59" spans="1:30" ht="11">
      <c r="B59" s="40"/>
      <c r="C59" s="41"/>
      <c r="D59" s="49"/>
      <c r="E59" s="59"/>
      <c r="F59" s="53"/>
      <c r="G59" s="50"/>
      <c r="H59" s="77"/>
      <c r="I59" s="50"/>
      <c r="J59" s="50"/>
      <c r="K59" s="50"/>
      <c r="L59" s="78"/>
      <c r="M59" s="50"/>
      <c r="N59" s="85"/>
      <c r="O59" s="50"/>
      <c r="P59" s="50"/>
      <c r="Q59" s="50"/>
      <c r="R59" s="84"/>
      <c r="S59" s="50"/>
      <c r="T59" s="50"/>
      <c r="U59" s="50"/>
      <c r="V59" s="83"/>
      <c r="W59" s="50"/>
      <c r="X59" s="50"/>
      <c r="Y59" s="50"/>
      <c r="Z59" s="82"/>
      <c r="AA59" s="50"/>
      <c r="AB59" s="50"/>
      <c r="AC59" s="50"/>
      <c r="AD59" s="50"/>
    </row>
    <row r="60" spans="1:30" ht="13">
      <c r="A60" s="79"/>
      <c r="B60" s="39">
        <f>B58+1</f>
        <v>2017</v>
      </c>
      <c r="C60" s="60" t="s">
        <v>135</v>
      </c>
      <c r="D60" s="132"/>
      <c r="E60" s="61" t="s">
        <v>115</v>
      </c>
      <c r="F60" s="128"/>
      <c r="G60" s="54" t="s">
        <v>136</v>
      </c>
      <c r="H60" s="75">
        <f>Control!$F$57</f>
        <v>0</v>
      </c>
      <c r="I60" s="51" t="s">
        <v>87</v>
      </c>
      <c r="J60" s="70">
        <f>Control!$D$106</f>
        <v>1000</v>
      </c>
      <c r="K60" s="51" t="s">
        <v>87</v>
      </c>
      <c r="L60" s="76">
        <f>Control!$F$58</f>
        <v>0</v>
      </c>
      <c r="M60" s="51" t="s">
        <v>87</v>
      </c>
      <c r="N60" s="66">
        <f>Control!$F$60</f>
        <v>0</v>
      </c>
      <c r="O60" s="51" t="s">
        <v>87</v>
      </c>
      <c r="P60" s="56">
        <f>Control!$F$59</f>
        <v>0</v>
      </c>
      <c r="Q60" s="52" t="s">
        <v>88</v>
      </c>
      <c r="R60" s="70">
        <f>(D60+F60)*$H$6*$J$6*$L$6*$P$6*$N$6</f>
        <v>0</v>
      </c>
      <c r="S60" s="51" t="s">
        <v>87</v>
      </c>
      <c r="T60" s="65">
        <f>Control!$D$107</f>
        <v>9.9999999999999998E-13</v>
      </c>
      <c r="U60" s="52" t="s">
        <v>88</v>
      </c>
      <c r="V60" s="58">
        <f>R60*T60</f>
        <v>0</v>
      </c>
      <c r="W60" s="51" t="s">
        <v>87</v>
      </c>
      <c r="X60" s="70">
        <f>Control!$D$101</f>
        <v>28</v>
      </c>
      <c r="Y60" s="51" t="s">
        <v>87</v>
      </c>
      <c r="Z60" s="46">
        <f>Control!$D$100</f>
        <v>0.27272727272727271</v>
      </c>
      <c r="AA60" s="52" t="s">
        <v>88</v>
      </c>
      <c r="AB60" s="48">
        <f>V60*X$6*Z$6</f>
        <v>0</v>
      </c>
      <c r="AC60" s="52" t="s">
        <v>88</v>
      </c>
      <c r="AD60" s="48">
        <f>AB60*C_CO2</f>
        <v>0</v>
      </c>
    </row>
    <row r="61" spans="1:30" ht="11">
      <c r="B61" s="40"/>
      <c r="C61" s="41"/>
      <c r="D61" s="49"/>
      <c r="E61" s="59"/>
      <c r="F61" s="53"/>
      <c r="G61" s="50"/>
      <c r="H61" s="77"/>
      <c r="I61" s="50"/>
      <c r="J61" s="50"/>
      <c r="K61" s="50"/>
      <c r="L61" s="78"/>
      <c r="M61" s="50"/>
      <c r="N61" s="85"/>
      <c r="O61" s="50"/>
      <c r="P61" s="50"/>
      <c r="Q61" s="50"/>
      <c r="R61" s="84"/>
      <c r="S61" s="50"/>
      <c r="T61" s="50"/>
      <c r="U61" s="50"/>
      <c r="V61" s="83"/>
      <c r="W61" s="50"/>
      <c r="X61" s="50"/>
      <c r="Y61" s="50"/>
      <c r="Z61" s="82"/>
      <c r="AA61" s="50"/>
      <c r="AB61" s="50"/>
      <c r="AC61" s="50"/>
      <c r="AD61" s="50"/>
    </row>
    <row r="62" spans="1:30" ht="13">
      <c r="A62" s="79"/>
      <c r="B62" s="39">
        <f>B60+1</f>
        <v>2018</v>
      </c>
      <c r="C62" s="60" t="s">
        <v>135</v>
      </c>
      <c r="D62" s="132"/>
      <c r="E62" s="61" t="s">
        <v>115</v>
      </c>
      <c r="F62" s="128"/>
      <c r="G62" s="54" t="s">
        <v>136</v>
      </c>
      <c r="H62" s="75">
        <f>Control!$F$57</f>
        <v>0</v>
      </c>
      <c r="I62" s="51" t="s">
        <v>87</v>
      </c>
      <c r="J62" s="70">
        <f>Control!$D$106</f>
        <v>1000</v>
      </c>
      <c r="K62" s="51" t="s">
        <v>87</v>
      </c>
      <c r="L62" s="76">
        <f>Control!$F$58</f>
        <v>0</v>
      </c>
      <c r="M62" s="51" t="s">
        <v>87</v>
      </c>
      <c r="N62" s="66">
        <f>Control!$F$60</f>
        <v>0</v>
      </c>
      <c r="O62" s="51" t="s">
        <v>87</v>
      </c>
      <c r="P62" s="56">
        <f>Control!$F$59</f>
        <v>0</v>
      </c>
      <c r="Q62" s="52" t="s">
        <v>88</v>
      </c>
      <c r="R62" s="70">
        <f>(D62+F62)*$H$6*$J$6*$L$6*$P$6*$N$6</f>
        <v>0</v>
      </c>
      <c r="S62" s="51" t="s">
        <v>87</v>
      </c>
      <c r="T62" s="65">
        <f>Control!$D$107</f>
        <v>9.9999999999999998E-13</v>
      </c>
      <c r="U62" s="52" t="s">
        <v>88</v>
      </c>
      <c r="V62" s="58">
        <f>R62*T62</f>
        <v>0</v>
      </c>
      <c r="W62" s="51" t="s">
        <v>87</v>
      </c>
      <c r="X62" s="70">
        <f>Control!$D$101</f>
        <v>28</v>
      </c>
      <c r="Y62" s="51" t="s">
        <v>87</v>
      </c>
      <c r="Z62" s="46">
        <f>Control!$D$100</f>
        <v>0.27272727272727271</v>
      </c>
      <c r="AA62" s="52" t="s">
        <v>88</v>
      </c>
      <c r="AB62" s="48">
        <f>V62*X$6*Z$6</f>
        <v>0</v>
      </c>
      <c r="AC62" s="52" t="s">
        <v>88</v>
      </c>
      <c r="AD62" s="48">
        <f>AB62*C_CO2</f>
        <v>0</v>
      </c>
    </row>
    <row r="63" spans="1:30" ht="11">
      <c r="B63" s="40"/>
      <c r="C63" s="41"/>
      <c r="D63" s="49"/>
      <c r="E63" s="59"/>
      <c r="F63" s="53"/>
      <c r="G63" s="50"/>
      <c r="H63" s="77"/>
      <c r="I63" s="50"/>
      <c r="J63" s="50"/>
      <c r="K63" s="50"/>
      <c r="L63" s="78"/>
      <c r="M63" s="50"/>
      <c r="N63" s="85"/>
      <c r="O63" s="50"/>
      <c r="P63" s="50"/>
      <c r="Q63" s="50"/>
      <c r="R63" s="84"/>
      <c r="S63" s="50"/>
      <c r="T63" s="50"/>
      <c r="U63" s="50"/>
      <c r="V63" s="83"/>
      <c r="W63" s="50"/>
      <c r="X63" s="50"/>
      <c r="Y63" s="50"/>
      <c r="Z63" s="82"/>
      <c r="AA63" s="50"/>
      <c r="AB63" s="50"/>
      <c r="AC63" s="50"/>
      <c r="AD63" s="50"/>
    </row>
    <row r="64" spans="1:30" ht="13">
      <c r="A64" s="79"/>
      <c r="B64" s="39">
        <f>B62+1</f>
        <v>2019</v>
      </c>
      <c r="C64" s="60" t="s">
        <v>135</v>
      </c>
      <c r="D64" s="132"/>
      <c r="E64" s="61" t="s">
        <v>115</v>
      </c>
      <c r="F64" s="128"/>
      <c r="G64" s="54" t="s">
        <v>136</v>
      </c>
      <c r="H64" s="75">
        <f>Control!$F$57</f>
        <v>0</v>
      </c>
      <c r="I64" s="51" t="s">
        <v>87</v>
      </c>
      <c r="J64" s="70">
        <f>Control!$D$106</f>
        <v>1000</v>
      </c>
      <c r="K64" s="51" t="s">
        <v>87</v>
      </c>
      <c r="L64" s="76">
        <f>Control!$F$58</f>
        <v>0</v>
      </c>
      <c r="M64" s="51" t="s">
        <v>87</v>
      </c>
      <c r="N64" s="66">
        <f>Control!$F$60</f>
        <v>0</v>
      </c>
      <c r="O64" s="51" t="s">
        <v>87</v>
      </c>
      <c r="P64" s="56">
        <f>Control!$F$59</f>
        <v>0</v>
      </c>
      <c r="Q64" s="52" t="s">
        <v>88</v>
      </c>
      <c r="R64" s="70">
        <f>(D64+F64)*$H$6*$J$6*$L$6*$P$6*$N$6</f>
        <v>0</v>
      </c>
      <c r="S64" s="51" t="s">
        <v>87</v>
      </c>
      <c r="T64" s="65">
        <f>Control!$D$107</f>
        <v>9.9999999999999998E-13</v>
      </c>
      <c r="U64" s="52" t="s">
        <v>88</v>
      </c>
      <c r="V64" s="58">
        <f>R64*T64</f>
        <v>0</v>
      </c>
      <c r="W64" s="51" t="s">
        <v>87</v>
      </c>
      <c r="X64" s="70">
        <f>Control!$D$101</f>
        <v>28</v>
      </c>
      <c r="Y64" s="51" t="s">
        <v>87</v>
      </c>
      <c r="Z64" s="46">
        <f>Control!$D$100</f>
        <v>0.27272727272727271</v>
      </c>
      <c r="AA64" s="52" t="s">
        <v>88</v>
      </c>
      <c r="AB64" s="48">
        <f>V64*X$6*Z$6</f>
        <v>0</v>
      </c>
      <c r="AC64" s="52" t="s">
        <v>88</v>
      </c>
      <c r="AD64" s="48">
        <f>AB64*C_CO2</f>
        <v>0</v>
      </c>
    </row>
    <row r="65" spans="1:30" ht="11">
      <c r="B65" s="40"/>
      <c r="C65" s="41"/>
      <c r="D65" s="49"/>
      <c r="E65" s="59"/>
      <c r="F65" s="53"/>
      <c r="G65" s="50"/>
      <c r="H65" s="77"/>
      <c r="I65" s="50"/>
      <c r="J65" s="50"/>
      <c r="K65" s="50"/>
      <c r="L65" s="78"/>
      <c r="M65" s="50"/>
      <c r="N65" s="85"/>
      <c r="O65" s="50"/>
      <c r="P65" s="50"/>
      <c r="Q65" s="50"/>
      <c r="R65" s="84"/>
      <c r="S65" s="50"/>
      <c r="T65" s="50"/>
      <c r="U65" s="50"/>
      <c r="V65" s="83"/>
      <c r="W65" s="50"/>
      <c r="X65" s="50"/>
      <c r="Y65" s="50"/>
      <c r="Z65" s="82"/>
      <c r="AA65" s="50"/>
      <c r="AB65" s="50"/>
      <c r="AC65" s="50"/>
      <c r="AD65" s="50"/>
    </row>
    <row r="66" spans="1:30" ht="13">
      <c r="A66" s="79"/>
      <c r="B66" s="39">
        <f>B64+1</f>
        <v>2020</v>
      </c>
      <c r="C66" s="60" t="s">
        <v>135</v>
      </c>
      <c r="D66" s="132"/>
      <c r="E66" s="61" t="s">
        <v>115</v>
      </c>
      <c r="F66" s="128"/>
      <c r="G66" s="54" t="s">
        <v>136</v>
      </c>
      <c r="H66" s="75">
        <f>Control!$F$57</f>
        <v>0</v>
      </c>
      <c r="I66" s="51" t="s">
        <v>87</v>
      </c>
      <c r="J66" s="70">
        <f>Control!$D$106</f>
        <v>1000</v>
      </c>
      <c r="K66" s="51" t="s">
        <v>87</v>
      </c>
      <c r="L66" s="76">
        <f>Control!$F$58</f>
        <v>0</v>
      </c>
      <c r="M66" s="51" t="s">
        <v>87</v>
      </c>
      <c r="N66" s="66">
        <f>Control!$F$60</f>
        <v>0</v>
      </c>
      <c r="O66" s="51" t="s">
        <v>87</v>
      </c>
      <c r="P66" s="56">
        <f>Control!$F$59</f>
        <v>0</v>
      </c>
      <c r="Q66" s="52" t="s">
        <v>88</v>
      </c>
      <c r="R66" s="70">
        <f>(D66+F66)*$H$6*$J$6*$L$6*$P$6*$N$6</f>
        <v>0</v>
      </c>
      <c r="S66" s="51" t="s">
        <v>87</v>
      </c>
      <c r="T66" s="65">
        <f>Control!$D$107</f>
        <v>9.9999999999999998E-13</v>
      </c>
      <c r="U66" s="52" t="s">
        <v>88</v>
      </c>
      <c r="V66" s="58">
        <f>R66*T66</f>
        <v>0</v>
      </c>
      <c r="W66" s="51" t="s">
        <v>87</v>
      </c>
      <c r="X66" s="70">
        <f>Control!$D$101</f>
        <v>28</v>
      </c>
      <c r="Y66" s="51" t="s">
        <v>87</v>
      </c>
      <c r="Z66" s="46">
        <f>Control!$D$100</f>
        <v>0.27272727272727271</v>
      </c>
      <c r="AA66" s="52" t="s">
        <v>88</v>
      </c>
      <c r="AB66" s="48">
        <f>V66*X$6*Z$6</f>
        <v>0</v>
      </c>
      <c r="AC66" s="52" t="s">
        <v>88</v>
      </c>
      <c r="AD66" s="48">
        <f>AB66*C_CO2</f>
        <v>0</v>
      </c>
    </row>
    <row r="68" spans="1:30" ht="13">
      <c r="A68" s="79"/>
      <c r="B68" s="39">
        <f>B66+1</f>
        <v>2021</v>
      </c>
      <c r="C68" s="60" t="s">
        <v>135</v>
      </c>
      <c r="D68" s="132"/>
      <c r="E68" s="61" t="s">
        <v>115</v>
      </c>
      <c r="F68" s="128"/>
      <c r="G68" s="54" t="s">
        <v>136</v>
      </c>
      <c r="H68" s="75">
        <f>Control!$F$57</f>
        <v>0</v>
      </c>
      <c r="I68" s="51" t="s">
        <v>87</v>
      </c>
      <c r="J68" s="70">
        <f>Control!$D$106</f>
        <v>1000</v>
      </c>
      <c r="K68" s="51" t="s">
        <v>87</v>
      </c>
      <c r="L68" s="76">
        <f>Control!$F$58</f>
        <v>0</v>
      </c>
      <c r="M68" s="51" t="s">
        <v>87</v>
      </c>
      <c r="N68" s="66">
        <f>Control!$F$60</f>
        <v>0</v>
      </c>
      <c r="O68" s="51" t="s">
        <v>87</v>
      </c>
      <c r="P68" s="56">
        <f>Control!$F$59</f>
        <v>0</v>
      </c>
      <c r="Q68" s="52" t="s">
        <v>88</v>
      </c>
      <c r="R68" s="70">
        <f>(D68+F68)*$H$6*$J$6*$L$6*$P$6*$N$6</f>
        <v>0</v>
      </c>
      <c r="S68" s="51" t="s">
        <v>87</v>
      </c>
      <c r="T68" s="65">
        <f>Control!$D$107</f>
        <v>9.9999999999999998E-13</v>
      </c>
      <c r="U68" s="52" t="s">
        <v>88</v>
      </c>
      <c r="V68" s="58">
        <f>R68*T68</f>
        <v>0</v>
      </c>
      <c r="W68" s="51" t="s">
        <v>87</v>
      </c>
      <c r="X68" s="70">
        <f>Control!$D$101</f>
        <v>28</v>
      </c>
      <c r="Y68" s="51" t="s">
        <v>87</v>
      </c>
      <c r="Z68" s="46">
        <f>Control!$D$100</f>
        <v>0.27272727272727271</v>
      </c>
      <c r="AA68" s="52" t="s">
        <v>88</v>
      </c>
      <c r="AB68" s="48">
        <f>V68*X$6*Z$6</f>
        <v>0</v>
      </c>
      <c r="AC68" s="52" t="s">
        <v>88</v>
      </c>
      <c r="AD68" s="48">
        <f>AB68*C_CO2</f>
        <v>0</v>
      </c>
    </row>
    <row r="70" spans="1:30" ht="13">
      <c r="A70" s="79"/>
      <c r="B70" s="39">
        <f>B68+1</f>
        <v>2022</v>
      </c>
      <c r="C70" s="60" t="s">
        <v>135</v>
      </c>
      <c r="D70" s="132"/>
      <c r="E70" s="61" t="s">
        <v>115</v>
      </c>
      <c r="F70" s="128"/>
      <c r="G70" s="54" t="s">
        <v>136</v>
      </c>
      <c r="H70" s="75">
        <f>Control!$F$57</f>
        <v>0</v>
      </c>
      <c r="I70" s="51" t="s">
        <v>87</v>
      </c>
      <c r="J70" s="70">
        <f>Control!$D$106</f>
        <v>1000</v>
      </c>
      <c r="K70" s="51" t="s">
        <v>87</v>
      </c>
      <c r="L70" s="76">
        <f>Control!$F$58</f>
        <v>0</v>
      </c>
      <c r="M70" s="51" t="s">
        <v>87</v>
      </c>
      <c r="N70" s="66">
        <f>Control!$F$60</f>
        <v>0</v>
      </c>
      <c r="O70" s="51" t="s">
        <v>87</v>
      </c>
      <c r="P70" s="56">
        <f>Control!$F$59</f>
        <v>0</v>
      </c>
      <c r="Q70" s="52" t="s">
        <v>88</v>
      </c>
      <c r="R70" s="70">
        <f>(D70+F70)*$H$6*$J$6*$L$6*$P$6*$N$6</f>
        <v>0</v>
      </c>
      <c r="S70" s="51" t="s">
        <v>87</v>
      </c>
      <c r="T70" s="65">
        <f>Control!$D$107</f>
        <v>9.9999999999999998E-13</v>
      </c>
      <c r="U70" s="52" t="s">
        <v>88</v>
      </c>
      <c r="V70" s="58">
        <f>R70*T70</f>
        <v>0</v>
      </c>
      <c r="W70" s="51" t="s">
        <v>87</v>
      </c>
      <c r="X70" s="70">
        <f>Control!$D$101</f>
        <v>28</v>
      </c>
      <c r="Y70" s="51" t="s">
        <v>87</v>
      </c>
      <c r="Z70" s="46">
        <f>Control!$D$100</f>
        <v>0.27272727272727271</v>
      </c>
      <c r="AA70" s="52" t="s">
        <v>88</v>
      </c>
      <c r="AB70" s="48">
        <f>V70*X$6*Z$6</f>
        <v>0</v>
      </c>
      <c r="AC70" s="52" t="s">
        <v>88</v>
      </c>
      <c r="AD70" s="48">
        <f>AB70*C_CO2</f>
        <v>0</v>
      </c>
    </row>
    <row r="72" spans="1:30" ht="13">
      <c r="A72" s="79"/>
      <c r="B72" s="39">
        <f>B70+1</f>
        <v>2023</v>
      </c>
      <c r="C72" s="60" t="s">
        <v>135</v>
      </c>
      <c r="D72" s="132"/>
      <c r="E72" s="61" t="s">
        <v>115</v>
      </c>
      <c r="F72" s="128"/>
      <c r="G72" s="54" t="s">
        <v>136</v>
      </c>
      <c r="H72" s="75">
        <f>Control!$F$57</f>
        <v>0</v>
      </c>
      <c r="I72" s="51" t="s">
        <v>87</v>
      </c>
      <c r="J72" s="70">
        <f>Control!$D$106</f>
        <v>1000</v>
      </c>
      <c r="K72" s="51" t="s">
        <v>87</v>
      </c>
      <c r="L72" s="76">
        <f>Control!$F$58</f>
        <v>0</v>
      </c>
      <c r="M72" s="51" t="s">
        <v>87</v>
      </c>
      <c r="N72" s="66">
        <f>Control!$F$60</f>
        <v>0</v>
      </c>
      <c r="O72" s="51" t="s">
        <v>87</v>
      </c>
      <c r="P72" s="56">
        <f>Control!$F$59</f>
        <v>0</v>
      </c>
      <c r="Q72" s="52" t="s">
        <v>88</v>
      </c>
      <c r="R72" s="70">
        <f>(D72+F72)*$H$6*$J$6*$L$6*$P$6*$N$6</f>
        <v>0</v>
      </c>
      <c r="S72" s="51" t="s">
        <v>87</v>
      </c>
      <c r="T72" s="65">
        <f>Control!$D$107</f>
        <v>9.9999999999999998E-13</v>
      </c>
      <c r="U72" s="52" t="s">
        <v>88</v>
      </c>
      <c r="V72" s="58">
        <f>R72*T72</f>
        <v>0</v>
      </c>
      <c r="W72" s="51" t="s">
        <v>87</v>
      </c>
      <c r="X72" s="70">
        <f>Control!$D$101</f>
        <v>28</v>
      </c>
      <c r="Y72" s="51" t="s">
        <v>87</v>
      </c>
      <c r="Z72" s="46">
        <f>Control!$D$100</f>
        <v>0.27272727272727271</v>
      </c>
      <c r="AA72" s="52" t="s">
        <v>88</v>
      </c>
      <c r="AB72" s="48">
        <f>V72*X$6*Z$6</f>
        <v>0</v>
      </c>
      <c r="AC72" s="52" t="s">
        <v>88</v>
      </c>
      <c r="AD72" s="48">
        <f>AB72*C_CO2</f>
        <v>0</v>
      </c>
    </row>
    <row r="74" spans="1:30" ht="13">
      <c r="A74" s="79"/>
      <c r="B74" s="39">
        <f>B72+1</f>
        <v>2024</v>
      </c>
      <c r="C74" s="60" t="s">
        <v>135</v>
      </c>
      <c r="D74" s="132"/>
      <c r="E74" s="61" t="s">
        <v>115</v>
      </c>
      <c r="F74" s="128"/>
      <c r="G74" s="54" t="s">
        <v>136</v>
      </c>
      <c r="H74" s="75">
        <f>Control!$F$57</f>
        <v>0</v>
      </c>
      <c r="I74" s="51" t="s">
        <v>87</v>
      </c>
      <c r="J74" s="70">
        <f>Control!$D$106</f>
        <v>1000</v>
      </c>
      <c r="K74" s="51" t="s">
        <v>87</v>
      </c>
      <c r="L74" s="76">
        <f>Control!$F$58</f>
        <v>0</v>
      </c>
      <c r="M74" s="51" t="s">
        <v>87</v>
      </c>
      <c r="N74" s="66">
        <f>Control!$F$60</f>
        <v>0</v>
      </c>
      <c r="O74" s="51" t="s">
        <v>87</v>
      </c>
      <c r="P74" s="56">
        <f>Control!$F$59</f>
        <v>0</v>
      </c>
      <c r="Q74" s="52" t="s">
        <v>88</v>
      </c>
      <c r="R74" s="70">
        <f>(D74+F74)*$H$6*$J$6*$L$6*$P$6*$N$6</f>
        <v>0</v>
      </c>
      <c r="S74" s="51" t="s">
        <v>87</v>
      </c>
      <c r="T74" s="65">
        <f>Control!$D$107</f>
        <v>9.9999999999999998E-13</v>
      </c>
      <c r="U74" s="52" t="s">
        <v>88</v>
      </c>
      <c r="V74" s="58">
        <f>R74*T74</f>
        <v>0</v>
      </c>
      <c r="W74" s="51" t="s">
        <v>87</v>
      </c>
      <c r="X74" s="70">
        <f>Control!$D$101</f>
        <v>28</v>
      </c>
      <c r="Y74" s="51" t="s">
        <v>87</v>
      </c>
      <c r="Z74" s="46">
        <f>Control!$D$100</f>
        <v>0.27272727272727271</v>
      </c>
      <c r="AA74" s="52" t="s">
        <v>88</v>
      </c>
      <c r="AB74" s="48">
        <f>V74*X$6*Z$6</f>
        <v>0</v>
      </c>
      <c r="AC74" s="52" t="s">
        <v>88</v>
      </c>
      <c r="AD74" s="48">
        <f>AB74*C_CO2</f>
        <v>0</v>
      </c>
    </row>
    <row r="76" spans="1:30" ht="13">
      <c r="A76" s="79"/>
      <c r="B76" s="39">
        <f>B74+1</f>
        <v>2025</v>
      </c>
      <c r="C76" s="60" t="s">
        <v>135</v>
      </c>
      <c r="D76" s="132"/>
      <c r="E76" s="61" t="s">
        <v>115</v>
      </c>
      <c r="F76" s="128"/>
      <c r="G76" s="54" t="s">
        <v>136</v>
      </c>
      <c r="H76" s="75">
        <f>Control!$F$57</f>
        <v>0</v>
      </c>
      <c r="I76" s="51" t="s">
        <v>87</v>
      </c>
      <c r="J76" s="70">
        <f>Control!$D$106</f>
        <v>1000</v>
      </c>
      <c r="K76" s="51" t="s">
        <v>87</v>
      </c>
      <c r="L76" s="76">
        <f>Control!$F$58</f>
        <v>0</v>
      </c>
      <c r="M76" s="51" t="s">
        <v>87</v>
      </c>
      <c r="N76" s="66">
        <f>Control!$F$60</f>
        <v>0</v>
      </c>
      <c r="O76" s="51" t="s">
        <v>87</v>
      </c>
      <c r="P76" s="56">
        <f>Control!$F$59</f>
        <v>0</v>
      </c>
      <c r="Q76" s="52" t="s">
        <v>88</v>
      </c>
      <c r="R76" s="70">
        <f>(D76+F76)*$H$6*$J$6*$L$6*$P$6*$N$6</f>
        <v>0</v>
      </c>
      <c r="S76" s="51" t="s">
        <v>87</v>
      </c>
      <c r="T76" s="65">
        <f>Control!$D$107</f>
        <v>9.9999999999999998E-13</v>
      </c>
      <c r="U76" s="52" t="s">
        <v>88</v>
      </c>
      <c r="V76" s="58">
        <f>R76*T76</f>
        <v>0</v>
      </c>
      <c r="W76" s="51" t="s">
        <v>87</v>
      </c>
      <c r="X76" s="70">
        <f>Control!$D$101</f>
        <v>28</v>
      </c>
      <c r="Y76" s="51" t="s">
        <v>87</v>
      </c>
      <c r="Z76" s="46">
        <f>Control!$D$100</f>
        <v>0.27272727272727271</v>
      </c>
      <c r="AA76" s="52" t="s">
        <v>88</v>
      </c>
      <c r="AB76" s="48">
        <f>V76*X$6*Z$6</f>
        <v>0</v>
      </c>
      <c r="AC76" s="52" t="s">
        <v>88</v>
      </c>
      <c r="AD76" s="48">
        <f>AB76*C_CO2</f>
        <v>0</v>
      </c>
    </row>
  </sheetData>
  <sheetProtection algorithmName="SHA-512" hashValue="GuqdWdEx3FpcHK0Q+XMzWszVnvhj9OKVYeVt5nKiSexfRoe3ou+Zh3YNV7cZubN++jKWsPZHvFy1GBxL2wN3TQ==" saltValue="Z1xoaBCQjIcAAoes9NNDNg==" spinCount="100000" sheet="1" objects="1" scenarios="1"/>
  <mergeCells count="2">
    <mergeCell ref="D3:F3"/>
    <mergeCell ref="A2:H2"/>
  </mergeCells>
  <phoneticPr fontId="10" type="noConversion"/>
  <dataValidations count="1">
    <dataValidation allowBlank="1" showInputMessage="1" showErrorMessage="1" prompt="There is no default data associated with this sector.  You will need to fill in all required data in order to estimate emissions." sqref="D6 F6 F8 D8 D62 F10 F12 D10 D12 F14 F16 D14 D16 F18 D18 F20 F22 D20 D22 F24 F26 D24 D26 D28 D30 D32 D34 D36 D38 D40 D42 D44 D46 D48 D50 D52 D54 D56 D58 D60 D64 D66 D68 D70 D72 D74 D76" xr:uid="{00000000-0002-0000-0700-000000000000}"/>
  </dataValidations>
  <pageMargins left="0.75" right="0.75" top="1" bottom="1" header="0.5" footer="0.5"/>
  <pageSetup orientation="portrait" horizontalDpi="1200" verticalDpi="12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sSummary"/>
  <dimension ref="A1:AL42"/>
  <sheetViews>
    <sheetView showGridLines="0" zoomScaleNormal="100" workbookViewId="0">
      <pane ySplit="1" topLeftCell="A2" activePane="bottomLeft" state="frozen"/>
      <selection pane="bottomLeft" sqref="A1:XFD1048576"/>
    </sheetView>
  </sheetViews>
  <sheetFormatPr baseColWidth="10" defaultColWidth="8.83203125" defaultRowHeight="13"/>
  <cols>
    <col min="1" max="1" width="3.1640625" customWidth="1"/>
    <col min="2" max="2" width="23.5" bestFit="1" customWidth="1"/>
  </cols>
  <sheetData>
    <row r="1" spans="1:38" s="116" customFormat="1" ht="50.25" customHeight="1">
      <c r="A1" s="2"/>
      <c r="B1" s="115" t="str">
        <f>"11. "&amp;SelectedState &amp; " Emissions Summary"</f>
        <v>11. Select a state . . . Emissions Summary</v>
      </c>
      <c r="C1" s="115"/>
      <c r="G1" s="115"/>
      <c r="L1" s="115"/>
    </row>
    <row r="2" spans="1:38">
      <c r="A2" s="193">
        <f>MAX(C24:AL24)</f>
        <v>0</v>
      </c>
    </row>
    <row r="3" spans="1:38" ht="27" customHeight="1">
      <c r="B3" s="268" t="str">
        <f>Tracker!B14</f>
        <v>Emissions were not calculated for the following sources: Municipal methane, Municipal nitrous oxides, Industrial fruits &amp; vegetables, Industrial red meat, Industrial poultry, and Industrial pulp &amp; paper.</v>
      </c>
      <c r="C3" s="268"/>
      <c r="D3" s="268"/>
      <c r="E3" s="268"/>
      <c r="F3" s="268"/>
      <c r="G3" s="268"/>
      <c r="H3" s="268"/>
      <c r="I3" s="268"/>
      <c r="J3" s="268"/>
      <c r="K3" s="268"/>
      <c r="L3" s="268"/>
      <c r="M3" s="268"/>
      <c r="N3" s="268"/>
    </row>
    <row r="5" spans="1:38" s="178" customFormat="1" ht="17" thickBot="1">
      <c r="B5" s="164" t="s">
        <v>51</v>
      </c>
      <c r="C5" s="164">
        <v>1990</v>
      </c>
      <c r="D5" s="164">
        <v>1991</v>
      </c>
      <c r="E5" s="164">
        <v>1992</v>
      </c>
      <c r="F5" s="164">
        <v>1993</v>
      </c>
      <c r="G5" s="164">
        <v>1994</v>
      </c>
      <c r="H5" s="164">
        <v>1995</v>
      </c>
      <c r="I5" s="164">
        <v>1996</v>
      </c>
      <c r="J5" s="164">
        <v>1997</v>
      </c>
      <c r="K5" s="164">
        <v>1998</v>
      </c>
      <c r="L5" s="164">
        <v>1999</v>
      </c>
      <c r="M5" s="164">
        <v>2000</v>
      </c>
      <c r="N5" s="164">
        <v>2001</v>
      </c>
      <c r="O5" s="164">
        <v>2002</v>
      </c>
      <c r="P5" s="164">
        <v>2003</v>
      </c>
      <c r="Q5" s="164">
        <v>2004</v>
      </c>
      <c r="R5" s="164">
        <v>2005</v>
      </c>
      <c r="S5" s="164">
        <v>2006</v>
      </c>
      <c r="T5" s="164">
        <v>2007</v>
      </c>
      <c r="U5" s="164">
        <v>2008</v>
      </c>
      <c r="V5" s="164">
        <v>2009</v>
      </c>
      <c r="W5" s="164">
        <v>2010</v>
      </c>
      <c r="X5" s="164">
        <v>2011</v>
      </c>
      <c r="Y5" s="164">
        <v>2012</v>
      </c>
      <c r="Z5" s="164">
        <v>2013</v>
      </c>
      <c r="AA5" s="164">
        <v>2014</v>
      </c>
      <c r="AB5" s="164">
        <v>2015</v>
      </c>
      <c r="AC5" s="164">
        <v>2016</v>
      </c>
      <c r="AD5" s="164">
        <v>2017</v>
      </c>
      <c r="AE5" s="164">
        <v>2018</v>
      </c>
      <c r="AF5" s="164">
        <v>2019</v>
      </c>
      <c r="AG5" s="164">
        <v>2020</v>
      </c>
      <c r="AH5" s="164">
        <v>2021</v>
      </c>
      <c r="AI5" s="164">
        <v>2022</v>
      </c>
      <c r="AJ5" s="164">
        <v>2023</v>
      </c>
      <c r="AK5" s="164">
        <v>2024</v>
      </c>
      <c r="AL5" s="164">
        <v>2025</v>
      </c>
    </row>
    <row r="6" spans="1:38" s="178" customFormat="1" ht="16">
      <c r="B6" s="179" t="s">
        <v>52</v>
      </c>
      <c r="C6" s="180">
        <f t="shared" ref="C6:AG6" si="0">C16*C_CO2</f>
        <v>0</v>
      </c>
      <c r="D6" s="180">
        <f t="shared" si="0"/>
        <v>0</v>
      </c>
      <c r="E6" s="180">
        <f t="shared" si="0"/>
        <v>0</v>
      </c>
      <c r="F6" s="180">
        <f t="shared" si="0"/>
        <v>0</v>
      </c>
      <c r="G6" s="180">
        <f t="shared" si="0"/>
        <v>0</v>
      </c>
      <c r="H6" s="180">
        <f t="shared" si="0"/>
        <v>0</v>
      </c>
      <c r="I6" s="180">
        <f t="shared" si="0"/>
        <v>0</v>
      </c>
      <c r="J6" s="180">
        <f t="shared" si="0"/>
        <v>0</v>
      </c>
      <c r="K6" s="180">
        <f t="shared" si="0"/>
        <v>0</v>
      </c>
      <c r="L6" s="180">
        <f t="shared" si="0"/>
        <v>0</v>
      </c>
      <c r="M6" s="180">
        <f t="shared" si="0"/>
        <v>0</v>
      </c>
      <c r="N6" s="180">
        <f t="shared" si="0"/>
        <v>0</v>
      </c>
      <c r="O6" s="180">
        <f t="shared" si="0"/>
        <v>0</v>
      </c>
      <c r="P6" s="180">
        <f t="shared" si="0"/>
        <v>0</v>
      </c>
      <c r="Q6" s="180">
        <f t="shared" si="0"/>
        <v>0</v>
      </c>
      <c r="R6" s="180">
        <f t="shared" si="0"/>
        <v>0</v>
      </c>
      <c r="S6" s="180">
        <f t="shared" si="0"/>
        <v>0</v>
      </c>
      <c r="T6" s="180">
        <f t="shared" si="0"/>
        <v>0</v>
      </c>
      <c r="U6" s="180">
        <f t="shared" si="0"/>
        <v>0</v>
      </c>
      <c r="V6" s="180">
        <f t="shared" si="0"/>
        <v>0</v>
      </c>
      <c r="W6" s="180">
        <f t="shared" si="0"/>
        <v>0</v>
      </c>
      <c r="X6" s="180">
        <f t="shared" si="0"/>
        <v>0</v>
      </c>
      <c r="Y6" s="180">
        <f t="shared" si="0"/>
        <v>0</v>
      </c>
      <c r="Z6" s="180">
        <f t="shared" si="0"/>
        <v>0</v>
      </c>
      <c r="AA6" s="180">
        <f t="shared" si="0"/>
        <v>0</v>
      </c>
      <c r="AB6" s="180">
        <f t="shared" si="0"/>
        <v>0</v>
      </c>
      <c r="AC6" s="180">
        <f t="shared" si="0"/>
        <v>0</v>
      </c>
      <c r="AD6" s="180">
        <f t="shared" si="0"/>
        <v>0</v>
      </c>
      <c r="AE6" s="180">
        <f t="shared" si="0"/>
        <v>0</v>
      </c>
      <c r="AF6" s="180">
        <f>AF16*C_CO2</f>
        <v>0</v>
      </c>
      <c r="AG6" s="180">
        <f t="shared" si="0"/>
        <v>0</v>
      </c>
      <c r="AH6" s="180">
        <f t="shared" ref="AH6:AL6" si="1">AH16*C_CO2</f>
        <v>0</v>
      </c>
      <c r="AI6" s="180">
        <f t="shared" si="1"/>
        <v>0</v>
      </c>
      <c r="AJ6" s="180">
        <f t="shared" si="1"/>
        <v>0</v>
      </c>
      <c r="AK6" s="180">
        <f t="shared" si="1"/>
        <v>0</v>
      </c>
      <c r="AL6" s="180">
        <f t="shared" si="1"/>
        <v>0</v>
      </c>
    </row>
    <row r="7" spans="1:38" s="178" customFormat="1" ht="16">
      <c r="B7" s="179" t="s">
        <v>54</v>
      </c>
      <c r="C7" s="180">
        <f t="shared" ref="C7:AG7" si="2">C17*C_CO2</f>
        <v>0</v>
      </c>
      <c r="D7" s="180">
        <f t="shared" si="2"/>
        <v>0</v>
      </c>
      <c r="E7" s="180">
        <f t="shared" si="2"/>
        <v>0</v>
      </c>
      <c r="F7" s="180">
        <f t="shared" si="2"/>
        <v>0</v>
      </c>
      <c r="G7" s="180">
        <f t="shared" si="2"/>
        <v>0</v>
      </c>
      <c r="H7" s="180">
        <f t="shared" si="2"/>
        <v>0</v>
      </c>
      <c r="I7" s="180">
        <f>I17*C_CO2</f>
        <v>0</v>
      </c>
      <c r="J7" s="180">
        <f t="shared" si="2"/>
        <v>0</v>
      </c>
      <c r="K7" s="180">
        <f t="shared" si="2"/>
        <v>0</v>
      </c>
      <c r="L7" s="180">
        <f t="shared" si="2"/>
        <v>0</v>
      </c>
      <c r="M7" s="180">
        <f t="shared" si="2"/>
        <v>0</v>
      </c>
      <c r="N7" s="180">
        <f t="shared" si="2"/>
        <v>0</v>
      </c>
      <c r="O7" s="180">
        <f t="shared" si="2"/>
        <v>0</v>
      </c>
      <c r="P7" s="180">
        <f t="shared" si="2"/>
        <v>0</v>
      </c>
      <c r="Q7" s="180">
        <f t="shared" si="2"/>
        <v>0</v>
      </c>
      <c r="R7" s="180">
        <f t="shared" si="2"/>
        <v>0</v>
      </c>
      <c r="S7" s="180">
        <f t="shared" si="2"/>
        <v>0</v>
      </c>
      <c r="T7" s="180">
        <f t="shared" si="2"/>
        <v>0</v>
      </c>
      <c r="U7" s="180">
        <f t="shared" si="2"/>
        <v>0</v>
      </c>
      <c r="V7" s="180">
        <f t="shared" si="2"/>
        <v>0</v>
      </c>
      <c r="W7" s="180">
        <f t="shared" si="2"/>
        <v>0</v>
      </c>
      <c r="X7" s="180">
        <f t="shared" si="2"/>
        <v>0</v>
      </c>
      <c r="Y7" s="180">
        <f t="shared" si="2"/>
        <v>0</v>
      </c>
      <c r="Z7" s="180">
        <f t="shared" si="2"/>
        <v>0</v>
      </c>
      <c r="AA7" s="180">
        <f t="shared" si="2"/>
        <v>0</v>
      </c>
      <c r="AB7" s="180">
        <f t="shared" si="2"/>
        <v>0</v>
      </c>
      <c r="AC7" s="180">
        <f t="shared" si="2"/>
        <v>0</v>
      </c>
      <c r="AD7" s="180">
        <f t="shared" si="2"/>
        <v>0</v>
      </c>
      <c r="AE7" s="180">
        <f t="shared" si="2"/>
        <v>0</v>
      </c>
      <c r="AF7" s="180">
        <f t="shared" si="2"/>
        <v>0</v>
      </c>
      <c r="AG7" s="180">
        <f t="shared" si="2"/>
        <v>0</v>
      </c>
      <c r="AH7" s="180">
        <f t="shared" ref="AH7:AL7" si="3">AH17*C_CO2</f>
        <v>0</v>
      </c>
      <c r="AI7" s="180">
        <f t="shared" si="3"/>
        <v>0</v>
      </c>
      <c r="AJ7" s="180">
        <f t="shared" si="3"/>
        <v>0</v>
      </c>
      <c r="AK7" s="180">
        <f t="shared" si="3"/>
        <v>0</v>
      </c>
      <c r="AL7" s="180">
        <f t="shared" si="3"/>
        <v>0</v>
      </c>
    </row>
    <row r="8" spans="1:38" s="178" customFormat="1" ht="16">
      <c r="B8" s="179" t="s">
        <v>56</v>
      </c>
      <c r="C8" s="180">
        <f t="shared" ref="C8:AG8" si="4">C18*C_CO2</f>
        <v>0</v>
      </c>
      <c r="D8" s="180">
        <f t="shared" si="4"/>
        <v>0</v>
      </c>
      <c r="E8" s="180">
        <f t="shared" si="4"/>
        <v>0</v>
      </c>
      <c r="F8" s="180">
        <f t="shared" si="4"/>
        <v>0</v>
      </c>
      <c r="G8" s="180">
        <f t="shared" si="4"/>
        <v>0</v>
      </c>
      <c r="H8" s="180">
        <f t="shared" si="4"/>
        <v>0</v>
      </c>
      <c r="I8" s="180">
        <f t="shared" si="4"/>
        <v>0</v>
      </c>
      <c r="J8" s="180">
        <f t="shared" si="4"/>
        <v>0</v>
      </c>
      <c r="K8" s="180">
        <f t="shared" si="4"/>
        <v>0</v>
      </c>
      <c r="L8" s="180">
        <f t="shared" si="4"/>
        <v>0</v>
      </c>
      <c r="M8" s="180">
        <f t="shared" si="4"/>
        <v>0</v>
      </c>
      <c r="N8" s="180">
        <f t="shared" si="4"/>
        <v>0</v>
      </c>
      <c r="O8" s="180">
        <f t="shared" si="4"/>
        <v>0</v>
      </c>
      <c r="P8" s="180">
        <f t="shared" si="4"/>
        <v>0</v>
      </c>
      <c r="Q8" s="180">
        <f t="shared" si="4"/>
        <v>0</v>
      </c>
      <c r="R8" s="180">
        <f t="shared" si="4"/>
        <v>0</v>
      </c>
      <c r="S8" s="180">
        <f t="shared" si="4"/>
        <v>0</v>
      </c>
      <c r="T8" s="180">
        <f t="shared" si="4"/>
        <v>0</v>
      </c>
      <c r="U8" s="180">
        <f t="shared" si="4"/>
        <v>0</v>
      </c>
      <c r="V8" s="180">
        <f t="shared" si="4"/>
        <v>0</v>
      </c>
      <c r="W8" s="180">
        <f t="shared" si="4"/>
        <v>0</v>
      </c>
      <c r="X8" s="180">
        <f t="shared" si="4"/>
        <v>0</v>
      </c>
      <c r="Y8" s="180">
        <f t="shared" si="4"/>
        <v>0</v>
      </c>
      <c r="Z8" s="180">
        <f t="shared" si="4"/>
        <v>0</v>
      </c>
      <c r="AA8" s="180">
        <f t="shared" si="4"/>
        <v>0</v>
      </c>
      <c r="AB8" s="180">
        <f t="shared" si="4"/>
        <v>0</v>
      </c>
      <c r="AC8" s="180">
        <f t="shared" si="4"/>
        <v>0</v>
      </c>
      <c r="AD8" s="180">
        <f t="shared" si="4"/>
        <v>0</v>
      </c>
      <c r="AE8" s="180">
        <f t="shared" si="4"/>
        <v>0</v>
      </c>
      <c r="AF8" s="180">
        <f t="shared" si="4"/>
        <v>0</v>
      </c>
      <c r="AG8" s="180">
        <f t="shared" si="4"/>
        <v>0</v>
      </c>
      <c r="AH8" s="180">
        <f t="shared" ref="AH8:AL8" si="5">AH18*C_CO2</f>
        <v>0</v>
      </c>
      <c r="AI8" s="180">
        <f t="shared" si="5"/>
        <v>0</v>
      </c>
      <c r="AJ8" s="180">
        <f t="shared" si="5"/>
        <v>0</v>
      </c>
      <c r="AK8" s="180">
        <f t="shared" si="5"/>
        <v>0</v>
      </c>
      <c r="AL8" s="180">
        <f t="shared" si="5"/>
        <v>0</v>
      </c>
    </row>
    <row r="9" spans="1:38" s="178" customFormat="1" ht="16">
      <c r="B9" s="181" t="s">
        <v>58</v>
      </c>
      <c r="C9" s="180">
        <f t="shared" ref="C9:AG9" si="6">C19*C_CO2</f>
        <v>0</v>
      </c>
      <c r="D9" s="180">
        <f t="shared" si="6"/>
        <v>0</v>
      </c>
      <c r="E9" s="180">
        <f t="shared" si="6"/>
        <v>0</v>
      </c>
      <c r="F9" s="180">
        <f t="shared" si="6"/>
        <v>0</v>
      </c>
      <c r="G9" s="180">
        <f t="shared" si="6"/>
        <v>0</v>
      </c>
      <c r="H9" s="180">
        <f t="shared" si="6"/>
        <v>0</v>
      </c>
      <c r="I9" s="180">
        <f t="shared" si="6"/>
        <v>0</v>
      </c>
      <c r="J9" s="180">
        <f>J19*C_CO2</f>
        <v>0</v>
      </c>
      <c r="K9" s="180">
        <f t="shared" si="6"/>
        <v>0</v>
      </c>
      <c r="L9" s="180">
        <f t="shared" si="6"/>
        <v>0</v>
      </c>
      <c r="M9" s="180">
        <f t="shared" si="6"/>
        <v>0</v>
      </c>
      <c r="N9" s="180">
        <f t="shared" si="6"/>
        <v>0</v>
      </c>
      <c r="O9" s="180">
        <f t="shared" si="6"/>
        <v>0</v>
      </c>
      <c r="P9" s="180">
        <f t="shared" si="6"/>
        <v>0</v>
      </c>
      <c r="Q9" s="180">
        <f t="shared" si="6"/>
        <v>0</v>
      </c>
      <c r="R9" s="180">
        <f t="shared" si="6"/>
        <v>0</v>
      </c>
      <c r="S9" s="180">
        <f t="shared" si="6"/>
        <v>0</v>
      </c>
      <c r="T9" s="180">
        <f t="shared" si="6"/>
        <v>0</v>
      </c>
      <c r="U9" s="180">
        <f t="shared" si="6"/>
        <v>0</v>
      </c>
      <c r="V9" s="180">
        <f t="shared" si="6"/>
        <v>0</v>
      </c>
      <c r="W9" s="180">
        <f t="shared" si="6"/>
        <v>0</v>
      </c>
      <c r="X9" s="180">
        <f t="shared" si="6"/>
        <v>0</v>
      </c>
      <c r="Y9" s="180">
        <f t="shared" si="6"/>
        <v>0</v>
      </c>
      <c r="Z9" s="180">
        <f t="shared" si="6"/>
        <v>0</v>
      </c>
      <c r="AA9" s="180">
        <f t="shared" si="6"/>
        <v>0</v>
      </c>
      <c r="AB9" s="180">
        <f t="shared" si="6"/>
        <v>0</v>
      </c>
      <c r="AC9" s="180">
        <f t="shared" si="6"/>
        <v>0</v>
      </c>
      <c r="AD9" s="180">
        <f t="shared" si="6"/>
        <v>0</v>
      </c>
      <c r="AE9" s="180">
        <f t="shared" si="6"/>
        <v>0</v>
      </c>
      <c r="AF9" s="180">
        <f t="shared" si="6"/>
        <v>0</v>
      </c>
      <c r="AG9" s="180">
        <f t="shared" si="6"/>
        <v>0</v>
      </c>
      <c r="AH9" s="180">
        <f t="shared" ref="AH9:AL9" si="7">AH19*C_CO2</f>
        <v>0</v>
      </c>
      <c r="AI9" s="180">
        <f t="shared" si="7"/>
        <v>0</v>
      </c>
      <c r="AJ9" s="180">
        <f t="shared" si="7"/>
        <v>0</v>
      </c>
      <c r="AK9" s="180">
        <f t="shared" si="7"/>
        <v>0</v>
      </c>
      <c r="AL9" s="180">
        <f t="shared" si="7"/>
        <v>0</v>
      </c>
    </row>
    <row r="10" spans="1:38" s="178" customFormat="1" ht="16">
      <c r="B10" s="181" t="s">
        <v>60</v>
      </c>
      <c r="C10" s="180">
        <f t="shared" ref="C10:AG10" si="8">C20*C_CO2</f>
        <v>0</v>
      </c>
      <c r="D10" s="180">
        <f t="shared" si="8"/>
        <v>0</v>
      </c>
      <c r="E10" s="180">
        <f t="shared" si="8"/>
        <v>0</v>
      </c>
      <c r="F10" s="180">
        <f t="shared" si="8"/>
        <v>0</v>
      </c>
      <c r="G10" s="180">
        <f t="shared" si="8"/>
        <v>0</v>
      </c>
      <c r="H10" s="180">
        <f t="shared" si="8"/>
        <v>0</v>
      </c>
      <c r="I10" s="180">
        <f t="shared" si="8"/>
        <v>0</v>
      </c>
      <c r="J10" s="180">
        <f t="shared" si="8"/>
        <v>0</v>
      </c>
      <c r="K10" s="180">
        <f t="shared" si="8"/>
        <v>0</v>
      </c>
      <c r="L10" s="180">
        <f t="shared" si="8"/>
        <v>0</v>
      </c>
      <c r="M10" s="180">
        <f t="shared" si="8"/>
        <v>0</v>
      </c>
      <c r="N10" s="180">
        <f t="shared" si="8"/>
        <v>0</v>
      </c>
      <c r="O10" s="180">
        <f t="shared" si="8"/>
        <v>0</v>
      </c>
      <c r="P10" s="180">
        <f t="shared" si="8"/>
        <v>0</v>
      </c>
      <c r="Q10" s="180">
        <f t="shared" si="8"/>
        <v>0</v>
      </c>
      <c r="R10" s="180">
        <f t="shared" si="8"/>
        <v>0</v>
      </c>
      <c r="S10" s="180">
        <f t="shared" si="8"/>
        <v>0</v>
      </c>
      <c r="T10" s="180">
        <f t="shared" si="8"/>
        <v>0</v>
      </c>
      <c r="U10" s="180">
        <f t="shared" si="8"/>
        <v>0</v>
      </c>
      <c r="V10" s="180">
        <f t="shared" si="8"/>
        <v>0</v>
      </c>
      <c r="W10" s="180">
        <f t="shared" si="8"/>
        <v>0</v>
      </c>
      <c r="X10" s="180">
        <f t="shared" si="8"/>
        <v>0</v>
      </c>
      <c r="Y10" s="180">
        <f t="shared" si="8"/>
        <v>0</v>
      </c>
      <c r="Z10" s="180">
        <f t="shared" si="8"/>
        <v>0</v>
      </c>
      <c r="AA10" s="180">
        <f t="shared" si="8"/>
        <v>0</v>
      </c>
      <c r="AB10" s="180">
        <f t="shared" si="8"/>
        <v>0</v>
      </c>
      <c r="AC10" s="180">
        <f t="shared" si="8"/>
        <v>0</v>
      </c>
      <c r="AD10" s="180">
        <f t="shared" si="8"/>
        <v>0</v>
      </c>
      <c r="AE10" s="180">
        <f t="shared" si="8"/>
        <v>0</v>
      </c>
      <c r="AF10" s="180">
        <f t="shared" si="8"/>
        <v>0</v>
      </c>
      <c r="AG10" s="180">
        <f t="shared" si="8"/>
        <v>0</v>
      </c>
      <c r="AH10" s="180">
        <f t="shared" ref="AH10:AL10" si="9">AH20*C_CO2</f>
        <v>0</v>
      </c>
      <c r="AI10" s="180">
        <f t="shared" si="9"/>
        <v>0</v>
      </c>
      <c r="AJ10" s="180">
        <f t="shared" si="9"/>
        <v>0</v>
      </c>
      <c r="AK10" s="180">
        <f t="shared" si="9"/>
        <v>0</v>
      </c>
      <c r="AL10" s="180">
        <f t="shared" si="9"/>
        <v>0</v>
      </c>
    </row>
    <row r="11" spans="1:38" s="178" customFormat="1" ht="16">
      <c r="B11" s="181" t="s">
        <v>62</v>
      </c>
      <c r="C11" s="180">
        <f t="shared" ref="C11:AG11" si="10">C21*C_CO2</f>
        <v>0</v>
      </c>
      <c r="D11" s="180">
        <f t="shared" si="10"/>
        <v>0</v>
      </c>
      <c r="E11" s="180">
        <f t="shared" si="10"/>
        <v>0</v>
      </c>
      <c r="F11" s="180">
        <f t="shared" si="10"/>
        <v>0</v>
      </c>
      <c r="G11" s="180">
        <f t="shared" si="10"/>
        <v>0</v>
      </c>
      <c r="H11" s="180">
        <f t="shared" si="10"/>
        <v>0</v>
      </c>
      <c r="I11" s="180">
        <f t="shared" si="10"/>
        <v>0</v>
      </c>
      <c r="J11" s="180">
        <f t="shared" si="10"/>
        <v>0</v>
      </c>
      <c r="K11" s="180">
        <f t="shared" si="10"/>
        <v>0</v>
      </c>
      <c r="L11" s="180">
        <f t="shared" si="10"/>
        <v>0</v>
      </c>
      <c r="M11" s="180">
        <f t="shared" si="10"/>
        <v>0</v>
      </c>
      <c r="N11" s="180">
        <f t="shared" si="10"/>
        <v>0</v>
      </c>
      <c r="O11" s="180">
        <f t="shared" si="10"/>
        <v>0</v>
      </c>
      <c r="P11" s="180">
        <f t="shared" si="10"/>
        <v>0</v>
      </c>
      <c r="Q11" s="180">
        <f t="shared" si="10"/>
        <v>0</v>
      </c>
      <c r="R11" s="180">
        <f t="shared" si="10"/>
        <v>0</v>
      </c>
      <c r="S11" s="180">
        <f t="shared" si="10"/>
        <v>0</v>
      </c>
      <c r="T11" s="180">
        <f t="shared" si="10"/>
        <v>0</v>
      </c>
      <c r="U11" s="180">
        <f t="shared" si="10"/>
        <v>0</v>
      </c>
      <c r="V11" s="180">
        <f t="shared" si="10"/>
        <v>0</v>
      </c>
      <c r="W11" s="180">
        <f t="shared" si="10"/>
        <v>0</v>
      </c>
      <c r="X11" s="180">
        <f t="shared" si="10"/>
        <v>0</v>
      </c>
      <c r="Y11" s="180">
        <f t="shared" si="10"/>
        <v>0</v>
      </c>
      <c r="Z11" s="180">
        <f t="shared" si="10"/>
        <v>0</v>
      </c>
      <c r="AA11" s="180">
        <f t="shared" si="10"/>
        <v>0</v>
      </c>
      <c r="AB11" s="180">
        <f t="shared" si="10"/>
        <v>0</v>
      </c>
      <c r="AC11" s="180">
        <f t="shared" si="10"/>
        <v>0</v>
      </c>
      <c r="AD11" s="180">
        <f t="shared" si="10"/>
        <v>0</v>
      </c>
      <c r="AE11" s="180">
        <f t="shared" si="10"/>
        <v>0</v>
      </c>
      <c r="AF11" s="180">
        <f t="shared" si="10"/>
        <v>0</v>
      </c>
      <c r="AG11" s="180">
        <f t="shared" si="10"/>
        <v>0</v>
      </c>
      <c r="AH11" s="180">
        <f t="shared" ref="AH11:AL11" si="11">AH21*C_CO2</f>
        <v>0</v>
      </c>
      <c r="AI11" s="180">
        <f t="shared" si="11"/>
        <v>0</v>
      </c>
      <c r="AJ11" s="180">
        <f t="shared" si="11"/>
        <v>0</v>
      </c>
      <c r="AK11" s="180">
        <f t="shared" si="11"/>
        <v>0</v>
      </c>
      <c r="AL11" s="180">
        <f t="shared" si="11"/>
        <v>0</v>
      </c>
    </row>
    <row r="12" spans="1:38" s="178" customFormat="1" ht="17" thickBot="1">
      <c r="B12" s="181" t="s">
        <v>64</v>
      </c>
      <c r="C12" s="180">
        <f t="shared" ref="C12:AG12" si="12">C22*C_CO2</f>
        <v>0</v>
      </c>
      <c r="D12" s="180">
        <f t="shared" si="12"/>
        <v>0</v>
      </c>
      <c r="E12" s="180">
        <f t="shared" si="12"/>
        <v>0</v>
      </c>
      <c r="F12" s="180">
        <f t="shared" si="12"/>
        <v>0</v>
      </c>
      <c r="G12" s="180">
        <f t="shared" si="12"/>
        <v>0</v>
      </c>
      <c r="H12" s="180">
        <f t="shared" si="12"/>
        <v>0</v>
      </c>
      <c r="I12" s="180">
        <f t="shared" si="12"/>
        <v>0</v>
      </c>
      <c r="J12" s="180">
        <f t="shared" si="12"/>
        <v>0</v>
      </c>
      <c r="K12" s="180">
        <f t="shared" si="12"/>
        <v>0</v>
      </c>
      <c r="L12" s="180">
        <f t="shared" si="12"/>
        <v>0</v>
      </c>
      <c r="M12" s="180">
        <f t="shared" si="12"/>
        <v>0</v>
      </c>
      <c r="N12" s="180">
        <f t="shared" si="12"/>
        <v>0</v>
      </c>
      <c r="O12" s="180">
        <f t="shared" si="12"/>
        <v>0</v>
      </c>
      <c r="P12" s="180">
        <f t="shared" si="12"/>
        <v>0</v>
      </c>
      <c r="Q12" s="180">
        <f t="shared" si="12"/>
        <v>0</v>
      </c>
      <c r="R12" s="180">
        <f t="shared" si="12"/>
        <v>0</v>
      </c>
      <c r="S12" s="180">
        <f t="shared" si="12"/>
        <v>0</v>
      </c>
      <c r="T12" s="180">
        <f t="shared" si="12"/>
        <v>0</v>
      </c>
      <c r="U12" s="180">
        <f t="shared" si="12"/>
        <v>0</v>
      </c>
      <c r="V12" s="180">
        <f t="shared" si="12"/>
        <v>0</v>
      </c>
      <c r="W12" s="180">
        <f t="shared" si="12"/>
        <v>0</v>
      </c>
      <c r="X12" s="180">
        <f t="shared" si="12"/>
        <v>0</v>
      </c>
      <c r="Y12" s="180">
        <f t="shared" si="12"/>
        <v>0</v>
      </c>
      <c r="Z12" s="180">
        <f t="shared" si="12"/>
        <v>0</v>
      </c>
      <c r="AA12" s="180">
        <f t="shared" si="12"/>
        <v>0</v>
      </c>
      <c r="AB12" s="180">
        <f t="shared" si="12"/>
        <v>0</v>
      </c>
      <c r="AC12" s="180">
        <f t="shared" si="12"/>
        <v>0</v>
      </c>
      <c r="AD12" s="180">
        <f t="shared" si="12"/>
        <v>0</v>
      </c>
      <c r="AE12" s="180">
        <f t="shared" si="12"/>
        <v>0</v>
      </c>
      <c r="AF12" s="180">
        <f t="shared" si="12"/>
        <v>0</v>
      </c>
      <c r="AG12" s="180">
        <f t="shared" si="12"/>
        <v>0</v>
      </c>
      <c r="AH12" s="180">
        <f t="shared" ref="AH12:AL12" si="13">AH22*C_CO2</f>
        <v>0</v>
      </c>
      <c r="AI12" s="180">
        <f t="shared" si="13"/>
        <v>0</v>
      </c>
      <c r="AJ12" s="180">
        <f t="shared" si="13"/>
        <v>0</v>
      </c>
      <c r="AK12" s="180">
        <f t="shared" si="13"/>
        <v>0</v>
      </c>
      <c r="AL12" s="180">
        <f t="shared" si="13"/>
        <v>0</v>
      </c>
    </row>
    <row r="13" spans="1:38" s="178" customFormat="1" ht="17" thickBot="1">
      <c r="B13" s="182" t="s">
        <v>66</v>
      </c>
      <c r="C13" s="186">
        <f>SUM(C6:C8)</f>
        <v>0</v>
      </c>
      <c r="D13" s="186">
        <f t="shared" ref="D13:L13" si="14">SUM(D6:D8)</f>
        <v>0</v>
      </c>
      <c r="E13" s="186">
        <f t="shared" si="14"/>
        <v>0</v>
      </c>
      <c r="F13" s="186">
        <f t="shared" si="14"/>
        <v>0</v>
      </c>
      <c r="G13" s="186">
        <f t="shared" si="14"/>
        <v>0</v>
      </c>
      <c r="H13" s="186">
        <f t="shared" si="14"/>
        <v>0</v>
      </c>
      <c r="I13" s="186">
        <f t="shared" si="14"/>
        <v>0</v>
      </c>
      <c r="J13" s="186">
        <f t="shared" si="14"/>
        <v>0</v>
      </c>
      <c r="K13" s="186">
        <f t="shared" si="14"/>
        <v>0</v>
      </c>
      <c r="L13" s="186">
        <f t="shared" si="14"/>
        <v>0</v>
      </c>
      <c r="M13" s="186">
        <f t="shared" ref="M13:AG13" si="15">SUM(M6:M8)</f>
        <v>0</v>
      </c>
      <c r="N13" s="186">
        <f t="shared" si="15"/>
        <v>0</v>
      </c>
      <c r="O13" s="186">
        <f t="shared" si="15"/>
        <v>0</v>
      </c>
      <c r="P13" s="186">
        <f t="shared" si="15"/>
        <v>0</v>
      </c>
      <c r="Q13" s="186">
        <f t="shared" si="15"/>
        <v>0</v>
      </c>
      <c r="R13" s="186">
        <f t="shared" si="15"/>
        <v>0</v>
      </c>
      <c r="S13" s="186">
        <f t="shared" si="15"/>
        <v>0</v>
      </c>
      <c r="T13" s="186">
        <f t="shared" si="15"/>
        <v>0</v>
      </c>
      <c r="U13" s="186">
        <f t="shared" si="15"/>
        <v>0</v>
      </c>
      <c r="V13" s="186">
        <f t="shared" si="15"/>
        <v>0</v>
      </c>
      <c r="W13" s="186">
        <f t="shared" si="15"/>
        <v>0</v>
      </c>
      <c r="X13" s="186">
        <f t="shared" si="15"/>
        <v>0</v>
      </c>
      <c r="Y13" s="186">
        <f t="shared" si="15"/>
        <v>0</v>
      </c>
      <c r="Z13" s="186">
        <f t="shared" si="15"/>
        <v>0</v>
      </c>
      <c r="AA13" s="186">
        <f t="shared" si="15"/>
        <v>0</v>
      </c>
      <c r="AB13" s="186">
        <f t="shared" si="15"/>
        <v>0</v>
      </c>
      <c r="AC13" s="186">
        <f t="shared" si="15"/>
        <v>0</v>
      </c>
      <c r="AD13" s="186">
        <f t="shared" si="15"/>
        <v>0</v>
      </c>
      <c r="AE13" s="186">
        <f t="shared" si="15"/>
        <v>0</v>
      </c>
      <c r="AF13" s="186">
        <f t="shared" si="15"/>
        <v>0</v>
      </c>
      <c r="AG13" s="186">
        <f t="shared" si="15"/>
        <v>0</v>
      </c>
      <c r="AH13" s="186">
        <f t="shared" ref="AH13:AL13" si="16">SUM(AH6:AH8)</f>
        <v>0</v>
      </c>
      <c r="AI13" s="186">
        <f t="shared" si="16"/>
        <v>0</v>
      </c>
      <c r="AJ13" s="186">
        <f t="shared" si="16"/>
        <v>0</v>
      </c>
      <c r="AK13" s="186">
        <f t="shared" si="16"/>
        <v>0</v>
      </c>
      <c r="AL13" s="186">
        <f t="shared" si="16"/>
        <v>0</v>
      </c>
    </row>
    <row r="14" spans="1:38" s="192" customFormat="1" ht="16">
      <c r="B14" s="193"/>
      <c r="C14" s="193">
        <f>IF(C5&lt;=$A$2,1,0)</f>
        <v>0</v>
      </c>
      <c r="D14" s="193">
        <f>IF(D5&lt;=$A$2,C14+1,0)</f>
        <v>0</v>
      </c>
      <c r="E14" s="193">
        <f t="shared" ref="E14:AG14" si="17">IF(E5&lt;=$A$2,D14+1,0)</f>
        <v>0</v>
      </c>
      <c r="F14" s="193">
        <f t="shared" si="17"/>
        <v>0</v>
      </c>
      <c r="G14" s="193">
        <f t="shared" si="17"/>
        <v>0</v>
      </c>
      <c r="H14" s="193">
        <f t="shared" si="17"/>
        <v>0</v>
      </c>
      <c r="I14" s="193">
        <f t="shared" si="17"/>
        <v>0</v>
      </c>
      <c r="J14" s="193">
        <f t="shared" si="17"/>
        <v>0</v>
      </c>
      <c r="K14" s="193">
        <f t="shared" si="17"/>
        <v>0</v>
      </c>
      <c r="L14" s="193">
        <f t="shared" si="17"/>
        <v>0</v>
      </c>
      <c r="M14" s="193">
        <f t="shared" si="17"/>
        <v>0</v>
      </c>
      <c r="N14" s="193">
        <f t="shared" si="17"/>
        <v>0</v>
      </c>
      <c r="O14" s="193">
        <f t="shared" si="17"/>
        <v>0</v>
      </c>
      <c r="P14" s="193">
        <f t="shared" si="17"/>
        <v>0</v>
      </c>
      <c r="Q14" s="193">
        <f t="shared" si="17"/>
        <v>0</v>
      </c>
      <c r="R14" s="193">
        <f t="shared" si="17"/>
        <v>0</v>
      </c>
      <c r="S14" s="193">
        <f t="shared" si="17"/>
        <v>0</v>
      </c>
      <c r="T14" s="193">
        <f t="shared" si="17"/>
        <v>0</v>
      </c>
      <c r="U14" s="193">
        <f t="shared" si="17"/>
        <v>0</v>
      </c>
      <c r="V14" s="193">
        <f t="shared" si="17"/>
        <v>0</v>
      </c>
      <c r="W14" s="193">
        <f t="shared" si="17"/>
        <v>0</v>
      </c>
      <c r="X14" s="193">
        <f t="shared" si="17"/>
        <v>0</v>
      </c>
      <c r="Y14" s="193">
        <f t="shared" si="17"/>
        <v>0</v>
      </c>
      <c r="Z14" s="193">
        <f t="shared" si="17"/>
        <v>0</v>
      </c>
      <c r="AA14" s="193">
        <f t="shared" si="17"/>
        <v>0</v>
      </c>
      <c r="AB14" s="193">
        <f t="shared" si="17"/>
        <v>0</v>
      </c>
      <c r="AC14" s="193">
        <f t="shared" si="17"/>
        <v>0</v>
      </c>
      <c r="AD14" s="193">
        <f t="shared" si="17"/>
        <v>0</v>
      </c>
      <c r="AE14" s="193">
        <f t="shared" si="17"/>
        <v>0</v>
      </c>
      <c r="AF14" s="193">
        <f t="shared" si="17"/>
        <v>0</v>
      </c>
      <c r="AG14" s="193">
        <f t="shared" si="17"/>
        <v>0</v>
      </c>
      <c r="AH14" s="193">
        <f t="shared" ref="AH14" si="18">IF(AH5&lt;=$A$2,AG14+1,0)</f>
        <v>0</v>
      </c>
      <c r="AI14" s="193">
        <f t="shared" ref="AI14" si="19">IF(AI5&lt;=$A$2,AH14+1,0)</f>
        <v>0</v>
      </c>
      <c r="AJ14" s="193">
        <f t="shared" ref="AJ14" si="20">IF(AJ5&lt;=$A$2,AI14+1,0)</f>
        <v>0</v>
      </c>
      <c r="AK14" s="193">
        <f t="shared" ref="AK14" si="21">IF(AK5&lt;=$A$2,AJ14+1,0)</f>
        <v>0</v>
      </c>
      <c r="AL14" s="193">
        <f>IF(AL5&lt;=$A$2,AK14+1,0)</f>
        <v>0</v>
      </c>
    </row>
    <row r="15" spans="1:38" ht="15" thickBot="1">
      <c r="B15" s="164" t="s">
        <v>137</v>
      </c>
      <c r="C15" s="164">
        <v>1990</v>
      </c>
      <c r="D15" s="164">
        <v>1991</v>
      </c>
      <c r="E15" s="164">
        <v>1992</v>
      </c>
      <c r="F15" s="164">
        <v>1993</v>
      </c>
      <c r="G15" s="164">
        <v>1994</v>
      </c>
      <c r="H15" s="164">
        <v>1995</v>
      </c>
      <c r="I15" s="164">
        <v>1996</v>
      </c>
      <c r="J15" s="164">
        <v>1997</v>
      </c>
      <c r="K15" s="164">
        <v>1998</v>
      </c>
      <c r="L15" s="164">
        <v>1999</v>
      </c>
      <c r="M15" s="164">
        <v>2000</v>
      </c>
      <c r="N15" s="164">
        <v>2001</v>
      </c>
      <c r="O15" s="164">
        <v>2002</v>
      </c>
      <c r="P15" s="164">
        <v>2003</v>
      </c>
      <c r="Q15" s="164">
        <v>2004</v>
      </c>
      <c r="R15" s="164">
        <v>2005</v>
      </c>
      <c r="S15" s="164">
        <v>2006</v>
      </c>
      <c r="T15" s="164">
        <v>2007</v>
      </c>
      <c r="U15" s="164">
        <v>2008</v>
      </c>
      <c r="V15" s="164">
        <v>2009</v>
      </c>
      <c r="W15" s="164">
        <v>2010</v>
      </c>
      <c r="X15" s="164">
        <v>2011</v>
      </c>
      <c r="Y15" s="164">
        <v>2012</v>
      </c>
      <c r="Z15" s="164">
        <v>2013</v>
      </c>
      <c r="AA15" s="164">
        <v>2014</v>
      </c>
      <c r="AB15" s="164">
        <v>2015</v>
      </c>
      <c r="AC15" s="164">
        <v>2016</v>
      </c>
      <c r="AD15" s="164">
        <v>2017</v>
      </c>
      <c r="AE15" s="164">
        <v>2018</v>
      </c>
      <c r="AF15" s="164">
        <v>2019</v>
      </c>
      <c r="AG15" s="164">
        <v>2020</v>
      </c>
      <c r="AH15" s="164">
        <v>2021</v>
      </c>
      <c r="AI15" s="164">
        <v>2022</v>
      </c>
      <c r="AJ15" s="164">
        <v>2023</v>
      </c>
      <c r="AK15" s="164">
        <v>2024</v>
      </c>
      <c r="AL15" s="164">
        <v>2025</v>
      </c>
    </row>
    <row r="16" spans="1:38" s="178" customFormat="1" ht="16">
      <c r="B16" s="179" t="s">
        <v>52</v>
      </c>
      <c r="C16" s="180">
        <f>'Municipal WW, CH4'!W6</f>
        <v>0</v>
      </c>
      <c r="D16" s="180">
        <f>'Municipal WW, CH4'!W8</f>
        <v>0</v>
      </c>
      <c r="E16" s="180">
        <f>'Municipal WW, CH4'!W10</f>
        <v>0</v>
      </c>
      <c r="F16" s="180">
        <f>'Municipal WW, CH4'!W12</f>
        <v>0</v>
      </c>
      <c r="G16" s="180">
        <f>'Municipal WW, CH4'!W14</f>
        <v>0</v>
      </c>
      <c r="H16" s="180">
        <f>'Municipal WW, CH4'!W16</f>
        <v>0</v>
      </c>
      <c r="I16" s="180">
        <f>'Municipal WW, CH4'!W18</f>
        <v>0</v>
      </c>
      <c r="J16" s="180">
        <f>'Municipal WW, CH4'!W20</f>
        <v>0</v>
      </c>
      <c r="K16" s="180">
        <f>'Municipal WW, CH4'!W22</f>
        <v>0</v>
      </c>
      <c r="L16" s="180">
        <f>'Municipal WW, CH4'!W24</f>
        <v>0</v>
      </c>
      <c r="M16" s="180">
        <f>'Municipal WW, CH4'!W26</f>
        <v>0</v>
      </c>
      <c r="N16" s="180">
        <f>'Municipal WW, CH4'!W28</f>
        <v>0</v>
      </c>
      <c r="O16" s="180">
        <f>'Municipal WW, CH4'!W30</f>
        <v>0</v>
      </c>
      <c r="P16" s="180">
        <f>'Municipal WW, CH4'!W32</f>
        <v>0</v>
      </c>
      <c r="Q16" s="180">
        <f>'Municipal WW, CH4'!W34</f>
        <v>0</v>
      </c>
      <c r="R16" s="180">
        <f>'Municipal WW, CH4'!W36</f>
        <v>0</v>
      </c>
      <c r="S16" s="180">
        <f>'Municipal WW, CH4'!W38</f>
        <v>0</v>
      </c>
      <c r="T16" s="180">
        <f>'Municipal WW, CH4'!W40</f>
        <v>0</v>
      </c>
      <c r="U16" s="180">
        <f>'Municipal WW, CH4'!W42</f>
        <v>0</v>
      </c>
      <c r="V16" s="180">
        <f>'Municipal WW, CH4'!W44</f>
        <v>0</v>
      </c>
      <c r="W16" s="180">
        <f>'Municipal WW, CH4'!W46</f>
        <v>0</v>
      </c>
      <c r="X16" s="180">
        <f>'Municipal WW, CH4'!W48</f>
        <v>0</v>
      </c>
      <c r="Y16" s="180">
        <f>'Municipal WW, CH4'!W50</f>
        <v>0</v>
      </c>
      <c r="Z16" s="180">
        <f>'Municipal WW, CH4'!W52</f>
        <v>0</v>
      </c>
      <c r="AA16" s="180">
        <f>'Municipal WW, CH4'!W54</f>
        <v>0</v>
      </c>
      <c r="AB16" s="180">
        <f>'Municipal WW, CH4'!W56</f>
        <v>0</v>
      </c>
      <c r="AC16" s="180">
        <f>'Municipal WW, CH4'!W58</f>
        <v>0</v>
      </c>
      <c r="AD16" s="180">
        <f>'Municipal WW, CH4'!W60</f>
        <v>0</v>
      </c>
      <c r="AE16" s="180">
        <f>'Municipal WW, CH4'!W62</f>
        <v>0</v>
      </c>
      <c r="AF16" s="180">
        <f>'Municipal WW, CH4'!W64</f>
        <v>0</v>
      </c>
      <c r="AG16" s="180">
        <f>'Municipal WW, CH4'!$W66</f>
        <v>0</v>
      </c>
      <c r="AH16" s="180">
        <f>'Municipal WW, CH4'!$W68</f>
        <v>0</v>
      </c>
      <c r="AI16" s="180">
        <f>'Municipal WW, CH4'!$W70</f>
        <v>0</v>
      </c>
      <c r="AJ16" s="180">
        <f>'Municipal WW, CH4'!$W72</f>
        <v>0</v>
      </c>
      <c r="AK16" s="180">
        <f>'Municipal WW, CH4'!$W74</f>
        <v>0</v>
      </c>
      <c r="AL16" s="180">
        <f>'Municipal WW, CH4'!$W76</f>
        <v>0</v>
      </c>
    </row>
    <row r="17" spans="2:38" s="178" customFormat="1" ht="16">
      <c r="B17" s="179" t="s">
        <v>138</v>
      </c>
      <c r="C17" s="180">
        <f>'Municipal WW, N2O, effluent'!AK6</f>
        <v>0</v>
      </c>
      <c r="D17" s="180">
        <f>'Municipal WW, N2O, effluent'!AK8</f>
        <v>0</v>
      </c>
      <c r="E17" s="180">
        <f>'Municipal WW, N2O, effluent'!AK10</f>
        <v>0</v>
      </c>
      <c r="F17" s="180">
        <f>'Municipal WW, N2O, effluent'!AK12</f>
        <v>0</v>
      </c>
      <c r="G17" s="180">
        <f>'Municipal WW, N2O, effluent'!AK14</f>
        <v>0</v>
      </c>
      <c r="H17" s="180">
        <f>'Municipal WW, N2O, effluent'!AK16</f>
        <v>0</v>
      </c>
      <c r="I17" s="180">
        <f>'Municipal WW, N2O, effluent'!AK18</f>
        <v>0</v>
      </c>
      <c r="J17" s="180">
        <f>'Municipal WW, N2O, effluent'!AK20</f>
        <v>0</v>
      </c>
      <c r="K17" s="180">
        <f>'Municipal WW, N2O, effluent'!AK22</f>
        <v>0</v>
      </c>
      <c r="L17" s="180">
        <f>'Municipal WW, N2O, effluent'!AK24</f>
        <v>0</v>
      </c>
      <c r="M17" s="180">
        <f>'Municipal WW, N2O, effluent'!AK26</f>
        <v>0</v>
      </c>
      <c r="N17" s="180">
        <f>'Municipal WW, N2O, effluent'!AK28</f>
        <v>0</v>
      </c>
      <c r="O17" s="180">
        <f>'Municipal WW, N2O, effluent'!AK30</f>
        <v>0</v>
      </c>
      <c r="P17" s="180">
        <f>'Municipal WW, N2O, effluent'!AK32</f>
        <v>0</v>
      </c>
      <c r="Q17" s="180">
        <f>'Municipal WW, N2O, effluent'!AK34</f>
        <v>0</v>
      </c>
      <c r="R17" s="180">
        <f>'Municipal WW, N2O, effluent'!AK36</f>
        <v>0</v>
      </c>
      <c r="S17" s="180">
        <f>'Municipal WW, N2O, effluent'!AK38</f>
        <v>0</v>
      </c>
      <c r="T17" s="180">
        <f>'Municipal WW, N2O, effluent'!AK40</f>
        <v>0</v>
      </c>
      <c r="U17" s="180">
        <f>'Municipal WW, N2O, effluent'!AK42</f>
        <v>0</v>
      </c>
      <c r="V17" s="180">
        <f>'Municipal WW, N2O, effluent'!AK44</f>
        <v>0</v>
      </c>
      <c r="W17" s="180">
        <f>'Municipal WW, N2O, effluent'!AK46</f>
        <v>0</v>
      </c>
      <c r="X17" s="180">
        <f>'Municipal WW, N2O, effluent'!AK48</f>
        <v>0</v>
      </c>
      <c r="Y17" s="180">
        <f>'Municipal WW, N2O, effluent'!AK50</f>
        <v>0</v>
      </c>
      <c r="Z17" s="180">
        <f>'Municipal WW, N2O, effluent'!AK52</f>
        <v>0</v>
      </c>
      <c r="AA17" s="180">
        <f>'Municipal WW, N2O, effluent'!AK54</f>
        <v>0</v>
      </c>
      <c r="AB17" s="180">
        <f>'Municipal WW, N2O, effluent'!AK56</f>
        <v>0</v>
      </c>
      <c r="AC17" s="180">
        <f>'Municipal WW, N2O, effluent'!AK58</f>
        <v>0</v>
      </c>
      <c r="AD17" s="180">
        <f>'Municipal WW, N2O, effluent'!AK60</f>
        <v>0</v>
      </c>
      <c r="AE17" s="180">
        <f>'Municipal WW, N2O, effluent'!AK62</f>
        <v>0</v>
      </c>
      <c r="AF17" s="180">
        <f>'Municipal WW, N2O, effluent'!AK64</f>
        <v>0</v>
      </c>
      <c r="AG17" s="180">
        <f>'Municipal WW, N2O, effluent'!$AK66</f>
        <v>0</v>
      </c>
      <c r="AH17" s="180">
        <f>'Municipal WW, N2O, effluent'!$AK68</f>
        <v>0</v>
      </c>
      <c r="AI17" s="180">
        <f>'Municipal WW, N2O, effluent'!$AK70</f>
        <v>0</v>
      </c>
      <c r="AJ17" s="180">
        <f>'Municipal WW, N2O, effluent'!$AK72</f>
        <v>0</v>
      </c>
      <c r="AK17" s="180">
        <f>'Municipal WW, N2O, effluent'!$AK74</f>
        <v>0</v>
      </c>
      <c r="AL17" s="180">
        <f>'Municipal WW, N2O, effluent'!$AK76</f>
        <v>0</v>
      </c>
    </row>
    <row r="18" spans="2:38" s="178" customFormat="1" ht="16">
      <c r="B18" s="179" t="s">
        <v>56</v>
      </c>
      <c r="C18" s="180">
        <f>SUM(C19:C22)</f>
        <v>0</v>
      </c>
      <c r="D18" s="180">
        <f t="shared" ref="D18:L18" si="22">SUM(D19:D22)</f>
        <v>0</v>
      </c>
      <c r="E18" s="180">
        <f t="shared" si="22"/>
        <v>0</v>
      </c>
      <c r="F18" s="180">
        <f t="shared" si="22"/>
        <v>0</v>
      </c>
      <c r="G18" s="180">
        <f t="shared" si="22"/>
        <v>0</v>
      </c>
      <c r="H18" s="180">
        <f t="shared" si="22"/>
        <v>0</v>
      </c>
      <c r="I18" s="180">
        <f t="shared" si="22"/>
        <v>0</v>
      </c>
      <c r="J18" s="180">
        <f t="shared" si="22"/>
        <v>0</v>
      </c>
      <c r="K18" s="180">
        <f t="shared" si="22"/>
        <v>0</v>
      </c>
      <c r="L18" s="180">
        <f t="shared" si="22"/>
        <v>0</v>
      </c>
      <c r="M18" s="180">
        <f t="shared" ref="M18:AG18" si="23">SUM(M19:M22)</f>
        <v>0</v>
      </c>
      <c r="N18" s="180">
        <f t="shared" si="23"/>
        <v>0</v>
      </c>
      <c r="O18" s="180">
        <f t="shared" si="23"/>
        <v>0</v>
      </c>
      <c r="P18" s="180">
        <f t="shared" si="23"/>
        <v>0</v>
      </c>
      <c r="Q18" s="180">
        <f t="shared" si="23"/>
        <v>0</v>
      </c>
      <c r="R18" s="180">
        <f t="shared" si="23"/>
        <v>0</v>
      </c>
      <c r="S18" s="180">
        <f t="shared" si="23"/>
        <v>0</v>
      </c>
      <c r="T18" s="180">
        <f t="shared" si="23"/>
        <v>0</v>
      </c>
      <c r="U18" s="180">
        <f t="shared" si="23"/>
        <v>0</v>
      </c>
      <c r="V18" s="180">
        <f t="shared" si="23"/>
        <v>0</v>
      </c>
      <c r="W18" s="180">
        <f t="shared" si="23"/>
        <v>0</v>
      </c>
      <c r="X18" s="180">
        <f t="shared" si="23"/>
        <v>0</v>
      </c>
      <c r="Y18" s="180">
        <f t="shared" si="23"/>
        <v>0</v>
      </c>
      <c r="Z18" s="180">
        <f t="shared" si="23"/>
        <v>0</v>
      </c>
      <c r="AA18" s="180">
        <f t="shared" si="23"/>
        <v>0</v>
      </c>
      <c r="AB18" s="180">
        <f t="shared" si="23"/>
        <v>0</v>
      </c>
      <c r="AC18" s="180">
        <f t="shared" si="23"/>
        <v>0</v>
      </c>
      <c r="AD18" s="180">
        <f t="shared" si="23"/>
        <v>0</v>
      </c>
      <c r="AE18" s="180">
        <f t="shared" si="23"/>
        <v>0</v>
      </c>
      <c r="AF18" s="180">
        <f t="shared" si="23"/>
        <v>0</v>
      </c>
      <c r="AG18" s="180">
        <f t="shared" si="23"/>
        <v>0</v>
      </c>
      <c r="AH18" s="180">
        <f t="shared" ref="AH18:AL18" si="24">SUM(AH19:AH22)</f>
        <v>0</v>
      </c>
      <c r="AI18" s="180">
        <f t="shared" si="24"/>
        <v>0</v>
      </c>
      <c r="AJ18" s="180">
        <f>SUM(AJ19:AJ22)</f>
        <v>0</v>
      </c>
      <c r="AK18" s="180">
        <f t="shared" si="24"/>
        <v>0</v>
      </c>
      <c r="AL18" s="180">
        <f t="shared" si="24"/>
        <v>0</v>
      </c>
    </row>
    <row r="19" spans="2:38" s="178" customFormat="1" ht="16">
      <c r="B19" s="181" t="s">
        <v>58</v>
      </c>
      <c r="C19" s="180">
        <f>'Ind WW Fruit'!Y6</f>
        <v>0</v>
      </c>
      <c r="D19" s="180">
        <f>'Ind WW Fruit'!Y8</f>
        <v>0</v>
      </c>
      <c r="E19" s="180">
        <f>'Ind WW Fruit'!Y10</f>
        <v>0</v>
      </c>
      <c r="F19" s="180">
        <f>'Ind WW Fruit'!Y12</f>
        <v>0</v>
      </c>
      <c r="G19" s="180">
        <f>'Ind WW Fruit'!Y14</f>
        <v>0</v>
      </c>
      <c r="H19" s="180">
        <f>'Ind WW Fruit'!Y16</f>
        <v>0</v>
      </c>
      <c r="I19" s="180">
        <f>'Ind WW Fruit'!Y18</f>
        <v>0</v>
      </c>
      <c r="J19" s="180">
        <f>'Ind WW Fruit'!Y20</f>
        <v>0</v>
      </c>
      <c r="K19" s="180">
        <f>'Ind WW Fruit'!Y22</f>
        <v>0</v>
      </c>
      <c r="L19" s="180">
        <f>'Ind WW Fruit'!Y24</f>
        <v>0</v>
      </c>
      <c r="M19" s="180">
        <f>'Ind WW Fruit'!Y26</f>
        <v>0</v>
      </c>
      <c r="N19" s="180">
        <f>'Ind WW Fruit'!Y28</f>
        <v>0</v>
      </c>
      <c r="O19" s="180">
        <f>'Ind WW Fruit'!Y30</f>
        <v>0</v>
      </c>
      <c r="P19" s="180">
        <f>'Ind WW Fruit'!Y32</f>
        <v>0</v>
      </c>
      <c r="Q19" s="180">
        <f>'Ind WW Fruit'!Y34</f>
        <v>0</v>
      </c>
      <c r="R19" s="180">
        <f>'Ind WW Fruit'!Y36</f>
        <v>0</v>
      </c>
      <c r="S19" s="180">
        <f>'Ind WW Fruit'!Y38</f>
        <v>0</v>
      </c>
      <c r="T19" s="180">
        <f>'Ind WW Fruit'!Y40</f>
        <v>0</v>
      </c>
      <c r="U19" s="180">
        <f>'Ind WW Fruit'!Y42</f>
        <v>0</v>
      </c>
      <c r="V19" s="180">
        <f>'Ind WW Fruit'!Y44</f>
        <v>0</v>
      </c>
      <c r="W19" s="180">
        <f>'Ind WW Fruit'!Y46</f>
        <v>0</v>
      </c>
      <c r="X19" s="180">
        <f>'Ind WW Fruit'!Y48</f>
        <v>0</v>
      </c>
      <c r="Y19" s="180">
        <f>'Ind WW Fruit'!Y50</f>
        <v>0</v>
      </c>
      <c r="Z19" s="180">
        <f>'Ind WW Fruit'!Y52</f>
        <v>0</v>
      </c>
      <c r="AA19" s="180">
        <f>'Ind WW Fruit'!Y54</f>
        <v>0</v>
      </c>
      <c r="AB19" s="180">
        <f>'Ind WW Fruit'!Y56</f>
        <v>0</v>
      </c>
      <c r="AC19" s="180">
        <f>'Ind WW Fruit'!Y58</f>
        <v>0</v>
      </c>
      <c r="AD19" s="180">
        <f>'Ind WW Fruit'!Y60</f>
        <v>0</v>
      </c>
      <c r="AE19" s="180">
        <f>'Ind WW Fruit'!Y62</f>
        <v>0</v>
      </c>
      <c r="AF19" s="180">
        <f>'Ind WW Fruit'!Y64</f>
        <v>0</v>
      </c>
      <c r="AG19" s="180">
        <f>'Ind WW Fruit'!$Y66</f>
        <v>0</v>
      </c>
      <c r="AH19" s="180">
        <f>'Ind WW Fruit'!$Y68</f>
        <v>0</v>
      </c>
      <c r="AI19" s="180">
        <f>'Ind WW Fruit'!$Y70</f>
        <v>0</v>
      </c>
      <c r="AJ19" s="180">
        <f>'Ind WW Fruit'!$Y72</f>
        <v>0</v>
      </c>
      <c r="AK19" s="180">
        <f>'Ind WW Fruit'!$Y74</f>
        <v>0</v>
      </c>
      <c r="AL19" s="180">
        <f>'Ind WW Fruit'!$Y76</f>
        <v>0</v>
      </c>
    </row>
    <row r="20" spans="2:38" s="178" customFormat="1" ht="16">
      <c r="B20" s="181" t="s">
        <v>60</v>
      </c>
      <c r="C20" s="180">
        <f>'Ind WW Meat'!Y6</f>
        <v>0</v>
      </c>
      <c r="D20" s="180">
        <f>'Ind WW Meat'!Y8</f>
        <v>0</v>
      </c>
      <c r="E20" s="180">
        <f>'Ind WW Meat'!Y10</f>
        <v>0</v>
      </c>
      <c r="F20" s="180">
        <f>'Ind WW Meat'!Y12</f>
        <v>0</v>
      </c>
      <c r="G20" s="180">
        <f>'Ind WW Meat'!Y14</f>
        <v>0</v>
      </c>
      <c r="H20" s="180">
        <f>'Ind WW Meat'!Y16</f>
        <v>0</v>
      </c>
      <c r="I20" s="180">
        <f>'Ind WW Meat'!Y18</f>
        <v>0</v>
      </c>
      <c r="J20" s="180">
        <f>'Ind WW Meat'!Y20</f>
        <v>0</v>
      </c>
      <c r="K20" s="180">
        <f>'Ind WW Meat'!Y22</f>
        <v>0</v>
      </c>
      <c r="L20" s="180">
        <f>'Ind WW Meat'!Y24</f>
        <v>0</v>
      </c>
      <c r="M20" s="180">
        <f>'Ind WW Meat'!Y26</f>
        <v>0</v>
      </c>
      <c r="N20" s="180">
        <f>'Ind WW Meat'!Y28</f>
        <v>0</v>
      </c>
      <c r="O20" s="180">
        <f>'Ind WW Meat'!Y30</f>
        <v>0</v>
      </c>
      <c r="P20" s="180">
        <f>'Ind WW Meat'!Y32</f>
        <v>0</v>
      </c>
      <c r="Q20" s="180">
        <f>'Ind WW Meat'!Y34</f>
        <v>0</v>
      </c>
      <c r="R20" s="180">
        <f>'Ind WW Meat'!Y36</f>
        <v>0</v>
      </c>
      <c r="S20" s="180">
        <f>'Ind WW Meat'!Y38</f>
        <v>0</v>
      </c>
      <c r="T20" s="180">
        <f>'Ind WW Meat'!Y40</f>
        <v>0</v>
      </c>
      <c r="U20" s="180">
        <f>'Ind WW Meat'!Y42</f>
        <v>0</v>
      </c>
      <c r="V20" s="180">
        <f>'Ind WW Meat'!Y44</f>
        <v>0</v>
      </c>
      <c r="W20" s="180">
        <f>'Ind WW Meat'!Y46</f>
        <v>0</v>
      </c>
      <c r="X20" s="180">
        <f>'Ind WW Meat'!Y48</f>
        <v>0</v>
      </c>
      <c r="Y20" s="180">
        <f>'Ind WW Meat'!Y50</f>
        <v>0</v>
      </c>
      <c r="Z20" s="180">
        <f>'Ind WW Meat'!Y52</f>
        <v>0</v>
      </c>
      <c r="AA20" s="180">
        <f>'Ind WW Meat'!Y54</f>
        <v>0</v>
      </c>
      <c r="AB20" s="180">
        <f>'Ind WW Meat'!Y56</f>
        <v>0</v>
      </c>
      <c r="AC20" s="180">
        <f>'Ind WW Meat'!Y58</f>
        <v>0</v>
      </c>
      <c r="AD20" s="180">
        <f>'Ind WW Meat'!Y60</f>
        <v>0</v>
      </c>
      <c r="AE20" s="180">
        <f>'Ind WW Meat'!Y62</f>
        <v>0</v>
      </c>
      <c r="AF20" s="180">
        <f>'Ind WW Meat'!Y64</f>
        <v>0</v>
      </c>
      <c r="AG20" s="180">
        <f>'Ind WW Meat'!$Y66</f>
        <v>0</v>
      </c>
      <c r="AH20" s="180">
        <f>'Ind WW Meat'!$Y68</f>
        <v>0</v>
      </c>
      <c r="AI20" s="180">
        <f>'Ind WW Meat'!$Y70</f>
        <v>0</v>
      </c>
      <c r="AJ20" s="180">
        <f>'Ind WW Meat'!$Y72</f>
        <v>0</v>
      </c>
      <c r="AK20" s="180">
        <f>'Ind WW Meat'!$Y74</f>
        <v>0</v>
      </c>
      <c r="AL20" s="180">
        <f>'Ind WW Meat'!$Y76</f>
        <v>0</v>
      </c>
    </row>
    <row r="21" spans="2:38" s="178" customFormat="1" ht="16">
      <c r="B21" s="181" t="s">
        <v>62</v>
      </c>
      <c r="C21" s="180">
        <f>'Ind WW Poultry'!Y6</f>
        <v>0</v>
      </c>
      <c r="D21" s="180">
        <f>'Ind WW Poultry'!Y8</f>
        <v>0</v>
      </c>
      <c r="E21" s="180">
        <f>'Ind WW Poultry'!Y10</f>
        <v>0</v>
      </c>
      <c r="F21" s="180">
        <f>'Ind WW Poultry'!Y12</f>
        <v>0</v>
      </c>
      <c r="G21" s="180">
        <f>'Ind WW Poultry'!Y14</f>
        <v>0</v>
      </c>
      <c r="H21" s="180">
        <f>'Ind WW Poultry'!Y16</f>
        <v>0</v>
      </c>
      <c r="I21" s="180">
        <f>'Ind WW Poultry'!Y18</f>
        <v>0</v>
      </c>
      <c r="J21" s="180">
        <f>'Ind WW Poultry'!Y20</f>
        <v>0</v>
      </c>
      <c r="K21" s="180">
        <f>'Ind WW Poultry'!Y22</f>
        <v>0</v>
      </c>
      <c r="L21" s="180">
        <f>'Ind WW Poultry'!Y24</f>
        <v>0</v>
      </c>
      <c r="M21" s="180">
        <f>'Ind WW Poultry'!Y26</f>
        <v>0</v>
      </c>
      <c r="N21" s="180">
        <f>'Ind WW Poultry'!Y28</f>
        <v>0</v>
      </c>
      <c r="O21" s="180">
        <f>'Ind WW Poultry'!Y30</f>
        <v>0</v>
      </c>
      <c r="P21" s="180">
        <f>'Ind WW Poultry'!Y32</f>
        <v>0</v>
      </c>
      <c r="Q21" s="180">
        <f>'Ind WW Poultry'!Y34</f>
        <v>0</v>
      </c>
      <c r="R21" s="180">
        <f>'Ind WW Poultry'!Y36</f>
        <v>0</v>
      </c>
      <c r="S21" s="180">
        <f>'Ind WW Poultry'!Y38</f>
        <v>0</v>
      </c>
      <c r="T21" s="180">
        <f>'Ind WW Poultry'!Y40</f>
        <v>0</v>
      </c>
      <c r="U21" s="180">
        <f>'Ind WW Poultry'!Y42</f>
        <v>0</v>
      </c>
      <c r="V21" s="180">
        <f>'Ind WW Poultry'!Y44</f>
        <v>0</v>
      </c>
      <c r="W21" s="180">
        <f>'Ind WW Poultry'!Y46</f>
        <v>0</v>
      </c>
      <c r="X21" s="180">
        <f>'Ind WW Poultry'!Y48</f>
        <v>0</v>
      </c>
      <c r="Y21" s="180">
        <f>'Ind WW Poultry'!Y50</f>
        <v>0</v>
      </c>
      <c r="Z21" s="180">
        <f>'Ind WW Poultry'!Y52</f>
        <v>0</v>
      </c>
      <c r="AA21" s="180">
        <f>'Ind WW Poultry'!Y54</f>
        <v>0</v>
      </c>
      <c r="AB21" s="180">
        <f>'Ind WW Poultry'!Y56</f>
        <v>0</v>
      </c>
      <c r="AC21" s="180">
        <f>'Ind WW Poultry'!Y58</f>
        <v>0</v>
      </c>
      <c r="AD21" s="180">
        <f>'Ind WW Poultry'!Y60</f>
        <v>0</v>
      </c>
      <c r="AE21" s="180">
        <f>'Ind WW Poultry'!Y62</f>
        <v>0</v>
      </c>
      <c r="AF21" s="180">
        <f>'Ind WW Poultry'!Y64</f>
        <v>0</v>
      </c>
      <c r="AG21" s="180">
        <f>'Ind WW Poultry'!$Y66</f>
        <v>0</v>
      </c>
      <c r="AH21" s="180">
        <f>'Ind WW Poultry'!$Y68</f>
        <v>0</v>
      </c>
      <c r="AI21" s="180">
        <f>'Ind WW Poultry'!$Y70</f>
        <v>0</v>
      </c>
      <c r="AJ21" s="180">
        <f>'Ind WW Poultry'!$Y72</f>
        <v>0</v>
      </c>
      <c r="AK21" s="180">
        <f>'Ind WW Poultry'!$Y74</f>
        <v>0</v>
      </c>
      <c r="AL21" s="180">
        <f>'Ind WW Poultry'!$Y76</f>
        <v>0</v>
      </c>
    </row>
    <row r="22" spans="2:38" s="178" customFormat="1" ht="17" thickBot="1">
      <c r="B22" s="181" t="s">
        <v>64</v>
      </c>
      <c r="C22" s="180">
        <f>'Ind WW P&amp;P'!AB6</f>
        <v>0</v>
      </c>
      <c r="D22" s="180">
        <f>'Ind WW P&amp;P'!AB8</f>
        <v>0</v>
      </c>
      <c r="E22" s="180">
        <f>'Ind WW P&amp;P'!AB10</f>
        <v>0</v>
      </c>
      <c r="F22" s="180">
        <f>'Ind WW P&amp;P'!AB12</f>
        <v>0</v>
      </c>
      <c r="G22" s="180">
        <f>'Ind WW P&amp;P'!AB14</f>
        <v>0</v>
      </c>
      <c r="H22" s="180">
        <f>'Ind WW P&amp;P'!AB16</f>
        <v>0</v>
      </c>
      <c r="I22" s="180">
        <f>'Ind WW P&amp;P'!AB18</f>
        <v>0</v>
      </c>
      <c r="J22" s="180">
        <f>'Ind WW P&amp;P'!AB20</f>
        <v>0</v>
      </c>
      <c r="K22" s="180">
        <f>'Ind WW P&amp;P'!AB22</f>
        <v>0</v>
      </c>
      <c r="L22" s="180">
        <f>'Ind WW P&amp;P'!AB24</f>
        <v>0</v>
      </c>
      <c r="M22" s="180">
        <f>'Ind WW P&amp;P'!AB26</f>
        <v>0</v>
      </c>
      <c r="N22" s="180">
        <f>'Ind WW P&amp;P'!AB28</f>
        <v>0</v>
      </c>
      <c r="O22" s="180">
        <f>'Ind WW P&amp;P'!AB30</f>
        <v>0</v>
      </c>
      <c r="P22" s="180">
        <f>'Ind WW P&amp;P'!AB32</f>
        <v>0</v>
      </c>
      <c r="Q22" s="180">
        <f>'Ind WW P&amp;P'!AB34</f>
        <v>0</v>
      </c>
      <c r="R22" s="180">
        <f>'Ind WW P&amp;P'!AB36</f>
        <v>0</v>
      </c>
      <c r="S22" s="180">
        <f>'Ind WW P&amp;P'!AB38</f>
        <v>0</v>
      </c>
      <c r="T22" s="180">
        <f>'Ind WW P&amp;P'!AB40</f>
        <v>0</v>
      </c>
      <c r="U22" s="180">
        <f>'Ind WW P&amp;P'!AB42</f>
        <v>0</v>
      </c>
      <c r="V22" s="180">
        <f>'Ind WW P&amp;P'!AB44</f>
        <v>0</v>
      </c>
      <c r="W22" s="180">
        <f>'Ind WW P&amp;P'!AB46</f>
        <v>0</v>
      </c>
      <c r="X22" s="180">
        <f>'Ind WW P&amp;P'!AB48</f>
        <v>0</v>
      </c>
      <c r="Y22" s="180">
        <f>'Ind WW P&amp;P'!AB50</f>
        <v>0</v>
      </c>
      <c r="Z22" s="180">
        <f>'Ind WW P&amp;P'!AB52</f>
        <v>0</v>
      </c>
      <c r="AA22" s="180">
        <f>'Ind WW P&amp;P'!AB54</f>
        <v>0</v>
      </c>
      <c r="AB22" s="180">
        <f>'Ind WW P&amp;P'!AB56</f>
        <v>0</v>
      </c>
      <c r="AC22" s="180">
        <f>'Ind WW P&amp;P'!AB58</f>
        <v>0</v>
      </c>
      <c r="AD22" s="180">
        <f>'Ind WW P&amp;P'!AB60</f>
        <v>0</v>
      </c>
      <c r="AE22" s="180">
        <f>'Ind WW P&amp;P'!AB62</f>
        <v>0</v>
      </c>
      <c r="AF22" s="180">
        <f>'Ind WW P&amp;P'!AB64</f>
        <v>0</v>
      </c>
      <c r="AG22" s="180">
        <f>'Ind WW P&amp;P'!$AB66</f>
        <v>0</v>
      </c>
      <c r="AH22" s="180">
        <f>'Ind WW P&amp;P'!$AB68</f>
        <v>0</v>
      </c>
      <c r="AI22" s="180">
        <f>'Ind WW P&amp;P'!$AB70</f>
        <v>0</v>
      </c>
      <c r="AJ22" s="180">
        <f>'Ind WW P&amp;P'!$AB72</f>
        <v>0</v>
      </c>
      <c r="AK22" s="180">
        <f>'Ind WW P&amp;P'!$AB74</f>
        <v>0</v>
      </c>
      <c r="AL22" s="180">
        <f>'Ind WW P&amp;P'!$AB76</f>
        <v>0</v>
      </c>
    </row>
    <row r="23" spans="2:38" s="178" customFormat="1" ht="18.75" customHeight="1" thickBot="1">
      <c r="B23" s="182" t="s">
        <v>66</v>
      </c>
      <c r="C23" s="183">
        <f>SUM(C16:C18)</f>
        <v>0</v>
      </c>
      <c r="D23" s="183">
        <f t="shared" ref="D23:L23" si="25">SUM(D16:D18)</f>
        <v>0</v>
      </c>
      <c r="E23" s="183">
        <f t="shared" si="25"/>
        <v>0</v>
      </c>
      <c r="F23" s="183">
        <f t="shared" si="25"/>
        <v>0</v>
      </c>
      <c r="G23" s="183">
        <f t="shared" si="25"/>
        <v>0</v>
      </c>
      <c r="H23" s="183">
        <f t="shared" si="25"/>
        <v>0</v>
      </c>
      <c r="I23" s="183">
        <f t="shared" si="25"/>
        <v>0</v>
      </c>
      <c r="J23" s="183">
        <f t="shared" si="25"/>
        <v>0</v>
      </c>
      <c r="K23" s="183">
        <f t="shared" si="25"/>
        <v>0</v>
      </c>
      <c r="L23" s="183">
        <f t="shared" si="25"/>
        <v>0</v>
      </c>
      <c r="M23" s="183">
        <f t="shared" ref="M23:AG23" si="26">SUM(M16:M18)</f>
        <v>0</v>
      </c>
      <c r="N23" s="183">
        <f t="shared" si="26"/>
        <v>0</v>
      </c>
      <c r="O23" s="183">
        <f t="shared" si="26"/>
        <v>0</v>
      </c>
      <c r="P23" s="183">
        <f t="shared" si="26"/>
        <v>0</v>
      </c>
      <c r="Q23" s="183">
        <f t="shared" si="26"/>
        <v>0</v>
      </c>
      <c r="R23" s="183">
        <f t="shared" si="26"/>
        <v>0</v>
      </c>
      <c r="S23" s="183">
        <f t="shared" si="26"/>
        <v>0</v>
      </c>
      <c r="T23" s="183">
        <f t="shared" si="26"/>
        <v>0</v>
      </c>
      <c r="U23" s="183">
        <f t="shared" si="26"/>
        <v>0</v>
      </c>
      <c r="V23" s="183">
        <f t="shared" si="26"/>
        <v>0</v>
      </c>
      <c r="W23" s="183">
        <f t="shared" si="26"/>
        <v>0</v>
      </c>
      <c r="X23" s="183">
        <f t="shared" si="26"/>
        <v>0</v>
      </c>
      <c r="Y23" s="183">
        <f t="shared" si="26"/>
        <v>0</v>
      </c>
      <c r="Z23" s="183">
        <f t="shared" si="26"/>
        <v>0</v>
      </c>
      <c r="AA23" s="183">
        <f t="shared" si="26"/>
        <v>0</v>
      </c>
      <c r="AB23" s="183">
        <f t="shared" si="26"/>
        <v>0</v>
      </c>
      <c r="AC23" s="183">
        <f t="shared" si="26"/>
        <v>0</v>
      </c>
      <c r="AD23" s="183">
        <f t="shared" si="26"/>
        <v>0</v>
      </c>
      <c r="AE23" s="183">
        <f t="shared" si="26"/>
        <v>0</v>
      </c>
      <c r="AF23" s="183">
        <f t="shared" si="26"/>
        <v>0</v>
      </c>
      <c r="AG23" s="183">
        <f t="shared" si="26"/>
        <v>0</v>
      </c>
      <c r="AH23" s="183">
        <f t="shared" ref="AH23:AL23" si="27">SUM(AH16:AH18)</f>
        <v>0</v>
      </c>
      <c r="AI23" s="183">
        <f t="shared" si="27"/>
        <v>0</v>
      </c>
      <c r="AJ23" s="183">
        <f t="shared" si="27"/>
        <v>0</v>
      </c>
      <c r="AK23" s="183">
        <f>SUM(AK16:AK18)</f>
        <v>0</v>
      </c>
      <c r="AL23" s="183">
        <f t="shared" si="27"/>
        <v>0</v>
      </c>
    </row>
    <row r="24" spans="2:38" hidden="1">
      <c r="C24">
        <f>IF(C13&gt;0,C5,0)</f>
        <v>0</v>
      </c>
      <c r="D24">
        <f t="shared" ref="D24:AL24" si="28">IF(D13&gt;0,D5,0)</f>
        <v>0</v>
      </c>
      <c r="E24">
        <f t="shared" si="28"/>
        <v>0</v>
      </c>
      <c r="F24">
        <f t="shared" si="28"/>
        <v>0</v>
      </c>
      <c r="G24">
        <f t="shared" si="28"/>
        <v>0</v>
      </c>
      <c r="H24">
        <f t="shared" si="28"/>
        <v>0</v>
      </c>
      <c r="I24">
        <f t="shared" si="28"/>
        <v>0</v>
      </c>
      <c r="J24">
        <f t="shared" si="28"/>
        <v>0</v>
      </c>
      <c r="K24">
        <f t="shared" si="28"/>
        <v>0</v>
      </c>
      <c r="L24">
        <f t="shared" si="28"/>
        <v>0</v>
      </c>
      <c r="M24">
        <f t="shared" si="28"/>
        <v>0</v>
      </c>
      <c r="N24">
        <f t="shared" si="28"/>
        <v>0</v>
      </c>
      <c r="O24">
        <f t="shared" si="28"/>
        <v>0</v>
      </c>
      <c r="P24">
        <f t="shared" si="28"/>
        <v>0</v>
      </c>
      <c r="Q24">
        <f t="shared" si="28"/>
        <v>0</v>
      </c>
      <c r="R24">
        <f t="shared" si="28"/>
        <v>0</v>
      </c>
      <c r="S24">
        <f t="shared" si="28"/>
        <v>0</v>
      </c>
      <c r="T24">
        <f t="shared" si="28"/>
        <v>0</v>
      </c>
      <c r="U24">
        <f t="shared" si="28"/>
        <v>0</v>
      </c>
      <c r="V24">
        <f t="shared" si="28"/>
        <v>0</v>
      </c>
      <c r="W24">
        <f t="shared" si="28"/>
        <v>0</v>
      </c>
      <c r="X24">
        <f t="shared" si="28"/>
        <v>0</v>
      </c>
      <c r="Y24">
        <f t="shared" si="28"/>
        <v>0</v>
      </c>
      <c r="Z24">
        <f t="shared" si="28"/>
        <v>0</v>
      </c>
      <c r="AA24">
        <f t="shared" si="28"/>
        <v>0</v>
      </c>
      <c r="AB24">
        <f t="shared" si="28"/>
        <v>0</v>
      </c>
      <c r="AC24">
        <f t="shared" si="28"/>
        <v>0</v>
      </c>
      <c r="AD24">
        <f t="shared" si="28"/>
        <v>0</v>
      </c>
      <c r="AE24">
        <f t="shared" si="28"/>
        <v>0</v>
      </c>
      <c r="AF24">
        <f t="shared" si="28"/>
        <v>0</v>
      </c>
      <c r="AG24">
        <f t="shared" si="28"/>
        <v>0</v>
      </c>
      <c r="AH24">
        <f t="shared" si="28"/>
        <v>0</v>
      </c>
      <c r="AI24">
        <f t="shared" si="28"/>
        <v>0</v>
      </c>
      <c r="AJ24">
        <f t="shared" si="28"/>
        <v>0</v>
      </c>
      <c r="AK24">
        <f t="shared" si="28"/>
        <v>0</v>
      </c>
      <c r="AL24">
        <f t="shared" si="28"/>
        <v>0</v>
      </c>
    </row>
    <row r="25" spans="2:38" hidden="1">
      <c r="C25" t="str">
        <f>"Total Wastewater Emissions, 1990-" &amp;A2</f>
        <v>Total Wastewater Emissions, 1990-0</v>
      </c>
    </row>
    <row r="26" spans="2:38" hidden="1">
      <c r="C26" t="str">
        <f>"Methane Emissions from Industrial Wastewater, 1990-" &amp;A2</f>
        <v>Methane Emissions from Industrial Wastewater, 1990-0</v>
      </c>
    </row>
    <row r="28" spans="2:38">
      <c r="C28" s="208"/>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row>
    <row r="42" spans="25:25">
      <c r="Y42" s="71"/>
    </row>
  </sheetData>
  <sheetProtection algorithmName="SHA-512" hashValue="e1xx5LV93ckIuocu6iVtiwYf3l569b+nAQNsC70Jjl4jKtEjHXsYjmMJ+kUOVKmTRKOu2UTaf9v0BM0geFpkqA==" saltValue="ivtq6kvYOcxCdTCKXYIGdg==" spinCount="100000" sheet="1" objects="1" scenarios="1"/>
  <mergeCells count="1">
    <mergeCell ref="B3:N3"/>
  </mergeCells>
  <phoneticPr fontId="10" type="noConversion"/>
  <conditionalFormatting sqref="B3:N3">
    <cfRule type="cellIs" dxfId="1" priority="1" stopIfTrue="1" operator="equal">
      <formula>0</formula>
    </cfRule>
    <cfRule type="cellIs" dxfId="0" priority="2" stopIfTrue="1" operator="notEqual">
      <formula>0</formula>
    </cfRule>
  </conditionalFormatting>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2"/>
  <dimension ref="A1:G14"/>
  <sheetViews>
    <sheetView showGridLines="0" workbookViewId="0">
      <selection activeCell="C11" sqref="C11"/>
    </sheetView>
  </sheetViews>
  <sheetFormatPr baseColWidth="10" defaultColWidth="8" defaultRowHeight="11"/>
  <cols>
    <col min="1" max="1" width="19.1640625" style="154" bestFit="1" customWidth="1"/>
    <col min="2" max="2" width="8" style="154" customWidth="1"/>
    <col min="3" max="3" width="10.5" style="154" customWidth="1"/>
    <col min="4" max="4" width="19.1640625" style="154" bestFit="1" customWidth="1"/>
    <col min="5" max="5" width="9.5" style="154" customWidth="1"/>
    <col min="6" max="6" width="9.83203125" style="154" customWidth="1"/>
    <col min="7" max="16384" width="8" style="154"/>
  </cols>
  <sheetData>
    <row r="1" spans="1:7">
      <c r="A1" s="154" t="s">
        <v>139</v>
      </c>
      <c r="B1" s="154" t="s">
        <v>140</v>
      </c>
      <c r="C1" s="154" t="s">
        <v>141</v>
      </c>
      <c r="D1" s="154" t="s">
        <v>142</v>
      </c>
      <c r="E1" s="154" t="s">
        <v>143</v>
      </c>
      <c r="F1" s="154" t="s">
        <v>144</v>
      </c>
      <c r="G1" s="154" t="s">
        <v>145</v>
      </c>
    </row>
    <row r="2" spans="1:7">
      <c r="A2" s="154" t="s">
        <v>146</v>
      </c>
      <c r="B2" s="155">
        <f>SUM(Summary!C16:AL16)</f>
        <v>0</v>
      </c>
      <c r="C2" s="154" t="b">
        <f t="shared" ref="C2:C7" si="0">IF(ISERROR(B2),TRUE,IF(B2=0,TRUE,FALSE))</f>
        <v>1</v>
      </c>
      <c r="D2" s="154" t="str">
        <f t="shared" ref="D2:D7" si="1">IF(C2=TRUE," "&amp;A2,"")</f>
        <v xml:space="preserve"> Municipal methane</v>
      </c>
      <c r="E2" s="154" t="str">
        <f t="shared" ref="E2:E7" si="2">IF(AND($C$10=A2,$C$9&gt;1)," and","")</f>
        <v/>
      </c>
      <c r="F2" s="154" t="str">
        <f t="shared" ref="F2:F7" si="3">IF(C2=TRUE,IF($C$10=A2,".",","),"")</f>
        <v>,</v>
      </c>
      <c r="G2" s="154" t="str">
        <f t="shared" ref="G2:G7" si="4">E2&amp;D2&amp;F2</f>
        <v xml:space="preserve"> Municipal methane,</v>
      </c>
    </row>
    <row r="3" spans="1:7">
      <c r="A3" s="154" t="s">
        <v>147</v>
      </c>
      <c r="B3" s="155">
        <f>SUM(Summary!C17:AL17)</f>
        <v>0</v>
      </c>
      <c r="C3" s="154" t="b">
        <f t="shared" si="0"/>
        <v>1</v>
      </c>
      <c r="D3" s="154" t="str">
        <f t="shared" si="1"/>
        <v xml:space="preserve"> Municipal nitrous oxides</v>
      </c>
      <c r="E3" s="154" t="str">
        <f t="shared" si="2"/>
        <v/>
      </c>
      <c r="F3" s="154" t="str">
        <f t="shared" si="3"/>
        <v>,</v>
      </c>
      <c r="G3" s="154" t="str">
        <f t="shared" si="4"/>
        <v xml:space="preserve"> Municipal nitrous oxides,</v>
      </c>
    </row>
    <row r="4" spans="1:7">
      <c r="A4" s="154" t="s">
        <v>148</v>
      </c>
      <c r="B4" s="155">
        <f>SUM(Summary!C19:AL19)</f>
        <v>0</v>
      </c>
      <c r="C4" s="154" t="b">
        <f t="shared" si="0"/>
        <v>1</v>
      </c>
      <c r="D4" s="154" t="str">
        <f t="shared" si="1"/>
        <v xml:space="preserve"> Industrial fruits &amp; vegetables</v>
      </c>
      <c r="E4" s="154" t="str">
        <f t="shared" si="2"/>
        <v/>
      </c>
      <c r="F4" s="154" t="str">
        <f t="shared" si="3"/>
        <v>,</v>
      </c>
      <c r="G4" s="154" t="str">
        <f t="shared" si="4"/>
        <v xml:space="preserve"> Industrial fruits &amp; vegetables,</v>
      </c>
    </row>
    <row r="5" spans="1:7">
      <c r="A5" s="154" t="s">
        <v>149</v>
      </c>
      <c r="B5" s="155">
        <f>SUM(Summary!C20:AL20)</f>
        <v>0</v>
      </c>
      <c r="C5" s="154" t="b">
        <f t="shared" si="0"/>
        <v>1</v>
      </c>
      <c r="D5" s="154" t="str">
        <f t="shared" si="1"/>
        <v xml:space="preserve"> Industrial red meat</v>
      </c>
      <c r="E5" s="154" t="str">
        <f t="shared" si="2"/>
        <v/>
      </c>
      <c r="F5" s="154" t="str">
        <f t="shared" si="3"/>
        <v>,</v>
      </c>
      <c r="G5" s="154" t="str">
        <f t="shared" si="4"/>
        <v xml:space="preserve"> Industrial red meat,</v>
      </c>
    </row>
    <row r="6" spans="1:7">
      <c r="A6" s="154" t="s">
        <v>150</v>
      </c>
      <c r="B6" s="155">
        <f>SUM(Summary!C21:AL21)</f>
        <v>0</v>
      </c>
      <c r="C6" s="154" t="b">
        <f t="shared" si="0"/>
        <v>1</v>
      </c>
      <c r="D6" s="154" t="str">
        <f>IF(C6=TRUE," "&amp;A6,"")</f>
        <v xml:space="preserve"> Industrial poultry</v>
      </c>
      <c r="E6" s="154" t="str">
        <f>IF(AND($C$10=A6,$C$9&gt;1)," and","")</f>
        <v/>
      </c>
      <c r="F6" s="154" t="str">
        <f>IF(C6=TRUE,IF($C$10=A6,".",","),"")</f>
        <v>,</v>
      </c>
      <c r="G6" s="154" t="str">
        <f>E6&amp;D6&amp;F6</f>
        <v xml:space="preserve"> Industrial poultry,</v>
      </c>
    </row>
    <row r="7" spans="1:7">
      <c r="A7" s="18" t="s">
        <v>151</v>
      </c>
      <c r="B7" s="155">
        <f>SUM(Summary!C22:AL22)</f>
        <v>0</v>
      </c>
      <c r="C7" s="154" t="b">
        <f t="shared" si="0"/>
        <v>1</v>
      </c>
      <c r="D7" s="154" t="str">
        <f t="shared" si="1"/>
        <v xml:space="preserve"> Industrial pulp &amp; paper</v>
      </c>
      <c r="E7" s="154" t="str">
        <f t="shared" si="2"/>
        <v xml:space="preserve"> and</v>
      </c>
      <c r="F7" s="154" t="str">
        <f t="shared" si="3"/>
        <v>.</v>
      </c>
      <c r="G7" s="154" t="str">
        <f t="shared" si="4"/>
        <v xml:space="preserve"> and Industrial pulp &amp; paper.</v>
      </c>
    </row>
    <row r="8" spans="1:7">
      <c r="B8" s="155"/>
    </row>
    <row r="9" spans="1:7">
      <c r="B9" s="154" t="s">
        <v>152</v>
      </c>
      <c r="C9" s="154">
        <f>COUNTIF(C2:C7,TRUE)</f>
        <v>6</v>
      </c>
    </row>
    <row r="10" spans="1:7">
      <c r="B10" s="154" t="s">
        <v>153</v>
      </c>
      <c r="C10" s="154" t="str">
        <f>IF(C8=TRUE,A8,IF(C7=TRUE,A7,IF(C6=TRUE,A6,IF(C5=TRUE,A5,IF(C4=TRUE,A4,IF(C3=TRUE,A3,IF(C2=TRUE,A2,)))))))</f>
        <v>Industrial pulp &amp; paper</v>
      </c>
    </row>
    <row r="12" spans="1:7">
      <c r="A12" s="154" t="s">
        <v>154</v>
      </c>
      <c r="B12" s="154" t="str">
        <f>IF(C9&gt;1,"Emissions were not calculated for the following sources:","Emissions were not calculated for the following source:")</f>
        <v>Emissions were not calculated for the following sources:</v>
      </c>
    </row>
    <row r="13" spans="1:7">
      <c r="A13" s="154" t="s">
        <v>155</v>
      </c>
      <c r="B13" s="154" t="str">
        <f>G2&amp;G3&amp;G4&amp;G5&amp;G6&amp;G7</f>
        <v xml:space="preserve"> Municipal methane, Municipal nitrous oxides, Industrial fruits &amp; vegetables, Industrial red meat, Industrial poultry, and Industrial pulp &amp; paper.</v>
      </c>
    </row>
    <row r="14" spans="1:7">
      <c r="A14" s="154" t="s">
        <v>156</v>
      </c>
      <c r="B14" s="154" t="str">
        <f>IF(C9=0,0,B12&amp;B13)</f>
        <v>Emissions were not calculated for the following sources: Municipal methane, Municipal nitrous oxides, Industrial fruits &amp; vegetables, Industrial red meat, Industrial poultry, and Industrial pulp &amp; paper.</v>
      </c>
    </row>
  </sheetData>
  <sheetProtection algorithmName="SHA-512" hashValue="grlbCmXEf0wFXcowD4PSRwm8YNz/Hxs/l5nFbR+QKO13cUNFs+slvhFYqXFcvTsou37y6y8iNlu3p9q6M4KbVw==" saltValue="+FWqIZs74ZEohAP5lDGHeQ==" spinCount="100000" sheet="1" objects="1" scenarios="1"/>
  <phoneticPr fontId="10"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1"/>
  <dimension ref="A1:B3"/>
  <sheetViews>
    <sheetView showGridLines="0" workbookViewId="0"/>
  </sheetViews>
  <sheetFormatPr baseColWidth="10" defaultColWidth="8" defaultRowHeight="11"/>
  <cols>
    <col min="1" max="1" width="3.83203125" style="151" customWidth="1"/>
    <col min="2" max="16384" width="8" style="151"/>
  </cols>
  <sheetData>
    <row r="1" spans="1:2" ht="12.75" customHeight="1"/>
    <row r="2" spans="1:2" ht="21">
      <c r="A2" s="152" t="s">
        <v>157</v>
      </c>
    </row>
    <row r="3" spans="1:2" ht="13">
      <c r="B3" s="153" t="s">
        <v>158</v>
      </c>
    </row>
  </sheetData>
  <sheetProtection algorithmName="SHA-512" hashValue="fS5PEVLT8ySCvEF7rpHfa+NKnJ0q4zCqrhXjRFVJoqINbfoQozZcqknWbhPJe0pvQndBhd1SQiFqyB78zxSP5A==" saltValue="TtqOX2XLgbPqT6BJY7hLhQ==" spinCount="100000" sheet="1" objects="1" scenarios="1"/>
  <phoneticPr fontId="10" type="noConversion"/>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AK119"/>
  <sheetViews>
    <sheetView showGridLines="0" zoomScaleNormal="100" workbookViewId="0">
      <pane xSplit="1" ySplit="5" topLeftCell="B57" activePane="bottomRight" state="frozen"/>
      <selection pane="topRight" activeCell="B1" sqref="B1"/>
      <selection pane="bottomLeft" activeCell="A6" sqref="A6"/>
      <selection pane="bottomRight" activeCell="C62" sqref="C62"/>
    </sheetView>
  </sheetViews>
  <sheetFormatPr baseColWidth="10" defaultColWidth="8.83203125" defaultRowHeight="13"/>
  <cols>
    <col min="1" max="1" width="3.5" customWidth="1"/>
    <col min="2" max="17" width="10.5" customWidth="1"/>
    <col min="18" max="18" width="12.1640625" customWidth="1"/>
    <col min="19" max="19" width="11.83203125" bestFit="1" customWidth="1"/>
    <col min="20" max="20" width="10.83203125" bestFit="1" customWidth="1"/>
    <col min="21" max="21" width="11.1640625" bestFit="1" customWidth="1"/>
    <col min="22" max="24" width="9.5" bestFit="1" customWidth="1"/>
    <col min="25" max="25" width="11" customWidth="1"/>
    <col min="26" max="26" width="11.1640625" bestFit="1" customWidth="1"/>
    <col min="27" max="27" width="10.83203125" customWidth="1"/>
    <col min="28" max="30" width="10.1640625" customWidth="1"/>
    <col min="31" max="31" width="11.1640625" bestFit="1" customWidth="1"/>
    <col min="32" max="37" width="10" customWidth="1"/>
  </cols>
  <sheetData>
    <row r="1" spans="1:37">
      <c r="A1" s="19" t="s">
        <v>159</v>
      </c>
      <c r="B1" s="18"/>
      <c r="C1" s="18" t="e">
        <f>VLOOKUP(SelectedState,Lookups!$B$4:$C$55,2,FALSE)</f>
        <v>#N/A</v>
      </c>
      <c r="D1" s="18"/>
      <c r="E1" s="18"/>
      <c r="F1" s="18"/>
      <c r="G1" s="18"/>
      <c r="H1" s="18"/>
      <c r="I1" s="18"/>
      <c r="J1" s="18"/>
      <c r="K1" s="18"/>
      <c r="L1" s="18"/>
      <c r="M1" s="18"/>
      <c r="N1" s="18"/>
      <c r="O1" s="18"/>
      <c r="P1" s="18"/>
      <c r="Q1" s="18"/>
    </row>
    <row r="2" spans="1:37">
      <c r="A2" s="18"/>
      <c r="B2" s="216" t="e">
        <f>VLOOKUP($C$1,$A$6:$AF$57,B4-1988,FALSE)</f>
        <v>#N/A</v>
      </c>
      <c r="C2" s="216" t="e">
        <f>VLOOKUP($C$1,$A$6:$AF$57,C4-1988,FALSE)</f>
        <v>#N/A</v>
      </c>
      <c r="D2" s="216" t="e">
        <f t="shared" ref="D2:AC2" si="0">VLOOKUP($C$1,$A$6:$AF$57,D4-1988,FALSE)</f>
        <v>#N/A</v>
      </c>
      <c r="E2" s="216" t="e">
        <f t="shared" si="0"/>
        <v>#N/A</v>
      </c>
      <c r="F2" s="216" t="e">
        <f t="shared" si="0"/>
        <v>#N/A</v>
      </c>
      <c r="G2" s="216" t="e">
        <f t="shared" si="0"/>
        <v>#N/A</v>
      </c>
      <c r="H2" s="216" t="e">
        <f t="shared" si="0"/>
        <v>#N/A</v>
      </c>
      <c r="I2" s="216" t="e">
        <f t="shared" si="0"/>
        <v>#N/A</v>
      </c>
      <c r="J2" s="216" t="e">
        <f t="shared" si="0"/>
        <v>#N/A</v>
      </c>
      <c r="K2" s="216" t="e">
        <f t="shared" si="0"/>
        <v>#N/A</v>
      </c>
      <c r="L2" s="216" t="e">
        <f t="shared" si="0"/>
        <v>#N/A</v>
      </c>
      <c r="M2" s="216" t="e">
        <f t="shared" si="0"/>
        <v>#N/A</v>
      </c>
      <c r="N2" s="216" t="e">
        <f t="shared" si="0"/>
        <v>#N/A</v>
      </c>
      <c r="O2" s="216" t="e">
        <f t="shared" si="0"/>
        <v>#N/A</v>
      </c>
      <c r="P2" s="216" t="e">
        <f t="shared" si="0"/>
        <v>#N/A</v>
      </c>
      <c r="Q2" s="216" t="e">
        <f t="shared" si="0"/>
        <v>#N/A</v>
      </c>
      <c r="R2" s="216" t="e">
        <f t="shared" si="0"/>
        <v>#N/A</v>
      </c>
      <c r="S2" s="216" t="e">
        <f t="shared" si="0"/>
        <v>#N/A</v>
      </c>
      <c r="T2" s="216" t="e">
        <f t="shared" si="0"/>
        <v>#N/A</v>
      </c>
      <c r="U2" s="216" t="e">
        <f t="shared" si="0"/>
        <v>#N/A</v>
      </c>
      <c r="V2" s="216" t="e">
        <f t="shared" si="0"/>
        <v>#N/A</v>
      </c>
      <c r="W2" s="216" t="e">
        <f>VLOOKUP($C$1,$A$6:$AF$57,W4-1988,FALSE)</f>
        <v>#N/A</v>
      </c>
      <c r="X2" s="216" t="e">
        <f t="shared" si="0"/>
        <v>#N/A</v>
      </c>
      <c r="Y2" s="216" t="e">
        <f>VLOOKUP($C$1,$A$6:$AF$57,Y4-1988,FALSE)</f>
        <v>#N/A</v>
      </c>
      <c r="Z2" s="216" t="e">
        <f t="shared" si="0"/>
        <v>#N/A</v>
      </c>
      <c r="AA2" s="216" t="e">
        <f t="shared" si="0"/>
        <v>#N/A</v>
      </c>
      <c r="AB2" s="216" t="e">
        <f t="shared" si="0"/>
        <v>#N/A</v>
      </c>
      <c r="AC2" s="216" t="e">
        <f t="shared" si="0"/>
        <v>#N/A</v>
      </c>
      <c r="AD2" s="216" t="e">
        <f>VLOOKUP($C$1,$A$6:$AF$57,AD4-1988,FALSE)</f>
        <v>#N/A</v>
      </c>
      <c r="AE2" s="216" t="e">
        <f>VLOOKUP($C$1,$A$6:$AF$57,AE4-1988,FALSE)</f>
        <v>#N/A</v>
      </c>
      <c r="AF2" s="216" t="e">
        <f>VLOOKUP($C$1,$A$6:$AF$57,AF4-1988,FALSE)</f>
        <v>#N/A</v>
      </c>
      <c r="AG2" s="216"/>
      <c r="AH2" s="216"/>
      <c r="AI2" s="216"/>
      <c r="AJ2" s="216"/>
      <c r="AK2" s="216"/>
    </row>
    <row r="3" spans="1:37">
      <c r="A3" s="18"/>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row>
    <row r="4" spans="1:37" ht="14">
      <c r="A4" s="21"/>
      <c r="B4" s="19">
        <v>1990</v>
      </c>
      <c r="C4" s="19">
        <v>1991</v>
      </c>
      <c r="D4" s="19">
        <v>1992</v>
      </c>
      <c r="E4" s="19">
        <v>1993</v>
      </c>
      <c r="F4" s="19">
        <v>1994</v>
      </c>
      <c r="G4" s="19">
        <v>1995</v>
      </c>
      <c r="H4" s="19">
        <v>1996</v>
      </c>
      <c r="I4" s="19">
        <v>1997</v>
      </c>
      <c r="J4" s="19">
        <v>1998</v>
      </c>
      <c r="K4" s="19">
        <v>1999</v>
      </c>
      <c r="L4" s="19">
        <v>2000</v>
      </c>
      <c r="M4" s="19">
        <v>2001</v>
      </c>
      <c r="N4" s="19">
        <v>2002</v>
      </c>
      <c r="O4" s="19">
        <v>2003</v>
      </c>
      <c r="P4" s="19">
        <v>2004</v>
      </c>
      <c r="Q4" s="19">
        <v>2005</v>
      </c>
      <c r="R4" s="19">
        <v>2006</v>
      </c>
      <c r="S4" s="19">
        <v>2007</v>
      </c>
      <c r="T4" s="19">
        <v>2008</v>
      </c>
      <c r="U4" s="19">
        <v>2009</v>
      </c>
      <c r="V4" s="19">
        <v>2010</v>
      </c>
      <c r="W4" s="19">
        <v>2011</v>
      </c>
      <c r="X4" s="19">
        <v>2012</v>
      </c>
      <c r="Y4" s="19">
        <v>2013</v>
      </c>
      <c r="Z4" s="19">
        <v>2014</v>
      </c>
      <c r="AA4" s="19">
        <v>2015</v>
      </c>
      <c r="AB4" s="19">
        <v>2016</v>
      </c>
      <c r="AC4" s="19">
        <v>2017</v>
      </c>
      <c r="AD4" s="19">
        <v>2018</v>
      </c>
      <c r="AE4" s="19">
        <v>2019</v>
      </c>
      <c r="AF4" s="19">
        <v>2020</v>
      </c>
      <c r="AG4" s="19">
        <v>2021</v>
      </c>
      <c r="AH4" s="19">
        <v>2022</v>
      </c>
      <c r="AI4" s="19">
        <v>2023</v>
      </c>
      <c r="AJ4" s="19">
        <v>2024</v>
      </c>
      <c r="AK4" s="19">
        <v>2025</v>
      </c>
    </row>
    <row r="5" spans="1:37" ht="12.75" customHeight="1">
      <c r="A5" s="21"/>
      <c r="B5" s="19"/>
      <c r="C5" s="19"/>
      <c r="D5" s="19"/>
      <c r="E5" s="19"/>
      <c r="F5" s="19"/>
      <c r="G5" s="19"/>
      <c r="H5" s="19"/>
      <c r="I5" s="19"/>
      <c r="J5" s="19"/>
      <c r="K5" s="19"/>
      <c r="L5" s="19"/>
      <c r="M5" s="19"/>
      <c r="N5" s="19"/>
    </row>
    <row r="6" spans="1:37" ht="14">
      <c r="A6" s="22" t="s">
        <v>160</v>
      </c>
      <c r="B6" s="189">
        <v>4050055</v>
      </c>
      <c r="C6" s="189">
        <v>4099156</v>
      </c>
      <c r="D6" s="189">
        <v>4154014</v>
      </c>
      <c r="E6" s="189">
        <v>4214202</v>
      </c>
      <c r="F6" s="189">
        <v>4260229</v>
      </c>
      <c r="G6" s="189">
        <v>4296800</v>
      </c>
      <c r="H6" s="189">
        <v>4331102</v>
      </c>
      <c r="I6" s="189">
        <v>4367935</v>
      </c>
      <c r="J6" s="189">
        <v>4404701</v>
      </c>
      <c r="K6" s="189">
        <v>4430141</v>
      </c>
      <c r="L6" s="189">
        <v>4452173</v>
      </c>
      <c r="M6" s="189">
        <v>4467634</v>
      </c>
      <c r="N6" s="189">
        <v>4480089</v>
      </c>
      <c r="O6" s="189">
        <v>4503491</v>
      </c>
      <c r="P6" s="189">
        <v>4530729</v>
      </c>
      <c r="Q6" s="189">
        <v>4569805</v>
      </c>
      <c r="R6" s="189">
        <v>4628981</v>
      </c>
      <c r="S6" s="189">
        <v>4672840</v>
      </c>
      <c r="T6" s="189">
        <v>4718206</v>
      </c>
      <c r="U6" s="189">
        <v>4757938</v>
      </c>
      <c r="V6" s="189">
        <v>4785514</v>
      </c>
      <c r="W6" s="189">
        <v>4799642</v>
      </c>
      <c r="X6" s="189">
        <v>4816632</v>
      </c>
      <c r="Y6" s="189">
        <v>4831586</v>
      </c>
      <c r="Z6" s="189">
        <v>4843737</v>
      </c>
      <c r="AA6" s="189">
        <v>4854803</v>
      </c>
      <c r="AB6" s="189">
        <v>4866824</v>
      </c>
      <c r="AC6" s="189">
        <v>4877989</v>
      </c>
      <c r="AD6" s="189">
        <v>4891628</v>
      </c>
      <c r="AE6" s="189">
        <v>4907965</v>
      </c>
      <c r="AF6" s="189">
        <v>5024803</v>
      </c>
      <c r="AG6" s="189">
        <v>5039877</v>
      </c>
      <c r="AH6" s="189"/>
      <c r="AI6" s="189"/>
      <c r="AJ6" s="189"/>
      <c r="AK6" s="189"/>
    </row>
    <row r="7" spans="1:37" ht="14">
      <c r="A7" s="22" t="s">
        <v>161</v>
      </c>
      <c r="B7" s="189">
        <v>553290</v>
      </c>
      <c r="C7" s="189">
        <v>570193</v>
      </c>
      <c r="D7" s="189">
        <v>588736</v>
      </c>
      <c r="E7" s="189">
        <v>599432</v>
      </c>
      <c r="F7" s="189">
        <v>603308</v>
      </c>
      <c r="G7" s="189">
        <v>604412</v>
      </c>
      <c r="H7" s="189">
        <v>608569</v>
      </c>
      <c r="I7" s="189">
        <v>612968</v>
      </c>
      <c r="J7" s="189">
        <v>619932</v>
      </c>
      <c r="K7" s="189">
        <v>624779</v>
      </c>
      <c r="L7" s="189">
        <v>627963</v>
      </c>
      <c r="M7" s="189">
        <v>633714</v>
      </c>
      <c r="N7" s="189">
        <v>642337</v>
      </c>
      <c r="O7" s="189">
        <v>648414</v>
      </c>
      <c r="P7" s="189">
        <v>659286</v>
      </c>
      <c r="Q7" s="189">
        <v>666946</v>
      </c>
      <c r="R7" s="189">
        <v>675302</v>
      </c>
      <c r="S7" s="189">
        <v>680300</v>
      </c>
      <c r="T7" s="189">
        <v>687455</v>
      </c>
      <c r="U7" s="189">
        <v>698895</v>
      </c>
      <c r="V7" s="189">
        <v>713982</v>
      </c>
      <c r="W7" s="189">
        <v>722349</v>
      </c>
      <c r="X7" s="189">
        <v>730810</v>
      </c>
      <c r="Y7" s="189">
        <v>737626</v>
      </c>
      <c r="Z7" s="189">
        <v>737075</v>
      </c>
      <c r="AA7" s="189">
        <v>738430</v>
      </c>
      <c r="AB7" s="189">
        <v>742575</v>
      </c>
      <c r="AC7" s="189">
        <v>740983</v>
      </c>
      <c r="AD7" s="189">
        <v>736624</v>
      </c>
      <c r="AE7" s="189">
        <v>733603</v>
      </c>
      <c r="AF7" s="189">
        <v>732441</v>
      </c>
      <c r="AG7" s="189">
        <v>732673</v>
      </c>
      <c r="AH7" s="189"/>
      <c r="AI7" s="189"/>
      <c r="AJ7" s="189"/>
      <c r="AK7" s="189"/>
    </row>
    <row r="8" spans="1:37" ht="14">
      <c r="A8" s="22" t="s">
        <v>162</v>
      </c>
      <c r="B8" s="189">
        <v>3684097</v>
      </c>
      <c r="C8" s="189">
        <v>3788576</v>
      </c>
      <c r="D8" s="189">
        <v>3915740</v>
      </c>
      <c r="E8" s="189">
        <v>4065440</v>
      </c>
      <c r="F8" s="189">
        <v>4245089</v>
      </c>
      <c r="G8" s="189">
        <v>4432499</v>
      </c>
      <c r="H8" s="189">
        <v>4586940</v>
      </c>
      <c r="I8" s="189">
        <v>4736990</v>
      </c>
      <c r="J8" s="189">
        <v>4883342</v>
      </c>
      <c r="K8" s="189">
        <v>5023823</v>
      </c>
      <c r="L8" s="189">
        <v>5160586</v>
      </c>
      <c r="M8" s="189">
        <v>5273477</v>
      </c>
      <c r="N8" s="189">
        <v>5396255</v>
      </c>
      <c r="O8" s="189">
        <v>5510364</v>
      </c>
      <c r="P8" s="189">
        <v>5652404</v>
      </c>
      <c r="Q8" s="189">
        <v>5839077</v>
      </c>
      <c r="R8" s="189">
        <v>6029141</v>
      </c>
      <c r="S8" s="189">
        <v>6167681</v>
      </c>
      <c r="T8" s="189">
        <v>6280362</v>
      </c>
      <c r="U8" s="189">
        <v>6343154</v>
      </c>
      <c r="V8" s="189">
        <v>6407342</v>
      </c>
      <c r="W8" s="189">
        <v>6473416</v>
      </c>
      <c r="X8" s="189">
        <v>6556344</v>
      </c>
      <c r="Y8" s="189">
        <v>6634690</v>
      </c>
      <c r="Z8" s="189">
        <v>6732873</v>
      </c>
      <c r="AA8" s="189">
        <v>6832810</v>
      </c>
      <c r="AB8" s="189">
        <v>6944767</v>
      </c>
      <c r="AC8" s="189">
        <v>7048088</v>
      </c>
      <c r="AD8" s="189">
        <v>7164228</v>
      </c>
      <c r="AE8" s="189">
        <v>7291843</v>
      </c>
      <c r="AF8" s="189">
        <v>7177986</v>
      </c>
      <c r="AG8" s="189">
        <v>7276316</v>
      </c>
      <c r="AH8" s="189"/>
      <c r="AI8" s="189"/>
      <c r="AJ8" s="189"/>
      <c r="AK8" s="189"/>
    </row>
    <row r="9" spans="1:37" ht="14">
      <c r="A9" s="22" t="s">
        <v>163</v>
      </c>
      <c r="B9" s="189">
        <v>2356586</v>
      </c>
      <c r="C9" s="189">
        <v>2383144</v>
      </c>
      <c r="D9" s="189">
        <v>2415984</v>
      </c>
      <c r="E9" s="189">
        <v>2456303</v>
      </c>
      <c r="F9" s="189">
        <v>2494019</v>
      </c>
      <c r="G9" s="189">
        <v>2535399</v>
      </c>
      <c r="H9" s="189">
        <v>2572109</v>
      </c>
      <c r="I9" s="189">
        <v>2601090</v>
      </c>
      <c r="J9" s="189">
        <v>2626289</v>
      </c>
      <c r="K9" s="189">
        <v>2651860</v>
      </c>
      <c r="L9" s="189">
        <v>2678588</v>
      </c>
      <c r="M9" s="189">
        <v>2691571</v>
      </c>
      <c r="N9" s="189">
        <v>2705927</v>
      </c>
      <c r="O9" s="189">
        <v>2724816</v>
      </c>
      <c r="P9" s="189">
        <v>2749686</v>
      </c>
      <c r="Q9" s="189">
        <v>2781097</v>
      </c>
      <c r="R9" s="189">
        <v>2821761</v>
      </c>
      <c r="S9" s="189">
        <v>2848650</v>
      </c>
      <c r="T9" s="189">
        <v>2874554</v>
      </c>
      <c r="U9" s="189">
        <v>2896843</v>
      </c>
      <c r="V9" s="189">
        <v>2921998</v>
      </c>
      <c r="W9" s="189">
        <v>2941038</v>
      </c>
      <c r="X9" s="189">
        <v>2952876</v>
      </c>
      <c r="Y9" s="189">
        <v>2960459</v>
      </c>
      <c r="Z9" s="189">
        <v>2968759</v>
      </c>
      <c r="AA9" s="189">
        <v>2979732</v>
      </c>
      <c r="AB9" s="189">
        <v>2991815</v>
      </c>
      <c r="AC9" s="189">
        <v>3003855</v>
      </c>
      <c r="AD9" s="189">
        <v>3012161</v>
      </c>
      <c r="AE9" s="189">
        <v>3020985</v>
      </c>
      <c r="AF9" s="189">
        <v>3012232</v>
      </c>
      <c r="AG9" s="189">
        <v>3025891</v>
      </c>
      <c r="AH9" s="189"/>
      <c r="AI9" s="189"/>
      <c r="AJ9" s="189"/>
      <c r="AK9" s="189"/>
    </row>
    <row r="10" spans="1:37" ht="14">
      <c r="A10" s="22" t="s">
        <v>164</v>
      </c>
      <c r="B10" s="189">
        <v>29959515</v>
      </c>
      <c r="C10" s="189">
        <v>30470736</v>
      </c>
      <c r="D10" s="189">
        <v>30974659</v>
      </c>
      <c r="E10" s="189">
        <v>31274928</v>
      </c>
      <c r="F10" s="189">
        <v>31484435</v>
      </c>
      <c r="G10" s="189">
        <v>31696582</v>
      </c>
      <c r="H10" s="189">
        <v>32018834</v>
      </c>
      <c r="I10" s="189">
        <v>32486010</v>
      </c>
      <c r="J10" s="189">
        <v>32987675</v>
      </c>
      <c r="K10" s="189">
        <v>33499204</v>
      </c>
      <c r="L10" s="189">
        <v>33987977</v>
      </c>
      <c r="M10" s="189">
        <v>34479458</v>
      </c>
      <c r="N10" s="189">
        <v>34871843</v>
      </c>
      <c r="O10" s="189">
        <v>35253159</v>
      </c>
      <c r="P10" s="189">
        <v>35574576</v>
      </c>
      <c r="Q10" s="189">
        <v>35827943</v>
      </c>
      <c r="R10" s="189">
        <v>36021202</v>
      </c>
      <c r="S10" s="189">
        <v>36250311</v>
      </c>
      <c r="T10" s="189">
        <v>36604337</v>
      </c>
      <c r="U10" s="189">
        <v>36961229</v>
      </c>
      <c r="V10" s="189">
        <v>37319550</v>
      </c>
      <c r="W10" s="189">
        <v>37636311</v>
      </c>
      <c r="X10" s="189">
        <v>37944551</v>
      </c>
      <c r="Y10" s="189">
        <v>38253768</v>
      </c>
      <c r="Z10" s="189">
        <v>38586706</v>
      </c>
      <c r="AA10" s="189">
        <v>38904296</v>
      </c>
      <c r="AB10" s="189">
        <v>39149186</v>
      </c>
      <c r="AC10" s="189">
        <v>39337785</v>
      </c>
      <c r="AD10" s="189">
        <v>39437463</v>
      </c>
      <c r="AE10" s="189">
        <v>39437610</v>
      </c>
      <c r="AF10" s="189">
        <v>39499738</v>
      </c>
      <c r="AG10" s="189">
        <v>39237836</v>
      </c>
      <c r="AH10" s="189"/>
      <c r="AI10" s="189"/>
      <c r="AJ10" s="189"/>
      <c r="AK10" s="189"/>
    </row>
    <row r="11" spans="1:37" ht="14">
      <c r="A11" s="22" t="s">
        <v>165</v>
      </c>
      <c r="B11" s="189">
        <v>3307618</v>
      </c>
      <c r="C11" s="189">
        <v>3387119</v>
      </c>
      <c r="D11" s="189">
        <v>3495939</v>
      </c>
      <c r="E11" s="189">
        <v>3613734</v>
      </c>
      <c r="F11" s="189">
        <v>3724168</v>
      </c>
      <c r="G11" s="189">
        <v>3826653</v>
      </c>
      <c r="H11" s="189">
        <v>3919972</v>
      </c>
      <c r="I11" s="189">
        <v>4018293</v>
      </c>
      <c r="J11" s="189">
        <v>4116639</v>
      </c>
      <c r="K11" s="189">
        <v>4226018</v>
      </c>
      <c r="L11" s="189">
        <v>4326921</v>
      </c>
      <c r="M11" s="189">
        <v>4425687</v>
      </c>
      <c r="N11" s="189">
        <v>4490406</v>
      </c>
      <c r="O11" s="189">
        <v>4528732</v>
      </c>
      <c r="P11" s="189">
        <v>4575013</v>
      </c>
      <c r="Q11" s="189">
        <v>4631888</v>
      </c>
      <c r="R11" s="189">
        <v>4720423</v>
      </c>
      <c r="S11" s="189">
        <v>4803868</v>
      </c>
      <c r="T11" s="189">
        <v>4889730</v>
      </c>
      <c r="U11" s="189">
        <v>4972195</v>
      </c>
      <c r="V11" s="189">
        <v>5047539</v>
      </c>
      <c r="W11" s="189">
        <v>5121900</v>
      </c>
      <c r="X11" s="189">
        <v>5193660</v>
      </c>
      <c r="Y11" s="189">
        <v>5270774</v>
      </c>
      <c r="Z11" s="189">
        <v>5352637</v>
      </c>
      <c r="AA11" s="189">
        <v>5454328</v>
      </c>
      <c r="AB11" s="189">
        <v>5543844</v>
      </c>
      <c r="AC11" s="189">
        <v>5617421</v>
      </c>
      <c r="AD11" s="189">
        <v>5697155</v>
      </c>
      <c r="AE11" s="189">
        <v>5758486</v>
      </c>
      <c r="AF11" s="189">
        <v>5784308</v>
      </c>
      <c r="AG11" s="189">
        <v>5812069</v>
      </c>
      <c r="AH11" s="189"/>
      <c r="AI11" s="189"/>
      <c r="AJ11" s="189"/>
      <c r="AK11" s="189"/>
    </row>
    <row r="12" spans="1:37" ht="14">
      <c r="A12" s="22" t="s">
        <v>166</v>
      </c>
      <c r="B12" s="189">
        <v>3291967</v>
      </c>
      <c r="C12" s="189">
        <v>3302895</v>
      </c>
      <c r="D12" s="189">
        <v>3300712</v>
      </c>
      <c r="E12" s="189">
        <v>3309175</v>
      </c>
      <c r="F12" s="189">
        <v>3316121</v>
      </c>
      <c r="G12" s="189">
        <v>3324144</v>
      </c>
      <c r="H12" s="189">
        <v>3336685</v>
      </c>
      <c r="I12" s="189">
        <v>3349348</v>
      </c>
      <c r="J12" s="189">
        <v>3365352</v>
      </c>
      <c r="K12" s="189">
        <v>3386401</v>
      </c>
      <c r="L12" s="189">
        <v>3411777</v>
      </c>
      <c r="M12" s="189">
        <v>3432835</v>
      </c>
      <c r="N12" s="189">
        <v>3458749</v>
      </c>
      <c r="O12" s="189">
        <v>3484336</v>
      </c>
      <c r="P12" s="189">
        <v>3496094</v>
      </c>
      <c r="Q12" s="189">
        <v>3506956</v>
      </c>
      <c r="R12" s="189">
        <v>3517460</v>
      </c>
      <c r="S12" s="189">
        <v>3527270</v>
      </c>
      <c r="T12" s="189">
        <v>3545579</v>
      </c>
      <c r="U12" s="189">
        <v>3561807</v>
      </c>
      <c r="V12" s="189">
        <v>3579173</v>
      </c>
      <c r="W12" s="189">
        <v>3588632</v>
      </c>
      <c r="X12" s="189">
        <v>3595211</v>
      </c>
      <c r="Y12" s="189">
        <v>3595792</v>
      </c>
      <c r="Z12" s="189">
        <v>3595697</v>
      </c>
      <c r="AA12" s="189">
        <v>3588561</v>
      </c>
      <c r="AB12" s="189">
        <v>3579830</v>
      </c>
      <c r="AC12" s="189">
        <v>3575324</v>
      </c>
      <c r="AD12" s="189">
        <v>3574561</v>
      </c>
      <c r="AE12" s="189">
        <v>3566022</v>
      </c>
      <c r="AF12" s="189">
        <v>3600260</v>
      </c>
      <c r="AG12" s="189">
        <v>3605597</v>
      </c>
      <c r="AH12" s="189"/>
      <c r="AI12" s="189"/>
      <c r="AJ12" s="189"/>
      <c r="AK12" s="189"/>
    </row>
    <row r="13" spans="1:37" ht="14">
      <c r="A13" s="22" t="s">
        <v>167</v>
      </c>
      <c r="B13" s="189">
        <v>669567</v>
      </c>
      <c r="C13" s="189">
        <v>683080</v>
      </c>
      <c r="D13" s="189">
        <v>694925</v>
      </c>
      <c r="E13" s="189">
        <v>706378</v>
      </c>
      <c r="F13" s="189">
        <v>717545</v>
      </c>
      <c r="G13" s="189">
        <v>729734</v>
      </c>
      <c r="H13" s="189">
        <v>740977</v>
      </c>
      <c r="I13" s="189">
        <v>751487</v>
      </c>
      <c r="J13" s="189">
        <v>763335</v>
      </c>
      <c r="K13" s="189">
        <v>774990</v>
      </c>
      <c r="L13" s="189">
        <v>786373</v>
      </c>
      <c r="M13" s="189">
        <v>795699</v>
      </c>
      <c r="N13" s="189">
        <v>806169</v>
      </c>
      <c r="O13" s="189">
        <v>818003</v>
      </c>
      <c r="P13" s="189">
        <v>830803</v>
      </c>
      <c r="Q13" s="189">
        <v>845150</v>
      </c>
      <c r="R13" s="189">
        <v>859268</v>
      </c>
      <c r="S13" s="189">
        <v>871749</v>
      </c>
      <c r="T13" s="189">
        <v>883874</v>
      </c>
      <c r="U13" s="189">
        <v>891730</v>
      </c>
      <c r="V13" s="189">
        <v>899647</v>
      </c>
      <c r="W13" s="189">
        <v>907590</v>
      </c>
      <c r="X13" s="189">
        <v>915518</v>
      </c>
      <c r="Y13" s="189">
        <v>924062</v>
      </c>
      <c r="Z13" s="189">
        <v>933131</v>
      </c>
      <c r="AA13" s="189">
        <v>942065</v>
      </c>
      <c r="AB13" s="189">
        <v>949989</v>
      </c>
      <c r="AC13" s="189">
        <v>957942</v>
      </c>
      <c r="AD13" s="189">
        <v>966985</v>
      </c>
      <c r="AE13" s="189">
        <v>976668</v>
      </c>
      <c r="AF13" s="189">
        <v>991886</v>
      </c>
      <c r="AG13" s="189">
        <v>1003384</v>
      </c>
      <c r="AH13" s="189"/>
      <c r="AI13" s="189"/>
      <c r="AJ13" s="189"/>
      <c r="AK13" s="189"/>
    </row>
    <row r="14" spans="1:37" ht="14">
      <c r="A14" s="22" t="s">
        <v>168</v>
      </c>
      <c r="B14" s="189">
        <v>605321</v>
      </c>
      <c r="C14" s="189">
        <v>600870</v>
      </c>
      <c r="D14" s="189">
        <v>597565</v>
      </c>
      <c r="E14" s="189">
        <v>595301</v>
      </c>
      <c r="F14" s="189">
        <v>589239</v>
      </c>
      <c r="G14" s="189">
        <v>580517</v>
      </c>
      <c r="H14" s="189">
        <v>572377</v>
      </c>
      <c r="I14" s="189">
        <v>567736</v>
      </c>
      <c r="J14" s="189">
        <v>565230</v>
      </c>
      <c r="K14" s="189">
        <v>570213</v>
      </c>
      <c r="L14" s="189">
        <v>572046</v>
      </c>
      <c r="M14" s="189">
        <v>574504</v>
      </c>
      <c r="N14" s="189">
        <v>573158</v>
      </c>
      <c r="O14" s="189">
        <v>568502</v>
      </c>
      <c r="P14" s="189">
        <v>567754</v>
      </c>
      <c r="Q14" s="189">
        <v>567136</v>
      </c>
      <c r="R14" s="189">
        <v>570681</v>
      </c>
      <c r="S14" s="189">
        <v>574404</v>
      </c>
      <c r="T14" s="189">
        <v>580236</v>
      </c>
      <c r="U14" s="189">
        <v>592228</v>
      </c>
      <c r="V14" s="189">
        <v>605282</v>
      </c>
      <c r="W14" s="189">
        <v>620290</v>
      </c>
      <c r="X14" s="189">
        <v>635737</v>
      </c>
      <c r="Y14" s="189">
        <v>651559</v>
      </c>
      <c r="Z14" s="189">
        <v>663603</v>
      </c>
      <c r="AA14" s="189">
        <v>677014</v>
      </c>
      <c r="AB14" s="189">
        <v>687576</v>
      </c>
      <c r="AC14" s="189">
        <v>697079</v>
      </c>
      <c r="AD14" s="189">
        <v>704147</v>
      </c>
      <c r="AE14" s="189">
        <v>708253</v>
      </c>
      <c r="AF14" s="189">
        <v>690093</v>
      </c>
      <c r="AG14" s="189">
        <v>670050</v>
      </c>
      <c r="AH14" s="189"/>
      <c r="AI14" s="189"/>
      <c r="AJ14" s="189"/>
      <c r="AK14" s="189"/>
    </row>
    <row r="15" spans="1:37" ht="14">
      <c r="A15" s="22" t="s">
        <v>169</v>
      </c>
      <c r="B15" s="189">
        <v>13033307</v>
      </c>
      <c r="C15" s="189">
        <v>13369798</v>
      </c>
      <c r="D15" s="189">
        <v>13650553</v>
      </c>
      <c r="E15" s="189">
        <v>13927185</v>
      </c>
      <c r="F15" s="189">
        <v>14239444</v>
      </c>
      <c r="G15" s="189">
        <v>14537875</v>
      </c>
      <c r="H15" s="189">
        <v>14853360</v>
      </c>
      <c r="I15" s="189">
        <v>15186304</v>
      </c>
      <c r="J15" s="189">
        <v>15486559</v>
      </c>
      <c r="K15" s="189">
        <v>15759421</v>
      </c>
      <c r="L15" s="189">
        <v>16047515</v>
      </c>
      <c r="M15" s="189">
        <v>16356966</v>
      </c>
      <c r="N15" s="189">
        <v>16689370</v>
      </c>
      <c r="O15" s="189">
        <v>17004085</v>
      </c>
      <c r="P15" s="189">
        <v>17415318</v>
      </c>
      <c r="Q15" s="189">
        <v>17842038</v>
      </c>
      <c r="R15" s="189">
        <v>18166990</v>
      </c>
      <c r="S15" s="189">
        <v>18367842</v>
      </c>
      <c r="T15" s="189">
        <v>18527305</v>
      </c>
      <c r="U15" s="189">
        <v>18652644</v>
      </c>
      <c r="V15" s="189">
        <v>18846143</v>
      </c>
      <c r="W15" s="189">
        <v>19055607</v>
      </c>
      <c r="X15" s="189">
        <v>19302016</v>
      </c>
      <c r="Y15" s="189">
        <v>19551678</v>
      </c>
      <c r="Z15" s="189">
        <v>19853880</v>
      </c>
      <c r="AA15" s="189">
        <v>20219111</v>
      </c>
      <c r="AB15" s="189">
        <v>20627237</v>
      </c>
      <c r="AC15" s="189">
        <v>20977089</v>
      </c>
      <c r="AD15" s="189">
        <v>21254926</v>
      </c>
      <c r="AE15" s="189">
        <v>21492056</v>
      </c>
      <c r="AF15" s="189">
        <v>21569932</v>
      </c>
      <c r="AG15" s="189">
        <v>21781128</v>
      </c>
      <c r="AH15" s="189"/>
      <c r="AI15" s="189"/>
      <c r="AJ15" s="189"/>
      <c r="AK15" s="189"/>
    </row>
    <row r="16" spans="1:37" ht="14">
      <c r="A16" s="22" t="s">
        <v>170</v>
      </c>
      <c r="B16" s="189">
        <v>6512602</v>
      </c>
      <c r="C16" s="189">
        <v>6653005</v>
      </c>
      <c r="D16" s="189">
        <v>6817203</v>
      </c>
      <c r="E16" s="189">
        <v>6978240</v>
      </c>
      <c r="F16" s="189">
        <v>7157165</v>
      </c>
      <c r="G16" s="189">
        <v>7328413</v>
      </c>
      <c r="H16" s="189">
        <v>7501069</v>
      </c>
      <c r="I16" s="189">
        <v>7685099</v>
      </c>
      <c r="J16" s="189">
        <v>7863536</v>
      </c>
      <c r="K16" s="189">
        <v>8045965</v>
      </c>
      <c r="L16" s="189">
        <v>8227303</v>
      </c>
      <c r="M16" s="189">
        <v>8377038</v>
      </c>
      <c r="N16" s="189">
        <v>8508256</v>
      </c>
      <c r="O16" s="189">
        <v>8622793</v>
      </c>
      <c r="P16" s="189">
        <v>8769252</v>
      </c>
      <c r="Q16" s="189">
        <v>8925922</v>
      </c>
      <c r="R16" s="189">
        <v>9155813</v>
      </c>
      <c r="S16" s="189">
        <v>9349988</v>
      </c>
      <c r="T16" s="189">
        <v>9504843</v>
      </c>
      <c r="U16" s="189">
        <v>9620846</v>
      </c>
      <c r="V16" s="189">
        <v>9712209</v>
      </c>
      <c r="W16" s="189">
        <v>9803630</v>
      </c>
      <c r="X16" s="189">
        <v>9903580</v>
      </c>
      <c r="Y16" s="189">
        <v>9975592</v>
      </c>
      <c r="Z16" s="189">
        <v>10071204</v>
      </c>
      <c r="AA16" s="189">
        <v>10183353</v>
      </c>
      <c r="AB16" s="189">
        <v>10308442</v>
      </c>
      <c r="AC16" s="189">
        <v>10417031</v>
      </c>
      <c r="AD16" s="189">
        <v>10519389</v>
      </c>
      <c r="AE16" s="189">
        <v>10628020</v>
      </c>
      <c r="AF16" s="189">
        <v>10725800</v>
      </c>
      <c r="AG16" s="189">
        <v>10799566</v>
      </c>
      <c r="AH16" s="189"/>
      <c r="AI16" s="189"/>
      <c r="AJ16" s="189"/>
      <c r="AK16" s="189"/>
    </row>
    <row r="17" spans="1:37" ht="14">
      <c r="A17" s="22" t="s">
        <v>171</v>
      </c>
      <c r="B17" s="189">
        <v>1113491</v>
      </c>
      <c r="C17" s="189">
        <v>1136754</v>
      </c>
      <c r="D17" s="189">
        <v>1158613</v>
      </c>
      <c r="E17" s="189">
        <v>1172838</v>
      </c>
      <c r="F17" s="189">
        <v>1187536</v>
      </c>
      <c r="G17" s="189">
        <v>1196854</v>
      </c>
      <c r="H17" s="189">
        <v>1203755</v>
      </c>
      <c r="I17" s="189">
        <v>1211640</v>
      </c>
      <c r="J17" s="189">
        <v>1215233</v>
      </c>
      <c r="K17" s="189">
        <v>1210300</v>
      </c>
      <c r="L17" s="189">
        <v>1213519</v>
      </c>
      <c r="M17" s="189">
        <v>1225948</v>
      </c>
      <c r="N17" s="189">
        <v>1239613</v>
      </c>
      <c r="O17" s="189">
        <v>1251154</v>
      </c>
      <c r="P17" s="189">
        <v>1273569</v>
      </c>
      <c r="Q17" s="189">
        <v>1292729</v>
      </c>
      <c r="R17" s="189">
        <v>1309731</v>
      </c>
      <c r="S17" s="189">
        <v>1315675</v>
      </c>
      <c r="T17" s="189">
        <v>1332213</v>
      </c>
      <c r="U17" s="189">
        <v>1346717</v>
      </c>
      <c r="V17" s="189">
        <v>1364004</v>
      </c>
      <c r="W17" s="189">
        <v>1379562</v>
      </c>
      <c r="X17" s="189">
        <v>1395199</v>
      </c>
      <c r="Y17" s="189">
        <v>1408822</v>
      </c>
      <c r="Z17" s="189">
        <v>1415335</v>
      </c>
      <c r="AA17" s="189">
        <v>1422999</v>
      </c>
      <c r="AB17" s="189">
        <v>1428885</v>
      </c>
      <c r="AC17" s="189">
        <v>1425763</v>
      </c>
      <c r="AD17" s="189">
        <v>1423102</v>
      </c>
      <c r="AE17" s="189">
        <v>1415615</v>
      </c>
      <c r="AF17" s="189">
        <v>1451911</v>
      </c>
      <c r="AG17" s="189">
        <v>1441553</v>
      </c>
      <c r="AH17" s="189"/>
      <c r="AI17" s="189"/>
      <c r="AJ17" s="189"/>
      <c r="AK17" s="189"/>
    </row>
    <row r="18" spans="1:37" ht="14">
      <c r="A18" s="22" t="s">
        <v>172</v>
      </c>
      <c r="B18" s="189">
        <v>1012384</v>
      </c>
      <c r="C18" s="189">
        <v>1041316</v>
      </c>
      <c r="D18" s="189">
        <v>1071685</v>
      </c>
      <c r="E18" s="189">
        <v>1108768</v>
      </c>
      <c r="F18" s="189">
        <v>1145140</v>
      </c>
      <c r="G18" s="189">
        <v>1177322</v>
      </c>
      <c r="H18" s="189">
        <v>1203083</v>
      </c>
      <c r="I18" s="189">
        <v>1228520</v>
      </c>
      <c r="J18" s="189">
        <v>1252330</v>
      </c>
      <c r="K18" s="189">
        <v>1275674</v>
      </c>
      <c r="L18" s="189">
        <v>1299430</v>
      </c>
      <c r="M18" s="189">
        <v>1319962</v>
      </c>
      <c r="N18" s="189">
        <v>1340372</v>
      </c>
      <c r="O18" s="189">
        <v>1363380</v>
      </c>
      <c r="P18" s="189">
        <v>1391802</v>
      </c>
      <c r="Q18" s="189">
        <v>1428241</v>
      </c>
      <c r="R18" s="189">
        <v>1468669</v>
      </c>
      <c r="S18" s="189">
        <v>1505105</v>
      </c>
      <c r="T18" s="189">
        <v>1534320</v>
      </c>
      <c r="U18" s="189">
        <v>1554439</v>
      </c>
      <c r="V18" s="189">
        <v>1570819</v>
      </c>
      <c r="W18" s="189">
        <v>1584272</v>
      </c>
      <c r="X18" s="189">
        <v>1595910</v>
      </c>
      <c r="Y18" s="189">
        <v>1612053</v>
      </c>
      <c r="Z18" s="189">
        <v>1632248</v>
      </c>
      <c r="AA18" s="189">
        <v>1652495</v>
      </c>
      <c r="AB18" s="189">
        <v>1684036</v>
      </c>
      <c r="AC18" s="189">
        <v>1719745</v>
      </c>
      <c r="AD18" s="189">
        <v>1752074</v>
      </c>
      <c r="AE18" s="189">
        <v>1789060</v>
      </c>
      <c r="AF18" s="189">
        <v>1847772</v>
      </c>
      <c r="AG18" s="189">
        <v>1900923</v>
      </c>
      <c r="AH18" s="189"/>
      <c r="AI18" s="189"/>
      <c r="AJ18" s="189"/>
      <c r="AK18" s="189"/>
    </row>
    <row r="19" spans="1:37" ht="14">
      <c r="A19" s="22" t="s">
        <v>173</v>
      </c>
      <c r="B19" s="189">
        <v>11453316</v>
      </c>
      <c r="C19" s="189">
        <v>11568964</v>
      </c>
      <c r="D19" s="189">
        <v>11694184</v>
      </c>
      <c r="E19" s="189">
        <v>11809579</v>
      </c>
      <c r="F19" s="189">
        <v>11912585</v>
      </c>
      <c r="G19" s="189">
        <v>12008437</v>
      </c>
      <c r="H19" s="189">
        <v>12101997</v>
      </c>
      <c r="I19" s="189">
        <v>12185715</v>
      </c>
      <c r="J19" s="189">
        <v>12271847</v>
      </c>
      <c r="K19" s="189">
        <v>12359020</v>
      </c>
      <c r="L19" s="189">
        <v>12434161</v>
      </c>
      <c r="M19" s="189">
        <v>12488445</v>
      </c>
      <c r="N19" s="189">
        <v>12525556</v>
      </c>
      <c r="O19" s="189">
        <v>12556006</v>
      </c>
      <c r="P19" s="189">
        <v>12589773</v>
      </c>
      <c r="Q19" s="189">
        <v>12609903</v>
      </c>
      <c r="R19" s="189">
        <v>12643955</v>
      </c>
      <c r="S19" s="189">
        <v>12695866</v>
      </c>
      <c r="T19" s="189">
        <v>12747038</v>
      </c>
      <c r="U19" s="189">
        <v>12796778</v>
      </c>
      <c r="V19" s="189">
        <v>12840545</v>
      </c>
      <c r="W19" s="189">
        <v>12867783</v>
      </c>
      <c r="X19" s="189">
        <v>12883029</v>
      </c>
      <c r="Y19" s="189">
        <v>12895778</v>
      </c>
      <c r="Z19" s="189">
        <v>12885092</v>
      </c>
      <c r="AA19" s="189">
        <v>12859585</v>
      </c>
      <c r="AB19" s="189">
        <v>12821709</v>
      </c>
      <c r="AC19" s="189">
        <v>12779893</v>
      </c>
      <c r="AD19" s="189">
        <v>12724685</v>
      </c>
      <c r="AE19" s="189">
        <v>12667017</v>
      </c>
      <c r="AF19" s="189">
        <v>12785245</v>
      </c>
      <c r="AG19" s="189">
        <v>12671469</v>
      </c>
      <c r="AH19" s="189"/>
      <c r="AI19" s="189"/>
      <c r="AJ19" s="189"/>
      <c r="AK19" s="189"/>
    </row>
    <row r="20" spans="1:37" ht="14">
      <c r="A20" s="22" t="s">
        <v>174</v>
      </c>
      <c r="B20" s="189">
        <v>5557798</v>
      </c>
      <c r="C20" s="189">
        <v>5616388</v>
      </c>
      <c r="D20" s="189">
        <v>5674547</v>
      </c>
      <c r="E20" s="189">
        <v>5739019</v>
      </c>
      <c r="F20" s="189">
        <v>5793526</v>
      </c>
      <c r="G20" s="189">
        <v>5851459</v>
      </c>
      <c r="H20" s="189">
        <v>5906013</v>
      </c>
      <c r="I20" s="189">
        <v>5955267</v>
      </c>
      <c r="J20" s="189">
        <v>5998880</v>
      </c>
      <c r="K20" s="189">
        <v>6044969</v>
      </c>
      <c r="L20" s="189">
        <v>6091866</v>
      </c>
      <c r="M20" s="189">
        <v>6127760</v>
      </c>
      <c r="N20" s="189">
        <v>6155967</v>
      </c>
      <c r="O20" s="189">
        <v>6196638</v>
      </c>
      <c r="P20" s="189">
        <v>6233007</v>
      </c>
      <c r="Q20" s="189">
        <v>6278616</v>
      </c>
      <c r="R20" s="189">
        <v>6332669</v>
      </c>
      <c r="S20" s="189">
        <v>6379599</v>
      </c>
      <c r="T20" s="189">
        <v>6424806</v>
      </c>
      <c r="U20" s="189">
        <v>6459325</v>
      </c>
      <c r="V20" s="189">
        <v>6490555</v>
      </c>
      <c r="W20" s="189">
        <v>6517250</v>
      </c>
      <c r="X20" s="189">
        <v>6538989</v>
      </c>
      <c r="Y20" s="189">
        <v>6570575</v>
      </c>
      <c r="Z20" s="189">
        <v>6596019</v>
      </c>
      <c r="AA20" s="189">
        <v>6611442</v>
      </c>
      <c r="AB20" s="189">
        <v>6637898</v>
      </c>
      <c r="AC20" s="189">
        <v>6662068</v>
      </c>
      <c r="AD20" s="189">
        <v>6698481</v>
      </c>
      <c r="AE20" s="189">
        <v>6731010</v>
      </c>
      <c r="AF20" s="189">
        <v>6785644</v>
      </c>
      <c r="AG20" s="189">
        <v>6805985</v>
      </c>
      <c r="AH20" s="189"/>
      <c r="AI20" s="189"/>
      <c r="AJ20" s="189"/>
      <c r="AK20" s="189"/>
    </row>
    <row r="21" spans="1:37" ht="14">
      <c r="A21" s="22" t="s">
        <v>175</v>
      </c>
      <c r="B21" s="189">
        <v>2781018</v>
      </c>
      <c r="C21" s="189">
        <v>2797613</v>
      </c>
      <c r="D21" s="189">
        <v>2818401</v>
      </c>
      <c r="E21" s="189">
        <v>2836972</v>
      </c>
      <c r="F21" s="189">
        <v>2850746</v>
      </c>
      <c r="G21" s="189">
        <v>2867373</v>
      </c>
      <c r="H21" s="189">
        <v>2880000</v>
      </c>
      <c r="I21" s="189">
        <v>2891119</v>
      </c>
      <c r="J21" s="189">
        <v>2902872</v>
      </c>
      <c r="K21" s="189">
        <v>2917634</v>
      </c>
      <c r="L21" s="189">
        <v>2929067</v>
      </c>
      <c r="M21" s="189">
        <v>2931997</v>
      </c>
      <c r="N21" s="189">
        <v>2934234</v>
      </c>
      <c r="O21" s="189">
        <v>2941999</v>
      </c>
      <c r="P21" s="189">
        <v>2953635</v>
      </c>
      <c r="Q21" s="189">
        <v>2964454</v>
      </c>
      <c r="R21" s="189">
        <v>2982644</v>
      </c>
      <c r="S21" s="189">
        <v>2999212</v>
      </c>
      <c r="T21" s="189">
        <v>3016734</v>
      </c>
      <c r="U21" s="189">
        <v>3032870</v>
      </c>
      <c r="V21" s="189">
        <v>3050819</v>
      </c>
      <c r="W21" s="189">
        <v>3066772</v>
      </c>
      <c r="X21" s="189">
        <v>3076844</v>
      </c>
      <c r="Y21" s="189">
        <v>3093935</v>
      </c>
      <c r="Z21" s="189">
        <v>3110643</v>
      </c>
      <c r="AA21" s="189">
        <v>3122541</v>
      </c>
      <c r="AB21" s="189">
        <v>3133210</v>
      </c>
      <c r="AC21" s="189">
        <v>3143734</v>
      </c>
      <c r="AD21" s="189">
        <v>3149900</v>
      </c>
      <c r="AE21" s="189">
        <v>3159596</v>
      </c>
      <c r="AF21" s="189">
        <v>3188669</v>
      </c>
      <c r="AG21" s="189">
        <v>3193079</v>
      </c>
      <c r="AH21" s="189"/>
      <c r="AI21" s="189"/>
      <c r="AJ21" s="189"/>
      <c r="AK21" s="189"/>
    </row>
    <row r="22" spans="1:37" ht="14">
      <c r="A22" s="22" t="s">
        <v>176</v>
      </c>
      <c r="B22" s="189">
        <v>2481349</v>
      </c>
      <c r="C22" s="189">
        <v>2498722</v>
      </c>
      <c r="D22" s="189">
        <v>2532394</v>
      </c>
      <c r="E22" s="189">
        <v>2556547</v>
      </c>
      <c r="F22" s="189">
        <v>2580513</v>
      </c>
      <c r="G22" s="189">
        <v>2601007</v>
      </c>
      <c r="H22" s="189">
        <v>2614554</v>
      </c>
      <c r="I22" s="189">
        <v>2635292</v>
      </c>
      <c r="J22" s="189">
        <v>2660598</v>
      </c>
      <c r="K22" s="189">
        <v>2678338</v>
      </c>
      <c r="L22" s="189">
        <v>2693681</v>
      </c>
      <c r="M22" s="189">
        <v>2702162</v>
      </c>
      <c r="N22" s="189">
        <v>2713535</v>
      </c>
      <c r="O22" s="189">
        <v>2723004</v>
      </c>
      <c r="P22" s="189">
        <v>2734373</v>
      </c>
      <c r="Q22" s="189">
        <v>2745299</v>
      </c>
      <c r="R22" s="189">
        <v>2762931</v>
      </c>
      <c r="S22" s="189">
        <v>2783785</v>
      </c>
      <c r="T22" s="189">
        <v>2808076</v>
      </c>
      <c r="U22" s="189">
        <v>2832704</v>
      </c>
      <c r="V22" s="189">
        <v>2858266</v>
      </c>
      <c r="W22" s="189">
        <v>2869677</v>
      </c>
      <c r="X22" s="189">
        <v>2886024</v>
      </c>
      <c r="Y22" s="189">
        <v>2894306</v>
      </c>
      <c r="Z22" s="189">
        <v>2901861</v>
      </c>
      <c r="AA22" s="189">
        <v>2910717</v>
      </c>
      <c r="AB22" s="189">
        <v>2912977</v>
      </c>
      <c r="AC22" s="189">
        <v>2910892</v>
      </c>
      <c r="AD22" s="189">
        <v>2912748</v>
      </c>
      <c r="AE22" s="189">
        <v>2912635</v>
      </c>
      <c r="AF22" s="189">
        <v>2935880</v>
      </c>
      <c r="AG22" s="189">
        <v>2934582</v>
      </c>
      <c r="AH22" s="189"/>
      <c r="AI22" s="189"/>
      <c r="AJ22" s="189"/>
      <c r="AK22" s="189"/>
    </row>
    <row r="23" spans="1:37" ht="14">
      <c r="A23" s="22" t="s">
        <v>177</v>
      </c>
      <c r="B23" s="189">
        <v>3694048</v>
      </c>
      <c r="C23" s="189">
        <v>3722328</v>
      </c>
      <c r="D23" s="189">
        <v>3765469</v>
      </c>
      <c r="E23" s="189">
        <v>3812206</v>
      </c>
      <c r="F23" s="189">
        <v>3849088</v>
      </c>
      <c r="G23" s="189">
        <v>3887427</v>
      </c>
      <c r="H23" s="189">
        <v>3919535</v>
      </c>
      <c r="I23" s="189">
        <v>3952747</v>
      </c>
      <c r="J23" s="189">
        <v>3985390</v>
      </c>
      <c r="K23" s="189">
        <v>4018053</v>
      </c>
      <c r="L23" s="189">
        <v>4049021</v>
      </c>
      <c r="M23" s="189">
        <v>4068132</v>
      </c>
      <c r="N23" s="189">
        <v>4089875</v>
      </c>
      <c r="O23" s="189">
        <v>4117170</v>
      </c>
      <c r="P23" s="189">
        <v>4146101</v>
      </c>
      <c r="Q23" s="189">
        <v>4182742</v>
      </c>
      <c r="R23" s="189">
        <v>4219239</v>
      </c>
      <c r="S23" s="189">
        <v>4256672</v>
      </c>
      <c r="T23" s="189">
        <v>4289878</v>
      </c>
      <c r="U23" s="189">
        <v>4317074</v>
      </c>
      <c r="V23" s="189">
        <v>4348464</v>
      </c>
      <c r="W23" s="189">
        <v>4370817</v>
      </c>
      <c r="X23" s="189">
        <v>4387865</v>
      </c>
      <c r="Y23" s="189">
        <v>4406906</v>
      </c>
      <c r="Z23" s="189">
        <v>4416992</v>
      </c>
      <c r="AA23" s="189">
        <v>4429126</v>
      </c>
      <c r="AB23" s="189">
        <v>4440306</v>
      </c>
      <c r="AC23" s="189">
        <v>4455590</v>
      </c>
      <c r="AD23" s="189">
        <v>4464273</v>
      </c>
      <c r="AE23" s="189">
        <v>4472345</v>
      </c>
      <c r="AF23" s="189">
        <v>4503958</v>
      </c>
      <c r="AG23" s="189">
        <v>4509394</v>
      </c>
      <c r="AH23" s="189"/>
      <c r="AI23" s="189"/>
      <c r="AJ23" s="189"/>
      <c r="AK23" s="189"/>
    </row>
    <row r="24" spans="1:37" ht="14">
      <c r="A24" s="22" t="s">
        <v>178</v>
      </c>
      <c r="B24" s="189">
        <v>4221532</v>
      </c>
      <c r="C24" s="189">
        <v>4253279</v>
      </c>
      <c r="D24" s="189">
        <v>4293003</v>
      </c>
      <c r="E24" s="189">
        <v>4316428</v>
      </c>
      <c r="F24" s="189">
        <v>4347481</v>
      </c>
      <c r="G24" s="189">
        <v>4378779</v>
      </c>
      <c r="H24" s="189">
        <v>4398877</v>
      </c>
      <c r="I24" s="189">
        <v>4421071</v>
      </c>
      <c r="J24" s="189">
        <v>4440344</v>
      </c>
      <c r="K24" s="189">
        <v>4460811</v>
      </c>
      <c r="L24" s="189">
        <v>4471885</v>
      </c>
      <c r="M24" s="189">
        <v>4477875</v>
      </c>
      <c r="N24" s="189">
        <v>4497267</v>
      </c>
      <c r="O24" s="189">
        <v>4521042</v>
      </c>
      <c r="P24" s="189">
        <v>4552238</v>
      </c>
      <c r="Q24" s="189">
        <v>4576628</v>
      </c>
      <c r="R24" s="189">
        <v>4302665</v>
      </c>
      <c r="S24" s="189">
        <v>4375581</v>
      </c>
      <c r="T24" s="189">
        <v>4435586</v>
      </c>
      <c r="U24" s="189">
        <v>4491648</v>
      </c>
      <c r="V24" s="189">
        <v>4544635</v>
      </c>
      <c r="W24" s="189">
        <v>4576244</v>
      </c>
      <c r="X24" s="189">
        <v>4602067</v>
      </c>
      <c r="Y24" s="189">
        <v>4626040</v>
      </c>
      <c r="Z24" s="189">
        <v>4645938</v>
      </c>
      <c r="AA24" s="189">
        <v>4666998</v>
      </c>
      <c r="AB24" s="189">
        <v>4681346</v>
      </c>
      <c r="AC24" s="189">
        <v>4673673</v>
      </c>
      <c r="AD24" s="189">
        <v>4664450</v>
      </c>
      <c r="AE24" s="189">
        <v>4658285</v>
      </c>
      <c r="AF24" s="189">
        <v>4651203</v>
      </c>
      <c r="AG24" s="189">
        <v>4624047</v>
      </c>
      <c r="AH24" s="189"/>
      <c r="AI24" s="189"/>
      <c r="AJ24" s="189"/>
      <c r="AK24" s="189"/>
    </row>
    <row r="25" spans="1:37" ht="14">
      <c r="A25" s="22" t="s">
        <v>179</v>
      </c>
      <c r="B25" s="189">
        <v>1231719</v>
      </c>
      <c r="C25" s="189">
        <v>1237081</v>
      </c>
      <c r="D25" s="189">
        <v>1238508</v>
      </c>
      <c r="E25" s="189">
        <v>1242302</v>
      </c>
      <c r="F25" s="189">
        <v>1242662</v>
      </c>
      <c r="G25" s="189">
        <v>1243480</v>
      </c>
      <c r="H25" s="189">
        <v>1249060</v>
      </c>
      <c r="I25" s="189">
        <v>1254774</v>
      </c>
      <c r="J25" s="189">
        <v>1259127</v>
      </c>
      <c r="K25" s="189">
        <v>1266808</v>
      </c>
      <c r="L25" s="189">
        <v>1277072</v>
      </c>
      <c r="M25" s="189">
        <v>1285692</v>
      </c>
      <c r="N25" s="189">
        <v>1295960</v>
      </c>
      <c r="O25" s="189">
        <v>1306513</v>
      </c>
      <c r="P25" s="189">
        <v>1313688</v>
      </c>
      <c r="Q25" s="189">
        <v>1318787</v>
      </c>
      <c r="R25" s="189">
        <v>1323619</v>
      </c>
      <c r="S25" s="189">
        <v>1327040</v>
      </c>
      <c r="T25" s="189">
        <v>1330509</v>
      </c>
      <c r="U25" s="189">
        <v>1329590</v>
      </c>
      <c r="V25" s="189">
        <v>1327651</v>
      </c>
      <c r="W25" s="189">
        <v>1328473</v>
      </c>
      <c r="X25" s="189">
        <v>1328094</v>
      </c>
      <c r="Y25" s="189">
        <v>1328543</v>
      </c>
      <c r="Z25" s="189">
        <v>1331217</v>
      </c>
      <c r="AA25" s="189">
        <v>1329098</v>
      </c>
      <c r="AB25" s="189">
        <v>1332348</v>
      </c>
      <c r="AC25" s="189">
        <v>1335743</v>
      </c>
      <c r="AD25" s="189">
        <v>1340123</v>
      </c>
      <c r="AE25" s="189">
        <v>1345770</v>
      </c>
      <c r="AF25" s="189">
        <v>1362280</v>
      </c>
      <c r="AG25" s="189">
        <v>1372247</v>
      </c>
      <c r="AH25" s="189"/>
      <c r="AI25" s="189"/>
      <c r="AJ25" s="189"/>
      <c r="AK25" s="189"/>
    </row>
    <row r="26" spans="1:37" ht="14">
      <c r="A26" s="22" t="s">
        <v>180</v>
      </c>
      <c r="B26" s="189">
        <v>4799770</v>
      </c>
      <c r="C26" s="189">
        <v>4867641</v>
      </c>
      <c r="D26" s="189">
        <v>4923368</v>
      </c>
      <c r="E26" s="189">
        <v>4971889</v>
      </c>
      <c r="F26" s="189">
        <v>5023060</v>
      </c>
      <c r="G26" s="189">
        <v>5070033</v>
      </c>
      <c r="H26" s="189">
        <v>5111986</v>
      </c>
      <c r="I26" s="189">
        <v>5157328</v>
      </c>
      <c r="J26" s="189">
        <v>5204464</v>
      </c>
      <c r="K26" s="189">
        <v>5254509</v>
      </c>
      <c r="L26" s="189">
        <v>5311034</v>
      </c>
      <c r="M26" s="189">
        <v>5374691</v>
      </c>
      <c r="N26" s="189">
        <v>5440389</v>
      </c>
      <c r="O26" s="189">
        <v>5496269</v>
      </c>
      <c r="P26" s="189">
        <v>5546935</v>
      </c>
      <c r="Q26" s="189">
        <v>5592379</v>
      </c>
      <c r="R26" s="189">
        <v>5627367</v>
      </c>
      <c r="S26" s="189">
        <v>5653408</v>
      </c>
      <c r="T26" s="189">
        <v>5684965</v>
      </c>
      <c r="U26" s="189">
        <v>5730388</v>
      </c>
      <c r="V26" s="189">
        <v>5788784</v>
      </c>
      <c r="W26" s="189">
        <v>5840241</v>
      </c>
      <c r="X26" s="189">
        <v>5888375</v>
      </c>
      <c r="Y26" s="189">
        <v>5925197</v>
      </c>
      <c r="Z26" s="189">
        <v>5960064</v>
      </c>
      <c r="AA26" s="189">
        <v>5988528</v>
      </c>
      <c r="AB26" s="189">
        <v>6007014</v>
      </c>
      <c r="AC26" s="189">
        <v>6028186</v>
      </c>
      <c r="AD26" s="189">
        <v>6042153</v>
      </c>
      <c r="AE26" s="189">
        <v>6054954</v>
      </c>
      <c r="AF26" s="189">
        <v>6172679</v>
      </c>
      <c r="AG26" s="189">
        <v>6165129</v>
      </c>
      <c r="AH26" s="189"/>
      <c r="AI26" s="189"/>
      <c r="AJ26" s="189"/>
      <c r="AK26" s="189"/>
    </row>
    <row r="27" spans="1:37" ht="14">
      <c r="A27" s="22" t="s">
        <v>181</v>
      </c>
      <c r="B27" s="189">
        <v>6022639</v>
      </c>
      <c r="C27" s="189">
        <v>6018470</v>
      </c>
      <c r="D27" s="189">
        <v>6028709</v>
      </c>
      <c r="E27" s="189">
        <v>6060569</v>
      </c>
      <c r="F27" s="189">
        <v>6095241</v>
      </c>
      <c r="G27" s="189">
        <v>6141445</v>
      </c>
      <c r="H27" s="189">
        <v>6179756</v>
      </c>
      <c r="I27" s="189">
        <v>6226058</v>
      </c>
      <c r="J27" s="189">
        <v>6271838</v>
      </c>
      <c r="K27" s="189">
        <v>6317345</v>
      </c>
      <c r="L27" s="189">
        <v>6361104</v>
      </c>
      <c r="M27" s="189">
        <v>6397634</v>
      </c>
      <c r="N27" s="189">
        <v>6417206</v>
      </c>
      <c r="O27" s="189">
        <v>6422565</v>
      </c>
      <c r="P27" s="189">
        <v>6412281</v>
      </c>
      <c r="Q27" s="189">
        <v>6403290</v>
      </c>
      <c r="R27" s="189">
        <v>6410084</v>
      </c>
      <c r="S27" s="189">
        <v>6431559</v>
      </c>
      <c r="T27" s="189">
        <v>6468967</v>
      </c>
      <c r="U27" s="189">
        <v>6517613</v>
      </c>
      <c r="V27" s="189">
        <v>6566440</v>
      </c>
      <c r="W27" s="189">
        <v>6614218</v>
      </c>
      <c r="X27" s="189">
        <v>6664269</v>
      </c>
      <c r="Y27" s="189">
        <v>6715158</v>
      </c>
      <c r="Z27" s="189">
        <v>6764864</v>
      </c>
      <c r="AA27" s="189">
        <v>6797484</v>
      </c>
      <c r="AB27" s="189">
        <v>6827280</v>
      </c>
      <c r="AC27" s="189">
        <v>6863560</v>
      </c>
      <c r="AD27" s="189">
        <v>6885720</v>
      </c>
      <c r="AE27" s="189">
        <v>6894883</v>
      </c>
      <c r="AF27" s="189">
        <v>7022220</v>
      </c>
      <c r="AG27" s="189">
        <v>6984723</v>
      </c>
      <c r="AH27" s="189"/>
      <c r="AI27" s="189"/>
      <c r="AJ27" s="189"/>
      <c r="AK27" s="189"/>
    </row>
    <row r="28" spans="1:37" ht="14">
      <c r="A28" s="22" t="s">
        <v>182</v>
      </c>
      <c r="B28" s="189">
        <v>9311319</v>
      </c>
      <c r="C28" s="189">
        <v>9400446</v>
      </c>
      <c r="D28" s="189">
        <v>9479065</v>
      </c>
      <c r="E28" s="189">
        <v>9540114</v>
      </c>
      <c r="F28" s="189">
        <v>9597737</v>
      </c>
      <c r="G28" s="189">
        <v>9676211</v>
      </c>
      <c r="H28" s="189">
        <v>9758645</v>
      </c>
      <c r="I28" s="189">
        <v>9809051</v>
      </c>
      <c r="J28" s="189">
        <v>9847942</v>
      </c>
      <c r="K28" s="189">
        <v>9897116</v>
      </c>
      <c r="L28" s="189">
        <v>9952450</v>
      </c>
      <c r="M28" s="189">
        <v>9991120</v>
      </c>
      <c r="N28" s="189">
        <v>10015710</v>
      </c>
      <c r="O28" s="189">
        <v>10041152</v>
      </c>
      <c r="P28" s="189">
        <v>10055315</v>
      </c>
      <c r="Q28" s="189">
        <v>10051137</v>
      </c>
      <c r="R28" s="189">
        <v>10036081</v>
      </c>
      <c r="S28" s="189">
        <v>10001284</v>
      </c>
      <c r="T28" s="189">
        <v>9946889</v>
      </c>
      <c r="U28" s="189">
        <v>9901591</v>
      </c>
      <c r="V28" s="189">
        <v>9877597</v>
      </c>
      <c r="W28" s="189">
        <v>9883053</v>
      </c>
      <c r="X28" s="189">
        <v>9898289</v>
      </c>
      <c r="Y28" s="189">
        <v>9914802</v>
      </c>
      <c r="Z28" s="189">
        <v>9932033</v>
      </c>
      <c r="AA28" s="189">
        <v>9934483</v>
      </c>
      <c r="AB28" s="189">
        <v>9954117</v>
      </c>
      <c r="AC28" s="189">
        <v>9976752</v>
      </c>
      <c r="AD28" s="189">
        <v>9987286</v>
      </c>
      <c r="AE28" s="189">
        <v>9984795</v>
      </c>
      <c r="AF28" s="189">
        <v>10067664</v>
      </c>
      <c r="AG28" s="189">
        <v>10050811</v>
      </c>
      <c r="AH28" s="189"/>
      <c r="AI28" s="189"/>
      <c r="AJ28" s="189"/>
      <c r="AK28" s="189"/>
    </row>
    <row r="29" spans="1:37" ht="14">
      <c r="A29" s="22" t="s">
        <v>183</v>
      </c>
      <c r="B29" s="189">
        <v>4389857</v>
      </c>
      <c r="C29" s="189">
        <v>4440859</v>
      </c>
      <c r="D29" s="189">
        <v>4495572</v>
      </c>
      <c r="E29" s="189">
        <v>4555954</v>
      </c>
      <c r="F29" s="189">
        <v>4610355</v>
      </c>
      <c r="G29" s="189">
        <v>4660180</v>
      </c>
      <c r="H29" s="189">
        <v>4712827</v>
      </c>
      <c r="I29" s="189">
        <v>4763390</v>
      </c>
      <c r="J29" s="189">
        <v>4813412</v>
      </c>
      <c r="K29" s="189">
        <v>4873481</v>
      </c>
      <c r="L29" s="189">
        <v>4933692</v>
      </c>
      <c r="M29" s="189">
        <v>4982796</v>
      </c>
      <c r="N29" s="189">
        <v>5018935</v>
      </c>
      <c r="O29" s="189">
        <v>5053572</v>
      </c>
      <c r="P29" s="189">
        <v>5087713</v>
      </c>
      <c r="Q29" s="189">
        <v>5119598</v>
      </c>
      <c r="R29" s="189">
        <v>5163555</v>
      </c>
      <c r="S29" s="189">
        <v>5207203</v>
      </c>
      <c r="T29" s="189">
        <v>5247018</v>
      </c>
      <c r="U29" s="189">
        <v>5281203</v>
      </c>
      <c r="V29" s="189">
        <v>5310934</v>
      </c>
      <c r="W29" s="189">
        <v>5346620</v>
      </c>
      <c r="X29" s="189">
        <v>5377500</v>
      </c>
      <c r="Y29" s="189">
        <v>5414722</v>
      </c>
      <c r="Z29" s="189">
        <v>5452665</v>
      </c>
      <c r="AA29" s="189">
        <v>5484002</v>
      </c>
      <c r="AB29" s="189">
        <v>5525360</v>
      </c>
      <c r="AC29" s="189">
        <v>5569283</v>
      </c>
      <c r="AD29" s="189">
        <v>5608762</v>
      </c>
      <c r="AE29" s="189">
        <v>5640053</v>
      </c>
      <c r="AF29" s="189">
        <v>5707165</v>
      </c>
      <c r="AG29" s="189">
        <v>5707390</v>
      </c>
      <c r="AH29" s="189"/>
      <c r="AI29" s="189"/>
      <c r="AJ29" s="189"/>
      <c r="AK29" s="189"/>
    </row>
    <row r="30" spans="1:37" ht="14">
      <c r="A30" s="22" t="s">
        <v>184</v>
      </c>
      <c r="B30" s="189">
        <v>2578897</v>
      </c>
      <c r="C30" s="189">
        <v>2598733</v>
      </c>
      <c r="D30" s="189">
        <v>2623734</v>
      </c>
      <c r="E30" s="189">
        <v>2655100</v>
      </c>
      <c r="F30" s="189">
        <v>2688992</v>
      </c>
      <c r="G30" s="189">
        <v>2722659</v>
      </c>
      <c r="H30" s="189">
        <v>2748085</v>
      </c>
      <c r="I30" s="189">
        <v>2777004</v>
      </c>
      <c r="J30" s="189">
        <v>2804834</v>
      </c>
      <c r="K30" s="189">
        <v>2828408</v>
      </c>
      <c r="L30" s="189">
        <v>2848353</v>
      </c>
      <c r="M30" s="189">
        <v>2852994</v>
      </c>
      <c r="N30" s="189">
        <v>2858681</v>
      </c>
      <c r="O30" s="189">
        <v>2868312</v>
      </c>
      <c r="P30" s="189">
        <v>2889010</v>
      </c>
      <c r="Q30" s="189">
        <v>2905943</v>
      </c>
      <c r="R30" s="189">
        <v>2904978</v>
      </c>
      <c r="S30" s="189">
        <v>2928350</v>
      </c>
      <c r="T30" s="189">
        <v>2947806</v>
      </c>
      <c r="U30" s="189">
        <v>2958774</v>
      </c>
      <c r="V30" s="189">
        <v>2970615</v>
      </c>
      <c r="W30" s="189">
        <v>2979147</v>
      </c>
      <c r="X30" s="189">
        <v>2984599</v>
      </c>
      <c r="Y30" s="189">
        <v>2989839</v>
      </c>
      <c r="Z30" s="189">
        <v>2991892</v>
      </c>
      <c r="AA30" s="189">
        <v>2990231</v>
      </c>
      <c r="AB30" s="189">
        <v>2990595</v>
      </c>
      <c r="AC30" s="189">
        <v>2990674</v>
      </c>
      <c r="AD30" s="189">
        <v>2982879</v>
      </c>
      <c r="AE30" s="189">
        <v>2978227</v>
      </c>
      <c r="AF30" s="189">
        <v>2956870</v>
      </c>
      <c r="AG30" s="189">
        <v>2949965</v>
      </c>
      <c r="AH30" s="189"/>
      <c r="AI30" s="189"/>
      <c r="AJ30" s="189"/>
      <c r="AK30" s="189"/>
    </row>
    <row r="31" spans="1:37" ht="14">
      <c r="A31" s="22" t="s">
        <v>185</v>
      </c>
      <c r="B31" s="189">
        <v>5128880</v>
      </c>
      <c r="C31" s="189">
        <v>5170800</v>
      </c>
      <c r="D31" s="189">
        <v>5217101</v>
      </c>
      <c r="E31" s="189">
        <v>5271175</v>
      </c>
      <c r="F31" s="189">
        <v>5324497</v>
      </c>
      <c r="G31" s="189">
        <v>5378247</v>
      </c>
      <c r="H31" s="189">
        <v>5431553</v>
      </c>
      <c r="I31" s="189">
        <v>5481193</v>
      </c>
      <c r="J31" s="189">
        <v>5521765</v>
      </c>
      <c r="K31" s="189">
        <v>5561948</v>
      </c>
      <c r="L31" s="189">
        <v>5607285</v>
      </c>
      <c r="M31" s="189">
        <v>5641142</v>
      </c>
      <c r="N31" s="189">
        <v>5674825</v>
      </c>
      <c r="O31" s="189">
        <v>5709403</v>
      </c>
      <c r="P31" s="189">
        <v>5747741</v>
      </c>
      <c r="Q31" s="189">
        <v>5790300</v>
      </c>
      <c r="R31" s="189">
        <v>5842704</v>
      </c>
      <c r="S31" s="189">
        <v>5887612</v>
      </c>
      <c r="T31" s="189">
        <v>5923916</v>
      </c>
      <c r="U31" s="189">
        <v>5961088</v>
      </c>
      <c r="V31" s="189">
        <v>5996089</v>
      </c>
      <c r="W31" s="189">
        <v>6011182</v>
      </c>
      <c r="X31" s="189">
        <v>6026027</v>
      </c>
      <c r="Y31" s="189">
        <v>6042989</v>
      </c>
      <c r="Z31" s="189">
        <v>6059130</v>
      </c>
      <c r="AA31" s="189">
        <v>6075411</v>
      </c>
      <c r="AB31" s="189">
        <v>6091384</v>
      </c>
      <c r="AC31" s="189">
        <v>6111382</v>
      </c>
      <c r="AD31" s="189">
        <v>6125986</v>
      </c>
      <c r="AE31" s="189">
        <v>6140475</v>
      </c>
      <c r="AF31" s="189">
        <v>6154481</v>
      </c>
      <c r="AG31" s="189">
        <v>6168187</v>
      </c>
      <c r="AH31" s="189"/>
      <c r="AI31" s="189"/>
      <c r="AJ31" s="189"/>
      <c r="AK31" s="189"/>
    </row>
    <row r="32" spans="1:37" ht="14">
      <c r="A32" s="22" t="s">
        <v>186</v>
      </c>
      <c r="B32" s="189">
        <v>800204</v>
      </c>
      <c r="C32" s="189">
        <v>809680</v>
      </c>
      <c r="D32" s="189">
        <v>825770</v>
      </c>
      <c r="E32" s="189">
        <v>844761</v>
      </c>
      <c r="F32" s="189">
        <v>861306</v>
      </c>
      <c r="G32" s="189">
        <v>876553</v>
      </c>
      <c r="H32" s="189">
        <v>886254</v>
      </c>
      <c r="I32" s="189">
        <v>889865</v>
      </c>
      <c r="J32" s="189">
        <v>892431</v>
      </c>
      <c r="K32" s="189">
        <v>897507</v>
      </c>
      <c r="L32" s="189">
        <v>903773</v>
      </c>
      <c r="M32" s="189">
        <v>906961</v>
      </c>
      <c r="N32" s="189">
        <v>911667</v>
      </c>
      <c r="O32" s="189">
        <v>919630</v>
      </c>
      <c r="P32" s="189">
        <v>930009</v>
      </c>
      <c r="Q32" s="189">
        <v>940102</v>
      </c>
      <c r="R32" s="189">
        <v>952692</v>
      </c>
      <c r="S32" s="189">
        <v>964706</v>
      </c>
      <c r="T32" s="189">
        <v>976415</v>
      </c>
      <c r="U32" s="189">
        <v>983982</v>
      </c>
      <c r="V32" s="189">
        <v>990730</v>
      </c>
      <c r="W32" s="189">
        <v>997518</v>
      </c>
      <c r="X32" s="189">
        <v>1004168</v>
      </c>
      <c r="Y32" s="189">
        <v>1014158</v>
      </c>
      <c r="Z32" s="189">
        <v>1022657</v>
      </c>
      <c r="AA32" s="189">
        <v>1031495</v>
      </c>
      <c r="AB32" s="189">
        <v>1042137</v>
      </c>
      <c r="AC32" s="189">
        <v>1053862</v>
      </c>
      <c r="AD32" s="189">
        <v>1061818</v>
      </c>
      <c r="AE32" s="189">
        <v>1070123</v>
      </c>
      <c r="AF32" s="189">
        <v>1086193</v>
      </c>
      <c r="AG32" s="189">
        <v>1104271</v>
      </c>
      <c r="AH32" s="189"/>
      <c r="AI32" s="189"/>
      <c r="AJ32" s="189"/>
      <c r="AK32" s="189"/>
    </row>
    <row r="33" spans="1:37" ht="14">
      <c r="A33" s="22" t="s">
        <v>187</v>
      </c>
      <c r="B33" s="189">
        <v>1581660</v>
      </c>
      <c r="C33" s="189">
        <v>1595919</v>
      </c>
      <c r="D33" s="189">
        <v>1611687</v>
      </c>
      <c r="E33" s="189">
        <v>1625590</v>
      </c>
      <c r="F33" s="189">
        <v>1639041</v>
      </c>
      <c r="G33" s="189">
        <v>1656992</v>
      </c>
      <c r="H33" s="189">
        <v>1673740</v>
      </c>
      <c r="I33" s="189">
        <v>1686418</v>
      </c>
      <c r="J33" s="189">
        <v>1695816</v>
      </c>
      <c r="K33" s="189">
        <v>1704764</v>
      </c>
      <c r="L33" s="189">
        <v>1713820</v>
      </c>
      <c r="M33" s="189">
        <v>1719836</v>
      </c>
      <c r="N33" s="189">
        <v>1728292</v>
      </c>
      <c r="O33" s="189">
        <v>1738643</v>
      </c>
      <c r="P33" s="189">
        <v>1749370</v>
      </c>
      <c r="Q33" s="189">
        <v>1761497</v>
      </c>
      <c r="R33" s="189">
        <v>1772693</v>
      </c>
      <c r="S33" s="189">
        <v>1783440</v>
      </c>
      <c r="T33" s="189">
        <v>1796378</v>
      </c>
      <c r="U33" s="189">
        <v>1812683</v>
      </c>
      <c r="V33" s="189">
        <v>1829591</v>
      </c>
      <c r="W33" s="189">
        <v>1840914</v>
      </c>
      <c r="X33" s="189">
        <v>1853691</v>
      </c>
      <c r="Y33" s="189">
        <v>1865813</v>
      </c>
      <c r="Z33" s="189">
        <v>1879955</v>
      </c>
      <c r="AA33" s="189">
        <v>1892059</v>
      </c>
      <c r="AB33" s="189">
        <v>1906483</v>
      </c>
      <c r="AC33" s="189">
        <v>1916998</v>
      </c>
      <c r="AD33" s="189">
        <v>1925512</v>
      </c>
      <c r="AE33" s="189">
        <v>1932571</v>
      </c>
      <c r="AF33" s="189">
        <v>1961455</v>
      </c>
      <c r="AG33" s="189">
        <v>1963692</v>
      </c>
      <c r="AH33" s="189"/>
      <c r="AI33" s="189"/>
      <c r="AJ33" s="189"/>
      <c r="AK33" s="189"/>
    </row>
    <row r="34" spans="1:37" ht="14">
      <c r="A34" s="22" t="s">
        <v>188</v>
      </c>
      <c r="B34" s="189">
        <v>1220695</v>
      </c>
      <c r="C34" s="189">
        <v>1296171</v>
      </c>
      <c r="D34" s="189">
        <v>1351367</v>
      </c>
      <c r="E34" s="189">
        <v>1411215</v>
      </c>
      <c r="F34" s="189">
        <v>1499298</v>
      </c>
      <c r="G34" s="189">
        <v>1581578</v>
      </c>
      <c r="H34" s="189">
        <v>1666320</v>
      </c>
      <c r="I34" s="189">
        <v>1764104</v>
      </c>
      <c r="J34" s="189">
        <v>1853191</v>
      </c>
      <c r="K34" s="189">
        <v>1934718</v>
      </c>
      <c r="L34" s="189">
        <v>2018741</v>
      </c>
      <c r="M34" s="189">
        <v>2098399</v>
      </c>
      <c r="N34" s="189">
        <v>2173791</v>
      </c>
      <c r="O34" s="189">
        <v>2248850</v>
      </c>
      <c r="P34" s="189">
        <v>2346222</v>
      </c>
      <c r="Q34" s="189">
        <v>2432143</v>
      </c>
      <c r="R34" s="189">
        <v>2522658</v>
      </c>
      <c r="S34" s="189">
        <v>2601072</v>
      </c>
      <c r="T34" s="189">
        <v>2653630</v>
      </c>
      <c r="U34" s="189">
        <v>2684665</v>
      </c>
      <c r="V34" s="189">
        <v>2702483</v>
      </c>
      <c r="W34" s="189">
        <v>2713114</v>
      </c>
      <c r="X34" s="189">
        <v>2744670</v>
      </c>
      <c r="Y34" s="189">
        <v>2776956</v>
      </c>
      <c r="Z34" s="189">
        <v>2818935</v>
      </c>
      <c r="AA34" s="189">
        <v>2868531</v>
      </c>
      <c r="AB34" s="189">
        <v>2919555</v>
      </c>
      <c r="AC34" s="189">
        <v>2972097</v>
      </c>
      <c r="AD34" s="189">
        <v>3030725</v>
      </c>
      <c r="AE34" s="189">
        <v>3090771</v>
      </c>
      <c r="AF34" s="189">
        <v>3114071</v>
      </c>
      <c r="AG34" s="189">
        <v>3143991</v>
      </c>
      <c r="AH34" s="189"/>
      <c r="AI34" s="189"/>
      <c r="AJ34" s="189"/>
      <c r="AK34" s="189"/>
    </row>
    <row r="35" spans="1:37" ht="14">
      <c r="A35" s="22" t="s">
        <v>189</v>
      </c>
      <c r="B35" s="189">
        <v>1112384</v>
      </c>
      <c r="C35" s="189">
        <v>1109929</v>
      </c>
      <c r="D35" s="189">
        <v>1117784</v>
      </c>
      <c r="E35" s="189">
        <v>1129458</v>
      </c>
      <c r="F35" s="189">
        <v>1142560</v>
      </c>
      <c r="G35" s="189">
        <v>1157561</v>
      </c>
      <c r="H35" s="189">
        <v>1174719</v>
      </c>
      <c r="I35" s="189">
        <v>1189425</v>
      </c>
      <c r="J35" s="189">
        <v>1205940</v>
      </c>
      <c r="K35" s="189">
        <v>1222014</v>
      </c>
      <c r="L35" s="189">
        <v>1239882</v>
      </c>
      <c r="M35" s="189">
        <v>1255517</v>
      </c>
      <c r="N35" s="189">
        <v>1269089</v>
      </c>
      <c r="O35" s="189">
        <v>1279840</v>
      </c>
      <c r="P35" s="189">
        <v>1290121</v>
      </c>
      <c r="Q35" s="189">
        <v>1298492</v>
      </c>
      <c r="R35" s="189">
        <v>1308389</v>
      </c>
      <c r="S35" s="189">
        <v>1312540</v>
      </c>
      <c r="T35" s="189">
        <v>1315906</v>
      </c>
      <c r="U35" s="189">
        <v>1316102</v>
      </c>
      <c r="V35" s="189">
        <v>1316807</v>
      </c>
      <c r="W35" s="189">
        <v>1320444</v>
      </c>
      <c r="X35" s="189">
        <v>1324677</v>
      </c>
      <c r="Y35" s="189">
        <v>1327272</v>
      </c>
      <c r="Z35" s="189">
        <v>1334257</v>
      </c>
      <c r="AA35" s="189">
        <v>1337480</v>
      </c>
      <c r="AB35" s="189">
        <v>1343694</v>
      </c>
      <c r="AC35" s="189">
        <v>1350395</v>
      </c>
      <c r="AD35" s="189">
        <v>1355064</v>
      </c>
      <c r="AE35" s="189">
        <v>1360783</v>
      </c>
      <c r="AF35" s="189">
        <v>1377848</v>
      </c>
      <c r="AG35" s="189">
        <v>1388992</v>
      </c>
      <c r="AH35" s="189"/>
      <c r="AI35" s="189"/>
      <c r="AJ35" s="189"/>
      <c r="AK35" s="189"/>
    </row>
    <row r="36" spans="1:37" ht="14">
      <c r="A36" s="22" t="s">
        <v>190</v>
      </c>
      <c r="B36" s="189">
        <v>7762963</v>
      </c>
      <c r="C36" s="189">
        <v>7814676</v>
      </c>
      <c r="D36" s="189">
        <v>7880508</v>
      </c>
      <c r="E36" s="189">
        <v>7948915</v>
      </c>
      <c r="F36" s="189">
        <v>8014306</v>
      </c>
      <c r="G36" s="189">
        <v>8083242</v>
      </c>
      <c r="H36" s="189">
        <v>8149596</v>
      </c>
      <c r="I36" s="189">
        <v>8218808</v>
      </c>
      <c r="J36" s="189">
        <v>8287418</v>
      </c>
      <c r="K36" s="189">
        <v>8359592</v>
      </c>
      <c r="L36" s="189">
        <v>8430621</v>
      </c>
      <c r="M36" s="189">
        <v>8492671</v>
      </c>
      <c r="N36" s="189">
        <v>8552643</v>
      </c>
      <c r="O36" s="189">
        <v>8601402</v>
      </c>
      <c r="P36" s="189">
        <v>8634561</v>
      </c>
      <c r="Q36" s="189">
        <v>8651974</v>
      </c>
      <c r="R36" s="189">
        <v>8661679</v>
      </c>
      <c r="S36" s="189">
        <v>8677885</v>
      </c>
      <c r="T36" s="189">
        <v>8711090</v>
      </c>
      <c r="U36" s="189">
        <v>8755602</v>
      </c>
      <c r="V36" s="189">
        <v>8799451</v>
      </c>
      <c r="W36" s="189">
        <v>8828552</v>
      </c>
      <c r="X36" s="189">
        <v>8845671</v>
      </c>
      <c r="Y36" s="189">
        <v>8857821</v>
      </c>
      <c r="Z36" s="189">
        <v>8867277</v>
      </c>
      <c r="AA36" s="189">
        <v>8870312</v>
      </c>
      <c r="AB36" s="189">
        <v>8873584</v>
      </c>
      <c r="AC36" s="189">
        <v>8888147</v>
      </c>
      <c r="AD36" s="189">
        <v>8891730</v>
      </c>
      <c r="AE36" s="189">
        <v>8891258</v>
      </c>
      <c r="AF36" s="189">
        <v>9279743</v>
      </c>
      <c r="AG36" s="189">
        <v>9267130</v>
      </c>
      <c r="AH36" s="189"/>
      <c r="AI36" s="189"/>
      <c r="AJ36" s="189"/>
      <c r="AK36" s="189"/>
    </row>
    <row r="37" spans="1:37" ht="14">
      <c r="A37" s="22" t="s">
        <v>191</v>
      </c>
      <c r="B37" s="189">
        <v>1521574</v>
      </c>
      <c r="C37" s="189">
        <v>1555305</v>
      </c>
      <c r="D37" s="189">
        <v>1595442</v>
      </c>
      <c r="E37" s="189">
        <v>1636453</v>
      </c>
      <c r="F37" s="189">
        <v>1682398</v>
      </c>
      <c r="G37" s="189">
        <v>1720394</v>
      </c>
      <c r="H37" s="189">
        <v>1752326</v>
      </c>
      <c r="I37" s="189">
        <v>1774839</v>
      </c>
      <c r="J37" s="189">
        <v>1793484</v>
      </c>
      <c r="K37" s="189">
        <v>1808082</v>
      </c>
      <c r="L37" s="189">
        <v>1821204</v>
      </c>
      <c r="M37" s="189">
        <v>1831690</v>
      </c>
      <c r="N37" s="189">
        <v>1855309</v>
      </c>
      <c r="O37" s="189">
        <v>1877574</v>
      </c>
      <c r="P37" s="189">
        <v>1903808</v>
      </c>
      <c r="Q37" s="189">
        <v>1932274</v>
      </c>
      <c r="R37" s="189">
        <v>1962137</v>
      </c>
      <c r="S37" s="189">
        <v>1990070</v>
      </c>
      <c r="T37" s="189">
        <v>2010662</v>
      </c>
      <c r="U37" s="189">
        <v>2036802</v>
      </c>
      <c r="V37" s="189">
        <v>2064614</v>
      </c>
      <c r="W37" s="189">
        <v>2080707</v>
      </c>
      <c r="X37" s="189">
        <v>2087715</v>
      </c>
      <c r="Y37" s="189">
        <v>2092833</v>
      </c>
      <c r="Z37" s="189">
        <v>2090236</v>
      </c>
      <c r="AA37" s="189">
        <v>2090071</v>
      </c>
      <c r="AB37" s="189">
        <v>2092555</v>
      </c>
      <c r="AC37" s="189">
        <v>2092844</v>
      </c>
      <c r="AD37" s="189">
        <v>2093754</v>
      </c>
      <c r="AE37" s="189">
        <v>2099634</v>
      </c>
      <c r="AF37" s="189">
        <v>2117566</v>
      </c>
      <c r="AG37" s="189">
        <v>2115877</v>
      </c>
      <c r="AH37" s="189"/>
      <c r="AI37" s="189"/>
      <c r="AJ37" s="189"/>
      <c r="AK37" s="189"/>
    </row>
    <row r="38" spans="1:37" ht="14">
      <c r="A38" s="22" t="s">
        <v>192</v>
      </c>
      <c r="B38" s="189">
        <v>18020784</v>
      </c>
      <c r="C38" s="189">
        <v>18122510</v>
      </c>
      <c r="D38" s="189">
        <v>18246653</v>
      </c>
      <c r="E38" s="189">
        <v>18374954</v>
      </c>
      <c r="F38" s="189">
        <v>18459470</v>
      </c>
      <c r="G38" s="189">
        <v>18524104</v>
      </c>
      <c r="H38" s="189">
        <v>18588460</v>
      </c>
      <c r="I38" s="189">
        <v>18656546</v>
      </c>
      <c r="J38" s="189">
        <v>18755906</v>
      </c>
      <c r="K38" s="189">
        <v>18882725</v>
      </c>
      <c r="L38" s="189">
        <v>19001780</v>
      </c>
      <c r="M38" s="189">
        <v>19082838</v>
      </c>
      <c r="N38" s="189">
        <v>19137800</v>
      </c>
      <c r="O38" s="189">
        <v>19175939</v>
      </c>
      <c r="P38" s="189">
        <v>19171567</v>
      </c>
      <c r="Q38" s="189">
        <v>19132610</v>
      </c>
      <c r="R38" s="189">
        <v>19104631</v>
      </c>
      <c r="S38" s="189">
        <v>19132335</v>
      </c>
      <c r="T38" s="189">
        <v>19212436</v>
      </c>
      <c r="U38" s="189">
        <v>19307066</v>
      </c>
      <c r="V38" s="189">
        <v>19399956</v>
      </c>
      <c r="W38" s="189">
        <v>19499921</v>
      </c>
      <c r="X38" s="189">
        <v>19574362</v>
      </c>
      <c r="Y38" s="189">
        <v>19626488</v>
      </c>
      <c r="Z38" s="189">
        <v>19653431</v>
      </c>
      <c r="AA38" s="189">
        <v>19657321</v>
      </c>
      <c r="AB38" s="189">
        <v>19636391</v>
      </c>
      <c r="AC38" s="189">
        <v>19593849</v>
      </c>
      <c r="AD38" s="189">
        <v>19544098</v>
      </c>
      <c r="AE38" s="189">
        <v>19463131</v>
      </c>
      <c r="AF38" s="189">
        <v>20154933</v>
      </c>
      <c r="AG38" s="189">
        <v>19835913</v>
      </c>
      <c r="AH38" s="189"/>
      <c r="AI38" s="189"/>
      <c r="AJ38" s="189"/>
      <c r="AK38" s="189"/>
    </row>
    <row r="39" spans="1:37" ht="14">
      <c r="A39" s="22" t="s">
        <v>193</v>
      </c>
      <c r="B39" s="189">
        <v>6664016</v>
      </c>
      <c r="C39" s="189">
        <v>6784280</v>
      </c>
      <c r="D39" s="189">
        <v>6897214</v>
      </c>
      <c r="E39" s="189">
        <v>7042818</v>
      </c>
      <c r="F39" s="189">
        <v>7187398</v>
      </c>
      <c r="G39" s="189">
        <v>7344674</v>
      </c>
      <c r="H39" s="189">
        <v>7500670</v>
      </c>
      <c r="I39" s="189">
        <v>7656825</v>
      </c>
      <c r="J39" s="189">
        <v>7809121</v>
      </c>
      <c r="K39" s="189">
        <v>7949361</v>
      </c>
      <c r="L39" s="189">
        <v>8081614</v>
      </c>
      <c r="M39" s="189">
        <v>8210122</v>
      </c>
      <c r="N39" s="189">
        <v>8326201</v>
      </c>
      <c r="O39" s="189">
        <v>8422501</v>
      </c>
      <c r="P39" s="189">
        <v>8553152</v>
      </c>
      <c r="Q39" s="189">
        <v>8705407</v>
      </c>
      <c r="R39" s="189">
        <v>8917270</v>
      </c>
      <c r="S39" s="189">
        <v>9118037</v>
      </c>
      <c r="T39" s="189">
        <v>9309449</v>
      </c>
      <c r="U39" s="189">
        <v>9449566</v>
      </c>
      <c r="V39" s="189">
        <v>9574586</v>
      </c>
      <c r="W39" s="189">
        <v>9658913</v>
      </c>
      <c r="X39" s="189">
        <v>9751810</v>
      </c>
      <c r="Y39" s="189">
        <v>9846717</v>
      </c>
      <c r="Z39" s="189">
        <v>9937295</v>
      </c>
      <c r="AA39" s="189">
        <v>10037218</v>
      </c>
      <c r="AB39" s="189">
        <v>10161802</v>
      </c>
      <c r="AC39" s="189">
        <v>10275758</v>
      </c>
      <c r="AD39" s="189">
        <v>10391358</v>
      </c>
      <c r="AE39" s="189">
        <v>10501384</v>
      </c>
      <c r="AF39" s="189">
        <v>10457177</v>
      </c>
      <c r="AG39" s="189">
        <v>10551162</v>
      </c>
      <c r="AH39" s="189"/>
      <c r="AI39" s="189"/>
      <c r="AJ39" s="189"/>
      <c r="AK39" s="189"/>
    </row>
    <row r="40" spans="1:37" ht="14">
      <c r="A40" s="22" t="s">
        <v>194</v>
      </c>
      <c r="B40" s="189">
        <v>637685</v>
      </c>
      <c r="C40" s="189">
        <v>635753</v>
      </c>
      <c r="D40" s="189">
        <v>638223</v>
      </c>
      <c r="E40" s="189">
        <v>641216</v>
      </c>
      <c r="F40" s="189">
        <v>644804</v>
      </c>
      <c r="G40" s="189">
        <v>647832</v>
      </c>
      <c r="H40" s="189">
        <v>650382</v>
      </c>
      <c r="I40" s="189">
        <v>649716</v>
      </c>
      <c r="J40" s="189">
        <v>647532</v>
      </c>
      <c r="K40" s="189">
        <v>644259</v>
      </c>
      <c r="L40" s="189">
        <v>642023</v>
      </c>
      <c r="M40" s="189">
        <v>639062</v>
      </c>
      <c r="N40" s="189">
        <v>638168</v>
      </c>
      <c r="O40" s="189">
        <v>638817</v>
      </c>
      <c r="P40" s="189">
        <v>644705</v>
      </c>
      <c r="Q40" s="189">
        <v>646089</v>
      </c>
      <c r="R40" s="189">
        <v>649422</v>
      </c>
      <c r="S40" s="189">
        <v>652822</v>
      </c>
      <c r="T40" s="189">
        <v>657569</v>
      </c>
      <c r="U40" s="189">
        <v>664968</v>
      </c>
      <c r="V40" s="189">
        <v>674752</v>
      </c>
      <c r="W40" s="189">
        <v>685526</v>
      </c>
      <c r="X40" s="189">
        <v>702227</v>
      </c>
      <c r="Y40" s="189">
        <v>723149</v>
      </c>
      <c r="Z40" s="189">
        <v>738736</v>
      </c>
      <c r="AA40" s="189">
        <v>755537</v>
      </c>
      <c r="AB40" s="189">
        <v>756114</v>
      </c>
      <c r="AC40" s="189">
        <v>756755</v>
      </c>
      <c r="AD40" s="189">
        <v>760062</v>
      </c>
      <c r="AE40" s="189">
        <v>763724</v>
      </c>
      <c r="AF40" s="189">
        <v>778962</v>
      </c>
      <c r="AG40" s="189">
        <v>774948</v>
      </c>
      <c r="AH40" s="189"/>
      <c r="AI40" s="189"/>
      <c r="AJ40" s="189"/>
      <c r="AK40" s="189"/>
    </row>
    <row r="41" spans="1:37" ht="14">
      <c r="A41" s="22" t="s">
        <v>195</v>
      </c>
      <c r="B41" s="189">
        <v>10864162</v>
      </c>
      <c r="C41" s="189">
        <v>10945762</v>
      </c>
      <c r="D41" s="189">
        <v>11029431</v>
      </c>
      <c r="E41" s="189">
        <v>11101140</v>
      </c>
      <c r="F41" s="189">
        <v>11152454</v>
      </c>
      <c r="G41" s="189">
        <v>11202751</v>
      </c>
      <c r="H41" s="189">
        <v>11242827</v>
      </c>
      <c r="I41" s="189">
        <v>11277357</v>
      </c>
      <c r="J41" s="189">
        <v>11311536</v>
      </c>
      <c r="K41" s="189">
        <v>11335454</v>
      </c>
      <c r="L41" s="189">
        <v>11363543</v>
      </c>
      <c r="M41" s="189">
        <v>11387404</v>
      </c>
      <c r="N41" s="189">
        <v>11407889</v>
      </c>
      <c r="O41" s="189">
        <v>11434788</v>
      </c>
      <c r="P41" s="189">
        <v>11452251</v>
      </c>
      <c r="Q41" s="189">
        <v>11463320</v>
      </c>
      <c r="R41" s="189">
        <v>11481213</v>
      </c>
      <c r="S41" s="189">
        <v>11500468</v>
      </c>
      <c r="T41" s="189">
        <v>11515391</v>
      </c>
      <c r="U41" s="189">
        <v>11528896</v>
      </c>
      <c r="V41" s="189">
        <v>11539449</v>
      </c>
      <c r="W41" s="189">
        <v>11545735</v>
      </c>
      <c r="X41" s="189">
        <v>11550971</v>
      </c>
      <c r="Y41" s="189">
        <v>11579692</v>
      </c>
      <c r="Z41" s="189">
        <v>11606573</v>
      </c>
      <c r="AA41" s="189">
        <v>11622315</v>
      </c>
      <c r="AB41" s="189">
        <v>11640060</v>
      </c>
      <c r="AC41" s="189">
        <v>11665706</v>
      </c>
      <c r="AD41" s="189">
        <v>11680892</v>
      </c>
      <c r="AE41" s="189">
        <v>11696507</v>
      </c>
      <c r="AF41" s="189">
        <v>11790587</v>
      </c>
      <c r="AG41" s="189">
        <v>11780017</v>
      </c>
      <c r="AH41" s="189"/>
      <c r="AI41" s="189"/>
      <c r="AJ41" s="189"/>
      <c r="AK41" s="189"/>
    </row>
    <row r="42" spans="1:37" ht="14">
      <c r="A42" s="22" t="s">
        <v>196</v>
      </c>
      <c r="B42" s="189">
        <v>3148825</v>
      </c>
      <c r="C42" s="189">
        <v>3175440</v>
      </c>
      <c r="D42" s="189">
        <v>3220517</v>
      </c>
      <c r="E42" s="189">
        <v>3252285</v>
      </c>
      <c r="F42" s="189">
        <v>3280940</v>
      </c>
      <c r="G42" s="189">
        <v>3308208</v>
      </c>
      <c r="H42" s="189">
        <v>3340129</v>
      </c>
      <c r="I42" s="189">
        <v>3372917</v>
      </c>
      <c r="J42" s="189">
        <v>3405194</v>
      </c>
      <c r="K42" s="189">
        <v>3437147</v>
      </c>
      <c r="L42" s="189">
        <v>3454365</v>
      </c>
      <c r="M42" s="189">
        <v>3467100</v>
      </c>
      <c r="N42" s="189">
        <v>3489080</v>
      </c>
      <c r="O42" s="189">
        <v>3504892</v>
      </c>
      <c r="P42" s="189">
        <v>3525233</v>
      </c>
      <c r="Q42" s="189">
        <v>3548597</v>
      </c>
      <c r="R42" s="189">
        <v>3594090</v>
      </c>
      <c r="S42" s="189">
        <v>3634349</v>
      </c>
      <c r="T42" s="189">
        <v>3668976</v>
      </c>
      <c r="U42" s="189">
        <v>3717572</v>
      </c>
      <c r="V42" s="189">
        <v>3760014</v>
      </c>
      <c r="W42" s="189">
        <v>3788824</v>
      </c>
      <c r="X42" s="189">
        <v>3819320</v>
      </c>
      <c r="Y42" s="189">
        <v>3853891</v>
      </c>
      <c r="Z42" s="189">
        <v>3879187</v>
      </c>
      <c r="AA42" s="189">
        <v>3910518</v>
      </c>
      <c r="AB42" s="189">
        <v>3928143</v>
      </c>
      <c r="AC42" s="189">
        <v>3933602</v>
      </c>
      <c r="AD42" s="189">
        <v>3943488</v>
      </c>
      <c r="AE42" s="189">
        <v>3960676</v>
      </c>
      <c r="AF42" s="189">
        <v>3962031</v>
      </c>
      <c r="AG42" s="189">
        <v>3986639</v>
      </c>
      <c r="AH42" s="189"/>
      <c r="AI42" s="189"/>
      <c r="AJ42" s="189"/>
      <c r="AK42" s="189"/>
    </row>
    <row r="43" spans="1:37" ht="14">
      <c r="A43" s="22" t="s">
        <v>197</v>
      </c>
      <c r="B43" s="189">
        <v>2860375</v>
      </c>
      <c r="C43" s="189">
        <v>2928507</v>
      </c>
      <c r="D43" s="189">
        <v>2991755</v>
      </c>
      <c r="E43" s="189">
        <v>3060367</v>
      </c>
      <c r="F43" s="189">
        <v>3121264</v>
      </c>
      <c r="G43" s="189">
        <v>3184369</v>
      </c>
      <c r="H43" s="189">
        <v>3247111</v>
      </c>
      <c r="I43" s="189">
        <v>3304310</v>
      </c>
      <c r="J43" s="189">
        <v>3352449</v>
      </c>
      <c r="K43" s="189">
        <v>3393941</v>
      </c>
      <c r="L43" s="189">
        <v>3429708</v>
      </c>
      <c r="M43" s="189">
        <v>3467937</v>
      </c>
      <c r="N43" s="189">
        <v>3513424</v>
      </c>
      <c r="O43" s="189">
        <v>3547376</v>
      </c>
      <c r="P43" s="189">
        <v>3569463</v>
      </c>
      <c r="Q43" s="189">
        <v>3613202</v>
      </c>
      <c r="R43" s="189">
        <v>3670883</v>
      </c>
      <c r="S43" s="189">
        <v>3722417</v>
      </c>
      <c r="T43" s="189">
        <v>3768748</v>
      </c>
      <c r="U43" s="189">
        <v>3808600</v>
      </c>
      <c r="V43" s="189">
        <v>3837614</v>
      </c>
      <c r="W43" s="189">
        <v>3872672</v>
      </c>
      <c r="X43" s="189">
        <v>3900102</v>
      </c>
      <c r="Y43" s="189">
        <v>3924110</v>
      </c>
      <c r="Z43" s="189">
        <v>3965447</v>
      </c>
      <c r="AA43" s="189">
        <v>4018542</v>
      </c>
      <c r="AB43" s="189">
        <v>4093271</v>
      </c>
      <c r="AC43" s="189">
        <v>4147294</v>
      </c>
      <c r="AD43" s="189">
        <v>4183538</v>
      </c>
      <c r="AE43" s="189">
        <v>4216116</v>
      </c>
      <c r="AF43" s="189">
        <v>4241544</v>
      </c>
      <c r="AG43" s="189">
        <v>4246155</v>
      </c>
      <c r="AH43" s="189"/>
      <c r="AI43" s="189"/>
      <c r="AJ43" s="189"/>
      <c r="AK43" s="189"/>
    </row>
    <row r="44" spans="1:37" ht="14">
      <c r="A44" s="22" t="s">
        <v>198</v>
      </c>
      <c r="B44" s="189">
        <v>11903299</v>
      </c>
      <c r="C44" s="189">
        <v>11982164</v>
      </c>
      <c r="D44" s="189">
        <v>12049450</v>
      </c>
      <c r="E44" s="189">
        <v>12119724</v>
      </c>
      <c r="F44" s="189">
        <v>12166050</v>
      </c>
      <c r="G44" s="189">
        <v>12198403</v>
      </c>
      <c r="H44" s="189">
        <v>12220464</v>
      </c>
      <c r="I44" s="189">
        <v>12227814</v>
      </c>
      <c r="J44" s="189">
        <v>12245672</v>
      </c>
      <c r="K44" s="189">
        <v>12263805</v>
      </c>
      <c r="L44" s="189">
        <v>12284173</v>
      </c>
      <c r="M44" s="189">
        <v>12298970</v>
      </c>
      <c r="N44" s="189">
        <v>12331031</v>
      </c>
      <c r="O44" s="189">
        <v>12374658</v>
      </c>
      <c r="P44" s="189">
        <v>12410722</v>
      </c>
      <c r="Q44" s="189">
        <v>12449990</v>
      </c>
      <c r="R44" s="189">
        <v>12510809</v>
      </c>
      <c r="S44" s="189">
        <v>12563937</v>
      </c>
      <c r="T44" s="189">
        <v>12612285</v>
      </c>
      <c r="U44" s="189">
        <v>12666858</v>
      </c>
      <c r="V44" s="189">
        <v>12711406</v>
      </c>
      <c r="W44" s="189">
        <v>12747052</v>
      </c>
      <c r="X44" s="189">
        <v>12769123</v>
      </c>
      <c r="Y44" s="189">
        <v>12779538</v>
      </c>
      <c r="Z44" s="189">
        <v>12792392</v>
      </c>
      <c r="AA44" s="189">
        <v>12789838</v>
      </c>
      <c r="AB44" s="189">
        <v>12788468</v>
      </c>
      <c r="AC44" s="189">
        <v>12794679</v>
      </c>
      <c r="AD44" s="189">
        <v>12809107</v>
      </c>
      <c r="AE44" s="189">
        <v>12798883</v>
      </c>
      <c r="AF44" s="189">
        <v>12989625</v>
      </c>
      <c r="AG44" s="189">
        <v>12964056</v>
      </c>
      <c r="AH44" s="189"/>
      <c r="AI44" s="189"/>
      <c r="AJ44" s="189"/>
      <c r="AK44" s="189"/>
    </row>
    <row r="45" spans="1:37" ht="14">
      <c r="A45" s="22" t="s">
        <v>199</v>
      </c>
      <c r="B45" s="189">
        <v>1005995</v>
      </c>
      <c r="C45" s="189">
        <v>1010649</v>
      </c>
      <c r="D45" s="189">
        <v>1012581</v>
      </c>
      <c r="E45" s="189">
        <v>1015112</v>
      </c>
      <c r="F45" s="189">
        <v>1015960</v>
      </c>
      <c r="G45" s="189">
        <v>1017002</v>
      </c>
      <c r="H45" s="189">
        <v>1020893</v>
      </c>
      <c r="I45" s="189">
        <v>1025353</v>
      </c>
      <c r="J45" s="189">
        <v>1031155</v>
      </c>
      <c r="K45" s="189">
        <v>1040402</v>
      </c>
      <c r="L45" s="189">
        <v>1050268</v>
      </c>
      <c r="M45" s="189">
        <v>1057142</v>
      </c>
      <c r="N45" s="189">
        <v>1065995</v>
      </c>
      <c r="O45" s="189">
        <v>1071342</v>
      </c>
      <c r="P45" s="189">
        <v>1074579</v>
      </c>
      <c r="Q45" s="189">
        <v>1067916</v>
      </c>
      <c r="R45" s="189">
        <v>1063096</v>
      </c>
      <c r="S45" s="189">
        <v>1057315</v>
      </c>
      <c r="T45" s="189">
        <v>1055003</v>
      </c>
      <c r="U45" s="189">
        <v>1053646</v>
      </c>
      <c r="V45" s="189">
        <v>1053994</v>
      </c>
      <c r="W45" s="189">
        <v>1053829</v>
      </c>
      <c r="X45" s="189">
        <v>1054893</v>
      </c>
      <c r="Y45" s="189">
        <v>1055560</v>
      </c>
      <c r="Z45" s="189">
        <v>1056511</v>
      </c>
      <c r="AA45" s="189">
        <v>1056886</v>
      </c>
      <c r="AB45" s="189">
        <v>1057816</v>
      </c>
      <c r="AC45" s="189">
        <v>1056554</v>
      </c>
      <c r="AD45" s="189">
        <v>1059338</v>
      </c>
      <c r="AE45" s="189">
        <v>1058158</v>
      </c>
      <c r="AF45" s="189">
        <v>1096229</v>
      </c>
      <c r="AG45" s="189">
        <v>1095610</v>
      </c>
      <c r="AH45" s="189"/>
      <c r="AI45" s="189"/>
      <c r="AJ45" s="189"/>
      <c r="AK45" s="189"/>
    </row>
    <row r="46" spans="1:37" ht="14">
      <c r="A46" s="22" t="s">
        <v>200</v>
      </c>
      <c r="B46" s="189">
        <v>3501155</v>
      </c>
      <c r="C46" s="189">
        <v>3570404</v>
      </c>
      <c r="D46" s="189">
        <v>3620464</v>
      </c>
      <c r="E46" s="189">
        <v>3663314</v>
      </c>
      <c r="F46" s="189">
        <v>3705397</v>
      </c>
      <c r="G46" s="189">
        <v>3748582</v>
      </c>
      <c r="H46" s="189">
        <v>3796200</v>
      </c>
      <c r="I46" s="189">
        <v>3859696</v>
      </c>
      <c r="J46" s="189">
        <v>3919235</v>
      </c>
      <c r="K46" s="189">
        <v>3974682</v>
      </c>
      <c r="L46" s="189">
        <v>4024223</v>
      </c>
      <c r="M46" s="189">
        <v>4064995</v>
      </c>
      <c r="N46" s="189">
        <v>4107795</v>
      </c>
      <c r="O46" s="189">
        <v>4150297</v>
      </c>
      <c r="P46" s="189">
        <v>4210921</v>
      </c>
      <c r="Q46" s="189">
        <v>4270150</v>
      </c>
      <c r="R46" s="189">
        <v>4357847</v>
      </c>
      <c r="S46" s="189">
        <v>4444110</v>
      </c>
      <c r="T46" s="189">
        <v>4528996</v>
      </c>
      <c r="U46" s="189">
        <v>4589872</v>
      </c>
      <c r="V46" s="189">
        <v>4635846</v>
      </c>
      <c r="W46" s="189">
        <v>4672655</v>
      </c>
      <c r="X46" s="189">
        <v>4719027</v>
      </c>
      <c r="Y46" s="189">
        <v>4766469</v>
      </c>
      <c r="Z46" s="189">
        <v>4826858</v>
      </c>
      <c r="AA46" s="189">
        <v>4896006</v>
      </c>
      <c r="AB46" s="189">
        <v>4963031</v>
      </c>
      <c r="AC46" s="189">
        <v>5027102</v>
      </c>
      <c r="AD46" s="189">
        <v>5091702</v>
      </c>
      <c r="AE46" s="189">
        <v>5157702</v>
      </c>
      <c r="AF46" s="189">
        <v>5130729</v>
      </c>
      <c r="AG46" s="189">
        <v>5190705</v>
      </c>
      <c r="AH46" s="189"/>
      <c r="AI46" s="189"/>
      <c r="AJ46" s="189"/>
      <c r="AK46" s="189"/>
    </row>
    <row r="47" spans="1:37" ht="14">
      <c r="A47" s="22" t="s">
        <v>201</v>
      </c>
      <c r="B47" s="189">
        <v>697101</v>
      </c>
      <c r="C47" s="189">
        <v>703669</v>
      </c>
      <c r="D47" s="189">
        <v>712801</v>
      </c>
      <c r="E47" s="189">
        <v>722159</v>
      </c>
      <c r="F47" s="189">
        <v>730790</v>
      </c>
      <c r="G47" s="189">
        <v>737925</v>
      </c>
      <c r="H47" s="189">
        <v>742213</v>
      </c>
      <c r="I47" s="189">
        <v>744223</v>
      </c>
      <c r="J47" s="189">
        <v>746058</v>
      </c>
      <c r="K47" s="189">
        <v>750412</v>
      </c>
      <c r="L47" s="189">
        <v>755844</v>
      </c>
      <c r="M47" s="189">
        <v>757972</v>
      </c>
      <c r="N47" s="189">
        <v>760020</v>
      </c>
      <c r="O47" s="189">
        <v>763729</v>
      </c>
      <c r="P47" s="189">
        <v>770396</v>
      </c>
      <c r="Q47" s="189">
        <v>775493</v>
      </c>
      <c r="R47" s="189">
        <v>783033</v>
      </c>
      <c r="S47" s="189">
        <v>791623</v>
      </c>
      <c r="T47" s="189">
        <v>799124</v>
      </c>
      <c r="U47" s="189">
        <v>807067</v>
      </c>
      <c r="V47" s="189">
        <v>816193</v>
      </c>
      <c r="W47" s="189">
        <v>823740</v>
      </c>
      <c r="X47" s="189">
        <v>833859</v>
      </c>
      <c r="Y47" s="189">
        <v>842751</v>
      </c>
      <c r="Z47" s="189">
        <v>849670</v>
      </c>
      <c r="AA47" s="189">
        <v>854663</v>
      </c>
      <c r="AB47" s="189">
        <v>863693</v>
      </c>
      <c r="AC47" s="189">
        <v>873732</v>
      </c>
      <c r="AD47" s="189">
        <v>879386</v>
      </c>
      <c r="AE47" s="189">
        <v>887127</v>
      </c>
      <c r="AF47" s="189">
        <v>887099</v>
      </c>
      <c r="AG47" s="189">
        <v>895376</v>
      </c>
      <c r="AH47" s="189"/>
      <c r="AI47" s="189"/>
      <c r="AJ47" s="189"/>
      <c r="AK47" s="189"/>
    </row>
    <row r="48" spans="1:37" ht="14">
      <c r="A48" s="22" t="s">
        <v>202</v>
      </c>
      <c r="B48" s="189">
        <v>4894492</v>
      </c>
      <c r="C48" s="189">
        <v>4966587</v>
      </c>
      <c r="D48" s="189">
        <v>5049742</v>
      </c>
      <c r="E48" s="189">
        <v>5137584</v>
      </c>
      <c r="F48" s="189">
        <v>5231438</v>
      </c>
      <c r="G48" s="189">
        <v>5326936</v>
      </c>
      <c r="H48" s="189">
        <v>5416643</v>
      </c>
      <c r="I48" s="189">
        <v>5499233</v>
      </c>
      <c r="J48" s="189">
        <v>5570045</v>
      </c>
      <c r="K48" s="189">
        <v>5638706</v>
      </c>
      <c r="L48" s="189">
        <v>5703719</v>
      </c>
      <c r="M48" s="189">
        <v>5750789</v>
      </c>
      <c r="N48" s="189">
        <v>5795918</v>
      </c>
      <c r="O48" s="189">
        <v>5847812</v>
      </c>
      <c r="P48" s="189">
        <v>5910809</v>
      </c>
      <c r="Q48" s="189">
        <v>5991057</v>
      </c>
      <c r="R48" s="189">
        <v>6088766</v>
      </c>
      <c r="S48" s="189">
        <v>6175727</v>
      </c>
      <c r="T48" s="189">
        <v>6247411</v>
      </c>
      <c r="U48" s="189">
        <v>6306019</v>
      </c>
      <c r="V48" s="189">
        <v>6355518</v>
      </c>
      <c r="W48" s="189">
        <v>6400298</v>
      </c>
      <c r="X48" s="189">
        <v>6455752</v>
      </c>
      <c r="Y48" s="189">
        <v>6496943</v>
      </c>
      <c r="Z48" s="189">
        <v>6544617</v>
      </c>
      <c r="AA48" s="189">
        <v>6595354</v>
      </c>
      <c r="AB48" s="189">
        <v>6651277</v>
      </c>
      <c r="AC48" s="189">
        <v>6714748</v>
      </c>
      <c r="AD48" s="189">
        <v>6778180</v>
      </c>
      <c r="AE48" s="189">
        <v>6830325</v>
      </c>
      <c r="AF48" s="189">
        <v>6920119</v>
      </c>
      <c r="AG48" s="189">
        <v>6975218</v>
      </c>
      <c r="AH48" s="189"/>
      <c r="AI48" s="189"/>
      <c r="AJ48" s="189"/>
      <c r="AK48" s="189"/>
    </row>
    <row r="49" spans="1:37" ht="14">
      <c r="A49" s="22" t="s">
        <v>203</v>
      </c>
      <c r="B49" s="189">
        <v>17056755</v>
      </c>
      <c r="C49" s="189">
        <v>17398005</v>
      </c>
      <c r="D49" s="189">
        <v>17759738</v>
      </c>
      <c r="E49" s="189">
        <v>18161612</v>
      </c>
      <c r="F49" s="189">
        <v>18564062</v>
      </c>
      <c r="G49" s="189">
        <v>18958751</v>
      </c>
      <c r="H49" s="189">
        <v>19340342</v>
      </c>
      <c r="I49" s="189">
        <v>19740317</v>
      </c>
      <c r="J49" s="189">
        <v>20157531</v>
      </c>
      <c r="K49" s="189">
        <v>20558220</v>
      </c>
      <c r="L49" s="189">
        <v>20944499</v>
      </c>
      <c r="M49" s="189">
        <v>21319622</v>
      </c>
      <c r="N49" s="189">
        <v>21690325</v>
      </c>
      <c r="O49" s="189">
        <v>22030931</v>
      </c>
      <c r="P49" s="189">
        <v>22394023</v>
      </c>
      <c r="Q49" s="189">
        <v>22778123</v>
      </c>
      <c r="R49" s="189">
        <v>23359580</v>
      </c>
      <c r="S49" s="189">
        <v>23831983</v>
      </c>
      <c r="T49" s="189">
        <v>24309039</v>
      </c>
      <c r="U49" s="189">
        <v>24801761</v>
      </c>
      <c r="V49" s="189">
        <v>25241897</v>
      </c>
      <c r="W49" s="189">
        <v>25645504</v>
      </c>
      <c r="X49" s="189">
        <v>26084120</v>
      </c>
      <c r="Y49" s="189">
        <v>26479646</v>
      </c>
      <c r="Z49" s="189">
        <v>26963092</v>
      </c>
      <c r="AA49" s="189">
        <v>27468531</v>
      </c>
      <c r="AB49" s="189">
        <v>27914064</v>
      </c>
      <c r="AC49" s="189">
        <v>28291024</v>
      </c>
      <c r="AD49" s="189">
        <v>28624564</v>
      </c>
      <c r="AE49" s="189">
        <v>28986794</v>
      </c>
      <c r="AF49" s="189">
        <v>29217653</v>
      </c>
      <c r="AG49" s="189">
        <v>29527941</v>
      </c>
      <c r="AH49" s="189"/>
      <c r="AI49" s="189"/>
      <c r="AJ49" s="189"/>
      <c r="AK49" s="189"/>
    </row>
    <row r="50" spans="1:37" ht="14">
      <c r="A50" s="22" t="s">
        <v>204</v>
      </c>
      <c r="B50" s="189">
        <v>1731223</v>
      </c>
      <c r="C50" s="189">
        <v>1779780</v>
      </c>
      <c r="D50" s="189">
        <v>1836799</v>
      </c>
      <c r="E50" s="189">
        <v>1898404</v>
      </c>
      <c r="F50" s="189">
        <v>1960446</v>
      </c>
      <c r="G50" s="189">
        <v>2014177</v>
      </c>
      <c r="H50" s="189">
        <v>2067976</v>
      </c>
      <c r="I50" s="189">
        <v>2119784</v>
      </c>
      <c r="J50" s="189">
        <v>2165960</v>
      </c>
      <c r="K50" s="189">
        <v>2203482</v>
      </c>
      <c r="L50" s="189">
        <v>2244502</v>
      </c>
      <c r="M50" s="189">
        <v>2283715</v>
      </c>
      <c r="N50" s="189">
        <v>2324815</v>
      </c>
      <c r="O50" s="189">
        <v>2360137</v>
      </c>
      <c r="P50" s="189">
        <v>2401580</v>
      </c>
      <c r="Q50" s="189">
        <v>2457719</v>
      </c>
      <c r="R50" s="189">
        <v>2525507</v>
      </c>
      <c r="S50" s="189">
        <v>2597746</v>
      </c>
      <c r="T50" s="189">
        <v>2663029</v>
      </c>
      <c r="U50" s="189">
        <v>2723421</v>
      </c>
      <c r="V50" s="189">
        <v>2775413</v>
      </c>
      <c r="W50" s="189">
        <v>2814797</v>
      </c>
      <c r="X50" s="189">
        <v>2854146</v>
      </c>
      <c r="Y50" s="189">
        <v>2898773</v>
      </c>
      <c r="Z50" s="189">
        <v>2938327</v>
      </c>
      <c r="AA50" s="189">
        <v>2983626</v>
      </c>
      <c r="AB50" s="189">
        <v>3044241</v>
      </c>
      <c r="AC50" s="189">
        <v>3103540</v>
      </c>
      <c r="AD50" s="189">
        <v>3155153</v>
      </c>
      <c r="AE50" s="189">
        <v>3203383</v>
      </c>
      <c r="AF50" s="189">
        <v>3281684</v>
      </c>
      <c r="AG50" s="189">
        <v>3337975</v>
      </c>
      <c r="AH50" s="189"/>
      <c r="AI50" s="189"/>
      <c r="AJ50" s="189"/>
      <c r="AK50" s="189"/>
    </row>
    <row r="51" spans="1:37" ht="14">
      <c r="A51" s="22" t="s">
        <v>205</v>
      </c>
      <c r="B51" s="189">
        <v>564798</v>
      </c>
      <c r="C51" s="189">
        <v>568606</v>
      </c>
      <c r="D51" s="189">
        <v>572751</v>
      </c>
      <c r="E51" s="189">
        <v>577748</v>
      </c>
      <c r="F51" s="189">
        <v>583836</v>
      </c>
      <c r="G51" s="189">
        <v>589002</v>
      </c>
      <c r="H51" s="189">
        <v>593701</v>
      </c>
      <c r="I51" s="189">
        <v>597239</v>
      </c>
      <c r="J51" s="189">
        <v>600416</v>
      </c>
      <c r="K51" s="189">
        <v>604683</v>
      </c>
      <c r="L51" s="189">
        <v>609618</v>
      </c>
      <c r="M51" s="189">
        <v>612223</v>
      </c>
      <c r="N51" s="189">
        <v>615442</v>
      </c>
      <c r="O51" s="189">
        <v>617858</v>
      </c>
      <c r="P51" s="189">
        <v>619920</v>
      </c>
      <c r="Q51" s="189">
        <v>621215</v>
      </c>
      <c r="R51" s="189">
        <v>622892</v>
      </c>
      <c r="S51" s="189">
        <v>623481</v>
      </c>
      <c r="T51" s="189">
        <v>624151</v>
      </c>
      <c r="U51" s="189">
        <v>624817</v>
      </c>
      <c r="V51" s="189">
        <v>625886</v>
      </c>
      <c r="W51" s="189">
        <v>627197</v>
      </c>
      <c r="X51" s="189">
        <v>626361</v>
      </c>
      <c r="Y51" s="189">
        <v>626603</v>
      </c>
      <c r="Z51" s="189">
        <v>625693</v>
      </c>
      <c r="AA51" s="189">
        <v>625810</v>
      </c>
      <c r="AB51" s="189">
        <v>624366</v>
      </c>
      <c r="AC51" s="189">
        <v>625132</v>
      </c>
      <c r="AD51" s="189">
        <v>624802</v>
      </c>
      <c r="AE51" s="189">
        <v>624046</v>
      </c>
      <c r="AF51" s="189">
        <v>642495</v>
      </c>
      <c r="AG51" s="189">
        <v>645570</v>
      </c>
      <c r="AH51" s="189"/>
      <c r="AI51" s="189"/>
      <c r="AJ51" s="189"/>
      <c r="AK51" s="189"/>
    </row>
    <row r="52" spans="1:37" ht="14">
      <c r="A52" s="22" t="s">
        <v>206</v>
      </c>
      <c r="B52" s="189">
        <v>6216884</v>
      </c>
      <c r="C52" s="189">
        <v>6301217</v>
      </c>
      <c r="D52" s="189">
        <v>6414307</v>
      </c>
      <c r="E52" s="189">
        <v>6509630</v>
      </c>
      <c r="F52" s="189">
        <v>6593139</v>
      </c>
      <c r="G52" s="189">
        <v>6670693</v>
      </c>
      <c r="H52" s="189">
        <v>6750884</v>
      </c>
      <c r="I52" s="189">
        <v>6829183</v>
      </c>
      <c r="J52" s="189">
        <v>6900918</v>
      </c>
      <c r="K52" s="189">
        <v>7000174</v>
      </c>
      <c r="L52" s="189">
        <v>7105817</v>
      </c>
      <c r="M52" s="189">
        <v>7198362</v>
      </c>
      <c r="N52" s="189">
        <v>7286873</v>
      </c>
      <c r="O52" s="189">
        <v>7366977</v>
      </c>
      <c r="P52" s="189">
        <v>7475575</v>
      </c>
      <c r="Q52" s="189">
        <v>7577105</v>
      </c>
      <c r="R52" s="189">
        <v>7673725</v>
      </c>
      <c r="S52" s="189">
        <v>7751000</v>
      </c>
      <c r="T52" s="189">
        <v>7833496</v>
      </c>
      <c r="U52" s="189">
        <v>7925937</v>
      </c>
      <c r="V52" s="189">
        <v>8024004</v>
      </c>
      <c r="W52" s="189">
        <v>8102437</v>
      </c>
      <c r="X52" s="189">
        <v>8187456</v>
      </c>
      <c r="Y52" s="189">
        <v>8255861</v>
      </c>
      <c r="Z52" s="189">
        <v>8315430</v>
      </c>
      <c r="AA52" s="189">
        <v>8367303</v>
      </c>
      <c r="AB52" s="189">
        <v>8417651</v>
      </c>
      <c r="AC52" s="189">
        <v>8471011</v>
      </c>
      <c r="AD52" s="189">
        <v>8510920</v>
      </c>
      <c r="AE52" s="189">
        <v>8556642</v>
      </c>
      <c r="AF52" s="189">
        <v>8632044</v>
      </c>
      <c r="AG52" s="189">
        <v>8642274</v>
      </c>
      <c r="AH52" s="189"/>
      <c r="AI52" s="189"/>
      <c r="AJ52" s="189"/>
      <c r="AK52" s="189"/>
    </row>
    <row r="53" spans="1:37" ht="14">
      <c r="A53" s="22" t="s">
        <v>207</v>
      </c>
      <c r="B53" s="189">
        <v>4903043</v>
      </c>
      <c r="C53" s="189">
        <v>5025624</v>
      </c>
      <c r="D53" s="189">
        <v>5160757</v>
      </c>
      <c r="E53" s="189">
        <v>5278842</v>
      </c>
      <c r="F53" s="189">
        <v>5375161</v>
      </c>
      <c r="G53" s="189">
        <v>5481027</v>
      </c>
      <c r="H53" s="189">
        <v>5569753</v>
      </c>
      <c r="I53" s="189">
        <v>5674747</v>
      </c>
      <c r="J53" s="189">
        <v>5769562</v>
      </c>
      <c r="K53" s="189">
        <v>5842564</v>
      </c>
      <c r="L53" s="189">
        <v>5910512</v>
      </c>
      <c r="M53" s="189">
        <v>5985722</v>
      </c>
      <c r="N53" s="189">
        <v>6052349</v>
      </c>
      <c r="O53" s="189">
        <v>6104115</v>
      </c>
      <c r="P53" s="189">
        <v>6178645</v>
      </c>
      <c r="Q53" s="189">
        <v>6257305</v>
      </c>
      <c r="R53" s="189">
        <v>6370753</v>
      </c>
      <c r="S53" s="189">
        <v>6461587</v>
      </c>
      <c r="T53" s="189">
        <v>6562231</v>
      </c>
      <c r="U53" s="189">
        <v>6667426</v>
      </c>
      <c r="V53" s="189">
        <v>6743009</v>
      </c>
      <c r="W53" s="189">
        <v>6827479</v>
      </c>
      <c r="X53" s="189">
        <v>6898599</v>
      </c>
      <c r="Y53" s="189">
        <v>6966252</v>
      </c>
      <c r="Z53" s="189">
        <v>7057531</v>
      </c>
      <c r="AA53" s="189">
        <v>7167287</v>
      </c>
      <c r="AB53" s="189">
        <v>7299961</v>
      </c>
      <c r="AC53" s="189">
        <v>7427951</v>
      </c>
      <c r="AD53" s="189">
        <v>7526793</v>
      </c>
      <c r="AE53" s="189">
        <v>7614024</v>
      </c>
      <c r="AF53" s="189">
        <v>7718785</v>
      </c>
      <c r="AG53" s="189">
        <v>7738692</v>
      </c>
      <c r="AH53" s="189"/>
      <c r="AI53" s="189"/>
      <c r="AJ53" s="189"/>
      <c r="AK53" s="189"/>
    </row>
    <row r="54" spans="1:37" ht="14">
      <c r="A54" s="22" t="s">
        <v>208</v>
      </c>
      <c r="B54" s="189">
        <v>1792548</v>
      </c>
      <c r="C54" s="189">
        <v>1798735</v>
      </c>
      <c r="D54" s="189">
        <v>1806451</v>
      </c>
      <c r="E54" s="189">
        <v>1817539</v>
      </c>
      <c r="F54" s="189">
        <v>1820421</v>
      </c>
      <c r="G54" s="189">
        <v>1823700</v>
      </c>
      <c r="H54" s="189">
        <v>1822808</v>
      </c>
      <c r="I54" s="189">
        <v>1819113</v>
      </c>
      <c r="J54" s="189">
        <v>1815609</v>
      </c>
      <c r="K54" s="189">
        <v>1811799</v>
      </c>
      <c r="L54" s="189">
        <v>1807021</v>
      </c>
      <c r="M54" s="189">
        <v>1801481</v>
      </c>
      <c r="N54" s="189">
        <v>1805414</v>
      </c>
      <c r="O54" s="189">
        <v>1812295</v>
      </c>
      <c r="P54" s="189">
        <v>1816438</v>
      </c>
      <c r="Q54" s="189">
        <v>1820492</v>
      </c>
      <c r="R54" s="189">
        <v>1827912</v>
      </c>
      <c r="S54" s="189">
        <v>1834052</v>
      </c>
      <c r="T54" s="189">
        <v>1840310</v>
      </c>
      <c r="U54" s="189">
        <v>1847775</v>
      </c>
      <c r="V54" s="189">
        <v>1854265</v>
      </c>
      <c r="W54" s="189">
        <v>1856606</v>
      </c>
      <c r="X54" s="189">
        <v>1857446</v>
      </c>
      <c r="Y54" s="189">
        <v>1854768</v>
      </c>
      <c r="Z54" s="189">
        <v>1850569</v>
      </c>
      <c r="AA54" s="189">
        <v>1843332</v>
      </c>
      <c r="AB54" s="189">
        <v>1832435</v>
      </c>
      <c r="AC54" s="189">
        <v>1818683</v>
      </c>
      <c r="AD54" s="189">
        <v>1805953</v>
      </c>
      <c r="AE54" s="189">
        <v>1795263</v>
      </c>
      <c r="AF54" s="189">
        <v>1789798</v>
      </c>
      <c r="AG54" s="189">
        <v>1782959</v>
      </c>
      <c r="AH54" s="189"/>
      <c r="AI54" s="189"/>
      <c r="AJ54" s="189"/>
      <c r="AK54" s="189"/>
    </row>
    <row r="55" spans="1:37" ht="14">
      <c r="A55" s="22" t="s">
        <v>209</v>
      </c>
      <c r="B55" s="189">
        <v>4904562</v>
      </c>
      <c r="C55" s="189">
        <v>4964343</v>
      </c>
      <c r="D55" s="189">
        <v>5025398</v>
      </c>
      <c r="E55" s="189">
        <v>5084889</v>
      </c>
      <c r="F55" s="189">
        <v>5133678</v>
      </c>
      <c r="G55" s="189">
        <v>5184836</v>
      </c>
      <c r="H55" s="189">
        <v>5229986</v>
      </c>
      <c r="I55" s="189">
        <v>5266213</v>
      </c>
      <c r="J55" s="189">
        <v>5297672</v>
      </c>
      <c r="K55" s="189">
        <v>5332666</v>
      </c>
      <c r="L55" s="189">
        <v>5373999</v>
      </c>
      <c r="M55" s="189">
        <v>5406835</v>
      </c>
      <c r="N55" s="189">
        <v>5445162</v>
      </c>
      <c r="O55" s="189">
        <v>5479203</v>
      </c>
      <c r="P55" s="189">
        <v>5514026</v>
      </c>
      <c r="Q55" s="189">
        <v>5546166</v>
      </c>
      <c r="R55" s="189">
        <v>5577655</v>
      </c>
      <c r="S55" s="189">
        <v>5610775</v>
      </c>
      <c r="T55" s="189">
        <v>5640996</v>
      </c>
      <c r="U55" s="189">
        <v>5669264</v>
      </c>
      <c r="V55" s="189">
        <v>5690538</v>
      </c>
      <c r="W55" s="189">
        <v>5705840</v>
      </c>
      <c r="X55" s="189">
        <v>5720825</v>
      </c>
      <c r="Y55" s="189">
        <v>5738012</v>
      </c>
      <c r="Z55" s="189">
        <v>5753199</v>
      </c>
      <c r="AA55" s="189">
        <v>5762927</v>
      </c>
      <c r="AB55" s="189">
        <v>5775170</v>
      </c>
      <c r="AC55" s="189">
        <v>5793147</v>
      </c>
      <c r="AD55" s="189">
        <v>5809319</v>
      </c>
      <c r="AE55" s="189">
        <v>5824581</v>
      </c>
      <c r="AF55" s="189">
        <v>5892323</v>
      </c>
      <c r="AG55" s="189">
        <v>5895908</v>
      </c>
      <c r="AH55" s="189"/>
      <c r="AI55" s="189"/>
      <c r="AJ55" s="189"/>
      <c r="AK55" s="189"/>
    </row>
    <row r="56" spans="1:37" ht="14">
      <c r="A56" s="22" t="s">
        <v>210</v>
      </c>
      <c r="B56" s="189">
        <v>453690</v>
      </c>
      <c r="C56" s="189">
        <v>459260</v>
      </c>
      <c r="D56" s="189">
        <v>466251</v>
      </c>
      <c r="E56" s="189">
        <v>473081</v>
      </c>
      <c r="F56" s="189">
        <v>480283</v>
      </c>
      <c r="G56" s="189">
        <v>485160</v>
      </c>
      <c r="H56" s="189">
        <v>488167</v>
      </c>
      <c r="I56" s="189">
        <v>489451</v>
      </c>
      <c r="J56" s="189">
        <v>490787</v>
      </c>
      <c r="K56" s="189">
        <v>491780</v>
      </c>
      <c r="L56" s="189">
        <v>494300</v>
      </c>
      <c r="M56" s="189">
        <v>494657</v>
      </c>
      <c r="N56" s="189">
        <v>500017</v>
      </c>
      <c r="O56" s="189">
        <v>503453</v>
      </c>
      <c r="P56" s="189">
        <v>509106</v>
      </c>
      <c r="Q56" s="189">
        <v>514157</v>
      </c>
      <c r="R56" s="189">
        <v>522667</v>
      </c>
      <c r="S56" s="189">
        <v>534876</v>
      </c>
      <c r="T56" s="189">
        <v>546043</v>
      </c>
      <c r="U56" s="189">
        <v>559851</v>
      </c>
      <c r="V56" s="189">
        <v>564531</v>
      </c>
      <c r="W56" s="189">
        <v>567491</v>
      </c>
      <c r="X56" s="189">
        <v>576656</v>
      </c>
      <c r="Y56" s="189">
        <v>582620</v>
      </c>
      <c r="Z56" s="189">
        <v>583159</v>
      </c>
      <c r="AA56" s="189">
        <v>586389</v>
      </c>
      <c r="AB56" s="189">
        <v>585243</v>
      </c>
      <c r="AC56" s="189">
        <v>579994</v>
      </c>
      <c r="AD56" s="189">
        <v>579054</v>
      </c>
      <c r="AE56" s="189">
        <v>580116</v>
      </c>
      <c r="AF56" s="189">
        <v>577267</v>
      </c>
      <c r="AG56" s="189">
        <v>578803</v>
      </c>
      <c r="AH56" s="189"/>
      <c r="AI56" s="189"/>
      <c r="AJ56" s="189"/>
      <c r="AK56" s="189"/>
    </row>
    <row r="57" spans="1:37">
      <c r="A57" s="19" t="s">
        <v>211</v>
      </c>
      <c r="B57" s="23">
        <f>SUM(B6:B56)</f>
        <v>249622814</v>
      </c>
      <c r="C57" s="23">
        <f t="shared" ref="C57:K57" si="1">SUM(C6:C56)</f>
        <v>252980941</v>
      </c>
      <c r="D57" s="23">
        <f t="shared" si="1"/>
        <v>256514224</v>
      </c>
      <c r="E57" s="23">
        <f t="shared" si="1"/>
        <v>259918588</v>
      </c>
      <c r="F57" s="23">
        <f t="shared" si="1"/>
        <v>263125821</v>
      </c>
      <c r="G57" s="23">
        <f t="shared" si="1"/>
        <v>266278393</v>
      </c>
      <c r="H57" s="23">
        <f t="shared" si="1"/>
        <v>269394284</v>
      </c>
      <c r="I57" s="23">
        <f t="shared" si="1"/>
        <v>272646925</v>
      </c>
      <c r="J57" s="23">
        <f t="shared" si="1"/>
        <v>275854104</v>
      </c>
      <c r="K57" s="23">
        <f t="shared" si="1"/>
        <v>279040168</v>
      </c>
      <c r="L57" s="23">
        <f t="shared" ref="L57:T57" si="2">SUM(L6:L56)</f>
        <v>282162411</v>
      </c>
      <c r="M57" s="23">
        <f t="shared" si="2"/>
        <v>284968955</v>
      </c>
      <c r="N57" s="23">
        <f t="shared" si="2"/>
        <v>287625193</v>
      </c>
      <c r="O57" s="23">
        <f t="shared" si="2"/>
        <v>290107933</v>
      </c>
      <c r="P57" s="23">
        <f t="shared" si="2"/>
        <v>292805298</v>
      </c>
      <c r="Q57" s="23">
        <f t="shared" si="2"/>
        <v>295516599</v>
      </c>
      <c r="R57" s="23">
        <f t="shared" si="2"/>
        <v>298379912</v>
      </c>
      <c r="S57" s="23">
        <f t="shared" si="2"/>
        <v>301231207</v>
      </c>
      <c r="T57" s="23">
        <f t="shared" si="2"/>
        <v>304093966</v>
      </c>
      <c r="U57" s="190">
        <f t="shared" ref="U57:AG57" si="3">SUM(U6:U56)</f>
        <v>306771529</v>
      </c>
      <c r="V57" s="190">
        <f>SUM(V6:V56)</f>
        <v>309327143</v>
      </c>
      <c r="W57" s="190">
        <f t="shared" si="3"/>
        <v>311583481</v>
      </c>
      <c r="X57" s="190">
        <f t="shared" si="3"/>
        <v>313877662</v>
      </c>
      <c r="Y57" s="190">
        <f t="shared" si="3"/>
        <v>316059947</v>
      </c>
      <c r="Z57" s="190">
        <f t="shared" si="3"/>
        <v>318386329</v>
      </c>
      <c r="AA57" s="190">
        <f t="shared" si="3"/>
        <v>320738994</v>
      </c>
      <c r="AB57" s="190">
        <f t="shared" si="3"/>
        <v>323071755</v>
      </c>
      <c r="AC57" s="190">
        <f t="shared" si="3"/>
        <v>325122128</v>
      </c>
      <c r="AD57" s="190">
        <f t="shared" si="3"/>
        <v>326838199</v>
      </c>
      <c r="AE57" s="190">
        <f t="shared" si="3"/>
        <v>328329953</v>
      </c>
      <c r="AF57" s="190">
        <f t="shared" si="3"/>
        <v>331501080</v>
      </c>
      <c r="AG57" s="190">
        <f t="shared" si="3"/>
        <v>331893745</v>
      </c>
      <c r="AH57" s="190"/>
      <c r="AI57" s="190"/>
      <c r="AJ57" s="190"/>
      <c r="AK57" s="190"/>
    </row>
    <row r="58" spans="1:37">
      <c r="B58" s="18" t="s">
        <v>212</v>
      </c>
    </row>
    <row r="59" spans="1:37">
      <c r="B59" s="18" t="s">
        <v>213</v>
      </c>
      <c r="Z59" s="196"/>
      <c r="AA59" s="196"/>
      <c r="AB59" s="196"/>
    </row>
    <row r="60" spans="1:37">
      <c r="Z60" s="196"/>
      <c r="AA60" s="196"/>
      <c r="AB60" s="196"/>
    </row>
    <row r="61" spans="1:37">
      <c r="B61" s="210"/>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row>
    <row r="62" spans="1:37">
      <c r="C62" s="260"/>
      <c r="Z62" s="196"/>
      <c r="AA62" s="196"/>
      <c r="AB62" s="196"/>
    </row>
    <row r="63" spans="1:37">
      <c r="Z63" s="196"/>
      <c r="AA63" s="196"/>
      <c r="AB63" s="196"/>
    </row>
    <row r="64" spans="1:37">
      <c r="Z64" s="196"/>
      <c r="AA64" s="196"/>
      <c r="AB64" s="196"/>
    </row>
    <row r="65" spans="14:28">
      <c r="Z65" s="196"/>
      <c r="AA65" s="196"/>
      <c r="AB65" s="196"/>
    </row>
    <row r="66" spans="14:28">
      <c r="Z66" s="196"/>
      <c r="AA66" s="196"/>
      <c r="AB66" s="196"/>
    </row>
    <row r="67" spans="14:28">
      <c r="Z67" s="196"/>
      <c r="AA67" s="196"/>
      <c r="AB67" s="196"/>
    </row>
    <row r="68" spans="14:28" ht="14">
      <c r="N68" s="194"/>
      <c r="O68" s="194"/>
      <c r="R68" s="22"/>
      <c r="Z68" s="196"/>
      <c r="AA68" s="196"/>
      <c r="AB68" s="196"/>
    </row>
    <row r="69" spans="14:28" ht="14">
      <c r="N69" s="194"/>
      <c r="O69" s="194"/>
      <c r="R69" s="22"/>
      <c r="Z69" s="196"/>
      <c r="AA69" s="196"/>
      <c r="AB69" s="196"/>
    </row>
    <row r="70" spans="14:28" ht="14">
      <c r="N70" s="194"/>
      <c r="O70" s="194"/>
      <c r="R70" s="22"/>
      <c r="Z70" s="196"/>
      <c r="AA70" s="196"/>
      <c r="AB70" s="196"/>
    </row>
    <row r="71" spans="14:28" ht="14">
      <c r="N71" s="194"/>
      <c r="O71" s="194"/>
      <c r="R71" s="22"/>
      <c r="Z71" s="196"/>
      <c r="AA71" s="196"/>
      <c r="AB71" s="196"/>
    </row>
    <row r="72" spans="14:28" ht="14">
      <c r="N72" s="194"/>
      <c r="O72" s="194"/>
      <c r="R72" s="22"/>
      <c r="Z72" s="196"/>
      <c r="AA72" s="196"/>
      <c r="AB72" s="196"/>
    </row>
    <row r="73" spans="14:28" ht="14">
      <c r="N73" s="194"/>
      <c r="O73" s="194"/>
      <c r="R73" s="22"/>
      <c r="Z73" s="196"/>
      <c r="AA73" s="196"/>
      <c r="AB73" s="196"/>
    </row>
    <row r="74" spans="14:28" ht="14">
      <c r="N74" s="194"/>
      <c r="O74" s="194"/>
      <c r="R74" s="22"/>
      <c r="Z74" s="196"/>
      <c r="AA74" s="196"/>
      <c r="AB74" s="196"/>
    </row>
    <row r="75" spans="14:28" ht="14">
      <c r="N75" s="194"/>
      <c r="O75" s="194"/>
      <c r="R75" s="22"/>
      <c r="Z75" s="196"/>
      <c r="AA75" s="196"/>
      <c r="AB75" s="196"/>
    </row>
    <row r="76" spans="14:28" ht="14">
      <c r="N76" s="194"/>
      <c r="O76" s="194"/>
      <c r="R76" s="22"/>
      <c r="Z76" s="196"/>
      <c r="AA76" s="196"/>
      <c r="AB76" s="196"/>
    </row>
    <row r="77" spans="14:28" ht="14">
      <c r="N77" s="194"/>
      <c r="O77" s="194"/>
      <c r="R77" s="22"/>
      <c r="Z77" s="196"/>
      <c r="AA77" s="196"/>
      <c r="AB77" s="196"/>
    </row>
    <row r="78" spans="14:28" ht="14">
      <c r="N78" s="194"/>
      <c r="O78" s="194"/>
      <c r="R78" s="22"/>
      <c r="Z78" s="196"/>
      <c r="AA78" s="196"/>
      <c r="AB78" s="196"/>
    </row>
    <row r="79" spans="14:28" ht="14">
      <c r="N79" s="194"/>
      <c r="O79" s="194"/>
      <c r="R79" s="22"/>
      <c r="Z79" s="196"/>
      <c r="AA79" s="196"/>
      <c r="AB79" s="196"/>
    </row>
    <row r="80" spans="14:28" ht="14">
      <c r="N80" s="194"/>
      <c r="O80" s="194"/>
      <c r="R80" s="22"/>
      <c r="Z80" s="196"/>
      <c r="AA80" s="196"/>
      <c r="AB80" s="196"/>
    </row>
    <row r="81" spans="14:28" ht="14">
      <c r="N81" s="194"/>
      <c r="O81" s="194"/>
      <c r="R81" s="22"/>
      <c r="Z81" s="196"/>
      <c r="AA81" s="196"/>
      <c r="AB81" s="196"/>
    </row>
    <row r="82" spans="14:28" ht="14">
      <c r="N82" s="194"/>
      <c r="O82" s="194"/>
      <c r="R82" s="22"/>
      <c r="Z82" s="196"/>
      <c r="AA82" s="196"/>
      <c r="AB82" s="196"/>
    </row>
    <row r="83" spans="14:28" ht="14">
      <c r="N83" s="194"/>
      <c r="O83" s="194"/>
      <c r="R83" s="22"/>
      <c r="Z83" s="196"/>
      <c r="AA83" s="196"/>
      <c r="AB83" s="196"/>
    </row>
    <row r="84" spans="14:28" ht="14">
      <c r="N84" s="194"/>
      <c r="O84" s="194"/>
      <c r="R84" s="22"/>
      <c r="Z84" s="196"/>
      <c r="AA84" s="196"/>
      <c r="AB84" s="196"/>
    </row>
    <row r="85" spans="14:28" ht="14">
      <c r="N85" s="194"/>
      <c r="O85" s="194"/>
      <c r="R85" s="22"/>
      <c r="Z85" s="196"/>
      <c r="AA85" s="196"/>
      <c r="AB85" s="196"/>
    </row>
    <row r="86" spans="14:28" ht="14">
      <c r="N86" s="194"/>
      <c r="O86" s="194"/>
      <c r="R86" s="22"/>
      <c r="Z86" s="196"/>
      <c r="AA86" s="196"/>
      <c r="AB86" s="196"/>
    </row>
    <row r="87" spans="14:28" ht="14">
      <c r="N87" s="194"/>
      <c r="O87" s="194"/>
      <c r="R87" s="22"/>
      <c r="Z87" s="196"/>
      <c r="AA87" s="196"/>
      <c r="AB87" s="196"/>
    </row>
    <row r="88" spans="14:28" ht="14">
      <c r="N88" s="194"/>
      <c r="O88" s="194"/>
      <c r="R88" s="22"/>
      <c r="Z88" s="196"/>
      <c r="AA88" s="196"/>
      <c r="AB88" s="196"/>
    </row>
    <row r="89" spans="14:28" ht="14">
      <c r="N89" s="194"/>
      <c r="O89" s="194"/>
      <c r="R89" s="22"/>
      <c r="Z89" s="196"/>
      <c r="AA89" s="196"/>
      <c r="AB89" s="196"/>
    </row>
    <row r="90" spans="14:28" ht="14">
      <c r="N90" s="194"/>
      <c r="O90" s="194"/>
      <c r="R90" s="22"/>
      <c r="Z90" s="196"/>
      <c r="AA90" s="196"/>
      <c r="AB90" s="196"/>
    </row>
    <row r="91" spans="14:28" ht="14">
      <c r="N91" s="194"/>
      <c r="O91" s="194"/>
      <c r="R91" s="22"/>
      <c r="Z91" s="196"/>
      <c r="AA91" s="196"/>
      <c r="AB91" s="196"/>
    </row>
    <row r="92" spans="14:28" ht="14">
      <c r="N92" s="194"/>
      <c r="O92" s="194"/>
      <c r="R92" s="22"/>
      <c r="Z92" s="196"/>
      <c r="AA92" s="196"/>
      <c r="AB92" s="196"/>
    </row>
    <row r="93" spans="14:28" ht="14">
      <c r="N93" s="194"/>
      <c r="O93" s="194"/>
      <c r="R93" s="22"/>
      <c r="Z93" s="196"/>
      <c r="AA93" s="196"/>
      <c r="AB93" s="196"/>
    </row>
    <row r="94" spans="14:28" ht="14">
      <c r="N94" s="194"/>
      <c r="O94" s="194"/>
      <c r="R94" s="22"/>
      <c r="Z94" s="196"/>
      <c r="AA94" s="196"/>
      <c r="AB94" s="196"/>
    </row>
    <row r="95" spans="14:28" ht="14">
      <c r="N95" s="194"/>
      <c r="O95" s="194"/>
      <c r="R95" s="22"/>
      <c r="Z95" s="196"/>
      <c r="AA95" s="196"/>
      <c r="AB95" s="196"/>
    </row>
    <row r="96" spans="14:28" ht="14">
      <c r="N96" s="194"/>
      <c r="O96" s="194"/>
      <c r="R96" s="22"/>
      <c r="Z96" s="196"/>
      <c r="AA96" s="196"/>
      <c r="AB96" s="196"/>
    </row>
    <row r="97" spans="14:28" ht="14">
      <c r="N97" s="194"/>
      <c r="O97" s="194"/>
      <c r="R97" s="22"/>
      <c r="Z97" s="196"/>
      <c r="AA97" s="196"/>
      <c r="AB97" s="196"/>
    </row>
    <row r="98" spans="14:28" ht="14">
      <c r="N98" s="194"/>
      <c r="O98" s="194"/>
      <c r="R98" s="22"/>
      <c r="Z98" s="196"/>
      <c r="AA98" s="196"/>
      <c r="AB98" s="196"/>
    </row>
    <row r="99" spans="14:28" ht="14">
      <c r="N99" s="194"/>
      <c r="O99" s="194"/>
      <c r="R99" s="22"/>
      <c r="Z99" s="196"/>
      <c r="AA99" s="196"/>
      <c r="AB99" s="196"/>
    </row>
    <row r="100" spans="14:28" ht="14">
      <c r="N100" s="194"/>
      <c r="O100" s="194"/>
      <c r="R100" s="22"/>
      <c r="Z100" s="196"/>
      <c r="AA100" s="196"/>
      <c r="AB100" s="196"/>
    </row>
    <row r="101" spans="14:28" ht="14">
      <c r="N101" s="194"/>
      <c r="O101" s="194"/>
      <c r="R101" s="22"/>
      <c r="Z101" s="196"/>
      <c r="AA101" s="196"/>
      <c r="AB101" s="196"/>
    </row>
    <row r="102" spans="14:28" ht="14">
      <c r="N102" s="194"/>
      <c r="O102" s="194"/>
      <c r="R102" s="22"/>
      <c r="Z102" s="196"/>
      <c r="AA102" s="196"/>
      <c r="AB102" s="196"/>
    </row>
    <row r="103" spans="14:28" ht="14">
      <c r="N103" s="194"/>
      <c r="O103" s="194"/>
      <c r="R103" s="22"/>
      <c r="Z103" s="196"/>
      <c r="AA103" s="196"/>
      <c r="AB103" s="196"/>
    </row>
    <row r="104" spans="14:28" ht="14">
      <c r="N104" s="194"/>
      <c r="O104" s="194"/>
      <c r="R104" s="22"/>
      <c r="Z104" s="196"/>
      <c r="AA104" s="196"/>
      <c r="AB104" s="196"/>
    </row>
    <row r="105" spans="14:28" ht="14">
      <c r="N105" s="194"/>
      <c r="O105" s="194"/>
      <c r="R105" s="22"/>
      <c r="Z105" s="196"/>
      <c r="AA105" s="196"/>
      <c r="AB105" s="196"/>
    </row>
    <row r="106" spans="14:28" ht="14">
      <c r="N106" s="194"/>
      <c r="O106" s="194"/>
      <c r="R106" s="22"/>
      <c r="Z106" s="196"/>
      <c r="AA106" s="196"/>
      <c r="AB106" s="196"/>
    </row>
    <row r="107" spans="14:28" ht="14">
      <c r="N107" s="194"/>
      <c r="O107" s="194"/>
      <c r="R107" s="22"/>
      <c r="Z107" s="196"/>
      <c r="AA107" s="196"/>
      <c r="AB107" s="196"/>
    </row>
    <row r="108" spans="14:28" ht="14">
      <c r="N108" s="194"/>
      <c r="O108" s="194"/>
      <c r="R108" s="22"/>
      <c r="Z108" s="196"/>
      <c r="AA108" s="196"/>
      <c r="AB108" s="196"/>
    </row>
    <row r="109" spans="14:28" ht="14">
      <c r="N109" s="194"/>
      <c r="O109" s="194"/>
      <c r="R109" s="22"/>
      <c r="Z109" s="196"/>
      <c r="AA109" s="196"/>
      <c r="AB109" s="196"/>
    </row>
    <row r="110" spans="14:28" ht="14">
      <c r="N110" s="194"/>
      <c r="O110" s="194"/>
      <c r="R110" s="22"/>
      <c r="Z110" s="196"/>
      <c r="AA110" s="196"/>
      <c r="AB110" s="196"/>
    </row>
    <row r="111" spans="14:28" ht="14">
      <c r="N111" s="194"/>
      <c r="O111" s="194"/>
      <c r="R111" s="22"/>
    </row>
    <row r="112" spans="14:28" ht="14">
      <c r="N112" s="194"/>
      <c r="O112" s="194"/>
      <c r="R112" s="22"/>
    </row>
    <row r="113" spans="14:18" ht="14">
      <c r="N113" s="194"/>
      <c r="O113" s="194"/>
      <c r="R113" s="22"/>
    </row>
    <row r="114" spans="14:18" ht="14">
      <c r="N114" s="194"/>
      <c r="O114" s="194"/>
      <c r="R114" s="22"/>
    </row>
    <row r="115" spans="14:18" ht="14">
      <c r="N115" s="194"/>
      <c r="O115" s="194"/>
      <c r="R115" s="22"/>
    </row>
    <row r="116" spans="14:18" ht="14">
      <c r="N116" s="194"/>
      <c r="O116" s="194"/>
      <c r="R116" s="22"/>
    </row>
    <row r="117" spans="14:18" ht="14">
      <c r="N117" s="194"/>
      <c r="O117" s="194"/>
      <c r="R117" s="22"/>
    </row>
    <row r="118" spans="14:18" ht="14">
      <c r="N118" s="194"/>
      <c r="O118" s="194"/>
      <c r="R118" s="22"/>
    </row>
    <row r="119" spans="14:18">
      <c r="R119" s="19"/>
    </row>
  </sheetData>
  <sheetProtection algorithmName="SHA-512" hashValue="h/rs1CYt9X3cRwYezKyP5Ltf3NwjB/bQjzA5UDuu330OA1lnjzPVf7rGCHkJsljy98vvBMv1VJMPaErN7GBCuA==" saltValue="ZG+pn4fYWnrRJO3/5VYWGg==" spinCount="100000" sheet="1" objects="1" scenarios="1"/>
  <phoneticPr fontId="10" type="noConversion"/>
  <pageMargins left="0.75" right="0.75" top="1" bottom="1" header="0.5" footer="0.5"/>
  <pageSetup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AE100"/>
  <sheetViews>
    <sheetView topLeftCell="H49" zoomScale="85" zoomScaleNormal="85" workbookViewId="0">
      <selection activeCell="N61" sqref="N61"/>
    </sheetView>
  </sheetViews>
  <sheetFormatPr baseColWidth="10" defaultColWidth="9.1640625" defaultRowHeight="11"/>
  <cols>
    <col min="1" max="1" width="19.1640625" style="20" customWidth="1"/>
    <col min="2" max="2" width="11.1640625" style="20" customWidth="1"/>
    <col min="3" max="3" width="12" style="20" customWidth="1"/>
    <col min="4" max="5" width="11.1640625" style="20" customWidth="1"/>
    <col min="6" max="11" width="12" style="20" customWidth="1"/>
    <col min="12" max="15" width="10.1640625" style="20" customWidth="1"/>
    <col min="16" max="16" width="12.1640625" style="20" customWidth="1"/>
    <col min="17" max="16384" width="9.1640625" style="20"/>
  </cols>
  <sheetData>
    <row r="1" spans="1:15">
      <c r="A1" s="18" t="s">
        <v>214</v>
      </c>
      <c r="B1" s="18"/>
      <c r="C1" s="18"/>
      <c r="D1" s="18"/>
      <c r="E1" s="18"/>
      <c r="F1" s="18"/>
      <c r="G1" s="18"/>
      <c r="H1" s="18"/>
      <c r="I1" s="18"/>
      <c r="J1" s="18"/>
      <c r="K1" s="18"/>
      <c r="L1" s="18"/>
      <c r="M1" s="18"/>
      <c r="N1" s="18"/>
      <c r="O1" s="18"/>
    </row>
    <row r="2" spans="1:15">
      <c r="A2" s="18" t="s">
        <v>215</v>
      </c>
      <c r="B2" s="18"/>
      <c r="C2" s="18"/>
      <c r="D2" s="18"/>
      <c r="E2" s="18"/>
      <c r="F2" s="18"/>
      <c r="G2" s="18"/>
      <c r="H2" s="18"/>
      <c r="I2" s="18"/>
      <c r="J2" s="18"/>
      <c r="K2" s="18"/>
      <c r="L2" s="18"/>
      <c r="M2" s="18"/>
      <c r="N2" s="18"/>
      <c r="O2" s="18"/>
    </row>
    <row r="3" spans="1:15" ht="18">
      <c r="A3" s="195" t="s">
        <v>216</v>
      </c>
      <c r="B3" s="18"/>
      <c r="C3" s="18"/>
      <c r="D3" s="18"/>
      <c r="E3" s="18"/>
      <c r="F3" s="18"/>
      <c r="G3" s="18"/>
      <c r="H3" s="18"/>
      <c r="I3" s="18"/>
      <c r="J3" s="18"/>
      <c r="K3" s="18"/>
      <c r="L3" s="18"/>
      <c r="M3" s="18"/>
      <c r="N3" s="18"/>
      <c r="O3" s="18"/>
    </row>
    <row r="4" spans="1:15">
      <c r="A4" s="19" t="s">
        <v>217</v>
      </c>
      <c r="B4" s="18"/>
      <c r="C4" s="18"/>
      <c r="D4" s="18"/>
      <c r="E4" s="18"/>
      <c r="F4" s="18"/>
      <c r="G4" s="18"/>
      <c r="H4" s="18"/>
      <c r="I4" s="18"/>
      <c r="J4" s="18"/>
      <c r="K4" s="18"/>
      <c r="L4" s="18"/>
      <c r="M4" s="218"/>
      <c r="N4" s="18"/>
      <c r="O4" s="18"/>
    </row>
    <row r="5" spans="1:15">
      <c r="A5" s="219" t="s">
        <v>218</v>
      </c>
      <c r="B5" s="219">
        <v>1998</v>
      </c>
      <c r="C5" s="220">
        <v>1999</v>
      </c>
      <c r="D5" s="220">
        <v>2000</v>
      </c>
      <c r="E5" s="220">
        <v>2001</v>
      </c>
      <c r="F5" s="220">
        <v>2002</v>
      </c>
      <c r="G5" s="220">
        <v>2003</v>
      </c>
      <c r="H5" s="220">
        <v>2004</v>
      </c>
      <c r="I5" s="221">
        <v>2005</v>
      </c>
      <c r="J5" s="221">
        <v>2006</v>
      </c>
      <c r="K5" s="221">
        <v>2007</v>
      </c>
      <c r="L5" s="221">
        <v>2008</v>
      </c>
      <c r="M5" s="222">
        <v>2009</v>
      </c>
      <c r="N5" s="222">
        <v>2010</v>
      </c>
      <c r="O5" s="222">
        <v>2011</v>
      </c>
    </row>
    <row r="6" spans="1:15">
      <c r="A6" s="223" t="s">
        <v>219</v>
      </c>
      <c r="B6" s="224">
        <f t="shared" ref="B6:I15" si="0">B56/MT_Hundredweight+IF(ISERROR((VLOOKUP($A6,$Q$56:$Y$81,B$5-1996,FALSE)/MT_Ton)),0,(VLOOKUP($A6,$Q$56:$Y$81,B$5-1996,FALSE)/MT_Ton))</f>
        <v>31.649860489142242</v>
      </c>
      <c r="C6" s="225">
        <f t="shared" si="0"/>
        <v>34.494791769065138</v>
      </c>
      <c r="D6" s="225">
        <f t="shared" si="0"/>
        <v>50.040309120072408</v>
      </c>
      <c r="E6" s="225">
        <f t="shared" si="0"/>
        <v>56.644613877036278</v>
      </c>
      <c r="F6" s="225">
        <f t="shared" si="0"/>
        <v>57.508253729870013</v>
      </c>
      <c r="G6" s="225">
        <f t="shared" si="0"/>
        <v>58.321091238419413</v>
      </c>
      <c r="H6" s="225">
        <f t="shared" si="0"/>
        <v>35.968059753310925</v>
      </c>
      <c r="I6" s="226">
        <f t="shared" si="0"/>
        <v>33.173930817672364</v>
      </c>
      <c r="J6" s="226">
        <f t="shared" ref="J6:O35" si="1">J56/MT_Hundredweight+IF(ISERROR((VLOOKUP($A6,$Q$56:$Y$81,J$5-1996,FALSE)/MT_Ton)),0,(VLOOKUP($A6,$Q$56:$Y$81,J$5-1996,FALSE)/MT_Ton))</f>
        <v>39.321014476077202</v>
      </c>
      <c r="K6" s="226">
        <f t="shared" si="1"/>
        <v>41.505515280303712</v>
      </c>
      <c r="L6" s="227">
        <f t="shared" si="1"/>
        <v>43.842423117383234</v>
      </c>
      <c r="M6" s="227">
        <f t="shared" si="1"/>
        <v>45.366493445913356</v>
      </c>
      <c r="N6" s="227">
        <f t="shared" si="1"/>
        <v>46.331737987315769</v>
      </c>
      <c r="O6" s="227">
        <f t="shared" si="1"/>
        <v>42.877178575980821</v>
      </c>
    </row>
    <row r="7" spans="1:15">
      <c r="A7" s="228" t="s">
        <v>220</v>
      </c>
      <c r="B7" s="229">
        <f t="shared" si="0"/>
        <v>968.14027502661918</v>
      </c>
      <c r="C7" s="213">
        <f t="shared" si="0"/>
        <v>1180.9512952337088</v>
      </c>
      <c r="D7" s="213">
        <f t="shared" si="0"/>
        <v>1083.6648059292024</v>
      </c>
      <c r="E7" s="213">
        <f t="shared" si="0"/>
        <v>1052.7769806043254</v>
      </c>
      <c r="F7" s="213">
        <f t="shared" si="0"/>
        <v>1151.943156647352</v>
      </c>
      <c r="G7" s="213">
        <f t="shared" si="0"/>
        <v>2075.7329851137447</v>
      </c>
      <c r="H7" s="213">
        <f t="shared" si="0"/>
        <v>2103.2678557158556</v>
      </c>
      <c r="I7" s="230">
        <f t="shared" si="0"/>
        <v>2064.7088764040432</v>
      </c>
      <c r="J7" s="230">
        <f t="shared" si="1"/>
        <v>2067.7062147168194</v>
      </c>
      <c r="K7" s="230">
        <f t="shared" si="1"/>
        <v>1878.6706916347996</v>
      </c>
      <c r="L7" s="231">
        <f t="shared" si="1"/>
        <v>1680.5415489258835</v>
      </c>
      <c r="M7" s="231">
        <f t="shared" ref="M7:O46" si="2">M57/MT_Hundredweight+IF(ISERROR((VLOOKUP($A7,$Q$56:$Y$81,M$5-1996,FALSE)/MT_Ton)),0,(VLOOKUP($A7,$Q$56:$Y$81,M$5-1996,FALSE)/MT_Ton))</f>
        <v>1605.4556840736327</v>
      </c>
      <c r="N7" s="231">
        <f t="shared" si="2"/>
        <v>1605.4048817293483</v>
      </c>
      <c r="O7" s="231">
        <f t="shared" si="2"/>
        <v>1687.7554818142594</v>
      </c>
    </row>
    <row r="8" spans="1:15">
      <c r="A8" s="228" t="s">
        <v>221</v>
      </c>
      <c r="B8" s="229">
        <f t="shared" si="0"/>
        <v>34.088373014790442</v>
      </c>
      <c r="C8" s="213">
        <f t="shared" si="0"/>
        <v>32.310290964838629</v>
      </c>
      <c r="D8" s="213">
        <f t="shared" si="0"/>
        <v>28.195301077807294</v>
      </c>
      <c r="E8" s="213">
        <f t="shared" si="0"/>
        <v>41.099096526029008</v>
      </c>
      <c r="F8" s="213">
        <f t="shared" si="0"/>
        <v>40.591073083185634</v>
      </c>
      <c r="G8" s="213">
        <f t="shared" si="0"/>
        <v>37.034908983282016</v>
      </c>
      <c r="H8" s="213">
        <f t="shared" si="0"/>
        <v>24.740741666472346</v>
      </c>
      <c r="I8" s="230">
        <f t="shared" si="0"/>
        <v>29.160545619209707</v>
      </c>
      <c r="J8" s="230">
        <f t="shared" si="1"/>
        <v>34.342384736212125</v>
      </c>
      <c r="K8" s="230">
        <f t="shared" si="1"/>
        <v>28.804929209219345</v>
      </c>
      <c r="L8" s="231">
        <f t="shared" si="1"/>
        <v>31.243441734867542</v>
      </c>
      <c r="M8" s="231">
        <f t="shared" si="2"/>
        <v>17.476006433812088</v>
      </c>
      <c r="N8" s="231">
        <f t="shared" si="2"/>
        <v>26.671230749277171</v>
      </c>
      <c r="O8" s="231">
        <f t="shared" si="2"/>
        <v>27.839684667816933</v>
      </c>
    </row>
    <row r="9" spans="1:15">
      <c r="A9" s="228" t="s">
        <v>222</v>
      </c>
      <c r="B9" s="229">
        <f t="shared" si="0"/>
        <v>8235454.9701552782</v>
      </c>
      <c r="C9" s="213">
        <f t="shared" si="0"/>
        <v>11241708.043599697</v>
      </c>
      <c r="D9" s="213">
        <f t="shared" si="0"/>
        <v>9482669.4046431575</v>
      </c>
      <c r="E9" s="213">
        <f t="shared" si="0"/>
        <v>8004580.8003722094</v>
      </c>
      <c r="F9" s="213">
        <f t="shared" si="0"/>
        <v>10201492.460185224</v>
      </c>
      <c r="G9" s="213">
        <f t="shared" si="0"/>
        <v>17233299.295862168</v>
      </c>
      <c r="H9" s="213">
        <f t="shared" si="0"/>
        <v>21652308.537319083</v>
      </c>
      <c r="I9" s="230">
        <f t="shared" si="0"/>
        <v>17879085.408909019</v>
      </c>
      <c r="J9" s="230">
        <f t="shared" si="1"/>
        <v>11447.901865721175</v>
      </c>
      <c r="K9" s="230">
        <f t="shared" si="1"/>
        <v>11265.62305442897</v>
      </c>
      <c r="L9" s="231">
        <f t="shared" si="1"/>
        <v>11108.999427000359</v>
      </c>
      <c r="M9" s="231">
        <f>M59/MT_Hundredweight+IF(ISERROR((VLOOKUP($A9,$Q$56:$Y$81,M$5-1996,FALSE)/MT_Ton)),0,(VLOOKUP($A9,$Q$56:$Y$81,M$5-1996,FALSE)/MT_Ton))</f>
        <v>10897.814081810367</v>
      </c>
      <c r="N9" s="231">
        <f>N59/MT_Hundredweight+IF(ISERROR((VLOOKUP($A9,$Q$56:$Y$81,N$5-1996,FALSE)/MT_Ton)),0,(VLOOKUP($A9,$Q$56:$Y$81,N$5-1996,FALSE)/MT_Ton))</f>
        <v>11162.951516630324</v>
      </c>
      <c r="O9" s="231">
        <f>O59/MT_Hundredweight+IF(ISERROR((VLOOKUP($A9,$Q$56:$Y$81,O$5-1996,FALSE)/MT_Ton)),0,(VLOOKUP($A9,$Q$56:$Y$81,O$5-1996,FALSE)/MT_Ton))</f>
        <v>11032.948317606706</v>
      </c>
    </row>
    <row r="10" spans="1:15">
      <c r="A10" s="228" t="s">
        <v>223</v>
      </c>
      <c r="B10" s="229">
        <f t="shared" si="0"/>
        <v>2172.3739570908197</v>
      </c>
      <c r="C10" s="213">
        <f t="shared" si="0"/>
        <v>794.95508336131275</v>
      </c>
      <c r="D10" s="213">
        <f t="shared" si="0"/>
        <v>685.8316478385558</v>
      </c>
      <c r="E10" s="213">
        <f t="shared" si="0"/>
        <v>483.79072461974573</v>
      </c>
      <c r="F10" s="213">
        <f t="shared" si="0"/>
        <v>470.93773151580831</v>
      </c>
      <c r="G10" s="213">
        <f t="shared" si="0"/>
        <v>417.18885126297931</v>
      </c>
      <c r="H10" s="213">
        <f t="shared" si="0"/>
        <v>542.36582757958683</v>
      </c>
      <c r="I10" s="230">
        <f t="shared" si="0"/>
        <v>482.26665429121556</v>
      </c>
      <c r="J10" s="230">
        <f t="shared" si="1"/>
        <v>402.81178783051178</v>
      </c>
      <c r="K10" s="230">
        <f t="shared" si="1"/>
        <v>368.21539137287795</v>
      </c>
      <c r="L10" s="231">
        <f t="shared" si="1"/>
        <v>346.87840677345622</v>
      </c>
      <c r="M10" s="231">
        <f t="shared" si="2"/>
        <v>352.72067636615503</v>
      </c>
      <c r="N10" s="231">
        <f t="shared" si="2"/>
        <v>360.74744676308035</v>
      </c>
      <c r="O10" s="231">
        <f t="shared" si="2"/>
        <v>361.05226082878636</v>
      </c>
    </row>
    <row r="11" spans="1:15">
      <c r="A11" s="228" t="s">
        <v>224</v>
      </c>
      <c r="B11" s="229">
        <f t="shared" si="0"/>
        <v>14.885086875310877</v>
      </c>
      <c r="C11" s="213">
        <f t="shared" si="0"/>
        <v>9.6524454140241183</v>
      </c>
      <c r="D11" s="213">
        <f t="shared" si="0"/>
        <v>15.139098596732566</v>
      </c>
      <c r="E11" s="213">
        <f t="shared" si="0"/>
        <v>13.259411858212079</v>
      </c>
      <c r="F11" s="213">
        <f t="shared" si="0"/>
        <v>15.64712203957594</v>
      </c>
      <c r="G11" s="213">
        <f t="shared" si="0"/>
        <v>14.02144702247714</v>
      </c>
      <c r="H11" s="213">
        <f t="shared" si="0"/>
        <v>17.476006433812088</v>
      </c>
      <c r="I11" s="230">
        <f t="shared" si="0"/>
        <v>17.171192368106063</v>
      </c>
      <c r="J11" s="230">
        <f t="shared" si="1"/>
        <v>14.22465639961449</v>
      </c>
      <c r="K11" s="230">
        <f t="shared" si="1"/>
        <v>18.288843942361488</v>
      </c>
      <c r="L11" s="231">
        <f t="shared" si="1"/>
        <v>16.86637830240004</v>
      </c>
      <c r="M11" s="231">
        <f t="shared" si="2"/>
        <v>13.869039989624129</v>
      </c>
      <c r="N11" s="231">
        <f t="shared" si="2"/>
        <v>10.668492299710868</v>
      </c>
      <c r="O11" s="231">
        <f t="shared" si="2"/>
        <v>7.8743633640723072</v>
      </c>
    </row>
    <row r="12" spans="1:15">
      <c r="A12" s="228" t="s">
        <v>225</v>
      </c>
      <c r="B12" s="229">
        <f t="shared" si="0"/>
        <v>52.834438055710969</v>
      </c>
      <c r="C12" s="213">
        <f t="shared" si="0"/>
        <v>54.612520105662774</v>
      </c>
      <c r="D12" s="213">
        <f t="shared" si="0"/>
        <v>55.679369335633865</v>
      </c>
      <c r="E12" s="213">
        <f t="shared" si="0"/>
        <v>80.572518034959231</v>
      </c>
      <c r="F12" s="213">
        <f t="shared" si="0"/>
        <v>62.385278781166413</v>
      </c>
      <c r="G12" s="213">
        <f t="shared" si="0"/>
        <v>166686.00421102895</v>
      </c>
      <c r="H12" s="213">
        <f t="shared" si="0"/>
        <v>136563.10785266792</v>
      </c>
      <c r="I12" s="230">
        <f t="shared" si="0"/>
        <v>141072.98573613944</v>
      </c>
      <c r="J12" s="230">
        <f t="shared" si="1"/>
        <v>57.406649041301336</v>
      </c>
      <c r="K12" s="230">
        <f t="shared" si="1"/>
        <v>67.719524931021851</v>
      </c>
      <c r="L12" s="231">
        <f t="shared" si="1"/>
        <v>83.468251659166455</v>
      </c>
      <c r="M12" s="231">
        <f t="shared" si="2"/>
        <v>68.989583538130276</v>
      </c>
      <c r="N12" s="231">
        <f t="shared" si="2"/>
        <v>68.075141341012213</v>
      </c>
      <c r="O12" s="231">
        <f t="shared" si="2"/>
        <v>70.3612468338074</v>
      </c>
    </row>
    <row r="13" spans="1:15">
      <c r="A13" s="228" t="s">
        <v>226</v>
      </c>
      <c r="B13" s="229">
        <f t="shared" si="0"/>
        <v>56258.278501857334</v>
      </c>
      <c r="C13" s="213">
        <f t="shared" si="0"/>
        <v>48752.977281490057</v>
      </c>
      <c r="D13" s="213">
        <f t="shared" si="0"/>
        <v>66914.356395662733</v>
      </c>
      <c r="E13" s="213">
        <f t="shared" si="0"/>
        <v>66649.7777866299</v>
      </c>
      <c r="F13" s="213">
        <f t="shared" si="0"/>
        <v>66601.921978314058</v>
      </c>
      <c r="G13" s="213">
        <f t="shared" si="0"/>
        <v>66355.886224945018</v>
      </c>
      <c r="H13" s="213">
        <f t="shared" si="0"/>
        <v>66523.584763427614</v>
      </c>
      <c r="I13" s="230">
        <f t="shared" si="0"/>
        <v>71329.364648826944</v>
      </c>
      <c r="J13" s="230">
        <f t="shared" si="1"/>
        <v>1978.9545192520818</v>
      </c>
      <c r="K13" s="230">
        <f t="shared" si="1"/>
        <v>2190.800294917769</v>
      </c>
      <c r="L13" s="231">
        <f t="shared" si="1"/>
        <v>2077.4094624751278</v>
      </c>
      <c r="M13" s="231">
        <f t="shared" si="2"/>
        <v>2094.5806548432338</v>
      </c>
      <c r="N13" s="231">
        <f t="shared" si="2"/>
        <v>1741.3519550342353</v>
      </c>
      <c r="O13" s="231">
        <f t="shared" si="2"/>
        <v>1925.3072436878213</v>
      </c>
    </row>
    <row r="14" spans="1:15">
      <c r="A14" s="228" t="s">
        <v>227</v>
      </c>
      <c r="B14" s="229">
        <f t="shared" si="0"/>
        <v>875.47679905198754</v>
      </c>
      <c r="C14" s="213">
        <f t="shared" si="0"/>
        <v>977.9451274734962</v>
      </c>
      <c r="D14" s="213">
        <f t="shared" si="0"/>
        <v>1289.9731260678971</v>
      </c>
      <c r="E14" s="213">
        <f t="shared" si="0"/>
        <v>1227.6894519752993</v>
      </c>
      <c r="F14" s="213">
        <f t="shared" si="0"/>
        <v>1149.5046441217039</v>
      </c>
      <c r="G14" s="213">
        <f t="shared" si="0"/>
        <v>49312.943128627609</v>
      </c>
      <c r="H14" s="213">
        <f t="shared" si="0"/>
        <v>30908.808527656776</v>
      </c>
      <c r="I14" s="230">
        <f t="shared" si="0"/>
        <v>27007.216319187184</v>
      </c>
      <c r="J14" s="230">
        <f t="shared" si="1"/>
        <v>1179.8844460037376</v>
      </c>
      <c r="K14" s="230">
        <f t="shared" si="1"/>
        <v>1165.5581849155544</v>
      </c>
      <c r="L14" s="231">
        <f t="shared" si="1"/>
        <v>1118.3120047311206</v>
      </c>
      <c r="M14" s="231">
        <f t="shared" si="2"/>
        <v>1154.5848785501375</v>
      </c>
      <c r="N14" s="231">
        <f t="shared" si="2"/>
        <v>1115.1622593854918</v>
      </c>
      <c r="O14" s="231">
        <f t="shared" si="2"/>
        <v>877.35648579050803</v>
      </c>
    </row>
    <row r="15" spans="1:15">
      <c r="A15" s="228" t="s">
        <v>228</v>
      </c>
      <c r="B15" s="229">
        <f t="shared" si="0"/>
        <v>24.486729945050659</v>
      </c>
      <c r="C15" s="213">
        <f t="shared" si="0"/>
        <v>24.740741666472346</v>
      </c>
      <c r="D15" s="213">
        <f t="shared" si="0"/>
        <v>23.419880715079572</v>
      </c>
      <c r="E15" s="213">
        <f t="shared" si="0"/>
        <v>7.0615258555229081</v>
      </c>
      <c r="F15" s="213">
        <f t="shared" si="0"/>
        <v>0</v>
      </c>
      <c r="G15" s="213">
        <f t="shared" si="0"/>
        <v>0</v>
      </c>
      <c r="H15" s="213">
        <f t="shared" si="0"/>
        <v>0</v>
      </c>
      <c r="I15" s="230">
        <f t="shared" si="0"/>
        <v>0</v>
      </c>
      <c r="J15" s="230">
        <f t="shared" si="1"/>
        <v>0</v>
      </c>
      <c r="K15" s="230">
        <f t="shared" si="1"/>
        <v>0</v>
      </c>
      <c r="L15" s="231">
        <f t="shared" si="1"/>
        <v>0</v>
      </c>
      <c r="M15" s="231">
        <f t="shared" si="2"/>
        <v>0</v>
      </c>
      <c r="N15" s="231">
        <f t="shared" si="2"/>
        <v>0</v>
      </c>
      <c r="O15" s="231">
        <f t="shared" si="2"/>
        <v>0</v>
      </c>
    </row>
    <row r="16" spans="1:15">
      <c r="A16" s="228" t="s">
        <v>229</v>
      </c>
      <c r="B16" s="229">
        <f t="shared" ref="B16:I25" si="3">B66/MT_Hundredweight+IF(ISERROR((VLOOKUP($A16,$Q$56:$Y$81,B$5-1996,FALSE)/MT_Ton)),0,(VLOOKUP($A16,$Q$56:$Y$81,B$5-1996,FALSE)/MT_Ton))</f>
        <v>131946.12394657583</v>
      </c>
      <c r="C16" s="213">
        <f t="shared" si="3"/>
        <v>128121.15619930343</v>
      </c>
      <c r="D16" s="213">
        <f t="shared" si="3"/>
        <v>148269.15438183103</v>
      </c>
      <c r="E16" s="213">
        <f t="shared" si="3"/>
        <v>253.60530266741264</v>
      </c>
      <c r="F16" s="213">
        <f t="shared" si="3"/>
        <v>318.63230335136461</v>
      </c>
      <c r="G16" s="213">
        <f t="shared" si="3"/>
        <v>298.71778439190433</v>
      </c>
      <c r="H16" s="213">
        <f t="shared" si="3"/>
        <v>406.82517302897446</v>
      </c>
      <c r="I16" s="230">
        <f t="shared" si="3"/>
        <v>308.87825324877178</v>
      </c>
      <c r="J16" s="230">
        <f t="shared" si="1"/>
        <v>257.87269958729701</v>
      </c>
      <c r="K16" s="230">
        <f t="shared" si="1"/>
        <v>346.72599974060324</v>
      </c>
      <c r="L16" s="231">
        <f t="shared" si="1"/>
        <v>314.56811580861762</v>
      </c>
      <c r="M16" s="231">
        <f t="shared" si="2"/>
        <v>330.82486597960559</v>
      </c>
      <c r="N16" s="231">
        <f t="shared" si="2"/>
        <v>347.4880349048683</v>
      </c>
      <c r="O16" s="231">
        <f t="shared" si="2"/>
        <v>364.55762258440569</v>
      </c>
    </row>
    <row r="17" spans="1:15">
      <c r="A17" s="228" t="s">
        <v>230</v>
      </c>
      <c r="B17" s="229">
        <f t="shared" si="3"/>
        <v>118377.40890288625</v>
      </c>
      <c r="C17" s="213">
        <f t="shared" si="3"/>
        <v>132591.55355311054</v>
      </c>
      <c r="D17" s="213">
        <f t="shared" si="3"/>
        <v>132633.35658073518</v>
      </c>
      <c r="E17" s="213">
        <f t="shared" si="3"/>
        <v>143142.10049053415</v>
      </c>
      <c r="F17" s="213">
        <f t="shared" si="3"/>
        <v>129316.68098825334</v>
      </c>
      <c r="G17" s="213">
        <f t="shared" si="3"/>
        <v>223132.54239098151</v>
      </c>
      <c r="H17" s="213">
        <f t="shared" si="3"/>
        <v>211019.81556182174</v>
      </c>
      <c r="I17" s="230">
        <f t="shared" si="3"/>
        <v>234805.30621841317</v>
      </c>
      <c r="J17" s="230">
        <f t="shared" si="1"/>
        <v>282.20702249949466</v>
      </c>
      <c r="K17" s="230">
        <f t="shared" si="1"/>
        <v>318.63230335136461</v>
      </c>
      <c r="L17" s="231">
        <f t="shared" si="1"/>
        <v>293.23113120919584</v>
      </c>
      <c r="M17" s="231">
        <f t="shared" si="2"/>
        <v>247.55982369757649</v>
      </c>
      <c r="N17" s="231">
        <f t="shared" si="2"/>
        <v>248.01704479613551</v>
      </c>
      <c r="O17" s="231">
        <f t="shared" si="2"/>
        <v>290.23379289641997</v>
      </c>
    </row>
    <row r="18" spans="1:15">
      <c r="A18" s="228" t="s">
        <v>231</v>
      </c>
      <c r="B18" s="229">
        <f t="shared" si="3"/>
        <v>162299.01719838119</v>
      </c>
      <c r="C18" s="213">
        <f t="shared" si="3"/>
        <v>216702.52401558158</v>
      </c>
      <c r="D18" s="213">
        <f t="shared" si="3"/>
        <v>237566.66126938339</v>
      </c>
      <c r="E18" s="213">
        <f t="shared" si="3"/>
        <v>252230.00036390935</v>
      </c>
      <c r="F18" s="213">
        <f t="shared" si="3"/>
        <v>257883.72967304586</v>
      </c>
      <c r="G18" s="213">
        <f t="shared" si="3"/>
        <v>208597.35586077347</v>
      </c>
      <c r="H18" s="213">
        <f t="shared" si="3"/>
        <v>272207.69450430962</v>
      </c>
      <c r="I18" s="230">
        <f t="shared" si="3"/>
        <v>263478.74595949292</v>
      </c>
      <c r="J18" s="230">
        <f t="shared" si="1"/>
        <v>180.6023339308197</v>
      </c>
      <c r="K18" s="230">
        <f t="shared" si="1"/>
        <v>187.30824337635224</v>
      </c>
      <c r="L18" s="231">
        <f t="shared" si="1"/>
        <v>188.88311604916672</v>
      </c>
      <c r="M18" s="231">
        <f t="shared" si="2"/>
        <v>184.41250975214501</v>
      </c>
      <c r="N18" s="231">
        <f t="shared" si="2"/>
        <v>200.0088294474366</v>
      </c>
      <c r="O18" s="231">
        <f t="shared" si="2"/>
        <v>206.00350607298844</v>
      </c>
    </row>
    <row r="19" spans="1:15">
      <c r="A19" s="228" t="s">
        <v>232</v>
      </c>
      <c r="B19" s="229">
        <f t="shared" si="3"/>
        <v>23.06426430508921</v>
      </c>
      <c r="C19" s="213">
        <f t="shared" si="3"/>
        <v>22.505438517961498</v>
      </c>
      <c r="D19" s="213">
        <f t="shared" si="3"/>
        <v>12.294167316809666</v>
      </c>
      <c r="E19" s="213">
        <f t="shared" si="3"/>
        <v>0</v>
      </c>
      <c r="F19" s="213">
        <f t="shared" si="3"/>
        <v>10.973306365416892</v>
      </c>
      <c r="G19" s="213">
        <f t="shared" si="3"/>
        <v>11.887748562534968</v>
      </c>
      <c r="H19" s="213">
        <f t="shared" si="3"/>
        <v>6.6043047569638711</v>
      </c>
      <c r="I19" s="230">
        <f t="shared" si="3"/>
        <v>0</v>
      </c>
      <c r="J19" s="230">
        <f t="shared" si="1"/>
        <v>0</v>
      </c>
      <c r="K19" s="230">
        <f t="shared" si="1"/>
        <v>0</v>
      </c>
      <c r="L19" s="231">
        <f t="shared" si="1"/>
        <v>0</v>
      </c>
      <c r="M19" s="231">
        <f t="shared" si="2"/>
        <v>0</v>
      </c>
      <c r="N19" s="231">
        <f t="shared" si="2"/>
        <v>0</v>
      </c>
      <c r="O19" s="231">
        <f t="shared" si="2"/>
        <v>0</v>
      </c>
    </row>
    <row r="20" spans="1:15">
      <c r="A20" s="228" t="s">
        <v>233</v>
      </c>
      <c r="B20" s="229">
        <f t="shared" si="3"/>
        <v>6.4518977241108582</v>
      </c>
      <c r="C20" s="213">
        <f t="shared" si="3"/>
        <v>7.0107235112385702</v>
      </c>
      <c r="D20" s="213">
        <f t="shared" si="3"/>
        <v>5.8930719369831461</v>
      </c>
      <c r="E20" s="213">
        <f t="shared" si="3"/>
        <v>5.5882578712771211</v>
      </c>
      <c r="F20" s="213">
        <f t="shared" si="3"/>
        <v>5.5882578712771211</v>
      </c>
      <c r="G20" s="213">
        <f t="shared" si="3"/>
        <v>6.0962813141204961</v>
      </c>
      <c r="H20" s="213">
        <f t="shared" si="3"/>
        <v>6.0962813141204961</v>
      </c>
      <c r="I20" s="230">
        <f t="shared" si="3"/>
        <v>6.6043047569638711</v>
      </c>
      <c r="J20" s="230">
        <f t="shared" si="1"/>
        <v>6.2994906912578461</v>
      </c>
      <c r="K20" s="230">
        <f t="shared" si="1"/>
        <v>7.7219563312192951</v>
      </c>
      <c r="L20" s="231">
        <f t="shared" si="1"/>
        <v>5.4866531827084462</v>
      </c>
      <c r="M20" s="231">
        <f t="shared" si="2"/>
        <v>4.5722109855903721</v>
      </c>
      <c r="N20" s="231">
        <f t="shared" si="2"/>
        <v>5.0294320841494091</v>
      </c>
      <c r="O20" s="231">
        <f t="shared" si="2"/>
        <v>4.8770250512963971</v>
      </c>
    </row>
    <row r="21" spans="1:15">
      <c r="A21" s="228" t="s">
        <v>234</v>
      </c>
      <c r="B21" s="229">
        <f t="shared" si="3"/>
        <v>52.428019301436265</v>
      </c>
      <c r="C21" s="213">
        <f t="shared" si="3"/>
        <v>69.853223390964018</v>
      </c>
      <c r="D21" s="213">
        <f t="shared" si="3"/>
        <v>91.596626744660455</v>
      </c>
      <c r="E21" s="213">
        <f t="shared" si="3"/>
        <v>92.866685351768893</v>
      </c>
      <c r="F21" s="213">
        <f t="shared" si="3"/>
        <v>64.722186618245928</v>
      </c>
      <c r="G21" s="213">
        <f t="shared" si="3"/>
        <v>112337.38571468029</v>
      </c>
      <c r="H21" s="213">
        <f t="shared" si="3"/>
        <v>119851.64257687506</v>
      </c>
      <c r="I21" s="230">
        <f t="shared" si="3"/>
        <v>121195.59723173761</v>
      </c>
      <c r="J21" s="230">
        <f t="shared" si="1"/>
        <v>55.7301716799182</v>
      </c>
      <c r="K21" s="230">
        <f t="shared" si="1"/>
        <v>48.719448168679634</v>
      </c>
      <c r="L21" s="231">
        <f t="shared" si="1"/>
        <v>81.232948510655618</v>
      </c>
      <c r="M21" s="231">
        <f t="shared" si="2"/>
        <v>60.912010796920626</v>
      </c>
      <c r="N21" s="231">
        <f t="shared" si="2"/>
        <v>56.898625598457961</v>
      </c>
      <c r="O21" s="231">
        <f t="shared" si="2"/>
        <v>62.791697535441109</v>
      </c>
    </row>
    <row r="22" spans="1:15">
      <c r="A22" s="228" t="s">
        <v>235</v>
      </c>
      <c r="B22" s="229">
        <f t="shared" si="3"/>
        <v>24.68993932218801</v>
      </c>
      <c r="C22" s="213">
        <f t="shared" si="3"/>
        <v>25.24876510931572</v>
      </c>
      <c r="D22" s="213">
        <f t="shared" si="3"/>
        <v>22.759450239383185</v>
      </c>
      <c r="E22" s="213">
        <f t="shared" si="3"/>
        <v>25.24876510931572</v>
      </c>
      <c r="F22" s="213">
        <f t="shared" si="3"/>
        <v>20.270135369450649</v>
      </c>
      <c r="G22" s="213">
        <f t="shared" si="3"/>
        <v>22.505438517961498</v>
      </c>
      <c r="H22" s="213">
        <f t="shared" si="3"/>
        <v>26.518823716424158</v>
      </c>
      <c r="I22" s="230">
        <f t="shared" si="3"/>
        <v>23.978706502207285</v>
      </c>
      <c r="J22" s="230">
        <f t="shared" si="1"/>
        <v>18.492053319498837</v>
      </c>
      <c r="K22" s="230">
        <f t="shared" si="1"/>
        <v>21.133775222284388</v>
      </c>
      <c r="L22" s="231">
        <f t="shared" si="1"/>
        <v>21.133775222284388</v>
      </c>
      <c r="M22" s="231">
        <f t="shared" si="2"/>
        <v>15.545517351007264</v>
      </c>
      <c r="N22" s="231">
        <f t="shared" si="2"/>
        <v>19.812914270891614</v>
      </c>
      <c r="O22" s="231">
        <f t="shared" si="2"/>
        <v>16.002738449566301</v>
      </c>
    </row>
    <row r="23" spans="1:15">
      <c r="A23" s="228" t="s">
        <v>236</v>
      </c>
      <c r="B23" s="229">
        <f t="shared" si="3"/>
        <v>302237.28117253131</v>
      </c>
      <c r="C23" s="213">
        <f t="shared" si="3"/>
        <v>351254.80161905981</v>
      </c>
      <c r="D23" s="213">
        <f t="shared" si="3"/>
        <v>355433.01266958396</v>
      </c>
      <c r="E23" s="213">
        <f t="shared" si="3"/>
        <v>289826.11226294277</v>
      </c>
      <c r="F23" s="213">
        <f t="shared" si="3"/>
        <v>359750.62558510352</v>
      </c>
      <c r="G23" s="213">
        <f t="shared" si="3"/>
        <v>707578.73579397856</v>
      </c>
      <c r="H23" s="213">
        <f t="shared" si="3"/>
        <v>680477.84684716398</v>
      </c>
      <c r="I23" s="230">
        <f t="shared" si="3"/>
        <v>613817.24744500755</v>
      </c>
      <c r="J23" s="230">
        <f t="shared" si="1"/>
        <v>446.70501329217933</v>
      </c>
      <c r="K23" s="230">
        <f t="shared" si="1"/>
        <v>424.04716774136483</v>
      </c>
      <c r="L23" s="231">
        <f t="shared" si="1"/>
        <v>426.5364826112974</v>
      </c>
      <c r="M23" s="231">
        <f t="shared" si="2"/>
        <v>462.30133298747097</v>
      </c>
      <c r="N23" s="231">
        <f t="shared" si="2"/>
        <v>426.23166854559133</v>
      </c>
      <c r="O23" s="231">
        <f t="shared" si="2"/>
        <v>400.83049640342261</v>
      </c>
    </row>
    <row r="24" spans="1:15">
      <c r="A24" s="228" t="s">
        <v>237</v>
      </c>
      <c r="B24" s="229">
        <f t="shared" si="3"/>
        <v>870351.67388459051</v>
      </c>
      <c r="C24" s="213">
        <f t="shared" si="3"/>
        <v>857401.60081498919</v>
      </c>
      <c r="D24" s="213">
        <f t="shared" si="3"/>
        <v>834748.20445350849</v>
      </c>
      <c r="E24" s="213">
        <f t="shared" si="3"/>
        <v>828327.11276468611</v>
      </c>
      <c r="F24" s="213">
        <f t="shared" si="3"/>
        <v>912994.94244244008</v>
      </c>
      <c r="G24" s="213">
        <f t="shared" si="3"/>
        <v>2042875.050687955</v>
      </c>
      <c r="H24" s="213">
        <f t="shared" si="3"/>
        <v>1836934.1211320404</v>
      </c>
      <c r="I24" s="230">
        <f t="shared" si="3"/>
        <v>2033681.9645272521</v>
      </c>
      <c r="J24" s="230">
        <f t="shared" si="1"/>
        <v>0</v>
      </c>
      <c r="K24" s="230">
        <f t="shared" si="1"/>
        <v>0</v>
      </c>
      <c r="L24" s="231">
        <f t="shared" si="1"/>
        <v>0</v>
      </c>
      <c r="M24" s="231">
        <f t="shared" si="2"/>
        <v>0</v>
      </c>
      <c r="N24" s="231">
        <f t="shared" si="2"/>
        <v>0</v>
      </c>
      <c r="O24" s="231">
        <f t="shared" si="2"/>
        <v>0</v>
      </c>
    </row>
    <row r="25" spans="1:15">
      <c r="A25" s="228" t="s">
        <v>238</v>
      </c>
      <c r="B25" s="229">
        <f t="shared" si="3"/>
        <v>12.090957939672318</v>
      </c>
      <c r="C25" s="213">
        <f t="shared" si="3"/>
        <v>10.566887611142194</v>
      </c>
      <c r="D25" s="213">
        <f t="shared" si="3"/>
        <v>9.3984336926024312</v>
      </c>
      <c r="E25" s="213">
        <f t="shared" si="3"/>
        <v>21.590996320843423</v>
      </c>
      <c r="F25" s="213">
        <f t="shared" si="3"/>
        <v>26.772835437845846</v>
      </c>
      <c r="G25" s="213">
        <f t="shared" si="3"/>
        <v>20.625751779441011</v>
      </c>
      <c r="H25" s="213">
        <f t="shared" si="3"/>
        <v>19.203286139479562</v>
      </c>
      <c r="I25" s="230">
        <f t="shared" si="3"/>
        <v>18.288843942361488</v>
      </c>
      <c r="J25" s="230">
        <f t="shared" si="1"/>
        <v>19.711309582322937</v>
      </c>
      <c r="K25" s="230">
        <f t="shared" si="1"/>
        <v>22.454636173677162</v>
      </c>
      <c r="L25" s="231">
        <f t="shared" si="1"/>
        <v>22.454636173677162</v>
      </c>
      <c r="M25" s="231">
        <f t="shared" si="2"/>
        <v>16.967982990968714</v>
      </c>
      <c r="N25" s="231">
        <f t="shared" si="2"/>
        <v>22.861054927951862</v>
      </c>
      <c r="O25" s="231">
        <f t="shared" si="2"/>
        <v>18.898472073773537</v>
      </c>
    </row>
    <row r="26" spans="1:15">
      <c r="A26" s="228" t="s">
        <v>239</v>
      </c>
      <c r="B26" s="229">
        <f t="shared" ref="B26:I35" si="4">B76/MT_Hundredweight+IF(ISERROR((VLOOKUP($A26,$Q$56:$Y$81,B$5-1996,FALSE)/MT_Ton)),0,(VLOOKUP($A26,$Q$56:$Y$81,B$5-1996,FALSE)/MT_Ton))</f>
        <v>58.524300615556761</v>
      </c>
      <c r="C26" s="213">
        <f t="shared" si="4"/>
        <v>64.620581929677257</v>
      </c>
      <c r="D26" s="213">
        <f t="shared" si="4"/>
        <v>61.877255338323039</v>
      </c>
      <c r="E26" s="213">
        <f t="shared" si="4"/>
        <v>58.422695926988091</v>
      </c>
      <c r="F26" s="213">
        <f t="shared" si="4"/>
        <v>67.363908521031476</v>
      </c>
      <c r="G26" s="213">
        <f t="shared" si="4"/>
        <v>38643.96887659152</v>
      </c>
      <c r="H26" s="213">
        <f t="shared" si="4"/>
        <v>46367.807256053602</v>
      </c>
      <c r="I26" s="230">
        <f t="shared" si="4"/>
        <v>42278.384216035207</v>
      </c>
      <c r="J26" s="230">
        <f t="shared" si="1"/>
        <v>43.486806707392873</v>
      </c>
      <c r="K26" s="230">
        <f t="shared" si="1"/>
        <v>37.64453711469406</v>
      </c>
      <c r="L26" s="231">
        <f t="shared" si="1"/>
        <v>34.29158239192779</v>
      </c>
      <c r="M26" s="231">
        <f t="shared" si="2"/>
        <v>43.58841139596155</v>
      </c>
      <c r="N26" s="231">
        <f t="shared" si="2"/>
        <v>54.460113072809769</v>
      </c>
      <c r="O26" s="231">
        <f t="shared" si="2"/>
        <v>48.617843480110956</v>
      </c>
    </row>
    <row r="27" spans="1:15">
      <c r="A27" s="228" t="s">
        <v>240</v>
      </c>
      <c r="B27" s="229">
        <f t="shared" si="4"/>
        <v>93.882732237455642</v>
      </c>
      <c r="C27" s="213">
        <f t="shared" si="4"/>
        <v>159.31615167568231</v>
      </c>
      <c r="D27" s="213">
        <f t="shared" si="4"/>
        <v>171.0006908610799</v>
      </c>
      <c r="E27" s="213">
        <f t="shared" si="4"/>
        <v>76.609935180780894</v>
      </c>
      <c r="F27" s="213">
        <f t="shared" si="4"/>
        <v>103.38277061862675</v>
      </c>
      <c r="G27" s="213">
        <f t="shared" si="4"/>
        <v>103.73838702861711</v>
      </c>
      <c r="H27" s="213">
        <f t="shared" si="4"/>
        <v>117.86143873966293</v>
      </c>
      <c r="I27" s="230">
        <f t="shared" si="4"/>
        <v>112.78120431122917</v>
      </c>
      <c r="J27" s="230">
        <f t="shared" si="1"/>
        <v>104.29721281574483</v>
      </c>
      <c r="K27" s="230">
        <f t="shared" si="1"/>
        <v>107.39615581708941</v>
      </c>
      <c r="L27" s="231">
        <f t="shared" si="1"/>
        <v>105.26245735714723</v>
      </c>
      <c r="M27" s="231">
        <f t="shared" si="2"/>
        <v>128.88554744936417</v>
      </c>
      <c r="N27" s="231">
        <f t="shared" si="2"/>
        <v>135.89627096060272</v>
      </c>
      <c r="O27" s="231">
        <f t="shared" si="2"/>
        <v>147.1235890474413</v>
      </c>
    </row>
    <row r="28" spans="1:15">
      <c r="A28" s="228" t="s">
        <v>241</v>
      </c>
      <c r="B28" s="229">
        <f t="shared" si="4"/>
        <v>5.4866531827084462</v>
      </c>
      <c r="C28" s="213">
        <f t="shared" si="4"/>
        <v>5.4866531827084462</v>
      </c>
      <c r="D28" s="213">
        <f t="shared" si="4"/>
        <v>5.4866531827084462</v>
      </c>
      <c r="E28" s="213">
        <f t="shared" si="4"/>
        <v>5.0294320841494091</v>
      </c>
      <c r="F28" s="213">
        <f t="shared" si="4"/>
        <v>4.318199264168685</v>
      </c>
      <c r="G28" s="213">
        <f t="shared" si="4"/>
        <v>6.7567117898168831</v>
      </c>
      <c r="H28" s="213">
        <f t="shared" si="4"/>
        <v>6.4010953798265211</v>
      </c>
      <c r="I28" s="230">
        <f t="shared" si="4"/>
        <v>6.5027000683951961</v>
      </c>
      <c r="J28" s="230">
        <f t="shared" si="1"/>
        <v>4.5722109855903721</v>
      </c>
      <c r="K28" s="230">
        <f t="shared" si="1"/>
        <v>5.1818391170024221</v>
      </c>
      <c r="L28" s="231">
        <f t="shared" si="1"/>
        <v>6.5027000683951961</v>
      </c>
      <c r="M28" s="231">
        <f t="shared" si="2"/>
        <v>3.9117805098939851</v>
      </c>
      <c r="N28" s="231">
        <f t="shared" si="2"/>
        <v>3.9117805098939851</v>
      </c>
      <c r="O28" s="231">
        <f t="shared" si="2"/>
        <v>4.318199264168685</v>
      </c>
    </row>
    <row r="29" spans="1:15">
      <c r="A29" s="228" t="s">
        <v>242</v>
      </c>
      <c r="B29" s="229">
        <f t="shared" si="4"/>
        <v>240.2442861206319</v>
      </c>
      <c r="C29" s="213">
        <f t="shared" si="4"/>
        <v>171.0006908610799</v>
      </c>
      <c r="D29" s="213">
        <f t="shared" si="4"/>
        <v>282.51183656520067</v>
      </c>
      <c r="E29" s="213">
        <f t="shared" si="4"/>
        <v>266.10267936135966</v>
      </c>
      <c r="F29" s="213">
        <f t="shared" si="4"/>
        <v>238.16139000497404</v>
      </c>
      <c r="G29" s="213">
        <f t="shared" si="4"/>
        <v>38074.677593618719</v>
      </c>
      <c r="H29" s="213">
        <f t="shared" si="4"/>
        <v>51413.570152843924</v>
      </c>
      <c r="I29" s="230">
        <f t="shared" si="4"/>
        <v>44977.702244843058</v>
      </c>
      <c r="J29" s="230">
        <f t="shared" si="1"/>
        <v>196.80828175752336</v>
      </c>
      <c r="K29" s="230">
        <f t="shared" si="1"/>
        <v>202.70135369450651</v>
      </c>
      <c r="L29" s="231">
        <f t="shared" si="1"/>
        <v>209.66127486146073</v>
      </c>
      <c r="M29" s="231">
        <f t="shared" si="2"/>
        <v>198.43395677462215</v>
      </c>
      <c r="N29" s="231">
        <f t="shared" si="2"/>
        <v>201.63450446453541</v>
      </c>
      <c r="O29" s="231">
        <f t="shared" si="2"/>
        <v>200.41524820171131</v>
      </c>
    </row>
    <row r="30" spans="1:15">
      <c r="A30" s="228" t="s">
        <v>243</v>
      </c>
      <c r="B30" s="229">
        <f t="shared" si="4"/>
        <v>374.10846330986112</v>
      </c>
      <c r="C30" s="213">
        <f t="shared" si="4"/>
        <v>358.66455064742252</v>
      </c>
      <c r="D30" s="213">
        <f t="shared" si="4"/>
        <v>460.47244859323479</v>
      </c>
      <c r="E30" s="213">
        <f t="shared" si="4"/>
        <v>273.97704272543194</v>
      </c>
      <c r="F30" s="213">
        <f t="shared" si="4"/>
        <v>321.4772346312875</v>
      </c>
      <c r="G30" s="213">
        <f t="shared" si="4"/>
        <v>349.97734977480081</v>
      </c>
      <c r="H30" s="213">
        <f t="shared" si="4"/>
        <v>349.21531461053576</v>
      </c>
      <c r="I30" s="230">
        <f t="shared" si="4"/>
        <v>319.95316430275739</v>
      </c>
      <c r="J30" s="230">
        <f t="shared" si="1"/>
        <v>276.1615435296585</v>
      </c>
      <c r="K30" s="230">
        <f t="shared" si="1"/>
        <v>262.64811995002469</v>
      </c>
      <c r="L30" s="231">
        <f t="shared" si="1"/>
        <v>267.32193562418377</v>
      </c>
      <c r="M30" s="231">
        <f t="shared" si="2"/>
        <v>260.87003790007287</v>
      </c>
      <c r="N30" s="231">
        <f t="shared" si="2"/>
        <v>257.16146676731626</v>
      </c>
      <c r="O30" s="231">
        <f t="shared" si="2"/>
        <v>241.10792597346563</v>
      </c>
    </row>
    <row r="31" spans="1:15">
      <c r="A31" s="228" t="s">
        <v>244</v>
      </c>
      <c r="B31" s="229">
        <f t="shared" si="4"/>
        <v>411046.67531217495</v>
      </c>
      <c r="C31" s="213">
        <f t="shared" si="4"/>
        <v>378092.78117119469</v>
      </c>
      <c r="D31" s="213">
        <f t="shared" si="4"/>
        <v>351579.98752160685</v>
      </c>
      <c r="E31" s="213">
        <f t="shared" si="4"/>
        <v>341054.28294989484</v>
      </c>
      <c r="F31" s="213">
        <f t="shared" si="4"/>
        <v>159328.36355840182</v>
      </c>
      <c r="G31" s="213">
        <f t="shared" si="4"/>
        <v>389296.84251218929</v>
      </c>
      <c r="H31" s="213">
        <f t="shared" si="4"/>
        <v>383154.64124489791</v>
      </c>
      <c r="I31" s="230">
        <f t="shared" si="4"/>
        <v>390324.66136415221</v>
      </c>
      <c r="J31" s="230">
        <f t="shared" si="1"/>
        <v>649.55877401953887</v>
      </c>
      <c r="K31" s="230">
        <f t="shared" si="1"/>
        <v>754.92283606525473</v>
      </c>
      <c r="L31" s="231">
        <f t="shared" si="1"/>
        <v>809.17973976092719</v>
      </c>
      <c r="M31" s="231">
        <f t="shared" si="2"/>
        <v>619.22977448178938</v>
      </c>
      <c r="N31" s="231">
        <f t="shared" si="2"/>
        <v>714.17935594921607</v>
      </c>
      <c r="O31" s="231">
        <f t="shared" si="2"/>
        <v>571.93279195307116</v>
      </c>
    </row>
    <row r="32" spans="1:15">
      <c r="A32" s="228" t="s">
        <v>245</v>
      </c>
      <c r="B32" s="229">
        <f t="shared" si="4"/>
        <v>71746.902550329018</v>
      </c>
      <c r="C32" s="213">
        <f t="shared" si="4"/>
        <v>70986.318652101065</v>
      </c>
      <c r="D32" s="213">
        <f t="shared" si="4"/>
        <v>82076.234253000788</v>
      </c>
      <c r="E32" s="213">
        <f t="shared" si="4"/>
        <v>78664.405830961201</v>
      </c>
      <c r="F32" s="213">
        <f t="shared" si="4"/>
        <v>73862.595830137449</v>
      </c>
      <c r="G32" s="213">
        <f t="shared" si="4"/>
        <v>72915.748729381885</v>
      </c>
      <c r="H32" s="213">
        <f t="shared" si="4"/>
        <v>63127.266182465522</v>
      </c>
      <c r="I32" s="230">
        <f t="shared" si="4"/>
        <v>62691.302097989224</v>
      </c>
      <c r="J32" s="230">
        <f t="shared" si="1"/>
        <v>329.50400502821282</v>
      </c>
      <c r="K32" s="230">
        <f t="shared" si="1"/>
        <v>315.58416269430433</v>
      </c>
      <c r="L32" s="231">
        <f t="shared" si="1"/>
        <v>305.3220891488682</v>
      </c>
      <c r="M32" s="231">
        <f t="shared" si="2"/>
        <v>400.5256823377166</v>
      </c>
      <c r="N32" s="231">
        <f t="shared" si="2"/>
        <v>341.79817234502246</v>
      </c>
      <c r="O32" s="231">
        <f t="shared" si="2"/>
        <v>347.2340231834466</v>
      </c>
    </row>
    <row r="33" spans="1:15">
      <c r="A33" s="228" t="s">
        <v>246</v>
      </c>
      <c r="B33" s="229">
        <f t="shared" si="4"/>
        <v>185606.14558268694</v>
      </c>
      <c r="C33" s="213">
        <f t="shared" si="4"/>
        <v>219256.12639496551</v>
      </c>
      <c r="D33" s="213">
        <f t="shared" si="4"/>
        <v>165022.69860213407</v>
      </c>
      <c r="E33" s="213">
        <f t="shared" si="4"/>
        <v>176278.46216488053</v>
      </c>
      <c r="F33" s="213">
        <f t="shared" si="4"/>
        <v>162076.91649603873</v>
      </c>
      <c r="G33" s="213">
        <f t="shared" si="4"/>
        <v>365344.69121109537</v>
      </c>
      <c r="H33" s="213">
        <f t="shared" si="4"/>
        <v>403618.65201082127</v>
      </c>
      <c r="I33" s="230">
        <f t="shared" si="4"/>
        <v>371382.4065047839</v>
      </c>
      <c r="J33" s="230">
        <f t="shared" si="1"/>
        <v>351.75543182475263</v>
      </c>
      <c r="K33" s="230">
        <f t="shared" si="1"/>
        <v>296.4316788991091</v>
      </c>
      <c r="L33" s="231">
        <f t="shared" si="1"/>
        <v>215.35113742130653</v>
      </c>
      <c r="M33" s="231">
        <f t="shared" si="2"/>
        <v>287.94768740362474</v>
      </c>
      <c r="N33" s="231">
        <f t="shared" si="2"/>
        <v>250.55716201035239</v>
      </c>
      <c r="O33" s="231">
        <f t="shared" si="2"/>
        <v>274.84068257826573</v>
      </c>
    </row>
    <row r="34" spans="1:15">
      <c r="A34" s="228" t="s">
        <v>247</v>
      </c>
      <c r="B34" s="229">
        <f t="shared" si="4"/>
        <v>35.815652720457912</v>
      </c>
      <c r="C34" s="213">
        <f t="shared" si="4"/>
        <v>34.29158239192779</v>
      </c>
      <c r="D34" s="213">
        <f t="shared" si="4"/>
        <v>21.336984599421736</v>
      </c>
      <c r="E34" s="213">
        <f t="shared" si="4"/>
        <v>38.101758213253099</v>
      </c>
      <c r="F34" s="213">
        <f t="shared" si="4"/>
        <v>36.323676163301286</v>
      </c>
      <c r="G34" s="213">
        <f t="shared" si="4"/>
        <v>42.673969198843473</v>
      </c>
      <c r="H34" s="213">
        <f t="shared" si="4"/>
        <v>35.561640999036229</v>
      </c>
      <c r="I34" s="230">
        <f t="shared" si="4"/>
        <v>36.831699606144667</v>
      </c>
      <c r="J34" s="230">
        <f t="shared" si="1"/>
        <v>16.256750170987988</v>
      </c>
      <c r="K34" s="230">
        <f t="shared" si="1"/>
        <v>28.601719832081994</v>
      </c>
      <c r="L34" s="231">
        <f t="shared" si="1"/>
        <v>18.288843942361488</v>
      </c>
      <c r="M34" s="231">
        <f t="shared" si="2"/>
        <v>16.917180646684375</v>
      </c>
      <c r="N34" s="231">
        <f t="shared" si="2"/>
        <v>27.941289356385607</v>
      </c>
      <c r="O34" s="231">
        <f t="shared" si="2"/>
        <v>11.684539185397618</v>
      </c>
    </row>
    <row r="35" spans="1:15">
      <c r="A35" s="228" t="s">
        <v>248</v>
      </c>
      <c r="B35" s="229">
        <f t="shared" si="4"/>
        <v>449522.78619316535</v>
      </c>
      <c r="C35" s="213">
        <f t="shared" si="4"/>
        <v>496345.87695053971</v>
      </c>
      <c r="D35" s="213">
        <f t="shared" si="4"/>
        <v>465746.54152661096</v>
      </c>
      <c r="E35" s="213">
        <f t="shared" si="4"/>
        <v>351208.1290423146</v>
      </c>
      <c r="F35" s="213">
        <f t="shared" si="4"/>
        <v>370956.57391455804</v>
      </c>
      <c r="G35" s="213">
        <f t="shared" si="4"/>
        <v>751054.14696412801</v>
      </c>
      <c r="H35" s="213">
        <f t="shared" si="4"/>
        <v>760949.45959742274</v>
      </c>
      <c r="I35" s="230">
        <f t="shared" si="4"/>
        <v>686584.29771266924</v>
      </c>
      <c r="J35" s="230">
        <f t="shared" si="1"/>
        <v>649.45716933097015</v>
      </c>
      <c r="K35" s="230">
        <f t="shared" si="1"/>
        <v>882.33511553037317</v>
      </c>
      <c r="L35" s="231">
        <f t="shared" si="1"/>
        <v>801.81339983969826</v>
      </c>
      <c r="M35" s="231">
        <f t="shared" si="2"/>
        <v>719.31039272193425</v>
      </c>
      <c r="N35" s="231">
        <f t="shared" si="2"/>
        <v>788.90960439147659</v>
      </c>
      <c r="O35" s="231">
        <f t="shared" si="2"/>
        <v>801.55938811827662</v>
      </c>
    </row>
    <row r="36" spans="1:15">
      <c r="A36" s="228" t="s">
        <v>249</v>
      </c>
      <c r="B36" s="229">
        <f t="shared" ref="B36:I46" si="5">B88/MT_Hundredweight+IF(ISERROR((VLOOKUP($A36,$Q$56:$Y$81,B$5-1996,FALSE)/MT_Ton)),0,(VLOOKUP($A36,$Q$56:$Y$81,B$5-1996,FALSE)/MT_Ton))</f>
        <v>709872.74877134105</v>
      </c>
      <c r="C36" s="213">
        <f t="shared" si="5"/>
        <v>763795.02655723807</v>
      </c>
      <c r="D36" s="213">
        <f t="shared" si="5"/>
        <v>787130.41708079656</v>
      </c>
      <c r="E36" s="213">
        <f t="shared" si="5"/>
        <v>854493.71468330326</v>
      </c>
      <c r="F36" s="213">
        <f t="shared" si="5"/>
        <v>660340.29793108488</v>
      </c>
      <c r="G36" s="213">
        <f t="shared" si="5"/>
        <v>1174967.8629715207</v>
      </c>
      <c r="H36" s="213">
        <f t="shared" si="5"/>
        <v>1222713.0093049963</v>
      </c>
      <c r="I36" s="230">
        <f t="shared" si="5"/>
        <v>1280010.813645151</v>
      </c>
      <c r="J36" s="230">
        <f t="shared" ref="J36:L46" si="6">J88/MT_Hundredweight+IF(ISERROR((VLOOKUP($A36,$Q$56:$Y$81,J$5-1996,FALSE)/MT_Ton)),0,(VLOOKUP($A36,$Q$56:$Y$81,J$5-1996,FALSE)/MT_Ton))</f>
        <v>0</v>
      </c>
      <c r="K36" s="230">
        <f t="shared" si="6"/>
        <v>0</v>
      </c>
      <c r="L36" s="231">
        <f t="shared" si="6"/>
        <v>0</v>
      </c>
      <c r="M36" s="231">
        <f t="shared" si="2"/>
        <v>0</v>
      </c>
      <c r="N36" s="231">
        <f t="shared" si="2"/>
        <v>0</v>
      </c>
      <c r="O36" s="231">
        <f t="shared" si="2"/>
        <v>0</v>
      </c>
    </row>
    <row r="37" spans="1:15">
      <c r="A37" s="228" t="s">
        <v>250</v>
      </c>
      <c r="B37" s="229">
        <f t="shared" si="5"/>
        <v>60738.328804349898</v>
      </c>
      <c r="C37" s="213">
        <f t="shared" si="5"/>
        <v>55890.869246325972</v>
      </c>
      <c r="D37" s="213">
        <f t="shared" si="5"/>
        <v>75048.547950624095</v>
      </c>
      <c r="E37" s="213">
        <f t="shared" si="5"/>
        <v>25148.764689585259</v>
      </c>
      <c r="F37" s="213">
        <f t="shared" si="5"/>
        <v>24652.447400742582</v>
      </c>
      <c r="G37" s="213">
        <f t="shared" si="5"/>
        <v>86671.46745401778</v>
      </c>
      <c r="H37" s="213">
        <f t="shared" si="5"/>
        <v>99523.811281162722</v>
      </c>
      <c r="I37" s="230">
        <f>I89/MT_Hundredweight+IF(ISERROR((VLOOKUP($A37,$Q$56:$Y$81,I$5-1996,FALSE)/MT_Ton)),0,(VLOOKUP($A37,$Q$56:$Y$81,I$5-1996,FALSE)/MT_Ton))</f>
        <v>61854.050218584583</v>
      </c>
      <c r="J37" s="230">
        <f t="shared" si="6"/>
        <v>155.60758054292566</v>
      </c>
      <c r="K37" s="230">
        <f t="shared" si="6"/>
        <v>139.60484209335937</v>
      </c>
      <c r="L37" s="231">
        <f t="shared" si="6"/>
        <v>164.09157203841002</v>
      </c>
      <c r="M37" s="231">
        <f t="shared" si="2"/>
        <v>0</v>
      </c>
      <c r="N37" s="231">
        <f t="shared" si="2"/>
        <v>0</v>
      </c>
      <c r="O37" s="231">
        <f t="shared" si="2"/>
        <v>0</v>
      </c>
    </row>
    <row r="38" spans="1:15">
      <c r="A38" s="228" t="s">
        <v>251</v>
      </c>
      <c r="B38" s="229">
        <f t="shared" si="5"/>
        <v>3.8609781656096476</v>
      </c>
      <c r="C38" s="213">
        <f t="shared" si="5"/>
        <v>2.2353031485108485</v>
      </c>
      <c r="D38" s="213">
        <f t="shared" si="5"/>
        <v>2.5401172142168735</v>
      </c>
      <c r="E38" s="213">
        <f t="shared" si="5"/>
        <v>3.4545594113349476</v>
      </c>
      <c r="F38" s="213">
        <f t="shared" si="5"/>
        <v>3.251350034197598</v>
      </c>
      <c r="G38" s="213">
        <f t="shared" si="5"/>
        <v>3.6577687884722976</v>
      </c>
      <c r="H38" s="213">
        <f t="shared" si="5"/>
        <v>5.0294320841494091</v>
      </c>
      <c r="I38" s="230">
        <f t="shared" si="5"/>
        <v>2.8449312799228981</v>
      </c>
      <c r="J38" s="230">
        <f t="shared" si="6"/>
        <v>1.8288843942361488</v>
      </c>
      <c r="K38" s="230">
        <f t="shared" si="6"/>
        <v>2.7433265913542231</v>
      </c>
      <c r="L38" s="231">
        <f t="shared" si="6"/>
        <v>3.4545594113349476</v>
      </c>
      <c r="M38" s="231">
        <f t="shared" si="2"/>
        <v>0</v>
      </c>
      <c r="N38" s="231">
        <f t="shared" si="2"/>
        <v>0</v>
      </c>
      <c r="O38" s="231">
        <f t="shared" si="2"/>
        <v>0</v>
      </c>
    </row>
    <row r="39" spans="1:15">
      <c r="A39" s="228" t="s">
        <v>252</v>
      </c>
      <c r="B39" s="229">
        <f t="shared" si="5"/>
        <v>5573.9042421796275</v>
      </c>
      <c r="C39" s="213">
        <f t="shared" si="5"/>
        <v>4893.4429232528692</v>
      </c>
      <c r="D39" s="213">
        <f t="shared" si="5"/>
        <v>8215.7212802658178</v>
      </c>
      <c r="E39" s="213">
        <f t="shared" si="5"/>
        <v>14861.671465968615</v>
      </c>
      <c r="F39" s="213">
        <f t="shared" si="5"/>
        <v>12955.944333157126</v>
      </c>
      <c r="G39" s="213">
        <f t="shared" si="5"/>
        <v>16831.910371082784</v>
      </c>
      <c r="H39" s="213">
        <f t="shared" si="5"/>
        <v>20842.118010988881</v>
      </c>
      <c r="I39" s="230">
        <f t="shared" si="5"/>
        <v>13092.53012533945</v>
      </c>
      <c r="J39" s="230">
        <f t="shared" si="6"/>
        <v>127.97110525224608</v>
      </c>
      <c r="K39" s="230">
        <f t="shared" si="6"/>
        <v>76.152714082221863</v>
      </c>
      <c r="L39" s="231">
        <f t="shared" si="6"/>
        <v>133.10214202496417</v>
      </c>
      <c r="M39" s="231">
        <f t="shared" si="2"/>
        <v>127.20907008798102</v>
      </c>
      <c r="N39" s="231">
        <f t="shared" si="2"/>
        <v>137.72515535483888</v>
      </c>
      <c r="O39" s="231">
        <f t="shared" si="2"/>
        <v>119.79192782246776</v>
      </c>
    </row>
    <row r="40" spans="1:15">
      <c r="A40" s="228" t="s">
        <v>253</v>
      </c>
      <c r="B40" s="229">
        <f t="shared" si="5"/>
        <v>57.355846697017</v>
      </c>
      <c r="C40" s="213">
        <f t="shared" si="5"/>
        <v>57.508253729870013</v>
      </c>
      <c r="D40" s="213">
        <f t="shared" si="5"/>
        <v>79.556471149272468</v>
      </c>
      <c r="E40" s="213">
        <f t="shared" si="5"/>
        <v>47.754203627277221</v>
      </c>
      <c r="F40" s="213">
        <f t="shared" si="5"/>
        <v>94.136743958877332</v>
      </c>
      <c r="G40" s="213">
        <f t="shared" si="5"/>
        <v>8380.1104807880929</v>
      </c>
      <c r="H40" s="213">
        <f t="shared" si="5"/>
        <v>8342.6183507062524</v>
      </c>
      <c r="I40" s="230">
        <f t="shared" si="5"/>
        <v>8358.925903221525</v>
      </c>
      <c r="J40" s="230">
        <f t="shared" si="6"/>
        <v>90.428172826120687</v>
      </c>
      <c r="K40" s="230">
        <f t="shared" si="6"/>
        <v>85.14472902054959</v>
      </c>
      <c r="L40" s="231">
        <f t="shared" si="6"/>
        <v>79.251657083566457</v>
      </c>
      <c r="M40" s="231">
        <f t="shared" si="2"/>
        <v>2.286105492795186</v>
      </c>
      <c r="N40" s="231">
        <f t="shared" si="2"/>
        <v>2.489314869932536</v>
      </c>
      <c r="O40" s="231">
        <f t="shared" si="2"/>
        <v>2.3369078370795235</v>
      </c>
    </row>
    <row r="41" spans="1:15">
      <c r="A41" s="228" t="s">
        <v>254</v>
      </c>
      <c r="B41" s="229">
        <f t="shared" si="5"/>
        <v>111672.76717381315</v>
      </c>
      <c r="C41" s="213">
        <f t="shared" si="5"/>
        <v>120225.03959444244</v>
      </c>
      <c r="D41" s="213">
        <f t="shared" si="5"/>
        <v>98046.841253241888</v>
      </c>
      <c r="E41" s="213">
        <f t="shared" si="5"/>
        <v>128240.21496978513</v>
      </c>
      <c r="F41" s="213">
        <f t="shared" si="5"/>
        <v>100635.98354267003</v>
      </c>
      <c r="G41" s="213">
        <f t="shared" si="5"/>
        <v>182069.44470804758</v>
      </c>
      <c r="H41" s="213">
        <f t="shared" si="5"/>
        <v>147799.6388449629</v>
      </c>
      <c r="I41" s="230">
        <f t="shared" si="5"/>
        <v>134472.05345820167</v>
      </c>
      <c r="J41" s="230">
        <f t="shared" si="6"/>
        <v>852.10772068119229</v>
      </c>
      <c r="K41" s="230">
        <f t="shared" si="6"/>
        <v>581.07721392425196</v>
      </c>
      <c r="L41" s="231">
        <f t="shared" si="6"/>
        <v>645.18977241108587</v>
      </c>
      <c r="M41" s="231">
        <f t="shared" si="2"/>
        <v>137.67435301055454</v>
      </c>
      <c r="N41" s="231">
        <f t="shared" si="2"/>
        <v>183.80288162073296</v>
      </c>
      <c r="O41" s="231">
        <f t="shared" si="2"/>
        <v>210.57571705857882</v>
      </c>
    </row>
    <row r="42" spans="1:15">
      <c r="A42" s="228" t="s">
        <v>255</v>
      </c>
      <c r="B42" s="229">
        <f t="shared" si="5"/>
        <v>107.29455112852074</v>
      </c>
      <c r="C42" s="213">
        <f t="shared" si="5"/>
        <v>127.61548884225571</v>
      </c>
      <c r="D42" s="213">
        <f t="shared" si="5"/>
        <v>112.17157617981712</v>
      </c>
      <c r="E42" s="213">
        <f t="shared" si="5"/>
        <v>48.567041135826621</v>
      </c>
      <c r="F42" s="213">
        <f t="shared" si="5"/>
        <v>53.342461498554343</v>
      </c>
      <c r="G42" s="213">
        <f t="shared" si="5"/>
        <v>42.064341067431421</v>
      </c>
      <c r="H42" s="213">
        <f t="shared" si="5"/>
        <v>39.625828541783228</v>
      </c>
      <c r="I42" s="230">
        <f t="shared" si="5"/>
        <v>37.746141803262738</v>
      </c>
      <c r="J42" s="230">
        <f t="shared" si="6"/>
        <v>34.29158239192779</v>
      </c>
      <c r="K42" s="230">
        <f t="shared" si="6"/>
        <v>46.636552053021795</v>
      </c>
      <c r="L42" s="231">
        <f t="shared" si="6"/>
        <v>39.27021213179286</v>
      </c>
      <c r="M42" s="231">
        <f t="shared" si="2"/>
        <v>85.19553136483394</v>
      </c>
      <c r="N42" s="231">
        <f t="shared" si="2"/>
        <v>95.051186155995396</v>
      </c>
      <c r="O42" s="231">
        <f t="shared" si="2"/>
        <v>68.227548373865218</v>
      </c>
    </row>
    <row r="43" spans="1:15">
      <c r="A43" s="228" t="s">
        <v>256</v>
      </c>
      <c r="B43" s="229">
        <f t="shared" si="5"/>
        <v>3.6577687884722976</v>
      </c>
      <c r="C43" s="213">
        <f t="shared" si="5"/>
        <v>2.7941289356385606</v>
      </c>
      <c r="D43" s="213">
        <f t="shared" si="5"/>
        <v>2.0828961156578361</v>
      </c>
      <c r="E43" s="213">
        <f t="shared" si="5"/>
        <v>2.5401172142168735</v>
      </c>
      <c r="F43" s="213">
        <f t="shared" si="5"/>
        <v>2.4385125256481985</v>
      </c>
      <c r="G43" s="213">
        <f t="shared" si="5"/>
        <v>4.4706062970216971</v>
      </c>
      <c r="H43" s="213">
        <f t="shared" si="5"/>
        <v>2.7941289356385606</v>
      </c>
      <c r="I43" s="230">
        <f t="shared" si="5"/>
        <v>3.9117805098939851</v>
      </c>
      <c r="J43" s="230">
        <f t="shared" si="6"/>
        <v>2.5401172142168735</v>
      </c>
      <c r="K43" s="230">
        <f t="shared" si="6"/>
        <v>3.6577687884722976</v>
      </c>
      <c r="L43" s="231">
        <f t="shared" si="6"/>
        <v>2.5401172142168735</v>
      </c>
      <c r="M43" s="231">
        <f t="shared" si="2"/>
        <v>664.5962679277028</v>
      </c>
      <c r="N43" s="231">
        <f t="shared" si="2"/>
        <v>683.29153062433898</v>
      </c>
      <c r="O43" s="231">
        <f t="shared" si="2"/>
        <v>589.51040307545202</v>
      </c>
    </row>
    <row r="44" spans="1:15">
      <c r="A44" s="228" t="s">
        <v>257</v>
      </c>
      <c r="B44" s="229">
        <f t="shared" si="5"/>
        <v>119.9951371996051</v>
      </c>
      <c r="C44" s="213">
        <f t="shared" si="5"/>
        <v>129.9015943350509</v>
      </c>
      <c r="D44" s="213">
        <f t="shared" si="5"/>
        <v>146.41235622746058</v>
      </c>
      <c r="E44" s="213">
        <f t="shared" si="5"/>
        <v>171.66112133677629</v>
      </c>
      <c r="F44" s="213">
        <f t="shared" si="5"/>
        <v>156.72523211718109</v>
      </c>
      <c r="G44" s="213">
        <f t="shared" si="5"/>
        <v>5318.1288679414465</v>
      </c>
      <c r="H44" s="213">
        <f t="shared" si="5"/>
        <v>7443.0464240981855</v>
      </c>
      <c r="I44" s="230">
        <f t="shared" si="5"/>
        <v>3366.1280237819506</v>
      </c>
      <c r="J44" s="230">
        <f t="shared" si="6"/>
        <v>147.98722890027506</v>
      </c>
      <c r="K44" s="230">
        <f t="shared" si="6"/>
        <v>125.48179038231355</v>
      </c>
      <c r="L44" s="231">
        <f t="shared" si="6"/>
        <v>101.09666512583156</v>
      </c>
      <c r="M44" s="231">
        <f t="shared" si="2"/>
        <v>35.460036310467551</v>
      </c>
      <c r="N44" s="231">
        <f t="shared" si="2"/>
        <v>41.454712936019376</v>
      </c>
      <c r="O44" s="231">
        <f t="shared" si="2"/>
        <v>38.203362901821777</v>
      </c>
    </row>
    <row r="45" spans="1:15">
      <c r="A45" s="228" t="s">
        <v>258</v>
      </c>
      <c r="B45" s="229">
        <f t="shared" si="5"/>
        <v>1014287.7130631816</v>
      </c>
      <c r="C45" s="213">
        <f t="shared" si="5"/>
        <v>1021376.0432838191</v>
      </c>
      <c r="D45" s="213">
        <f t="shared" si="5"/>
        <v>1014023.9399125096</v>
      </c>
      <c r="E45" s="213">
        <f t="shared" si="5"/>
        <v>984823.48397290218</v>
      </c>
      <c r="F45" s="213">
        <f t="shared" si="5"/>
        <v>1026408.7066130015</v>
      </c>
      <c r="G45" s="213">
        <f t="shared" si="5"/>
        <v>2121754.3286462142</v>
      </c>
      <c r="H45" s="213">
        <f t="shared" si="5"/>
        <v>1987223.881234413</v>
      </c>
      <c r="I45" s="230">
        <f t="shared" si="5"/>
        <v>1841176.3646931082</v>
      </c>
      <c r="J45" s="230">
        <f t="shared" si="6"/>
        <v>779.71438007601148</v>
      </c>
      <c r="K45" s="230">
        <f t="shared" si="6"/>
        <v>870.9045880663972</v>
      </c>
      <c r="L45" s="231">
        <f t="shared" si="6"/>
        <v>808.87492569522112</v>
      </c>
      <c r="M45" s="231">
        <f t="shared" si="2"/>
        <v>2.286105492795186</v>
      </c>
      <c r="N45" s="231">
        <f t="shared" si="2"/>
        <v>2.5401172142168735</v>
      </c>
      <c r="O45" s="231">
        <f t="shared" si="2"/>
        <v>1.422465639961449</v>
      </c>
    </row>
    <row r="46" spans="1:15">
      <c r="A46" s="232" t="s">
        <v>259</v>
      </c>
      <c r="B46" s="233">
        <f t="shared" si="5"/>
        <v>1109261.5713130082</v>
      </c>
      <c r="C46" s="234">
        <f t="shared" si="5"/>
        <v>1160881.3991191427</v>
      </c>
      <c r="D46" s="234">
        <f t="shared" si="5"/>
        <v>1123905.5111943826</v>
      </c>
      <c r="E46" s="234">
        <f t="shared" si="5"/>
        <v>1032216.7228352956</v>
      </c>
      <c r="F46" s="234">
        <f t="shared" si="5"/>
        <v>1016974.7956481493</v>
      </c>
      <c r="G46" s="234">
        <f t="shared" si="5"/>
        <v>2124676.6402241029</v>
      </c>
      <c r="H46" s="234">
        <f t="shared" si="5"/>
        <v>1824071.5006666204</v>
      </c>
      <c r="I46" s="235">
        <f t="shared" si="5"/>
        <v>2147236.5602527438</v>
      </c>
      <c r="J46" s="235">
        <f t="shared" si="6"/>
        <v>105.82128314427494</v>
      </c>
      <c r="K46" s="235">
        <f t="shared" si="6"/>
        <v>112.88280899979786</v>
      </c>
      <c r="L46" s="235">
        <f t="shared" si="6"/>
        <v>80.623320379243566</v>
      </c>
      <c r="M46" s="236">
        <f t="shared" si="2"/>
        <v>105.36406204571591</v>
      </c>
      <c r="N46" s="236">
        <f t="shared" si="2"/>
        <v>81.334553199224288</v>
      </c>
      <c r="O46" s="236">
        <f t="shared" si="2"/>
        <v>83.620658692019475</v>
      </c>
    </row>
    <row r="52" spans="1:31">
      <c r="A52" s="18" t="s">
        <v>260</v>
      </c>
      <c r="B52" s="176">
        <v>19.684131000000001</v>
      </c>
      <c r="C52" s="18" t="s">
        <v>261</v>
      </c>
      <c r="D52" s="18"/>
      <c r="E52" s="18"/>
      <c r="F52" s="18"/>
      <c r="G52" s="18"/>
      <c r="H52" s="18"/>
      <c r="I52" s="18"/>
      <c r="J52" s="18"/>
      <c r="K52" s="18"/>
      <c r="L52" s="18"/>
      <c r="M52" s="18"/>
      <c r="N52" s="18"/>
      <c r="O52" s="18"/>
      <c r="P52" s="18"/>
      <c r="Q52" s="18" t="s">
        <v>260</v>
      </c>
      <c r="R52" s="176">
        <v>1.102311</v>
      </c>
      <c r="S52" s="18" t="s">
        <v>262</v>
      </c>
      <c r="T52" s="18"/>
      <c r="U52" s="18"/>
      <c r="V52" s="18"/>
      <c r="W52" s="18"/>
      <c r="X52" s="18"/>
      <c r="Y52" s="18"/>
      <c r="Z52" s="18"/>
      <c r="AA52" s="18"/>
      <c r="AB52" s="18"/>
      <c r="AC52" s="18"/>
      <c r="AD52" s="18"/>
      <c r="AE52" s="18"/>
    </row>
    <row r="54" spans="1:31">
      <c r="A54" s="18" t="s">
        <v>263</v>
      </c>
      <c r="B54" s="18"/>
      <c r="C54" s="18"/>
      <c r="D54" s="18"/>
      <c r="E54" s="18"/>
      <c r="F54" s="18"/>
      <c r="G54" s="18"/>
      <c r="H54" s="18"/>
      <c r="I54" s="18"/>
      <c r="J54" s="18"/>
      <c r="K54" s="18"/>
      <c r="L54" s="18"/>
      <c r="M54" s="18"/>
      <c r="N54" s="18"/>
      <c r="O54" s="18"/>
      <c r="P54" s="18"/>
      <c r="Q54" s="18" t="s">
        <v>264</v>
      </c>
      <c r="R54" s="18"/>
      <c r="S54" s="18"/>
      <c r="T54" s="18"/>
      <c r="U54" s="18"/>
      <c r="V54" s="18"/>
      <c r="W54" s="18"/>
      <c r="X54" s="18"/>
      <c r="Y54" s="18"/>
      <c r="Z54" s="18"/>
      <c r="AA54" s="18"/>
      <c r="AB54" s="18"/>
      <c r="AC54" s="18"/>
      <c r="AD54" s="18"/>
      <c r="AE54" s="18"/>
    </row>
    <row r="55" spans="1:31">
      <c r="A55" s="18" t="s">
        <v>218</v>
      </c>
      <c r="B55" s="18">
        <v>1998</v>
      </c>
      <c r="C55" s="18">
        <v>1999</v>
      </c>
      <c r="D55" s="18">
        <v>2000</v>
      </c>
      <c r="E55" s="18">
        <v>2001</v>
      </c>
      <c r="F55" s="18">
        <v>2002</v>
      </c>
      <c r="G55" s="18">
        <v>2003</v>
      </c>
      <c r="H55" s="18">
        <v>2004</v>
      </c>
      <c r="I55" s="18">
        <v>2005</v>
      </c>
      <c r="J55" s="18">
        <v>2006</v>
      </c>
      <c r="K55" s="18">
        <v>2007</v>
      </c>
      <c r="L55" s="18">
        <v>2008</v>
      </c>
      <c r="M55" s="18">
        <v>2009</v>
      </c>
      <c r="N55" s="18">
        <v>2010</v>
      </c>
      <c r="O55" s="18">
        <v>2011</v>
      </c>
      <c r="P55" s="18"/>
      <c r="Q55" s="18" t="s">
        <v>218</v>
      </c>
      <c r="R55" s="18">
        <v>1998</v>
      </c>
      <c r="S55" s="18">
        <v>1999</v>
      </c>
      <c r="T55" s="18">
        <v>2000</v>
      </c>
      <c r="U55" s="18">
        <v>2001</v>
      </c>
      <c r="V55" s="18">
        <v>2002</v>
      </c>
      <c r="W55" s="18">
        <v>2003</v>
      </c>
      <c r="X55" s="18">
        <v>2004</v>
      </c>
      <c r="Y55" s="18">
        <v>2005</v>
      </c>
      <c r="Z55" s="18">
        <v>2006</v>
      </c>
      <c r="AA55" s="18">
        <v>2007</v>
      </c>
      <c r="AB55" s="18">
        <v>2008</v>
      </c>
      <c r="AC55" s="18">
        <v>2009</v>
      </c>
      <c r="AD55" s="18">
        <v>2010</v>
      </c>
      <c r="AE55" s="18">
        <v>2011</v>
      </c>
    </row>
    <row r="56" spans="1:31">
      <c r="A56" s="18" t="s">
        <v>219</v>
      </c>
      <c r="B56" s="191">
        <v>623</v>
      </c>
      <c r="C56" s="191">
        <v>679</v>
      </c>
      <c r="D56" s="191">
        <v>985</v>
      </c>
      <c r="E56" s="191">
        <v>1115</v>
      </c>
      <c r="F56" s="191">
        <v>1132</v>
      </c>
      <c r="G56" s="191">
        <v>1148</v>
      </c>
      <c r="H56" s="191">
        <v>708</v>
      </c>
      <c r="I56" s="191">
        <v>653</v>
      </c>
      <c r="J56" s="191">
        <v>774</v>
      </c>
      <c r="K56" s="191">
        <v>817</v>
      </c>
      <c r="L56" s="191">
        <v>863</v>
      </c>
      <c r="M56" s="191">
        <v>893</v>
      </c>
      <c r="N56" s="191">
        <v>912</v>
      </c>
      <c r="O56" s="191">
        <v>844</v>
      </c>
      <c r="P56" s="18"/>
      <c r="Q56" s="18" t="s">
        <v>222</v>
      </c>
      <c r="R56" s="191">
        <v>9063620</v>
      </c>
      <c r="S56" s="191">
        <v>12376270</v>
      </c>
      <c r="T56" s="191">
        <v>10433500</v>
      </c>
      <c r="U56" s="191">
        <v>8805950</v>
      </c>
      <c r="V56" s="191">
        <v>11229730</v>
      </c>
      <c r="W56" s="191">
        <v>18983730</v>
      </c>
      <c r="X56" s="191">
        <v>23854720</v>
      </c>
      <c r="Y56" s="191">
        <v>19695780</v>
      </c>
      <c r="Z56" s="18"/>
      <c r="AA56" s="18"/>
      <c r="AB56" s="191">
        <v>11941950</v>
      </c>
      <c r="AC56" s="18"/>
      <c r="AD56" s="18"/>
      <c r="AE56" s="18"/>
    </row>
    <row r="57" spans="1:31">
      <c r="A57" s="18" t="s">
        <v>220</v>
      </c>
      <c r="B57" s="191">
        <v>19057</v>
      </c>
      <c r="C57" s="191">
        <v>23246</v>
      </c>
      <c r="D57" s="191">
        <v>21331</v>
      </c>
      <c r="E57" s="191">
        <v>20723</v>
      </c>
      <c r="F57" s="191">
        <v>22675</v>
      </c>
      <c r="G57" s="191">
        <v>40859</v>
      </c>
      <c r="H57" s="191">
        <v>41401</v>
      </c>
      <c r="I57" s="191">
        <v>40642</v>
      </c>
      <c r="J57" s="191">
        <v>40701</v>
      </c>
      <c r="K57" s="191">
        <v>36980</v>
      </c>
      <c r="L57" s="191">
        <v>33080</v>
      </c>
      <c r="M57" s="191">
        <v>31602</v>
      </c>
      <c r="N57" s="191">
        <v>31601</v>
      </c>
      <c r="O57" s="191">
        <v>33222</v>
      </c>
      <c r="P57" s="18"/>
      <c r="Q57" s="18" t="s">
        <v>223</v>
      </c>
      <c r="R57" s="191">
        <v>1440</v>
      </c>
      <c r="S57" s="191"/>
      <c r="T57" s="191"/>
      <c r="U57" s="191"/>
      <c r="V57" s="191"/>
      <c r="W57" s="191"/>
      <c r="X57" s="191"/>
      <c r="Y57" s="191"/>
      <c r="Z57" s="18"/>
      <c r="AA57" s="18"/>
      <c r="AB57" s="191"/>
      <c r="AC57" s="18"/>
      <c r="AD57" s="18"/>
      <c r="AE57" s="18"/>
    </row>
    <row r="58" spans="1:31">
      <c r="A58" s="18" t="s">
        <v>221</v>
      </c>
      <c r="B58" s="191">
        <v>671</v>
      </c>
      <c r="C58" s="191">
        <v>636</v>
      </c>
      <c r="D58" s="191">
        <v>555</v>
      </c>
      <c r="E58" s="191">
        <v>809</v>
      </c>
      <c r="F58" s="191">
        <v>799</v>
      </c>
      <c r="G58" s="191">
        <v>729</v>
      </c>
      <c r="H58" s="191">
        <v>487</v>
      </c>
      <c r="I58" s="191">
        <v>574</v>
      </c>
      <c r="J58" s="191">
        <v>676</v>
      </c>
      <c r="K58" s="191">
        <v>567</v>
      </c>
      <c r="L58" s="191">
        <v>615</v>
      </c>
      <c r="M58" s="191">
        <v>344</v>
      </c>
      <c r="N58" s="191">
        <v>525</v>
      </c>
      <c r="O58" s="191">
        <v>548</v>
      </c>
      <c r="P58" s="18"/>
      <c r="Q58" s="18" t="s">
        <v>225</v>
      </c>
      <c r="R58" s="191"/>
      <c r="S58" s="191"/>
      <c r="T58" s="191"/>
      <c r="U58" s="191"/>
      <c r="V58" s="191"/>
      <c r="W58" s="191">
        <v>183700</v>
      </c>
      <c r="X58" s="191">
        <v>150470</v>
      </c>
      <c r="Y58" s="191">
        <v>155440</v>
      </c>
      <c r="Z58" s="18"/>
      <c r="AA58" s="18"/>
      <c r="AB58" s="191">
        <v>10080</v>
      </c>
      <c r="AC58" s="18"/>
      <c r="AD58" s="18"/>
      <c r="AE58" s="18"/>
    </row>
    <row r="59" spans="1:31">
      <c r="A59" s="18" t="s">
        <v>222</v>
      </c>
      <c r="B59" s="191">
        <v>257368</v>
      </c>
      <c r="C59" s="191">
        <v>278365</v>
      </c>
      <c r="D59" s="191">
        <v>345550</v>
      </c>
      <c r="E59" s="191">
        <v>314062</v>
      </c>
      <c r="F59" s="191">
        <v>276560</v>
      </c>
      <c r="G59" s="191">
        <v>227239</v>
      </c>
      <c r="H59" s="191">
        <v>229605</v>
      </c>
      <c r="I59" s="191">
        <v>223795</v>
      </c>
      <c r="J59" s="191">
        <v>225342</v>
      </c>
      <c r="K59" s="191">
        <v>221754</v>
      </c>
      <c r="L59" s="191">
        <v>218671</v>
      </c>
      <c r="M59" s="191">
        <v>214514</v>
      </c>
      <c r="N59" s="191">
        <v>219733</v>
      </c>
      <c r="O59" s="191">
        <v>217174</v>
      </c>
      <c r="P59" s="18"/>
      <c r="Q59" s="18" t="s">
        <v>226</v>
      </c>
      <c r="R59" s="191">
        <v>59500</v>
      </c>
      <c r="S59" s="191">
        <v>50920</v>
      </c>
      <c r="T59" s="191">
        <v>70850</v>
      </c>
      <c r="U59" s="191">
        <v>70850</v>
      </c>
      <c r="V59" s="191">
        <v>70850</v>
      </c>
      <c r="W59" s="191">
        <v>70850</v>
      </c>
      <c r="X59" s="191">
        <v>70850</v>
      </c>
      <c r="Y59" s="191">
        <v>76250</v>
      </c>
      <c r="Z59" s="18"/>
      <c r="AA59" s="18"/>
      <c r="AB59" s="191">
        <v>73500</v>
      </c>
      <c r="AC59" s="18"/>
      <c r="AD59" s="18"/>
      <c r="AE59" s="18"/>
    </row>
    <row r="60" spans="1:31">
      <c r="A60" s="18" t="s">
        <v>223</v>
      </c>
      <c r="B60" s="191">
        <v>17047</v>
      </c>
      <c r="C60" s="191">
        <v>15648</v>
      </c>
      <c r="D60" s="191">
        <v>13500</v>
      </c>
      <c r="E60" s="191">
        <v>9523</v>
      </c>
      <c r="F60" s="191">
        <v>9270</v>
      </c>
      <c r="G60" s="191">
        <v>8212</v>
      </c>
      <c r="H60" s="191">
        <v>10676</v>
      </c>
      <c r="I60" s="191">
        <v>9493</v>
      </c>
      <c r="J60" s="191">
        <v>7929</v>
      </c>
      <c r="K60" s="191">
        <v>7248</v>
      </c>
      <c r="L60" s="191">
        <v>6828</v>
      </c>
      <c r="M60" s="191">
        <v>6943</v>
      </c>
      <c r="N60" s="191">
        <v>7101</v>
      </c>
      <c r="O60" s="191">
        <v>7107</v>
      </c>
      <c r="P60" s="18"/>
      <c r="Q60" s="18" t="s">
        <v>227</v>
      </c>
      <c r="R60" s="191"/>
      <c r="S60" s="191"/>
      <c r="T60" s="191"/>
      <c r="U60" s="191"/>
      <c r="V60" s="191"/>
      <c r="W60" s="191">
        <v>53220</v>
      </c>
      <c r="X60" s="191">
        <v>32880</v>
      </c>
      <c r="Y60" s="191">
        <v>28550</v>
      </c>
      <c r="Z60" s="18"/>
      <c r="AA60" s="18"/>
      <c r="AB60" s="191"/>
      <c r="AC60" s="18"/>
      <c r="AD60" s="18"/>
      <c r="AE60" s="18"/>
    </row>
    <row r="61" spans="1:31">
      <c r="A61" s="18" t="s">
        <v>224</v>
      </c>
      <c r="B61" s="191">
        <v>293</v>
      </c>
      <c r="C61" s="191">
        <v>190</v>
      </c>
      <c r="D61" s="191">
        <v>298</v>
      </c>
      <c r="E61" s="191">
        <v>261</v>
      </c>
      <c r="F61" s="191">
        <v>308</v>
      </c>
      <c r="G61" s="191">
        <v>276</v>
      </c>
      <c r="H61" s="191">
        <v>344</v>
      </c>
      <c r="I61" s="191">
        <v>338</v>
      </c>
      <c r="J61" s="191">
        <v>280</v>
      </c>
      <c r="K61" s="191">
        <v>360</v>
      </c>
      <c r="L61" s="191">
        <v>332</v>
      </c>
      <c r="M61" s="191">
        <v>273</v>
      </c>
      <c r="N61" s="191">
        <v>210</v>
      </c>
      <c r="O61" s="191">
        <v>155</v>
      </c>
      <c r="P61" s="18"/>
      <c r="Q61" s="18" t="s">
        <v>229</v>
      </c>
      <c r="R61" s="191">
        <v>144900</v>
      </c>
      <c r="S61" s="191">
        <v>140610</v>
      </c>
      <c r="T61" s="191">
        <v>162900</v>
      </c>
      <c r="U61" s="191"/>
      <c r="V61" s="191"/>
      <c r="W61" s="191"/>
      <c r="X61" s="191"/>
      <c r="Y61" s="191"/>
      <c r="Z61" s="18"/>
      <c r="AA61" s="18"/>
      <c r="AB61" s="191"/>
      <c r="AC61" s="18"/>
      <c r="AD61" s="18"/>
      <c r="AE61" s="18"/>
    </row>
    <row r="62" spans="1:31">
      <c r="A62" s="18" t="s">
        <v>225</v>
      </c>
      <c r="B62" s="191">
        <v>1040</v>
      </c>
      <c r="C62" s="191">
        <v>1075</v>
      </c>
      <c r="D62" s="191">
        <v>1096</v>
      </c>
      <c r="E62" s="191">
        <v>1586</v>
      </c>
      <c r="F62" s="191">
        <v>1228</v>
      </c>
      <c r="G62" s="191">
        <v>711</v>
      </c>
      <c r="H62" s="191">
        <v>1161</v>
      </c>
      <c r="I62" s="191">
        <v>1184</v>
      </c>
      <c r="J62" s="191">
        <v>1130</v>
      </c>
      <c r="K62" s="191">
        <v>1333</v>
      </c>
      <c r="L62" s="191">
        <v>1643</v>
      </c>
      <c r="M62" s="191">
        <v>1358</v>
      </c>
      <c r="N62" s="191">
        <v>1340</v>
      </c>
      <c r="O62" s="191">
        <v>1385</v>
      </c>
      <c r="P62" s="18"/>
      <c r="Q62" s="18" t="s">
        <v>230</v>
      </c>
      <c r="R62" s="191">
        <v>130440</v>
      </c>
      <c r="S62" s="191">
        <v>146120</v>
      </c>
      <c r="T62" s="191">
        <v>145960</v>
      </c>
      <c r="U62" s="191">
        <v>157570</v>
      </c>
      <c r="V62" s="191">
        <v>142340</v>
      </c>
      <c r="W62" s="191">
        <v>245750</v>
      </c>
      <c r="X62" s="191">
        <v>232320</v>
      </c>
      <c r="Y62" s="191">
        <v>258510</v>
      </c>
      <c r="Z62" s="18"/>
      <c r="AA62" s="18"/>
      <c r="AB62" s="191">
        <v>44820</v>
      </c>
      <c r="AC62" s="18"/>
      <c r="AD62" s="18"/>
      <c r="AE62" s="18"/>
    </row>
    <row r="63" spans="1:31">
      <c r="A63" s="18" t="s">
        <v>226</v>
      </c>
      <c r="B63" s="191">
        <v>44895</v>
      </c>
      <c r="C63" s="191">
        <v>50374</v>
      </c>
      <c r="D63" s="191">
        <v>51972</v>
      </c>
      <c r="E63" s="191">
        <v>46764</v>
      </c>
      <c r="F63" s="191">
        <v>45822</v>
      </c>
      <c r="G63" s="191">
        <v>40979</v>
      </c>
      <c r="H63" s="191">
        <v>44280</v>
      </c>
      <c r="I63" s="191">
        <v>42449</v>
      </c>
      <c r="J63" s="191">
        <v>38954</v>
      </c>
      <c r="K63" s="191">
        <v>43124</v>
      </c>
      <c r="L63" s="191">
        <v>40892</v>
      </c>
      <c r="M63" s="191">
        <v>41230</v>
      </c>
      <c r="N63" s="191">
        <v>34277</v>
      </c>
      <c r="O63" s="191">
        <v>37898</v>
      </c>
      <c r="P63" s="18"/>
      <c r="Q63" s="18" t="s">
        <v>231</v>
      </c>
      <c r="R63" s="191">
        <v>178730</v>
      </c>
      <c r="S63" s="191">
        <v>238710</v>
      </c>
      <c r="T63" s="191">
        <v>261710</v>
      </c>
      <c r="U63" s="191">
        <v>277810</v>
      </c>
      <c r="V63" s="191">
        <v>284070</v>
      </c>
      <c r="W63" s="191">
        <v>229730</v>
      </c>
      <c r="X63" s="191">
        <v>299850</v>
      </c>
      <c r="Y63" s="191">
        <v>290230</v>
      </c>
      <c r="Z63" s="18"/>
      <c r="AA63" s="18"/>
      <c r="AB63" s="191">
        <v>270290</v>
      </c>
      <c r="AC63" s="18"/>
      <c r="AD63" s="18"/>
      <c r="AE63" s="18"/>
    </row>
    <row r="64" spans="1:31">
      <c r="A64" s="18" t="s">
        <v>227</v>
      </c>
      <c r="B64" s="191">
        <v>17233</v>
      </c>
      <c r="C64" s="191">
        <v>19250</v>
      </c>
      <c r="D64" s="191">
        <v>25392</v>
      </c>
      <c r="E64" s="191">
        <v>24166</v>
      </c>
      <c r="F64" s="191">
        <v>22627</v>
      </c>
      <c r="G64" s="191">
        <v>20325</v>
      </c>
      <c r="H64" s="191">
        <v>21270</v>
      </c>
      <c r="I64" s="191">
        <v>21792</v>
      </c>
      <c r="J64" s="191">
        <v>23225</v>
      </c>
      <c r="K64" s="191">
        <v>22943</v>
      </c>
      <c r="L64" s="191">
        <v>22013</v>
      </c>
      <c r="M64" s="191">
        <v>22727</v>
      </c>
      <c r="N64" s="191">
        <v>21951</v>
      </c>
      <c r="O64" s="191">
        <v>17270</v>
      </c>
      <c r="P64" s="18"/>
      <c r="Q64" s="18" t="s">
        <v>265</v>
      </c>
      <c r="R64" s="191"/>
      <c r="S64" s="191"/>
      <c r="T64" s="191"/>
      <c r="U64" s="191"/>
      <c r="V64" s="191"/>
      <c r="W64" s="191">
        <v>10790</v>
      </c>
      <c r="X64" s="191">
        <v>9600</v>
      </c>
      <c r="Y64" s="191">
        <v>18930</v>
      </c>
      <c r="Z64" s="18"/>
      <c r="AA64" s="18"/>
      <c r="AB64" s="191"/>
      <c r="AC64" s="18"/>
      <c r="AD64" s="18"/>
      <c r="AE64" s="18"/>
    </row>
    <row r="65" spans="1:28">
      <c r="A65" s="18" t="s">
        <v>228</v>
      </c>
      <c r="B65" s="191">
        <v>482</v>
      </c>
      <c r="C65" s="191">
        <v>487</v>
      </c>
      <c r="D65" s="191">
        <v>461</v>
      </c>
      <c r="E65" s="191">
        <v>139</v>
      </c>
      <c r="F65" s="191"/>
      <c r="G65" s="191"/>
      <c r="H65" s="191"/>
      <c r="I65" s="191"/>
      <c r="J65" s="191"/>
      <c r="K65" s="191"/>
      <c r="L65" s="191"/>
      <c r="M65" s="191"/>
      <c r="N65" s="191"/>
      <c r="O65" s="191"/>
      <c r="P65" s="18"/>
      <c r="Q65" s="18" t="s">
        <v>234</v>
      </c>
      <c r="R65" s="191"/>
      <c r="S65" s="191"/>
      <c r="T65" s="191"/>
      <c r="U65" s="191"/>
      <c r="V65" s="191"/>
      <c r="W65" s="191">
        <v>123780</v>
      </c>
      <c r="X65" s="191">
        <v>132050</v>
      </c>
      <c r="Y65" s="191">
        <v>133530</v>
      </c>
      <c r="Z65" s="18"/>
      <c r="AA65" s="18"/>
      <c r="AB65" s="191">
        <v>50370</v>
      </c>
    </row>
    <row r="66" spans="1:28">
      <c r="A66" s="18" t="s">
        <v>229</v>
      </c>
      <c r="B66" s="191">
        <v>9744</v>
      </c>
      <c r="C66" s="191">
        <v>11060</v>
      </c>
      <c r="D66" s="191">
        <v>9620</v>
      </c>
      <c r="E66" s="191">
        <v>4992</v>
      </c>
      <c r="F66" s="191">
        <v>6272</v>
      </c>
      <c r="G66" s="191">
        <v>5880</v>
      </c>
      <c r="H66" s="191">
        <v>8008</v>
      </c>
      <c r="I66" s="191">
        <v>6080</v>
      </c>
      <c r="J66" s="191">
        <v>5076</v>
      </c>
      <c r="K66" s="191">
        <v>6825</v>
      </c>
      <c r="L66" s="191">
        <v>6192</v>
      </c>
      <c r="M66" s="191">
        <v>6512</v>
      </c>
      <c r="N66" s="191">
        <v>6840</v>
      </c>
      <c r="O66" s="191">
        <v>7176</v>
      </c>
      <c r="P66" s="18"/>
      <c r="Q66" s="18" t="s">
        <v>236</v>
      </c>
      <c r="R66" s="191">
        <v>332000</v>
      </c>
      <c r="S66" s="191">
        <v>385970</v>
      </c>
      <c r="T66" s="191">
        <v>390580</v>
      </c>
      <c r="U66" s="191">
        <v>318280</v>
      </c>
      <c r="V66" s="191">
        <v>396030</v>
      </c>
      <c r="W66" s="191">
        <v>779420</v>
      </c>
      <c r="X66" s="191">
        <v>749560</v>
      </c>
      <c r="Y66" s="191">
        <v>676120</v>
      </c>
      <c r="Z66" s="18"/>
      <c r="AA66" s="18"/>
      <c r="AB66" s="191">
        <v>413350</v>
      </c>
    </row>
    <row r="67" spans="1:28">
      <c r="A67" s="18" t="s">
        <v>230</v>
      </c>
      <c r="B67" s="191">
        <v>870</v>
      </c>
      <c r="C67" s="191">
        <v>663</v>
      </c>
      <c r="D67" s="191">
        <v>4343</v>
      </c>
      <c r="E67" s="191">
        <v>3877</v>
      </c>
      <c r="F67" s="191">
        <v>3700</v>
      </c>
      <c r="G67" s="191">
        <v>3776</v>
      </c>
      <c r="H67" s="191">
        <v>5169</v>
      </c>
      <c r="I67" s="191">
        <v>5687</v>
      </c>
      <c r="J67" s="191">
        <v>5555</v>
      </c>
      <c r="K67" s="191">
        <v>6272</v>
      </c>
      <c r="L67" s="191">
        <v>5772</v>
      </c>
      <c r="M67" s="191">
        <v>4873</v>
      </c>
      <c r="N67" s="191">
        <v>4882</v>
      </c>
      <c r="O67" s="191">
        <v>5713</v>
      </c>
      <c r="P67" s="18"/>
      <c r="Q67" s="18" t="s">
        <v>237</v>
      </c>
      <c r="R67" s="191">
        <v>959370</v>
      </c>
      <c r="S67" s="191">
        <v>945110</v>
      </c>
      <c r="T67" s="191">
        <v>920150</v>
      </c>
      <c r="U67" s="191">
        <v>913070</v>
      </c>
      <c r="V67" s="191">
        <v>1006400</v>
      </c>
      <c r="W67" s="191">
        <v>2251880</v>
      </c>
      <c r="X67" s="191">
        <v>2024870</v>
      </c>
      <c r="Y67" s="191">
        <v>2241750</v>
      </c>
      <c r="Z67" s="18"/>
      <c r="AA67" s="18"/>
      <c r="AB67" s="191">
        <v>1016340</v>
      </c>
    </row>
    <row r="68" spans="1:28">
      <c r="A68" s="18" t="s">
        <v>231</v>
      </c>
      <c r="B68" s="191">
        <v>3107</v>
      </c>
      <c r="C68" s="191">
        <v>2921</v>
      </c>
      <c r="D68" s="191">
        <v>2899</v>
      </c>
      <c r="E68" s="191">
        <v>4034</v>
      </c>
      <c r="F68" s="191">
        <v>3537</v>
      </c>
      <c r="G68" s="191">
        <v>3735</v>
      </c>
      <c r="H68" s="191">
        <v>3706</v>
      </c>
      <c r="I68" s="191">
        <v>3670</v>
      </c>
      <c r="J68" s="191">
        <v>3555</v>
      </c>
      <c r="K68" s="191">
        <v>3687</v>
      </c>
      <c r="L68" s="191">
        <v>3718</v>
      </c>
      <c r="M68" s="191">
        <v>3630</v>
      </c>
      <c r="N68" s="191">
        <v>3937</v>
      </c>
      <c r="O68" s="191">
        <v>4055</v>
      </c>
      <c r="P68" s="18"/>
      <c r="Q68" s="18" t="s">
        <v>239</v>
      </c>
      <c r="R68" s="191"/>
      <c r="S68" s="191"/>
      <c r="T68" s="191"/>
      <c r="U68" s="191"/>
      <c r="V68" s="191"/>
      <c r="W68" s="191">
        <v>42520</v>
      </c>
      <c r="X68" s="191">
        <v>51060</v>
      </c>
      <c r="Y68" s="191">
        <v>46550</v>
      </c>
      <c r="Z68" s="18"/>
      <c r="AA68" s="18"/>
      <c r="AB68" s="191"/>
    </row>
    <row r="69" spans="1:28">
      <c r="A69" s="18" t="s">
        <v>232</v>
      </c>
      <c r="B69" s="191">
        <v>454</v>
      </c>
      <c r="C69" s="191">
        <v>443</v>
      </c>
      <c r="D69" s="191">
        <v>242</v>
      </c>
      <c r="E69" s="191"/>
      <c r="F69" s="191">
        <v>216</v>
      </c>
      <c r="G69" s="191">
        <v>234</v>
      </c>
      <c r="H69" s="191">
        <v>130</v>
      </c>
      <c r="I69" s="191"/>
      <c r="J69" s="191"/>
      <c r="K69" s="191"/>
      <c r="L69" s="191"/>
      <c r="M69" s="191"/>
      <c r="N69" s="191"/>
      <c r="O69" s="191"/>
      <c r="P69" s="18"/>
      <c r="Q69" s="18" t="s">
        <v>242</v>
      </c>
      <c r="R69" s="191"/>
      <c r="S69" s="191"/>
      <c r="T69" s="191"/>
      <c r="U69" s="191"/>
      <c r="V69" s="191"/>
      <c r="W69" s="191">
        <v>41750</v>
      </c>
      <c r="X69" s="191">
        <v>56440</v>
      </c>
      <c r="Y69" s="191">
        <v>49380</v>
      </c>
      <c r="Z69" s="18"/>
      <c r="AA69" s="18"/>
      <c r="AB69" s="191"/>
    </row>
    <row r="70" spans="1:28">
      <c r="A70" s="18" t="s">
        <v>233</v>
      </c>
      <c r="B70" s="191">
        <v>127</v>
      </c>
      <c r="C70" s="191">
        <v>138</v>
      </c>
      <c r="D70" s="191">
        <v>116</v>
      </c>
      <c r="E70" s="191">
        <v>110</v>
      </c>
      <c r="F70" s="191">
        <v>110</v>
      </c>
      <c r="G70" s="191">
        <v>120</v>
      </c>
      <c r="H70" s="191">
        <v>120</v>
      </c>
      <c r="I70" s="191">
        <v>130</v>
      </c>
      <c r="J70" s="191">
        <v>124</v>
      </c>
      <c r="K70" s="191">
        <v>152</v>
      </c>
      <c r="L70" s="191">
        <v>108</v>
      </c>
      <c r="M70" s="191">
        <v>90</v>
      </c>
      <c r="N70" s="191">
        <v>99</v>
      </c>
      <c r="O70" s="191">
        <v>96</v>
      </c>
      <c r="P70" s="18"/>
      <c r="Q70" s="18" t="s">
        <v>244</v>
      </c>
      <c r="R70" s="191">
        <v>452150</v>
      </c>
      <c r="S70" s="191">
        <v>415810</v>
      </c>
      <c r="T70" s="191">
        <v>386320</v>
      </c>
      <c r="U70" s="191">
        <v>374940</v>
      </c>
      <c r="V70" s="191">
        <v>174850</v>
      </c>
      <c r="W70" s="191">
        <v>428360</v>
      </c>
      <c r="X70" s="191">
        <v>421520</v>
      </c>
      <c r="Y70" s="191">
        <v>429580</v>
      </c>
      <c r="Z70" s="18"/>
      <c r="AA70" s="18"/>
      <c r="AB70" s="191">
        <v>77590</v>
      </c>
    </row>
    <row r="71" spans="1:28">
      <c r="A71" s="18" t="s">
        <v>234</v>
      </c>
      <c r="B71" s="191">
        <v>1032</v>
      </c>
      <c r="C71" s="191">
        <v>1375</v>
      </c>
      <c r="D71" s="191">
        <v>1803</v>
      </c>
      <c r="E71" s="191">
        <v>1828</v>
      </c>
      <c r="F71" s="191">
        <v>1274</v>
      </c>
      <c r="G71" s="191">
        <v>906</v>
      </c>
      <c r="H71" s="191">
        <v>1139</v>
      </c>
      <c r="I71" s="191">
        <v>1165</v>
      </c>
      <c r="J71" s="191">
        <v>1097</v>
      </c>
      <c r="K71" s="191">
        <v>959</v>
      </c>
      <c r="L71" s="191">
        <v>1599</v>
      </c>
      <c r="M71" s="191">
        <v>1199</v>
      </c>
      <c r="N71" s="191">
        <v>1120</v>
      </c>
      <c r="O71" s="191">
        <v>1236</v>
      </c>
      <c r="P71" s="18"/>
      <c r="Q71" s="18" t="s">
        <v>245</v>
      </c>
      <c r="R71" s="191">
        <v>78750</v>
      </c>
      <c r="S71" s="191">
        <v>77920</v>
      </c>
      <c r="T71" s="191">
        <v>90000</v>
      </c>
      <c r="U71" s="191">
        <v>86240</v>
      </c>
      <c r="V71" s="191">
        <v>81000</v>
      </c>
      <c r="W71" s="191">
        <v>80040</v>
      </c>
      <c r="X71" s="191">
        <v>69300</v>
      </c>
      <c r="Y71" s="191">
        <v>68800</v>
      </c>
      <c r="Z71" s="18"/>
      <c r="AA71" s="18"/>
      <c r="AB71" s="191">
        <v>42300</v>
      </c>
    </row>
    <row r="72" spans="1:28">
      <c r="A72" s="18" t="s">
        <v>235</v>
      </c>
      <c r="B72" s="191">
        <v>486</v>
      </c>
      <c r="C72" s="191">
        <v>497</v>
      </c>
      <c r="D72" s="191">
        <v>448</v>
      </c>
      <c r="E72" s="191">
        <v>497</v>
      </c>
      <c r="F72" s="191">
        <v>399</v>
      </c>
      <c r="G72" s="191">
        <v>443</v>
      </c>
      <c r="H72" s="191">
        <v>522</v>
      </c>
      <c r="I72" s="191">
        <v>472</v>
      </c>
      <c r="J72" s="191">
        <v>364</v>
      </c>
      <c r="K72" s="191">
        <v>416</v>
      </c>
      <c r="L72" s="191">
        <v>416</v>
      </c>
      <c r="M72" s="191">
        <v>306</v>
      </c>
      <c r="N72" s="191">
        <v>390</v>
      </c>
      <c r="O72" s="191">
        <v>315</v>
      </c>
      <c r="P72" s="18"/>
      <c r="Q72" s="18" t="s">
        <v>246</v>
      </c>
      <c r="R72" s="191">
        <v>204410</v>
      </c>
      <c r="S72" s="191">
        <v>241500</v>
      </c>
      <c r="T72" s="191">
        <v>181640</v>
      </c>
      <c r="U72" s="191">
        <v>194010</v>
      </c>
      <c r="V72" s="191">
        <v>178330</v>
      </c>
      <c r="W72" s="191">
        <v>402440</v>
      </c>
      <c r="X72" s="191">
        <v>444640</v>
      </c>
      <c r="Y72" s="191">
        <v>409040</v>
      </c>
      <c r="Z72" s="18"/>
      <c r="AA72" s="18"/>
      <c r="AB72" s="191">
        <v>153940</v>
      </c>
    </row>
    <row r="73" spans="1:28">
      <c r="A73" s="18" t="s">
        <v>236</v>
      </c>
      <c r="B73" s="191">
        <v>20705</v>
      </c>
      <c r="C73" s="191">
        <v>21822</v>
      </c>
      <c r="D73" s="191">
        <v>21745</v>
      </c>
      <c r="E73" s="191">
        <v>21402</v>
      </c>
      <c r="F73" s="191">
        <v>9412</v>
      </c>
      <c r="G73" s="191">
        <v>9854</v>
      </c>
      <c r="H73" s="191">
        <v>9611</v>
      </c>
      <c r="I73" s="191">
        <v>8884</v>
      </c>
      <c r="J73" s="191">
        <v>8793</v>
      </c>
      <c r="K73" s="191">
        <v>8347</v>
      </c>
      <c r="L73" s="191">
        <v>8396</v>
      </c>
      <c r="M73" s="191">
        <v>9100</v>
      </c>
      <c r="N73" s="191">
        <v>8390</v>
      </c>
      <c r="O73" s="191">
        <v>7890</v>
      </c>
      <c r="P73" s="18"/>
      <c r="Q73" s="18" t="s">
        <v>248</v>
      </c>
      <c r="R73" s="191">
        <v>495420</v>
      </c>
      <c r="S73" s="191">
        <v>547020</v>
      </c>
      <c r="T73" s="191">
        <v>513190</v>
      </c>
      <c r="U73" s="191">
        <v>386920</v>
      </c>
      <c r="V73" s="191">
        <v>408740</v>
      </c>
      <c r="W73" s="191">
        <v>827220</v>
      </c>
      <c r="X73" s="191">
        <v>838010</v>
      </c>
      <c r="Y73" s="191">
        <v>756160</v>
      </c>
      <c r="Z73" s="18"/>
      <c r="AA73" s="18"/>
      <c r="AB73" s="191">
        <v>324770</v>
      </c>
    </row>
    <row r="74" spans="1:28">
      <c r="A74" s="18" t="s">
        <v>237</v>
      </c>
      <c r="B74" s="191">
        <v>504</v>
      </c>
      <c r="C74" s="191">
        <v>236</v>
      </c>
      <c r="D74" s="191">
        <v>38</v>
      </c>
      <c r="E74" s="191">
        <v>73</v>
      </c>
      <c r="F74" s="191">
        <v>78</v>
      </c>
      <c r="G74" s="191">
        <v>65</v>
      </c>
      <c r="H74" s="191">
        <v>48</v>
      </c>
      <c r="I74" s="191">
        <v>0</v>
      </c>
      <c r="J74" s="191">
        <v>0</v>
      </c>
      <c r="K74" s="191"/>
      <c r="L74" s="191"/>
      <c r="M74" s="191"/>
      <c r="N74" s="191"/>
      <c r="O74" s="191"/>
      <c r="P74" s="18"/>
      <c r="Q74" s="18" t="s">
        <v>249</v>
      </c>
      <c r="R74" s="191">
        <v>767970</v>
      </c>
      <c r="S74" s="191">
        <v>827240</v>
      </c>
      <c r="T74" s="191">
        <v>858420</v>
      </c>
      <c r="U74" s="191">
        <v>932490</v>
      </c>
      <c r="V74" s="191">
        <v>721840</v>
      </c>
      <c r="W74" s="191">
        <v>1295180</v>
      </c>
      <c r="X74" s="191">
        <v>1347810</v>
      </c>
      <c r="Y74" s="191">
        <v>1410970</v>
      </c>
      <c r="Z74" s="18"/>
      <c r="AA74" s="18"/>
      <c r="AB74" s="191">
        <v>861260</v>
      </c>
    </row>
    <row r="75" spans="1:28">
      <c r="A75" s="18" t="s">
        <v>238</v>
      </c>
      <c r="B75" s="191">
        <v>238</v>
      </c>
      <c r="C75" s="191">
        <v>208</v>
      </c>
      <c r="D75" s="191">
        <v>185</v>
      </c>
      <c r="E75" s="191">
        <v>425</v>
      </c>
      <c r="F75" s="191">
        <v>527</v>
      </c>
      <c r="G75" s="191">
        <v>406</v>
      </c>
      <c r="H75" s="191">
        <v>378</v>
      </c>
      <c r="I75" s="191">
        <v>360</v>
      </c>
      <c r="J75" s="191">
        <v>388</v>
      </c>
      <c r="K75" s="191">
        <v>442</v>
      </c>
      <c r="L75" s="191">
        <v>442</v>
      </c>
      <c r="M75" s="191">
        <v>334</v>
      </c>
      <c r="N75" s="191">
        <v>450</v>
      </c>
      <c r="O75" s="191">
        <v>372</v>
      </c>
      <c r="P75" s="18"/>
      <c r="Q75" s="18" t="s">
        <v>250</v>
      </c>
      <c r="R75" s="191">
        <v>66830</v>
      </c>
      <c r="S75" s="191">
        <v>61510</v>
      </c>
      <c r="T75" s="191">
        <v>82530</v>
      </c>
      <c r="U75" s="191">
        <v>27570</v>
      </c>
      <c r="V75" s="191">
        <v>27000</v>
      </c>
      <c r="W75" s="191">
        <v>95410</v>
      </c>
      <c r="X75" s="191">
        <v>109500</v>
      </c>
      <c r="Y75" s="191">
        <v>68020</v>
      </c>
      <c r="Z75" s="18"/>
      <c r="AA75" s="18"/>
      <c r="AB75" s="191">
        <v>37250</v>
      </c>
    </row>
    <row r="76" spans="1:28">
      <c r="A76" s="18" t="s">
        <v>239</v>
      </c>
      <c r="B76" s="191">
        <v>1152</v>
      </c>
      <c r="C76" s="191">
        <v>1272</v>
      </c>
      <c r="D76" s="191">
        <v>1218</v>
      </c>
      <c r="E76" s="191">
        <v>1150</v>
      </c>
      <c r="F76" s="191">
        <v>1326</v>
      </c>
      <c r="G76" s="191">
        <v>1387</v>
      </c>
      <c r="H76" s="191">
        <v>924</v>
      </c>
      <c r="I76" s="191">
        <v>963</v>
      </c>
      <c r="J76" s="191">
        <v>856</v>
      </c>
      <c r="K76" s="191">
        <v>741</v>
      </c>
      <c r="L76" s="191">
        <v>675</v>
      </c>
      <c r="M76" s="191">
        <v>858</v>
      </c>
      <c r="N76" s="191">
        <v>1072</v>
      </c>
      <c r="O76" s="191">
        <v>957</v>
      </c>
      <c r="P76" s="18"/>
      <c r="Q76" s="18" t="s">
        <v>252</v>
      </c>
      <c r="R76" s="191">
        <v>6010</v>
      </c>
      <c r="S76" s="191">
        <v>5270</v>
      </c>
      <c r="T76" s="191">
        <v>8860</v>
      </c>
      <c r="U76" s="191">
        <v>16170</v>
      </c>
      <c r="V76" s="191">
        <v>14130</v>
      </c>
      <c r="W76" s="191">
        <v>18400</v>
      </c>
      <c r="X76" s="191">
        <v>22800</v>
      </c>
      <c r="Y76" s="191">
        <v>14350</v>
      </c>
      <c r="Z76" s="18"/>
      <c r="AA76" s="18"/>
      <c r="AB76" s="191">
        <v>10500</v>
      </c>
    </row>
    <row r="77" spans="1:28">
      <c r="A77" s="18" t="s">
        <v>240</v>
      </c>
      <c r="B77" s="191">
        <v>1848</v>
      </c>
      <c r="C77" s="191">
        <v>3136</v>
      </c>
      <c r="D77" s="191">
        <v>3366</v>
      </c>
      <c r="E77" s="191">
        <v>1508</v>
      </c>
      <c r="F77" s="191">
        <v>2035</v>
      </c>
      <c r="G77" s="191">
        <v>2042</v>
      </c>
      <c r="H77" s="191">
        <v>2320</v>
      </c>
      <c r="I77" s="191">
        <v>2220</v>
      </c>
      <c r="J77" s="191">
        <v>2053</v>
      </c>
      <c r="K77" s="191">
        <v>2114</v>
      </c>
      <c r="L77" s="191">
        <v>2072</v>
      </c>
      <c r="M77" s="191">
        <v>2537</v>
      </c>
      <c r="N77" s="191">
        <v>2675</v>
      </c>
      <c r="O77" s="191">
        <v>2896</v>
      </c>
      <c r="P77" s="18"/>
      <c r="Q77" s="18" t="s">
        <v>253</v>
      </c>
      <c r="R77" s="191"/>
      <c r="S77" s="191"/>
      <c r="T77" s="191"/>
      <c r="U77" s="191"/>
      <c r="V77" s="191"/>
      <c r="W77" s="191">
        <v>9120</v>
      </c>
      <c r="X77" s="191">
        <v>9120</v>
      </c>
      <c r="Y77" s="191">
        <v>9120</v>
      </c>
      <c r="Z77" s="18"/>
      <c r="AA77" s="18"/>
      <c r="AB77" s="191"/>
    </row>
    <row r="78" spans="1:28">
      <c r="A78" s="18" t="s">
        <v>241</v>
      </c>
      <c r="B78" s="191">
        <v>108</v>
      </c>
      <c r="C78" s="191">
        <v>108</v>
      </c>
      <c r="D78" s="191">
        <v>108</v>
      </c>
      <c r="E78" s="191">
        <v>99</v>
      </c>
      <c r="F78" s="191">
        <v>85</v>
      </c>
      <c r="G78" s="191">
        <v>133</v>
      </c>
      <c r="H78" s="191">
        <v>126</v>
      </c>
      <c r="I78" s="191">
        <v>128</v>
      </c>
      <c r="J78" s="191">
        <v>90</v>
      </c>
      <c r="K78" s="191">
        <v>102</v>
      </c>
      <c r="L78" s="191">
        <v>128</v>
      </c>
      <c r="M78" s="191">
        <v>77</v>
      </c>
      <c r="N78" s="191">
        <v>77</v>
      </c>
      <c r="O78" s="191">
        <v>85</v>
      </c>
      <c r="P78" s="18"/>
      <c r="Q78" s="18" t="s">
        <v>254</v>
      </c>
      <c r="R78" s="191">
        <v>121970</v>
      </c>
      <c r="S78" s="191">
        <v>131280</v>
      </c>
      <c r="T78" s="191">
        <v>106860</v>
      </c>
      <c r="U78" s="191">
        <v>140060</v>
      </c>
      <c r="V78" s="191">
        <v>109800</v>
      </c>
      <c r="W78" s="191">
        <v>199600</v>
      </c>
      <c r="X78" s="191">
        <v>161920</v>
      </c>
      <c r="Y78" s="191">
        <v>147310</v>
      </c>
      <c r="Z78" s="18"/>
      <c r="AA78" s="18"/>
      <c r="AB78" s="191">
        <v>37000</v>
      </c>
    </row>
    <row r="79" spans="1:28">
      <c r="A79" s="18" t="s">
        <v>242</v>
      </c>
      <c r="B79" s="191">
        <v>4729</v>
      </c>
      <c r="C79" s="191">
        <v>3366</v>
      </c>
      <c r="D79" s="191">
        <v>5561</v>
      </c>
      <c r="E79" s="191">
        <v>5238</v>
      </c>
      <c r="F79" s="191">
        <v>4688</v>
      </c>
      <c r="G79" s="191">
        <v>3931</v>
      </c>
      <c r="H79" s="191">
        <v>4174</v>
      </c>
      <c r="I79" s="191">
        <v>3561</v>
      </c>
      <c r="J79" s="191">
        <v>3874</v>
      </c>
      <c r="K79" s="191">
        <v>3990</v>
      </c>
      <c r="L79" s="191">
        <v>4127</v>
      </c>
      <c r="M79" s="191">
        <v>3906</v>
      </c>
      <c r="N79" s="191">
        <v>3969</v>
      </c>
      <c r="O79" s="191">
        <v>3945</v>
      </c>
      <c r="P79" s="18"/>
      <c r="Q79" s="18" t="s">
        <v>257</v>
      </c>
      <c r="R79" s="191"/>
      <c r="S79" s="191"/>
      <c r="T79" s="191"/>
      <c r="U79" s="191"/>
      <c r="V79" s="191"/>
      <c r="W79" s="191">
        <v>5700</v>
      </c>
      <c r="X79" s="191">
        <v>8030</v>
      </c>
      <c r="Y79" s="191">
        <v>3540</v>
      </c>
      <c r="Z79" s="18"/>
      <c r="AA79" s="18"/>
      <c r="AB79" s="191"/>
    </row>
    <row r="80" spans="1:28">
      <c r="A80" s="18" t="s">
        <v>243</v>
      </c>
      <c r="B80" s="191">
        <v>7364</v>
      </c>
      <c r="C80" s="191">
        <v>7060</v>
      </c>
      <c r="D80" s="191">
        <v>9064</v>
      </c>
      <c r="E80" s="191">
        <v>5393</v>
      </c>
      <c r="F80" s="191">
        <v>6328</v>
      </c>
      <c r="G80" s="191">
        <v>6889</v>
      </c>
      <c r="H80" s="191">
        <v>6874</v>
      </c>
      <c r="I80" s="191">
        <v>6298</v>
      </c>
      <c r="J80" s="191">
        <v>5436</v>
      </c>
      <c r="K80" s="191">
        <v>5170</v>
      </c>
      <c r="L80" s="191">
        <v>5262</v>
      </c>
      <c r="M80" s="191">
        <v>5135</v>
      </c>
      <c r="N80" s="191">
        <v>5062</v>
      </c>
      <c r="O80" s="191">
        <v>4746</v>
      </c>
      <c r="P80" s="18"/>
      <c r="Q80" s="18" t="s">
        <v>258</v>
      </c>
      <c r="R80" s="191">
        <v>1115680</v>
      </c>
      <c r="S80" s="191">
        <v>1124720</v>
      </c>
      <c r="T80" s="191">
        <v>1115240</v>
      </c>
      <c r="U80" s="191">
        <v>1083750</v>
      </c>
      <c r="V80" s="191">
        <v>1130750</v>
      </c>
      <c r="W80" s="191">
        <v>2338060</v>
      </c>
      <c r="X80" s="191">
        <v>2189710</v>
      </c>
      <c r="Y80" s="191">
        <v>2028700</v>
      </c>
      <c r="Z80" s="18"/>
      <c r="AA80" s="18"/>
      <c r="AB80" s="191">
        <v>892950</v>
      </c>
    </row>
    <row r="81" spans="1:28">
      <c r="A81" s="18" t="s">
        <v>244</v>
      </c>
      <c r="B81" s="191">
        <v>16987</v>
      </c>
      <c r="C81" s="191">
        <v>17247</v>
      </c>
      <c r="D81" s="191">
        <v>21973</v>
      </c>
      <c r="E81" s="191">
        <v>17998</v>
      </c>
      <c r="F81" s="191">
        <v>13918</v>
      </c>
      <c r="G81" s="191">
        <v>13682</v>
      </c>
      <c r="H81" s="191">
        <v>14921</v>
      </c>
      <c r="I81" s="191">
        <v>12128</v>
      </c>
      <c r="J81" s="191">
        <v>12786</v>
      </c>
      <c r="K81" s="191">
        <v>14860</v>
      </c>
      <c r="L81" s="191">
        <v>15928</v>
      </c>
      <c r="M81" s="191">
        <v>12189</v>
      </c>
      <c r="N81" s="191">
        <v>14058</v>
      </c>
      <c r="O81" s="191">
        <v>11258</v>
      </c>
      <c r="P81" s="18"/>
      <c r="Q81" s="18" t="s">
        <v>259</v>
      </c>
      <c r="R81" s="191">
        <v>1222540</v>
      </c>
      <c r="S81" s="191">
        <v>1279470</v>
      </c>
      <c r="T81" s="191">
        <v>1238730</v>
      </c>
      <c r="U81" s="191">
        <v>1137710</v>
      </c>
      <c r="V81" s="191">
        <v>1120910</v>
      </c>
      <c r="W81" s="191">
        <v>2341930</v>
      </c>
      <c r="X81" s="191">
        <v>2010600</v>
      </c>
      <c r="Y81" s="191">
        <v>2366820</v>
      </c>
      <c r="Z81" s="18"/>
      <c r="AA81" s="18"/>
      <c r="AB81" s="191">
        <v>1172200</v>
      </c>
    </row>
    <row r="82" spans="1:28">
      <c r="A82" s="18" t="s">
        <v>245</v>
      </c>
      <c r="B82" s="191">
        <v>6025</v>
      </c>
      <c r="C82" s="191">
        <v>5875</v>
      </c>
      <c r="D82" s="191">
        <v>8456</v>
      </c>
      <c r="E82" s="191">
        <v>8440</v>
      </c>
      <c r="F82" s="191">
        <v>7492</v>
      </c>
      <c r="G82" s="191">
        <v>5997</v>
      </c>
      <c r="H82" s="191">
        <v>5105</v>
      </c>
      <c r="I82" s="191">
        <v>5452</v>
      </c>
      <c r="J82" s="191">
        <v>6486</v>
      </c>
      <c r="K82" s="191">
        <v>6212</v>
      </c>
      <c r="L82" s="191">
        <v>6010</v>
      </c>
      <c r="M82" s="191">
        <v>7884</v>
      </c>
      <c r="N82" s="191">
        <v>6728</v>
      </c>
      <c r="O82" s="191">
        <v>6835</v>
      </c>
      <c r="P82" s="18"/>
      <c r="Q82" s="18"/>
      <c r="R82" s="18"/>
      <c r="S82" s="18"/>
      <c r="T82" s="18"/>
      <c r="U82" s="18"/>
      <c r="V82" s="18"/>
      <c r="W82" s="18"/>
      <c r="X82" s="18"/>
      <c r="Y82" s="18"/>
      <c r="Z82" s="18"/>
      <c r="AA82" s="18"/>
      <c r="AB82" s="18"/>
    </row>
    <row r="83" spans="1:28">
      <c r="A83" s="18" t="s">
        <v>246</v>
      </c>
      <c r="B83" s="191">
        <v>3316</v>
      </c>
      <c r="C83" s="191">
        <v>3365</v>
      </c>
      <c r="D83" s="191">
        <v>4756</v>
      </c>
      <c r="E83" s="191">
        <v>5423</v>
      </c>
      <c r="F83" s="191">
        <v>5878</v>
      </c>
      <c r="G83" s="191">
        <v>5062</v>
      </c>
      <c r="H83" s="191">
        <v>4880</v>
      </c>
      <c r="I83" s="191">
        <v>6052</v>
      </c>
      <c r="J83" s="191">
        <v>6924</v>
      </c>
      <c r="K83" s="191">
        <v>5835</v>
      </c>
      <c r="L83" s="191">
        <v>4239</v>
      </c>
      <c r="M83" s="191">
        <v>5668</v>
      </c>
      <c r="N83" s="191">
        <v>4932</v>
      </c>
      <c r="O83" s="191">
        <v>5410</v>
      </c>
      <c r="P83" s="18"/>
      <c r="Q83" s="18"/>
      <c r="R83" s="18"/>
      <c r="S83" s="18"/>
      <c r="T83" s="18"/>
      <c r="U83" s="18"/>
      <c r="V83" s="18"/>
      <c r="W83" s="18"/>
      <c r="X83" s="18"/>
      <c r="Y83" s="18"/>
      <c r="Z83" s="18"/>
      <c r="AA83" s="18"/>
      <c r="AB83" s="18"/>
    </row>
    <row r="84" spans="1:28">
      <c r="A84" s="18" t="s">
        <v>247</v>
      </c>
      <c r="B84" s="191">
        <v>705</v>
      </c>
      <c r="C84" s="191">
        <v>675</v>
      </c>
      <c r="D84" s="191">
        <v>420</v>
      </c>
      <c r="E84" s="191">
        <v>750</v>
      </c>
      <c r="F84" s="191">
        <v>715</v>
      </c>
      <c r="G84" s="191">
        <v>840</v>
      </c>
      <c r="H84" s="191">
        <v>700</v>
      </c>
      <c r="I84" s="191">
        <v>725</v>
      </c>
      <c r="J84" s="191">
        <v>320</v>
      </c>
      <c r="K84" s="191">
        <v>563</v>
      </c>
      <c r="L84" s="191">
        <v>360</v>
      </c>
      <c r="M84" s="191">
        <v>333</v>
      </c>
      <c r="N84" s="191">
        <v>550</v>
      </c>
      <c r="O84" s="191">
        <v>230</v>
      </c>
      <c r="P84" s="18"/>
      <c r="Q84" s="18"/>
      <c r="R84" s="18"/>
      <c r="S84" s="18"/>
      <c r="T84" s="18"/>
      <c r="U84" s="18"/>
      <c r="V84" s="18"/>
      <c r="W84" s="18"/>
      <c r="X84" s="18"/>
      <c r="Y84" s="18"/>
      <c r="Z84" s="18"/>
      <c r="AA84" s="18"/>
      <c r="AB84" s="18"/>
    </row>
    <row r="85" spans="1:28">
      <c r="A85" s="18" t="s">
        <v>248</v>
      </c>
      <c r="B85" s="191">
        <v>1677</v>
      </c>
      <c r="C85" s="191">
        <v>1920</v>
      </c>
      <c r="D85" s="191">
        <v>3706</v>
      </c>
      <c r="E85" s="191">
        <v>3939</v>
      </c>
      <c r="F85" s="191">
        <v>3027</v>
      </c>
      <c r="G85" s="191">
        <v>12058</v>
      </c>
      <c r="H85" s="191">
        <v>14160</v>
      </c>
      <c r="I85" s="191">
        <v>11954</v>
      </c>
      <c r="J85" s="191">
        <v>12784</v>
      </c>
      <c r="K85" s="191">
        <v>17368</v>
      </c>
      <c r="L85" s="191">
        <v>15783</v>
      </c>
      <c r="M85" s="191">
        <v>14159</v>
      </c>
      <c r="N85" s="191">
        <v>15529</v>
      </c>
      <c r="O85" s="191">
        <v>15778</v>
      </c>
      <c r="P85" s="18"/>
      <c r="Q85" s="18"/>
      <c r="R85" s="18"/>
      <c r="S85" s="18"/>
      <c r="T85" s="18"/>
      <c r="U85" s="18"/>
      <c r="V85" s="18"/>
      <c r="W85" s="18"/>
      <c r="X85" s="18"/>
      <c r="Y85" s="18"/>
      <c r="Z85" s="18"/>
      <c r="AA85" s="18"/>
      <c r="AB85" s="18"/>
    </row>
    <row r="86" spans="1:28">
      <c r="A86" s="18" t="s">
        <v>266</v>
      </c>
      <c r="B86" s="191">
        <v>12240</v>
      </c>
      <c r="C86" s="191">
        <v>17286</v>
      </c>
      <c r="D86" s="191">
        <v>13920</v>
      </c>
      <c r="E86" s="191">
        <v>7006</v>
      </c>
      <c r="F86" s="191">
        <v>7800</v>
      </c>
      <c r="G86" s="191"/>
      <c r="H86" s="191"/>
      <c r="I86" s="191"/>
      <c r="J86" s="191"/>
      <c r="K86" s="191"/>
      <c r="L86" s="191"/>
      <c r="M86" s="191"/>
      <c r="N86" s="191"/>
      <c r="O86" s="191"/>
      <c r="P86" s="18"/>
      <c r="Q86" s="18"/>
      <c r="R86" s="18"/>
      <c r="S86" s="18"/>
      <c r="T86" s="18"/>
      <c r="U86" s="18"/>
      <c r="V86" s="18"/>
      <c r="W86" s="18"/>
      <c r="X86" s="18"/>
      <c r="Y86" s="18"/>
      <c r="Z86" s="18"/>
      <c r="AA86" s="18"/>
      <c r="AB86" s="18"/>
    </row>
    <row r="87" spans="1:28">
      <c r="A87" s="18" t="s">
        <v>267</v>
      </c>
      <c r="B87" s="191">
        <v>6600</v>
      </c>
      <c r="C87" s="191">
        <v>7200</v>
      </c>
      <c r="D87" s="191">
        <v>6344</v>
      </c>
      <c r="E87" s="191">
        <v>2964</v>
      </c>
      <c r="F87" s="191">
        <v>3869</v>
      </c>
      <c r="G87" s="191"/>
      <c r="H87" s="191"/>
      <c r="I87" s="191"/>
      <c r="J87" s="191"/>
      <c r="K87" s="191"/>
      <c r="L87" s="191"/>
      <c r="M87" s="191"/>
      <c r="N87" s="191"/>
      <c r="O87" s="191"/>
      <c r="P87" s="18"/>
      <c r="Q87" s="18"/>
      <c r="R87" s="18"/>
      <c r="S87" s="18"/>
      <c r="T87" s="18"/>
      <c r="U87" s="18"/>
      <c r="V87" s="18"/>
      <c r="W87" s="18"/>
      <c r="X87" s="18"/>
      <c r="Y87" s="18"/>
      <c r="Z87" s="18"/>
      <c r="AA87" s="18"/>
      <c r="AB87" s="18"/>
    </row>
    <row r="88" spans="1:28">
      <c r="A88" s="18" t="s">
        <v>249</v>
      </c>
      <c r="B88" s="191">
        <v>259474</v>
      </c>
      <c r="C88" s="191">
        <v>262494</v>
      </c>
      <c r="D88" s="191">
        <v>165045</v>
      </c>
      <c r="E88" s="191">
        <v>168354</v>
      </c>
      <c r="F88" s="191">
        <v>108221</v>
      </c>
      <c r="G88" s="191"/>
      <c r="H88" s="191"/>
      <c r="I88" s="191"/>
      <c r="J88" s="191"/>
      <c r="K88" s="191"/>
      <c r="L88" s="191"/>
      <c r="M88" s="191"/>
      <c r="N88" s="191"/>
      <c r="O88" s="191"/>
      <c r="P88" s="18"/>
      <c r="Q88" s="18"/>
      <c r="R88" s="18"/>
      <c r="S88" s="18"/>
      <c r="T88" s="18"/>
      <c r="U88" s="18"/>
      <c r="V88" s="18"/>
      <c r="W88" s="18"/>
      <c r="X88" s="18"/>
      <c r="Y88" s="18"/>
      <c r="Z88" s="18"/>
      <c r="AA88" s="18"/>
      <c r="AB88" s="18"/>
    </row>
    <row r="89" spans="1:28">
      <c r="A89" s="18" t="s">
        <v>250</v>
      </c>
      <c r="B89" s="191">
        <v>2188</v>
      </c>
      <c r="C89" s="191">
        <v>1770</v>
      </c>
      <c r="D89" s="191">
        <v>3515</v>
      </c>
      <c r="E89" s="191">
        <v>2710</v>
      </c>
      <c r="F89" s="191">
        <v>3119</v>
      </c>
      <c r="G89" s="191">
        <v>2302</v>
      </c>
      <c r="H89" s="191">
        <v>3682</v>
      </c>
      <c r="I89" s="191">
        <v>2900</v>
      </c>
      <c r="J89" s="191">
        <v>3063</v>
      </c>
      <c r="K89" s="191">
        <v>2748</v>
      </c>
      <c r="L89" s="191">
        <v>3230</v>
      </c>
      <c r="M89" s="191">
        <v>2504</v>
      </c>
      <c r="N89" s="191">
        <v>2711</v>
      </c>
      <c r="O89" s="191">
        <v>2358</v>
      </c>
      <c r="P89" s="18"/>
      <c r="Q89" s="18"/>
      <c r="R89" s="18"/>
      <c r="S89" s="18"/>
      <c r="T89" s="18"/>
      <c r="U89" s="18"/>
      <c r="V89" s="18"/>
      <c r="W89" s="18"/>
      <c r="X89" s="18"/>
      <c r="Y89" s="18"/>
      <c r="Z89" s="18"/>
      <c r="AA89" s="18"/>
      <c r="AB89" s="18"/>
    </row>
    <row r="90" spans="1:28">
      <c r="A90" s="18" t="s">
        <v>251</v>
      </c>
      <c r="B90" s="191">
        <v>76</v>
      </c>
      <c r="C90" s="191">
        <v>44</v>
      </c>
      <c r="D90" s="191">
        <v>50</v>
      </c>
      <c r="E90" s="191">
        <v>68</v>
      </c>
      <c r="F90" s="191">
        <v>64</v>
      </c>
      <c r="G90" s="191">
        <v>72</v>
      </c>
      <c r="H90" s="191">
        <v>99</v>
      </c>
      <c r="I90" s="191">
        <v>56</v>
      </c>
      <c r="J90" s="191">
        <v>36</v>
      </c>
      <c r="K90" s="191">
        <v>54</v>
      </c>
      <c r="L90" s="191">
        <v>68</v>
      </c>
      <c r="M90" s="191">
        <v>45</v>
      </c>
      <c r="N90" s="191">
        <v>49</v>
      </c>
      <c r="O90" s="191">
        <v>46</v>
      </c>
      <c r="P90" s="18"/>
      <c r="Q90" s="18"/>
      <c r="R90" s="18"/>
      <c r="S90" s="18"/>
      <c r="T90" s="18"/>
      <c r="U90" s="18"/>
      <c r="V90" s="18"/>
      <c r="W90" s="18"/>
      <c r="X90" s="18"/>
      <c r="Y90" s="18"/>
      <c r="Z90" s="18"/>
      <c r="AA90" s="18"/>
      <c r="AB90" s="18"/>
    </row>
    <row r="91" spans="1:28">
      <c r="A91" s="18" t="s">
        <v>252</v>
      </c>
      <c r="B91" s="191">
        <v>2396</v>
      </c>
      <c r="C91" s="191">
        <v>2216</v>
      </c>
      <c r="D91" s="191">
        <v>3505</v>
      </c>
      <c r="E91" s="191">
        <v>3789</v>
      </c>
      <c r="F91" s="191">
        <v>2705</v>
      </c>
      <c r="G91" s="191">
        <v>2750</v>
      </c>
      <c r="H91" s="191">
        <v>3116</v>
      </c>
      <c r="I91" s="191">
        <v>1465</v>
      </c>
      <c r="J91" s="191">
        <v>2519</v>
      </c>
      <c r="K91" s="191">
        <v>1499</v>
      </c>
      <c r="L91" s="191">
        <v>2620</v>
      </c>
      <c r="M91" s="191">
        <v>2710</v>
      </c>
      <c r="N91" s="191">
        <v>3618</v>
      </c>
      <c r="O91" s="191">
        <v>4145</v>
      </c>
      <c r="P91" s="18"/>
      <c r="Q91" s="18"/>
      <c r="R91" s="18"/>
      <c r="S91" s="18"/>
      <c r="T91" s="18"/>
      <c r="U91" s="18"/>
      <c r="V91" s="18"/>
      <c r="W91" s="18"/>
      <c r="X91" s="18"/>
      <c r="Y91" s="18"/>
      <c r="Z91" s="18"/>
      <c r="AA91" s="18"/>
      <c r="AB91" s="18"/>
    </row>
    <row r="92" spans="1:28">
      <c r="A92" s="18" t="s">
        <v>253</v>
      </c>
      <c r="B92" s="191">
        <v>1129</v>
      </c>
      <c r="C92" s="191">
        <v>1132</v>
      </c>
      <c r="D92" s="191">
        <v>1566</v>
      </c>
      <c r="E92" s="191">
        <v>940</v>
      </c>
      <c r="F92" s="191">
        <v>1853</v>
      </c>
      <c r="G92" s="191">
        <v>2098</v>
      </c>
      <c r="H92" s="191">
        <v>1360</v>
      </c>
      <c r="I92" s="191">
        <v>1681</v>
      </c>
      <c r="J92" s="191">
        <v>1780</v>
      </c>
      <c r="K92" s="191">
        <v>1676</v>
      </c>
      <c r="L92" s="191">
        <v>1560</v>
      </c>
      <c r="M92" s="191">
        <v>1677</v>
      </c>
      <c r="N92" s="191">
        <v>1871</v>
      </c>
      <c r="O92" s="191">
        <v>1343</v>
      </c>
      <c r="P92" s="18"/>
      <c r="Q92" s="18"/>
      <c r="R92" s="18"/>
      <c r="S92" s="18"/>
      <c r="T92" s="18"/>
      <c r="U92" s="18"/>
      <c r="V92" s="18"/>
      <c r="W92" s="18"/>
      <c r="X92" s="18"/>
      <c r="Y92" s="18"/>
      <c r="Z92" s="18"/>
      <c r="AA92" s="18"/>
      <c r="AB92" s="18"/>
    </row>
    <row r="93" spans="1:28">
      <c r="A93" s="18" t="s">
        <v>254</v>
      </c>
      <c r="B93" s="191">
        <v>20145</v>
      </c>
      <c r="C93" s="191">
        <v>22239</v>
      </c>
      <c r="D93" s="191">
        <v>21752</v>
      </c>
      <c r="E93" s="191">
        <v>23225</v>
      </c>
      <c r="F93" s="191">
        <v>20217</v>
      </c>
      <c r="G93" s="191">
        <v>19592</v>
      </c>
      <c r="H93" s="191">
        <v>17878</v>
      </c>
      <c r="I93" s="191">
        <v>16429</v>
      </c>
      <c r="J93" s="191">
        <v>16773</v>
      </c>
      <c r="K93" s="191">
        <v>11438</v>
      </c>
      <c r="L93" s="191">
        <v>12700</v>
      </c>
      <c r="M93" s="191">
        <v>13082</v>
      </c>
      <c r="N93" s="191">
        <v>13450</v>
      </c>
      <c r="O93" s="191">
        <v>11604</v>
      </c>
      <c r="P93" s="18"/>
      <c r="Q93" s="18"/>
      <c r="R93" s="18"/>
      <c r="S93" s="18"/>
      <c r="T93" s="18"/>
      <c r="U93" s="18"/>
      <c r="V93" s="18"/>
      <c r="W93" s="18"/>
      <c r="X93" s="18"/>
      <c r="Y93" s="18"/>
      <c r="Z93" s="18"/>
      <c r="AA93" s="18"/>
      <c r="AB93" s="18"/>
    </row>
    <row r="94" spans="1:28">
      <c r="A94" s="18" t="s">
        <v>255</v>
      </c>
      <c r="B94" s="191">
        <v>2112</v>
      </c>
      <c r="C94" s="191">
        <v>2512</v>
      </c>
      <c r="D94" s="191">
        <v>2208</v>
      </c>
      <c r="E94" s="191">
        <v>956</v>
      </c>
      <c r="F94" s="191">
        <v>1050</v>
      </c>
      <c r="G94" s="191">
        <v>828</v>
      </c>
      <c r="H94" s="191">
        <v>780</v>
      </c>
      <c r="I94" s="191">
        <v>743</v>
      </c>
      <c r="J94" s="191">
        <v>675</v>
      </c>
      <c r="K94" s="191">
        <v>918</v>
      </c>
      <c r="L94" s="191">
        <v>773</v>
      </c>
      <c r="M94" s="191">
        <v>698</v>
      </c>
      <c r="N94" s="191">
        <v>816</v>
      </c>
      <c r="O94" s="191">
        <v>752</v>
      </c>
      <c r="P94" s="18"/>
      <c r="Q94" s="18"/>
      <c r="R94" s="18"/>
      <c r="S94" s="18"/>
      <c r="T94" s="18"/>
      <c r="U94" s="18"/>
      <c r="V94" s="18"/>
      <c r="W94" s="18"/>
      <c r="X94" s="18"/>
      <c r="Y94" s="18"/>
      <c r="Z94" s="18"/>
      <c r="AA94" s="18"/>
      <c r="AB94" s="18"/>
    </row>
    <row r="95" spans="1:28">
      <c r="A95" s="18" t="s">
        <v>256</v>
      </c>
      <c r="B95" s="191">
        <v>72</v>
      </c>
      <c r="C95" s="191">
        <v>55</v>
      </c>
      <c r="D95" s="191">
        <v>41</v>
      </c>
      <c r="E95" s="191">
        <v>50</v>
      </c>
      <c r="F95" s="191">
        <v>48</v>
      </c>
      <c r="G95" s="191">
        <v>88</v>
      </c>
      <c r="H95" s="191">
        <v>55</v>
      </c>
      <c r="I95" s="191">
        <v>77</v>
      </c>
      <c r="J95" s="191">
        <v>50</v>
      </c>
      <c r="K95" s="191">
        <v>72</v>
      </c>
      <c r="L95" s="191">
        <v>50</v>
      </c>
      <c r="M95" s="191">
        <v>45</v>
      </c>
      <c r="N95" s="191">
        <v>50</v>
      </c>
      <c r="O95" s="191">
        <v>28</v>
      </c>
      <c r="P95" s="18"/>
      <c r="Q95" s="18"/>
      <c r="R95" s="18"/>
      <c r="S95" s="18"/>
      <c r="T95" s="18"/>
      <c r="U95" s="18"/>
      <c r="V95" s="18"/>
      <c r="W95" s="18"/>
      <c r="X95" s="18"/>
      <c r="Y95" s="18"/>
      <c r="Z95" s="18"/>
      <c r="AA95" s="18"/>
      <c r="AB95" s="18"/>
    </row>
    <row r="96" spans="1:28">
      <c r="A96" s="18" t="s">
        <v>257</v>
      </c>
      <c r="B96" s="191">
        <v>2362</v>
      </c>
      <c r="C96" s="191">
        <v>2557</v>
      </c>
      <c r="D96" s="191">
        <v>2882</v>
      </c>
      <c r="E96" s="191">
        <v>3379</v>
      </c>
      <c r="F96" s="191">
        <v>3085</v>
      </c>
      <c r="G96" s="191">
        <v>2897</v>
      </c>
      <c r="H96" s="191">
        <v>3117</v>
      </c>
      <c r="I96" s="191">
        <v>3045</v>
      </c>
      <c r="J96" s="191">
        <v>2913</v>
      </c>
      <c r="K96" s="191">
        <v>2470</v>
      </c>
      <c r="L96" s="191">
        <v>1990</v>
      </c>
      <c r="M96" s="191">
        <v>2074</v>
      </c>
      <c r="N96" s="191">
        <v>1601</v>
      </c>
      <c r="O96" s="191">
        <v>1646</v>
      </c>
      <c r="P96" s="18"/>
      <c r="Q96" s="18"/>
      <c r="R96" s="18"/>
      <c r="S96" s="18"/>
      <c r="T96" s="18"/>
      <c r="U96" s="18"/>
      <c r="V96" s="18"/>
      <c r="W96" s="18"/>
      <c r="X96" s="18"/>
      <c r="Y96" s="18"/>
      <c r="Z96" s="18"/>
      <c r="AA96" s="18"/>
      <c r="AB96" s="18"/>
    </row>
    <row r="97" spans="1:15">
      <c r="A97" s="18" t="s">
        <v>258</v>
      </c>
      <c r="B97" s="191">
        <v>42509</v>
      </c>
      <c r="C97" s="191">
        <v>20608</v>
      </c>
      <c r="D97" s="191">
        <v>45174</v>
      </c>
      <c r="E97" s="191">
        <v>32710</v>
      </c>
      <c r="F97" s="191">
        <v>11993</v>
      </c>
      <c r="G97" s="191">
        <v>13806</v>
      </c>
      <c r="H97" s="191">
        <v>14799</v>
      </c>
      <c r="I97" s="191">
        <v>15160</v>
      </c>
      <c r="J97" s="191">
        <v>15348</v>
      </c>
      <c r="K97" s="191">
        <v>17143</v>
      </c>
      <c r="L97" s="191">
        <v>15922</v>
      </c>
      <c r="M97" s="191">
        <v>17096</v>
      </c>
      <c r="N97" s="191">
        <v>17458</v>
      </c>
      <c r="O97" s="191">
        <v>16404</v>
      </c>
    </row>
    <row r="98" spans="1:15">
      <c r="A98" s="18" t="s">
        <v>259</v>
      </c>
      <c r="B98" s="191">
        <v>3772</v>
      </c>
      <c r="C98" s="191">
        <v>3256</v>
      </c>
      <c r="D98" s="191">
        <v>2918</v>
      </c>
      <c r="E98" s="191">
        <v>2033</v>
      </c>
      <c r="F98" s="191">
        <v>2009</v>
      </c>
      <c r="G98" s="191">
        <v>2222</v>
      </c>
      <c r="H98" s="191">
        <v>1680</v>
      </c>
      <c r="I98" s="191">
        <v>1830</v>
      </c>
      <c r="J98" s="191">
        <v>2083</v>
      </c>
      <c r="K98" s="191">
        <v>2222</v>
      </c>
      <c r="L98" s="191">
        <v>1587</v>
      </c>
      <c r="M98" s="191">
        <v>2562</v>
      </c>
      <c r="N98" s="191">
        <v>1683</v>
      </c>
      <c r="O98" s="191">
        <v>2145</v>
      </c>
    </row>
    <row r="100" spans="1:15">
      <c r="A100" s="18" t="s">
        <v>268</v>
      </c>
      <c r="B100" s="18"/>
      <c r="C100" s="18"/>
      <c r="D100" s="18"/>
      <c r="E100" s="18"/>
      <c r="F100" s="18"/>
      <c r="G100" s="18"/>
      <c r="H100" s="18"/>
      <c r="I100" s="18"/>
      <c r="J100" s="18"/>
      <c r="K100" s="18"/>
      <c r="L100" s="18"/>
      <c r="M100" s="18"/>
      <c r="N100" s="18"/>
      <c r="O100" s="18"/>
    </row>
  </sheetData>
  <sheetProtection algorithmName="SHA-512" hashValue="eQS1P+4QxcwGC/D88iiq8/NQHM4CCjkiU51hpc0xy9D1qR2iBTQ02H6DXQ7g3nVBVoa5kN9W5DsvCZTh4gBoPQ==" saltValue="zEOqeCx92eT8Gd80aMepLA==" spinCount="100000" sheet="1" objects="1" scenarios="1"/>
  <phoneticPr fontId="10"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AL207"/>
  <sheetViews>
    <sheetView showGridLines="0" topLeftCell="AI1" zoomScale="115" zoomScaleNormal="115" workbookViewId="0">
      <selection activeCell="AK11" sqref="AK11"/>
    </sheetView>
  </sheetViews>
  <sheetFormatPr baseColWidth="10" defaultColWidth="9.1640625" defaultRowHeight="11"/>
  <cols>
    <col min="1" max="2" width="15.1640625" style="20" customWidth="1"/>
    <col min="3" max="38" width="11.83203125" style="20" customWidth="1"/>
    <col min="39" max="16384" width="9.1640625" style="20"/>
  </cols>
  <sheetData>
    <row r="1" spans="1:38">
      <c r="A1" s="18" t="s">
        <v>269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8" t="s">
        <v>270</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5" spans="1:38">
      <c r="A5" s="19" t="s">
        <v>271</v>
      </c>
      <c r="B5" s="19"/>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237" t="s">
        <v>218</v>
      </c>
      <c r="B6" s="237"/>
      <c r="C6" s="237">
        <v>1990</v>
      </c>
      <c r="D6" s="238">
        <v>1991</v>
      </c>
      <c r="E6" s="238">
        <v>1992</v>
      </c>
      <c r="F6" s="238">
        <v>1993</v>
      </c>
      <c r="G6" s="238">
        <v>1994</v>
      </c>
      <c r="H6" s="238">
        <v>1995</v>
      </c>
      <c r="I6" s="238">
        <v>1996</v>
      </c>
      <c r="J6" s="238">
        <v>1997</v>
      </c>
      <c r="K6" s="238">
        <v>1998</v>
      </c>
      <c r="L6" s="238">
        <v>1999</v>
      </c>
      <c r="M6" s="238">
        <v>2000</v>
      </c>
      <c r="N6" s="238">
        <v>2001</v>
      </c>
      <c r="O6" s="238">
        <v>2002</v>
      </c>
      <c r="P6" s="238">
        <v>2003</v>
      </c>
      <c r="Q6" s="238">
        <v>2004</v>
      </c>
      <c r="R6" s="239">
        <v>2005</v>
      </c>
      <c r="S6" s="239">
        <v>2006</v>
      </c>
      <c r="T6" s="239">
        <v>2007</v>
      </c>
      <c r="U6" s="239">
        <v>2008</v>
      </c>
      <c r="V6" s="239">
        <v>2009</v>
      </c>
      <c r="W6" s="239">
        <v>2010</v>
      </c>
      <c r="X6" s="239">
        <v>2011</v>
      </c>
      <c r="Y6" s="239">
        <v>2012</v>
      </c>
      <c r="Z6" s="239">
        <v>2013</v>
      </c>
      <c r="AA6" s="239">
        <v>2014</v>
      </c>
      <c r="AB6" s="239">
        <v>2015</v>
      </c>
      <c r="AC6" s="239">
        <v>2016</v>
      </c>
      <c r="AD6" s="239">
        <v>2017</v>
      </c>
      <c r="AE6" s="239">
        <v>2018</v>
      </c>
      <c r="AF6" s="239">
        <v>2019</v>
      </c>
      <c r="AG6" s="239">
        <v>2020</v>
      </c>
      <c r="AH6" s="239">
        <v>2021</v>
      </c>
      <c r="AI6" s="18"/>
      <c r="AJ6" s="18"/>
      <c r="AK6" s="18"/>
      <c r="AL6" s="18"/>
    </row>
    <row r="7" spans="1:38">
      <c r="A7" s="237" t="s">
        <v>219</v>
      </c>
      <c r="B7" s="222" t="s">
        <v>160</v>
      </c>
      <c r="C7" s="198">
        <f t="shared" ref="C7:R7" si="0">(C58/MT_Lbs)*10^6</f>
        <v>94802.400000000009</v>
      </c>
      <c r="D7" s="198">
        <f t="shared" si="0"/>
        <v>86909.760000000009</v>
      </c>
      <c r="E7" s="198">
        <f t="shared" si="0"/>
        <v>17917.2</v>
      </c>
      <c r="F7" s="198">
        <f t="shared" si="0"/>
        <v>18325.440000000002</v>
      </c>
      <c r="G7" s="198">
        <f t="shared" si="0"/>
        <v>18234.72</v>
      </c>
      <c r="H7" s="198">
        <f t="shared" si="0"/>
        <v>51846.48</v>
      </c>
      <c r="I7" s="198">
        <f t="shared" si="0"/>
        <v>62596.80000000001</v>
      </c>
      <c r="J7" s="198">
        <f t="shared" si="0"/>
        <v>60419.519999999997</v>
      </c>
      <c r="K7" s="198">
        <f t="shared" si="0"/>
        <v>69718.320000000007</v>
      </c>
      <c r="L7" s="198">
        <f t="shared" si="0"/>
        <v>42366.240000000005</v>
      </c>
      <c r="M7" s="198">
        <f t="shared" si="0"/>
        <v>19141.920000000002</v>
      </c>
      <c r="N7" s="198">
        <f t="shared" si="0"/>
        <v>20684.160000000003</v>
      </c>
      <c r="O7" s="198">
        <f t="shared" si="0"/>
        <v>22634.639999999999</v>
      </c>
      <c r="P7" s="198">
        <f t="shared" si="0"/>
        <v>18370.800000000003</v>
      </c>
      <c r="Q7" s="198">
        <f t="shared" si="0"/>
        <v>15286.320000000003</v>
      </c>
      <c r="R7" s="198">
        <f t="shared" si="0"/>
        <v>14061.6</v>
      </c>
      <c r="S7" s="198">
        <f t="shared" ref="S7:W12" si="1">(S58/MT_Lbs)*10^6</f>
        <v>13880.160000000002</v>
      </c>
      <c r="T7" s="198">
        <f t="shared" si="1"/>
        <v>12519.360000000002</v>
      </c>
      <c r="U7" s="198">
        <f t="shared" si="1"/>
        <v>10886.400000000001</v>
      </c>
      <c r="V7" s="198">
        <f t="shared" si="1"/>
        <v>10342.080000000002</v>
      </c>
      <c r="W7" s="198">
        <f t="shared" si="1"/>
        <v>9843.1200000000008</v>
      </c>
      <c r="X7" s="198">
        <f t="shared" ref="X7:Y12" si="2">(X58/MT_Lbs)*10^6</f>
        <v>9117.36</v>
      </c>
      <c r="Y7" s="198">
        <f t="shared" si="2"/>
        <v>5171.0400000000009</v>
      </c>
      <c r="Z7" s="198">
        <f t="shared" ref="Z7:AA12" si="3">(Z58/MT_Lbs)*10^6</f>
        <v>5034.9600000000009</v>
      </c>
      <c r="AA7" s="198">
        <f t="shared" si="3"/>
        <v>4173.12</v>
      </c>
      <c r="AB7" s="198">
        <f t="shared" ref="AB7:AC26" si="4">(AB58/MT_Lbs)*10^6</f>
        <v>3991.6800000000007</v>
      </c>
      <c r="AC7" s="198">
        <f t="shared" si="4"/>
        <v>4581.3600000000006</v>
      </c>
      <c r="AD7" s="198">
        <f t="shared" ref="AD7:AE7" si="5">(AD58/MT_Lbs)*10^6</f>
        <v>6032.880000000001</v>
      </c>
      <c r="AE7" s="198">
        <f t="shared" si="5"/>
        <v>6259.6800000000012</v>
      </c>
      <c r="AF7" s="198">
        <f>(AF58/MT_Lbs)*10^6</f>
        <v>4263.84</v>
      </c>
      <c r="AG7" s="198">
        <f t="shared" ref="AG7:AH7" si="6">(AG58/MT_Lbs)*10^6</f>
        <v>5080.32</v>
      </c>
      <c r="AH7" s="198">
        <f t="shared" si="6"/>
        <v>5397.8400000000011</v>
      </c>
      <c r="AI7" s="213"/>
      <c r="AJ7" s="213"/>
      <c r="AK7" s="213"/>
      <c r="AL7" s="213"/>
    </row>
    <row r="8" spans="1:38">
      <c r="A8" s="197" t="s">
        <v>272</v>
      </c>
      <c r="B8" s="222" t="s">
        <v>161</v>
      </c>
      <c r="C8" s="198">
        <f t="shared" ref="C8:R8" si="7">(C59/MT_Lbs)*10^6</f>
        <v>0</v>
      </c>
      <c r="D8" s="198">
        <f t="shared" si="7"/>
        <v>0</v>
      </c>
      <c r="E8" s="198">
        <f t="shared" si="7"/>
        <v>0</v>
      </c>
      <c r="F8" s="198">
        <f t="shared" si="7"/>
        <v>0</v>
      </c>
      <c r="G8" s="198">
        <f t="shared" si="7"/>
        <v>0</v>
      </c>
      <c r="H8" s="198">
        <f t="shared" si="7"/>
        <v>0</v>
      </c>
      <c r="I8" s="198">
        <f t="shared" si="7"/>
        <v>0</v>
      </c>
      <c r="J8" s="198">
        <f t="shared" si="7"/>
        <v>0</v>
      </c>
      <c r="K8" s="198">
        <f t="shared" si="7"/>
        <v>0</v>
      </c>
      <c r="L8" s="198">
        <f t="shared" si="7"/>
        <v>181.44000000000003</v>
      </c>
      <c r="M8" s="198">
        <f t="shared" si="7"/>
        <v>272.16000000000003</v>
      </c>
      <c r="N8" s="198">
        <f t="shared" si="7"/>
        <v>226.8</v>
      </c>
      <c r="O8" s="198">
        <f t="shared" si="7"/>
        <v>272.16000000000003</v>
      </c>
      <c r="P8" s="198">
        <f t="shared" si="7"/>
        <v>226.8</v>
      </c>
      <c r="Q8" s="198">
        <f t="shared" si="7"/>
        <v>226.8</v>
      </c>
      <c r="R8" s="198">
        <f t="shared" si="7"/>
        <v>317.52</v>
      </c>
      <c r="S8" s="198">
        <f t="shared" si="1"/>
        <v>317.52</v>
      </c>
      <c r="T8" s="198">
        <f t="shared" si="1"/>
        <v>226.8</v>
      </c>
      <c r="U8" s="198">
        <f t="shared" si="1"/>
        <v>226.8</v>
      </c>
      <c r="V8" s="198">
        <f t="shared" si="1"/>
        <v>272.16000000000003</v>
      </c>
      <c r="W8" s="198">
        <f t="shared" si="1"/>
        <v>272.16000000000003</v>
      </c>
      <c r="X8" s="198">
        <f t="shared" si="2"/>
        <v>272.16000000000003</v>
      </c>
      <c r="Y8" s="198">
        <f t="shared" si="2"/>
        <v>226.8</v>
      </c>
      <c r="Z8" s="198">
        <f t="shared" si="3"/>
        <v>317.52</v>
      </c>
      <c r="AA8" s="198">
        <f t="shared" si="3"/>
        <v>272.16000000000003</v>
      </c>
      <c r="AB8" s="198">
        <f t="shared" si="4"/>
        <v>272.16000000000003</v>
      </c>
      <c r="AC8" s="198">
        <f t="shared" si="4"/>
        <v>589.68000000000006</v>
      </c>
      <c r="AD8" s="198">
        <f t="shared" ref="AD8:AE8" si="8">(AD59/MT_Lbs)*10^6</f>
        <v>453.6</v>
      </c>
      <c r="AE8" s="198">
        <f t="shared" si="8"/>
        <v>408.24</v>
      </c>
      <c r="AF8" s="198">
        <f t="shared" ref="AF8:AG8" si="9">(AF59/MT_Lbs)*10^6</f>
        <v>317.52</v>
      </c>
      <c r="AG8" s="198">
        <f t="shared" si="9"/>
        <v>408.24</v>
      </c>
      <c r="AH8" s="198">
        <f t="shared" ref="AH8" si="10">(AH59/MT_Lbs)*10^6</f>
        <v>317.52</v>
      </c>
      <c r="AI8" s="213"/>
      <c r="AJ8" s="213"/>
      <c r="AK8" s="213"/>
      <c r="AL8" s="213"/>
    </row>
    <row r="9" spans="1:38">
      <c r="A9" s="197" t="s">
        <v>220</v>
      </c>
      <c r="B9" s="222" t="s">
        <v>162</v>
      </c>
      <c r="C9" s="198">
        <f t="shared" ref="C9:R9" si="11">(C60/MT_Lbs)*10^6</f>
        <v>102695.04000000001</v>
      </c>
      <c r="D9" s="198">
        <f t="shared" si="11"/>
        <v>108319.68000000002</v>
      </c>
      <c r="E9" s="198">
        <f t="shared" si="11"/>
        <v>108546.48000000001</v>
      </c>
      <c r="F9" s="198">
        <f t="shared" si="11"/>
        <v>112855.68000000001</v>
      </c>
      <c r="G9" s="198">
        <f t="shared" si="11"/>
        <v>123197.76000000002</v>
      </c>
      <c r="H9" s="198">
        <f t="shared" si="11"/>
        <v>141750.00000000003</v>
      </c>
      <c r="I9" s="198">
        <f t="shared" si="11"/>
        <v>152364.24000000002</v>
      </c>
      <c r="J9" s="198">
        <f t="shared" si="11"/>
        <v>145923.12000000002</v>
      </c>
      <c r="K9" s="198">
        <f t="shared" si="11"/>
        <v>149189.04</v>
      </c>
      <c r="L9" s="198">
        <f t="shared" si="11"/>
        <v>162660.96000000002</v>
      </c>
      <c r="M9" s="198">
        <f t="shared" si="11"/>
        <v>177040.08000000002</v>
      </c>
      <c r="N9" s="198">
        <f t="shared" si="11"/>
        <v>189287.28000000003</v>
      </c>
      <c r="O9" s="198">
        <f t="shared" si="11"/>
        <v>203666.40000000002</v>
      </c>
      <c r="P9" s="198">
        <f t="shared" si="11"/>
        <v>192643.92</v>
      </c>
      <c r="Q9" s="198">
        <f t="shared" si="11"/>
        <v>160529.04</v>
      </c>
      <c r="R9" s="198">
        <f t="shared" si="11"/>
        <v>163522.80000000002</v>
      </c>
      <c r="S9" s="198">
        <f t="shared" si="1"/>
        <v>175316.40000000002</v>
      </c>
      <c r="T9" s="198">
        <f t="shared" si="1"/>
        <v>184116.24000000002</v>
      </c>
      <c r="U9" s="198">
        <f t="shared" si="1"/>
        <v>185204.88</v>
      </c>
      <c r="V9" s="198">
        <f t="shared" si="1"/>
        <v>164430.00000000003</v>
      </c>
      <c r="W9" s="198">
        <f t="shared" si="1"/>
        <v>177448.32000000001</v>
      </c>
      <c r="X9" s="198">
        <f t="shared" si="2"/>
        <v>187654.32</v>
      </c>
      <c r="Y9" s="198">
        <f t="shared" si="2"/>
        <v>175225.68000000002</v>
      </c>
      <c r="Z9" s="198">
        <f t="shared" si="3"/>
        <v>183118.32</v>
      </c>
      <c r="AA9" s="198">
        <f t="shared" si="3"/>
        <v>189695.52000000002</v>
      </c>
      <c r="AB9" s="198">
        <f t="shared" si="4"/>
        <v>204120.00000000003</v>
      </c>
      <c r="AC9" s="198">
        <f t="shared" si="4"/>
        <v>222490.80000000002</v>
      </c>
      <c r="AD9" s="198">
        <f t="shared" ref="AD9:AE9" si="12">(AD60/MT_Lbs)*10^6</f>
        <v>206705.52</v>
      </c>
      <c r="AE9" s="198">
        <f t="shared" si="12"/>
        <v>212330.16</v>
      </c>
      <c r="AF9" s="198">
        <f t="shared" ref="AF9:AG9" si="13">(AF60/MT_Lbs)*10^6</f>
        <v>210878.64</v>
      </c>
      <c r="AG9" s="198">
        <f t="shared" si="13"/>
        <v>209608.56000000003</v>
      </c>
      <c r="AH9" s="198">
        <f t="shared" ref="AH9" si="14">(AH60/MT_Lbs)*10^6</f>
        <v>217047.6</v>
      </c>
      <c r="AI9" s="213"/>
      <c r="AJ9" s="213"/>
      <c r="AK9" s="213"/>
      <c r="AL9" s="213"/>
    </row>
    <row r="10" spans="1:38">
      <c r="A10" s="197" t="s">
        <v>221</v>
      </c>
      <c r="B10" s="222" t="s">
        <v>163</v>
      </c>
      <c r="C10" s="198">
        <f t="shared" ref="C10:R10" si="15">(C61/MT_Lbs)*10^6</f>
        <v>30391.200000000004</v>
      </c>
      <c r="D10" s="198">
        <f t="shared" si="15"/>
        <v>33022.080000000002</v>
      </c>
      <c r="E10" s="198">
        <f t="shared" si="15"/>
        <v>32568.480000000003</v>
      </c>
      <c r="F10" s="198">
        <f t="shared" si="15"/>
        <v>29892.240000000005</v>
      </c>
      <c r="G10" s="198">
        <f t="shared" si="15"/>
        <v>31389.120000000006</v>
      </c>
      <c r="H10" s="198">
        <f t="shared" si="15"/>
        <v>35471.520000000004</v>
      </c>
      <c r="I10" s="198">
        <f t="shared" si="15"/>
        <v>34972.559999999998</v>
      </c>
      <c r="J10" s="198">
        <f t="shared" si="15"/>
        <v>31842.720000000005</v>
      </c>
      <c r="K10" s="198">
        <f t="shared" si="15"/>
        <v>31026.240000000005</v>
      </c>
      <c r="L10" s="198">
        <f t="shared" si="15"/>
        <v>31661.279999999999</v>
      </c>
      <c r="M10" s="198">
        <f t="shared" si="15"/>
        <v>25310.880000000001</v>
      </c>
      <c r="N10" s="198">
        <f t="shared" si="15"/>
        <v>26898.480000000003</v>
      </c>
      <c r="O10" s="198">
        <f t="shared" si="15"/>
        <v>30300.48</v>
      </c>
      <c r="P10" s="198">
        <f t="shared" si="15"/>
        <v>29756.16</v>
      </c>
      <c r="Q10" s="198">
        <f t="shared" si="15"/>
        <v>27397.440000000002</v>
      </c>
      <c r="R10" s="198">
        <f t="shared" si="15"/>
        <v>25764.48</v>
      </c>
      <c r="S10" s="198">
        <f t="shared" si="1"/>
        <v>24630.48</v>
      </c>
      <c r="T10" s="198">
        <f t="shared" si="1"/>
        <v>26399.520000000004</v>
      </c>
      <c r="U10" s="198">
        <f t="shared" si="1"/>
        <v>29166.480000000003</v>
      </c>
      <c r="V10" s="198">
        <f t="shared" si="1"/>
        <v>27034.560000000001</v>
      </c>
      <c r="W10" s="198">
        <f t="shared" si="1"/>
        <v>23451.120000000003</v>
      </c>
      <c r="X10" s="198">
        <f t="shared" si="2"/>
        <v>19368.72</v>
      </c>
      <c r="Y10" s="198">
        <f t="shared" si="2"/>
        <v>20638.800000000003</v>
      </c>
      <c r="Z10" s="198">
        <f t="shared" si="3"/>
        <v>7212.2400000000007</v>
      </c>
      <c r="AA10" s="198">
        <f t="shared" si="3"/>
        <v>2131.92</v>
      </c>
      <c r="AB10" s="198">
        <f t="shared" si="4"/>
        <v>1950.48</v>
      </c>
      <c r="AC10" s="198">
        <f t="shared" si="4"/>
        <v>2268</v>
      </c>
      <c r="AD10" s="198">
        <f t="shared" ref="AD10:AE10" si="16">(AD61/MT_Lbs)*10^6</f>
        <v>2268</v>
      </c>
      <c r="AE10" s="198">
        <f t="shared" si="16"/>
        <v>1905.1200000000001</v>
      </c>
      <c r="AF10" s="198">
        <f t="shared" ref="AF10:AG10" si="17">(AF61/MT_Lbs)*10^6</f>
        <v>1905.1200000000001</v>
      </c>
      <c r="AG10" s="198">
        <f t="shared" si="17"/>
        <v>2766.96</v>
      </c>
      <c r="AH10" s="198">
        <f t="shared" ref="AH10" si="18">(AH61/MT_Lbs)*10^6</f>
        <v>2993.76</v>
      </c>
      <c r="AI10" s="213"/>
      <c r="AJ10" s="213"/>
      <c r="AK10" s="213"/>
      <c r="AL10" s="213"/>
    </row>
    <row r="11" spans="1:38">
      <c r="A11" s="197" t="s">
        <v>222</v>
      </c>
      <c r="B11" s="222" t="s">
        <v>164</v>
      </c>
      <c r="C11" s="198">
        <f t="shared" ref="C11:R11" si="19">(C62/MT_Lbs)*10^6</f>
        <v>509846.4</v>
      </c>
      <c r="D11" s="198">
        <f t="shared" si="19"/>
        <v>485215.9200000001</v>
      </c>
      <c r="E11" s="198">
        <f t="shared" si="19"/>
        <v>430375.68000000005</v>
      </c>
      <c r="F11" s="198">
        <f t="shared" si="19"/>
        <v>413274.96</v>
      </c>
      <c r="G11" s="198">
        <f t="shared" si="19"/>
        <v>434412.72000000003</v>
      </c>
      <c r="H11" s="198">
        <f t="shared" si="19"/>
        <v>473104.80000000005</v>
      </c>
      <c r="I11" s="198">
        <f t="shared" si="19"/>
        <v>477187.2</v>
      </c>
      <c r="J11" s="198">
        <f t="shared" si="19"/>
        <v>470020.32000000007</v>
      </c>
      <c r="K11" s="198">
        <f t="shared" si="19"/>
        <v>473195.52000000002</v>
      </c>
      <c r="L11" s="198">
        <f t="shared" si="19"/>
        <v>480952.08</v>
      </c>
      <c r="M11" s="198">
        <f t="shared" si="19"/>
        <v>487302.48000000004</v>
      </c>
      <c r="N11" s="198">
        <f t="shared" si="19"/>
        <v>513429.84000000014</v>
      </c>
      <c r="O11" s="198">
        <f t="shared" si="19"/>
        <v>613720.80000000005</v>
      </c>
      <c r="P11" s="198">
        <f t="shared" si="19"/>
        <v>647650.08000000007</v>
      </c>
      <c r="Q11" s="198">
        <f t="shared" si="19"/>
        <v>648149.04</v>
      </c>
      <c r="R11" s="198">
        <f t="shared" si="19"/>
        <v>666383.76</v>
      </c>
      <c r="S11" s="198">
        <f t="shared" si="1"/>
        <v>729207.36</v>
      </c>
      <c r="T11" s="198">
        <f t="shared" si="1"/>
        <v>758600.64000000013</v>
      </c>
      <c r="U11" s="198">
        <f t="shared" si="1"/>
        <v>753973.92</v>
      </c>
      <c r="V11" s="198">
        <f t="shared" si="1"/>
        <v>772843.68</v>
      </c>
      <c r="W11" s="198">
        <f t="shared" si="1"/>
        <v>781961.04000000015</v>
      </c>
      <c r="X11" s="198">
        <f t="shared" si="2"/>
        <v>786315.60000000009</v>
      </c>
      <c r="Y11" s="198">
        <f t="shared" si="2"/>
        <v>783367.20000000007</v>
      </c>
      <c r="Z11" s="198">
        <f t="shared" si="3"/>
        <v>785272.32000000018</v>
      </c>
      <c r="AA11" s="198">
        <f t="shared" si="3"/>
        <v>657720.00000000012</v>
      </c>
      <c r="AB11" s="198">
        <f t="shared" si="4"/>
        <v>601428.24000000011</v>
      </c>
      <c r="AC11" s="198">
        <f t="shared" si="4"/>
        <v>617893.92000000004</v>
      </c>
      <c r="AD11" s="198">
        <f t="shared" ref="AD11:AE11" si="20">(AD62/MT_Lbs)*10^6</f>
        <v>649146.96000000008</v>
      </c>
      <c r="AE11" s="198">
        <f t="shared" si="20"/>
        <v>656948.88000000012</v>
      </c>
      <c r="AF11" s="198">
        <f t="shared" ref="AF11:AG11" si="21">(AF62/MT_Lbs)*10^6</f>
        <v>722358</v>
      </c>
      <c r="AG11" s="198">
        <f t="shared" si="21"/>
        <v>796657.68</v>
      </c>
      <c r="AH11" s="198">
        <f t="shared" ref="AH11" si="22">(AH62/MT_Lbs)*10^6</f>
        <v>793936.08000000007</v>
      </c>
      <c r="AI11" s="213"/>
      <c r="AJ11" s="213"/>
      <c r="AK11" s="213"/>
      <c r="AL11" s="213"/>
    </row>
    <row r="12" spans="1:38">
      <c r="A12" s="197" t="s">
        <v>223</v>
      </c>
      <c r="B12" s="222" t="s">
        <v>165</v>
      </c>
      <c r="C12" s="198">
        <f t="shared" ref="C12:R12" si="23">(C63/MT_Lbs)*10^6</f>
        <v>721042.56</v>
      </c>
      <c r="D12" s="198">
        <f t="shared" si="23"/>
        <v>795523.68</v>
      </c>
      <c r="E12" s="198">
        <f t="shared" si="23"/>
        <v>878623.20000000007</v>
      </c>
      <c r="F12" s="198">
        <f t="shared" si="23"/>
        <v>861522.4800000001</v>
      </c>
      <c r="G12" s="198">
        <f t="shared" si="23"/>
        <v>885744.72000000009</v>
      </c>
      <c r="H12" s="198">
        <f t="shared" si="23"/>
        <v>917269.92</v>
      </c>
      <c r="I12" s="198">
        <f t="shared" si="23"/>
        <v>921034.8</v>
      </c>
      <c r="J12" s="198">
        <f t="shared" si="23"/>
        <v>919311.12000000011</v>
      </c>
      <c r="K12" s="198">
        <f t="shared" si="23"/>
        <v>887014.8</v>
      </c>
      <c r="L12" s="198">
        <f t="shared" si="23"/>
        <v>969751.44000000018</v>
      </c>
      <c r="M12" s="198">
        <f t="shared" si="23"/>
        <v>975421.44000000006</v>
      </c>
      <c r="N12" s="198">
        <f t="shared" si="23"/>
        <v>969887.52</v>
      </c>
      <c r="O12" s="198">
        <f t="shared" si="23"/>
        <v>991070.64000000013</v>
      </c>
      <c r="P12" s="198">
        <f t="shared" si="23"/>
        <v>898989.8400000002</v>
      </c>
      <c r="Q12" s="198">
        <f t="shared" si="23"/>
        <v>894998.16</v>
      </c>
      <c r="R12" s="198">
        <f t="shared" si="23"/>
        <v>798971.04</v>
      </c>
      <c r="S12" s="198">
        <f t="shared" si="1"/>
        <v>829452.96</v>
      </c>
      <c r="T12" s="198">
        <f t="shared" si="1"/>
        <v>856079.28</v>
      </c>
      <c r="U12" s="198">
        <f t="shared" si="1"/>
        <v>967937.04000000015</v>
      </c>
      <c r="V12" s="198">
        <f t="shared" si="1"/>
        <v>924436.8</v>
      </c>
      <c r="W12" s="198">
        <f t="shared" si="1"/>
        <v>966576.24000000011</v>
      </c>
      <c r="X12" s="198">
        <f t="shared" si="2"/>
        <v>975285.36</v>
      </c>
      <c r="Y12" s="198">
        <f t="shared" si="2"/>
        <v>1003227.12</v>
      </c>
      <c r="Z12" s="198">
        <f t="shared" si="3"/>
        <v>1028810.1600000001</v>
      </c>
      <c r="AA12" s="198">
        <f t="shared" si="3"/>
        <v>990798.4800000001</v>
      </c>
      <c r="AB12" s="198">
        <f t="shared" si="4"/>
        <v>966666.96000000008</v>
      </c>
      <c r="AC12" s="198">
        <f t="shared" si="4"/>
        <v>1013750.64</v>
      </c>
      <c r="AD12" s="198">
        <f t="shared" ref="AD12:AE12" si="24">(AD63/MT_Lbs)*10^6</f>
        <v>1017107.28</v>
      </c>
      <c r="AE12" s="198">
        <f t="shared" si="24"/>
        <v>1014113.52</v>
      </c>
      <c r="AF12" s="198">
        <f t="shared" ref="AF12:AG12" si="25">(AF63/MT_Lbs)*10^6</f>
        <v>993338.64000000013</v>
      </c>
      <c r="AG12" s="198">
        <f t="shared" si="25"/>
        <v>951289.92</v>
      </c>
      <c r="AH12" s="198">
        <f t="shared" ref="AH12" si="26">(AH63/MT_Lbs)*10^6</f>
        <v>935096.4</v>
      </c>
      <c r="AI12" s="213"/>
      <c r="AJ12" s="213"/>
      <c r="AK12" s="213"/>
      <c r="AL12" s="213"/>
    </row>
    <row r="13" spans="1:38">
      <c r="A13" s="197" t="s">
        <v>225</v>
      </c>
      <c r="B13" s="222" t="s">
        <v>167</v>
      </c>
      <c r="C13" s="198">
        <f t="shared" ref="C13:AA13" si="27">(C64/MT_Lbs)*10^6</f>
        <v>0</v>
      </c>
      <c r="D13" s="198">
        <f t="shared" si="27"/>
        <v>0</v>
      </c>
      <c r="E13" s="198">
        <f t="shared" si="27"/>
        <v>0</v>
      </c>
      <c r="F13" s="198">
        <f t="shared" si="27"/>
        <v>0</v>
      </c>
      <c r="G13" s="198">
        <f t="shared" si="27"/>
        <v>0</v>
      </c>
      <c r="H13" s="198">
        <f t="shared" si="27"/>
        <v>0</v>
      </c>
      <c r="I13" s="198">
        <f t="shared" si="27"/>
        <v>0</v>
      </c>
      <c r="J13" s="198">
        <f t="shared" si="27"/>
        <v>0</v>
      </c>
      <c r="K13" s="198">
        <f t="shared" si="27"/>
        <v>0</v>
      </c>
      <c r="L13" s="198">
        <f t="shared" si="27"/>
        <v>0</v>
      </c>
      <c r="M13" s="198">
        <f t="shared" si="27"/>
        <v>0</v>
      </c>
      <c r="N13" s="198">
        <f t="shared" si="27"/>
        <v>0</v>
      </c>
      <c r="O13" s="198">
        <f t="shared" si="27"/>
        <v>0</v>
      </c>
      <c r="P13" s="198">
        <f t="shared" si="27"/>
        <v>0</v>
      </c>
      <c r="Q13" s="198">
        <f t="shared" si="27"/>
        <v>0</v>
      </c>
      <c r="R13" s="198">
        <f t="shared" si="27"/>
        <v>0</v>
      </c>
      <c r="S13" s="198">
        <f t="shared" si="27"/>
        <v>0</v>
      </c>
      <c r="T13" s="198">
        <f t="shared" si="27"/>
        <v>0</v>
      </c>
      <c r="U13" s="198">
        <f t="shared" si="27"/>
        <v>0</v>
      </c>
      <c r="V13" s="198">
        <f t="shared" si="27"/>
        <v>0</v>
      </c>
      <c r="W13" s="198">
        <f t="shared" si="27"/>
        <v>0</v>
      </c>
      <c r="X13" s="198">
        <f t="shared" si="27"/>
        <v>0</v>
      </c>
      <c r="Y13" s="198">
        <f t="shared" si="27"/>
        <v>0</v>
      </c>
      <c r="Z13" s="198">
        <f t="shared" si="27"/>
        <v>0</v>
      </c>
      <c r="AA13" s="198">
        <f t="shared" si="27"/>
        <v>0</v>
      </c>
      <c r="AB13" s="198">
        <f t="shared" si="4"/>
        <v>0</v>
      </c>
      <c r="AC13" s="198">
        <f t="shared" si="4"/>
        <v>0</v>
      </c>
      <c r="AD13" s="198">
        <f t="shared" ref="AD13:AE13" si="28">(AD64/MT_Lbs)*10^6</f>
        <v>0</v>
      </c>
      <c r="AE13" s="198">
        <f t="shared" si="28"/>
        <v>0</v>
      </c>
      <c r="AF13" s="198">
        <f t="shared" ref="AF13:AG13" si="29">(AF64/MT_Lbs)*10^6</f>
        <v>0</v>
      </c>
      <c r="AG13" s="198">
        <f t="shared" si="29"/>
        <v>0</v>
      </c>
      <c r="AH13" s="198">
        <f t="shared" ref="AH13" si="30">(AH64/MT_Lbs)*10^6</f>
        <v>0</v>
      </c>
      <c r="AI13" s="213"/>
      <c r="AJ13" s="213"/>
      <c r="AK13" s="213"/>
      <c r="AL13" s="213"/>
    </row>
    <row r="14" spans="1:38">
      <c r="A14" s="197" t="s">
        <v>226</v>
      </c>
      <c r="B14" s="222" t="s">
        <v>169</v>
      </c>
      <c r="C14" s="198">
        <f t="shared" ref="C14:W14" si="31">(C65/MT_Lbs)*10^6</f>
        <v>44588.880000000005</v>
      </c>
      <c r="D14" s="198">
        <f t="shared" si="31"/>
        <v>22589.279999999999</v>
      </c>
      <c r="E14" s="198">
        <f t="shared" si="31"/>
        <v>18280.080000000002</v>
      </c>
      <c r="F14" s="198">
        <f t="shared" si="31"/>
        <v>18416.16</v>
      </c>
      <c r="G14" s="198">
        <f t="shared" si="31"/>
        <v>19459.440000000002</v>
      </c>
      <c r="H14" s="198">
        <f t="shared" si="31"/>
        <v>20412.000000000004</v>
      </c>
      <c r="I14" s="198">
        <f t="shared" si="31"/>
        <v>22453.200000000004</v>
      </c>
      <c r="J14" s="198">
        <f t="shared" si="31"/>
        <v>21092.400000000001</v>
      </c>
      <c r="K14" s="198">
        <f t="shared" si="31"/>
        <v>20230.560000000001</v>
      </c>
      <c r="L14" s="198">
        <f t="shared" si="31"/>
        <v>21273.840000000004</v>
      </c>
      <c r="M14" s="198">
        <f t="shared" si="31"/>
        <v>25356.240000000002</v>
      </c>
      <c r="N14" s="198">
        <f t="shared" si="31"/>
        <v>28622.160000000003</v>
      </c>
      <c r="O14" s="198">
        <f t="shared" si="31"/>
        <v>31162.320000000003</v>
      </c>
      <c r="P14" s="198">
        <f t="shared" si="31"/>
        <v>30209.759999999998</v>
      </c>
      <c r="Q14" s="198">
        <f t="shared" si="31"/>
        <v>24993.360000000004</v>
      </c>
      <c r="R14" s="198">
        <f t="shared" si="31"/>
        <v>24494.400000000001</v>
      </c>
      <c r="S14" s="198">
        <f t="shared" si="31"/>
        <v>30255.120000000003</v>
      </c>
      <c r="T14" s="198">
        <f t="shared" si="31"/>
        <v>39327.12000000001</v>
      </c>
      <c r="U14" s="198">
        <f t="shared" si="31"/>
        <v>45178.559999999998</v>
      </c>
      <c r="V14" s="198">
        <f t="shared" si="31"/>
        <v>46811.520000000004</v>
      </c>
      <c r="W14" s="198">
        <f t="shared" si="31"/>
        <v>51665.040000000008</v>
      </c>
      <c r="X14" s="198">
        <f t="shared" ref="X14:Y23" si="32">(X65/MT_Lbs)*10^6</f>
        <v>53570.159999999996</v>
      </c>
      <c r="Y14" s="198">
        <f t="shared" si="32"/>
        <v>52844.400000000009</v>
      </c>
      <c r="Z14" s="198">
        <f t="shared" ref="Z14:AA23" si="33">(Z65/MT_Lbs)*10^6</f>
        <v>53978.400000000001</v>
      </c>
      <c r="AA14" s="198">
        <f t="shared" si="33"/>
        <v>42729.120000000003</v>
      </c>
      <c r="AB14" s="198">
        <f t="shared" si="4"/>
        <v>42094.080000000002</v>
      </c>
      <c r="AC14" s="198">
        <f t="shared" si="4"/>
        <v>19822.320000000003</v>
      </c>
      <c r="AD14" s="198">
        <f t="shared" ref="AD14:AE14" si="34">(AD65/MT_Lbs)*10^6</f>
        <v>13608</v>
      </c>
      <c r="AE14" s="198">
        <f t="shared" si="34"/>
        <v>14243.04</v>
      </c>
      <c r="AF14" s="198">
        <f t="shared" ref="AF14:AG14" si="35">(AF65/MT_Lbs)*10^6</f>
        <v>16374.960000000001</v>
      </c>
      <c r="AG14" s="198">
        <f t="shared" si="35"/>
        <v>20820.240000000002</v>
      </c>
      <c r="AH14" s="198">
        <f t="shared" ref="AH14" si="36">(AH65/MT_Lbs)*10^6</f>
        <v>34791.120000000003</v>
      </c>
      <c r="AI14" s="213"/>
      <c r="AJ14" s="213"/>
      <c r="AK14" s="213"/>
      <c r="AL14" s="213"/>
    </row>
    <row r="15" spans="1:38">
      <c r="A15" s="197" t="s">
        <v>227</v>
      </c>
      <c r="B15" s="222" t="s">
        <v>170</v>
      </c>
      <c r="C15" s="198">
        <f t="shared" ref="C15:W15" si="37">(C66/MT_Lbs)*10^6</f>
        <v>179761.68</v>
      </c>
      <c r="D15" s="198">
        <f t="shared" si="37"/>
        <v>194957.28</v>
      </c>
      <c r="E15" s="198">
        <f t="shared" si="37"/>
        <v>202305.60000000003</v>
      </c>
      <c r="F15" s="198">
        <f t="shared" si="37"/>
        <v>194186.16000000003</v>
      </c>
      <c r="G15" s="198">
        <f t="shared" si="37"/>
        <v>205480.80000000002</v>
      </c>
      <c r="H15" s="198">
        <f t="shared" si="37"/>
        <v>207295.2</v>
      </c>
      <c r="I15" s="198">
        <f t="shared" si="37"/>
        <v>158034.23999999999</v>
      </c>
      <c r="J15" s="198">
        <f t="shared" si="37"/>
        <v>133766.63999999998</v>
      </c>
      <c r="K15" s="198">
        <f t="shared" si="37"/>
        <v>127416.24000000002</v>
      </c>
      <c r="L15" s="198">
        <f t="shared" si="37"/>
        <v>137077.92000000001</v>
      </c>
      <c r="M15" s="198">
        <f t="shared" si="37"/>
        <v>148780.80000000002</v>
      </c>
      <c r="N15" s="198">
        <f t="shared" si="37"/>
        <v>148327.20000000001</v>
      </c>
      <c r="O15" s="198">
        <f t="shared" si="37"/>
        <v>116393.76000000002</v>
      </c>
      <c r="P15" s="198">
        <f t="shared" si="37"/>
        <v>112447.44</v>
      </c>
      <c r="Q15" s="198">
        <f t="shared" si="37"/>
        <v>72258.48000000001</v>
      </c>
      <c r="R15" s="198">
        <f t="shared" si="37"/>
        <v>61372.080000000009</v>
      </c>
      <c r="S15" s="198">
        <f t="shared" si="37"/>
        <v>67087.440000000017</v>
      </c>
      <c r="T15" s="198">
        <f t="shared" si="37"/>
        <v>74118.240000000005</v>
      </c>
      <c r="U15" s="198">
        <f t="shared" si="37"/>
        <v>71260.56</v>
      </c>
      <c r="V15" s="198">
        <f t="shared" si="37"/>
        <v>58559.76</v>
      </c>
      <c r="W15" s="198">
        <f t="shared" si="37"/>
        <v>56881.440000000002</v>
      </c>
      <c r="X15" s="198">
        <f t="shared" si="32"/>
        <v>61236.000000000007</v>
      </c>
      <c r="Y15" s="198">
        <f t="shared" si="32"/>
        <v>64048.320000000007</v>
      </c>
      <c r="Z15" s="198">
        <f t="shared" si="33"/>
        <v>64184.4</v>
      </c>
      <c r="AA15" s="198">
        <f t="shared" si="33"/>
        <v>54477.36</v>
      </c>
      <c r="AB15" s="198">
        <f t="shared" si="4"/>
        <v>56473.200000000012</v>
      </c>
      <c r="AC15" s="198">
        <f t="shared" si="4"/>
        <v>64728.72</v>
      </c>
      <c r="AD15" s="198">
        <f t="shared" ref="AD15:AE15" si="38">(AD66/MT_Lbs)*10^6</f>
        <v>71079.12</v>
      </c>
      <c r="AE15" s="198">
        <f t="shared" si="38"/>
        <v>72077.040000000008</v>
      </c>
      <c r="AF15" s="198">
        <f t="shared" ref="AF15:AG15" si="39">(AF66/MT_Lbs)*10^6</f>
        <v>75978</v>
      </c>
      <c r="AG15" s="198">
        <f t="shared" si="39"/>
        <v>79788.240000000005</v>
      </c>
      <c r="AH15" s="198">
        <f t="shared" ref="AH15" si="40">(AH66/MT_Lbs)*10^6</f>
        <v>75751.200000000012</v>
      </c>
      <c r="AI15" s="213"/>
      <c r="AJ15" s="213"/>
      <c r="AK15" s="213"/>
      <c r="AL15" s="213"/>
    </row>
    <row r="16" spans="1:38">
      <c r="A16" s="197" t="s">
        <v>228</v>
      </c>
      <c r="B16" s="222" t="s">
        <v>171</v>
      </c>
      <c r="C16" s="198">
        <f t="shared" ref="C16:W16" si="41">(C67/MT_Lbs)*10^6</f>
        <v>17554.320000000003</v>
      </c>
      <c r="D16" s="198">
        <f t="shared" si="41"/>
        <v>15649.200000000003</v>
      </c>
      <c r="E16" s="198">
        <f t="shared" si="41"/>
        <v>13199.760000000002</v>
      </c>
      <c r="F16" s="198">
        <f t="shared" si="41"/>
        <v>7892.6399999999994</v>
      </c>
      <c r="G16" s="198">
        <f t="shared" si="41"/>
        <v>7212.2400000000007</v>
      </c>
      <c r="H16" s="198">
        <f t="shared" si="41"/>
        <v>6577.2000000000007</v>
      </c>
      <c r="I16" s="198">
        <f t="shared" si="41"/>
        <v>7076.1600000000008</v>
      </c>
      <c r="J16" s="198">
        <f t="shared" si="41"/>
        <v>7529.760000000002</v>
      </c>
      <c r="K16" s="198">
        <f t="shared" si="41"/>
        <v>6940.0800000000008</v>
      </c>
      <c r="L16" s="198">
        <f t="shared" si="41"/>
        <v>6577.2000000000007</v>
      </c>
      <c r="M16" s="198">
        <f t="shared" si="41"/>
        <v>6486.4800000000014</v>
      </c>
      <c r="N16" s="198">
        <f t="shared" si="41"/>
        <v>5579.2800000000007</v>
      </c>
      <c r="O16" s="198">
        <f t="shared" si="41"/>
        <v>5307.12</v>
      </c>
      <c r="P16" s="198">
        <f t="shared" si="41"/>
        <v>4853.5200000000004</v>
      </c>
      <c r="Q16" s="198">
        <f t="shared" si="41"/>
        <v>4762.8</v>
      </c>
      <c r="R16" s="198">
        <f t="shared" si="41"/>
        <v>4173.12</v>
      </c>
      <c r="S16" s="198">
        <f t="shared" si="41"/>
        <v>4581.3600000000006</v>
      </c>
      <c r="T16" s="198">
        <f t="shared" si="41"/>
        <v>4536</v>
      </c>
      <c r="U16" s="198">
        <f t="shared" si="41"/>
        <v>4898.88</v>
      </c>
      <c r="V16" s="198">
        <f t="shared" si="41"/>
        <v>4626.72</v>
      </c>
      <c r="W16" s="198">
        <f t="shared" si="41"/>
        <v>4853.5200000000004</v>
      </c>
      <c r="X16" s="198">
        <f t="shared" si="32"/>
        <v>4808.1600000000008</v>
      </c>
      <c r="Y16" s="198">
        <f t="shared" si="32"/>
        <v>4581.3600000000006</v>
      </c>
      <c r="Z16" s="198">
        <f t="shared" si="33"/>
        <v>4173.12</v>
      </c>
      <c r="AA16" s="198">
        <f t="shared" si="33"/>
        <v>4173.12</v>
      </c>
      <c r="AB16" s="198">
        <f t="shared" si="4"/>
        <v>3946.3199999999997</v>
      </c>
      <c r="AC16" s="198">
        <f t="shared" si="4"/>
        <v>3810.2400000000002</v>
      </c>
      <c r="AD16" s="198">
        <f t="shared" ref="AD16:AE16" si="42">(AD67/MT_Lbs)*10^6</f>
        <v>3946.3199999999997</v>
      </c>
      <c r="AE16" s="198">
        <f t="shared" si="42"/>
        <v>3674.1600000000003</v>
      </c>
      <c r="AF16" s="198">
        <f t="shared" ref="AF16:AG16" si="43">(AF67/MT_Lbs)*10^6</f>
        <v>4173.12</v>
      </c>
      <c r="AG16" s="198">
        <f t="shared" si="43"/>
        <v>4762.8</v>
      </c>
      <c r="AH16" s="198">
        <f t="shared" ref="AH16" si="44">(AH67/MT_Lbs)*10^6</f>
        <v>4762.8</v>
      </c>
      <c r="AI16" s="213"/>
      <c r="AJ16" s="213"/>
      <c r="AK16" s="213"/>
      <c r="AL16" s="213"/>
    </row>
    <row r="17" spans="1:38">
      <c r="A17" s="197" t="s">
        <v>229</v>
      </c>
      <c r="B17" s="222" t="s">
        <v>172</v>
      </c>
      <c r="C17" s="198">
        <f t="shared" ref="C17:W17" si="45">(C68/MT_Lbs)*10^6</f>
        <v>210198.24000000002</v>
      </c>
      <c r="D17" s="198">
        <f t="shared" si="45"/>
        <v>200536.56000000003</v>
      </c>
      <c r="E17" s="198">
        <f t="shared" si="45"/>
        <v>215868.24000000002</v>
      </c>
      <c r="F17" s="198">
        <f t="shared" si="45"/>
        <v>207385.92</v>
      </c>
      <c r="G17" s="198">
        <f t="shared" si="45"/>
        <v>227162.88</v>
      </c>
      <c r="H17" s="198">
        <f t="shared" si="45"/>
        <v>236325.60000000003</v>
      </c>
      <c r="I17" s="198">
        <f t="shared" si="45"/>
        <v>247983.12000000002</v>
      </c>
      <c r="J17" s="198">
        <f t="shared" si="45"/>
        <v>246531.6</v>
      </c>
      <c r="K17" s="198">
        <f t="shared" si="45"/>
        <v>248436.72000000003</v>
      </c>
      <c r="L17" s="198">
        <f t="shared" si="45"/>
        <v>263768.40000000002</v>
      </c>
      <c r="M17" s="198">
        <f t="shared" si="45"/>
        <v>266716.80000000005</v>
      </c>
      <c r="N17" s="198">
        <f t="shared" si="45"/>
        <v>291392.64000000001</v>
      </c>
      <c r="O17" s="198">
        <f t="shared" si="45"/>
        <v>283726.8</v>
      </c>
      <c r="P17" s="198">
        <f t="shared" si="45"/>
        <v>259822.08000000002</v>
      </c>
      <c r="Q17" s="198">
        <f t="shared" si="45"/>
        <v>203666.40000000002</v>
      </c>
      <c r="R17" s="198">
        <f t="shared" si="45"/>
        <v>141840.72</v>
      </c>
      <c r="S17" s="198">
        <f t="shared" si="45"/>
        <v>102241.44000000002</v>
      </c>
      <c r="T17" s="198">
        <f t="shared" si="45"/>
        <v>81194.399999999994</v>
      </c>
      <c r="U17" s="198">
        <f t="shared" si="45"/>
        <v>105008.40000000001</v>
      </c>
      <c r="V17" s="198">
        <f t="shared" si="45"/>
        <v>103375.44000000002</v>
      </c>
      <c r="W17" s="198">
        <f t="shared" si="45"/>
        <v>92579.760000000009</v>
      </c>
      <c r="X17" s="198">
        <f t="shared" si="32"/>
        <v>42275.520000000004</v>
      </c>
      <c r="Y17" s="198">
        <f t="shared" si="32"/>
        <v>19867.68</v>
      </c>
      <c r="Z17" s="198">
        <f t="shared" si="33"/>
        <v>20684.160000000003</v>
      </c>
      <c r="AA17" s="198">
        <f t="shared" si="33"/>
        <v>19731.600000000002</v>
      </c>
      <c r="AB17" s="198">
        <f t="shared" si="4"/>
        <v>21137.760000000002</v>
      </c>
      <c r="AC17" s="198">
        <f t="shared" si="4"/>
        <v>24358.320000000003</v>
      </c>
      <c r="AD17" s="198">
        <f t="shared" ref="AD17:AE17" si="46">(AD68/MT_Lbs)*10^6</f>
        <v>67132.800000000003</v>
      </c>
      <c r="AE17" s="198">
        <f t="shared" si="46"/>
        <v>140978.88000000003</v>
      </c>
      <c r="AF17" s="198">
        <f t="shared" ref="AF17:AG17" si="47">(AF68/MT_Lbs)*10^6</f>
        <v>165881.52000000002</v>
      </c>
      <c r="AG17" s="198">
        <f t="shared" si="47"/>
        <v>179625.60000000003</v>
      </c>
      <c r="AH17" s="198">
        <f t="shared" ref="AH17" si="48">(AH68/MT_Lbs)*10^6</f>
        <v>183299.76000000004</v>
      </c>
      <c r="AI17" s="213"/>
      <c r="AJ17" s="213"/>
      <c r="AK17" s="213"/>
      <c r="AL17" s="213"/>
    </row>
    <row r="18" spans="1:38">
      <c r="A18" s="197" t="s">
        <v>230</v>
      </c>
      <c r="B18" s="222" t="s">
        <v>173</v>
      </c>
      <c r="C18" s="198">
        <f t="shared" ref="C18:W18" si="49">(C69/MT_Lbs)*10^6</f>
        <v>1121027.0400000003</v>
      </c>
      <c r="D18" s="198">
        <f t="shared" si="49"/>
        <v>1072174.32</v>
      </c>
      <c r="E18" s="198">
        <f t="shared" si="49"/>
        <v>1082198.8800000001</v>
      </c>
      <c r="F18" s="198">
        <f t="shared" si="49"/>
        <v>1023140.16</v>
      </c>
      <c r="G18" s="198">
        <f t="shared" si="49"/>
        <v>1168201.44</v>
      </c>
      <c r="H18" s="198">
        <f t="shared" si="49"/>
        <v>1183124.8800000004</v>
      </c>
      <c r="I18" s="198">
        <f t="shared" si="49"/>
        <v>1102384.0800000003</v>
      </c>
      <c r="J18" s="198">
        <f t="shared" si="49"/>
        <v>1085782.32</v>
      </c>
      <c r="K18" s="198">
        <f t="shared" si="49"/>
        <v>1166069.52</v>
      </c>
      <c r="L18" s="198">
        <f t="shared" si="49"/>
        <v>1182126.96</v>
      </c>
      <c r="M18" s="198">
        <f t="shared" si="49"/>
        <v>1216192.32</v>
      </c>
      <c r="N18" s="198">
        <f t="shared" si="49"/>
        <v>1201450.32</v>
      </c>
      <c r="O18" s="198">
        <f t="shared" si="49"/>
        <v>1190926.8000000003</v>
      </c>
      <c r="P18" s="198">
        <f t="shared" si="49"/>
        <v>1131686.6400000001</v>
      </c>
      <c r="Q18" s="198">
        <f t="shared" si="49"/>
        <v>1200769.92</v>
      </c>
      <c r="R18" s="198">
        <f t="shared" si="49"/>
        <v>1213788.2400000002</v>
      </c>
      <c r="S18" s="198">
        <f t="shared" si="49"/>
        <v>1241684.6400000001</v>
      </c>
      <c r="T18" s="198">
        <f t="shared" si="49"/>
        <v>1297976.4000000001</v>
      </c>
      <c r="U18" s="198">
        <f t="shared" si="49"/>
        <v>1374135.84</v>
      </c>
      <c r="V18" s="198">
        <f t="shared" si="49"/>
        <v>1282145.7600000002</v>
      </c>
      <c r="W18" s="198">
        <f t="shared" si="49"/>
        <v>1231750.8</v>
      </c>
      <c r="X18" s="198">
        <f t="shared" si="32"/>
        <v>1250620.56</v>
      </c>
      <c r="Y18" s="198">
        <f t="shared" si="32"/>
        <v>1350140.4000000001</v>
      </c>
      <c r="Z18" s="198">
        <f t="shared" si="33"/>
        <v>1381574.8800000004</v>
      </c>
      <c r="AA18" s="198">
        <f t="shared" si="33"/>
        <v>1373954.4000000001</v>
      </c>
      <c r="AB18" s="198">
        <f t="shared" si="4"/>
        <v>1489123.4400000002</v>
      </c>
      <c r="AC18" s="198">
        <f t="shared" si="4"/>
        <v>1529629.9200000002</v>
      </c>
      <c r="AD18" s="198">
        <f t="shared" ref="AD18:AE18" si="50">(AD69/MT_Lbs)*10^6</f>
        <v>1532669.0400000003</v>
      </c>
      <c r="AE18" s="198">
        <f t="shared" si="50"/>
        <v>1542240</v>
      </c>
      <c r="AF18" s="198">
        <f t="shared" ref="AF18:AG18" si="51">(AF69/MT_Lbs)*10^6</f>
        <v>1579707.36</v>
      </c>
      <c r="AG18" s="198">
        <f t="shared" si="51"/>
        <v>1598486.4000000001</v>
      </c>
      <c r="AH18" s="198">
        <f t="shared" ref="AH18" si="52">(AH69/MT_Lbs)*10^6</f>
        <v>1495065.6000000003</v>
      </c>
      <c r="AI18" s="213"/>
      <c r="AJ18" s="213"/>
      <c r="AK18" s="213"/>
      <c r="AL18" s="213"/>
    </row>
    <row r="19" spans="1:38">
      <c r="A19" s="197" t="s">
        <v>231</v>
      </c>
      <c r="B19" s="222" t="s">
        <v>174</v>
      </c>
      <c r="C19" s="198">
        <f t="shared" ref="C19:W19" si="53">(C70/MT_Lbs)*10^6</f>
        <v>327726</v>
      </c>
      <c r="D19" s="198">
        <f t="shared" si="53"/>
        <v>330084.72000000003</v>
      </c>
      <c r="E19" s="198">
        <f t="shared" si="53"/>
        <v>405609.12000000005</v>
      </c>
      <c r="F19" s="198">
        <f t="shared" si="53"/>
        <v>367642.80000000005</v>
      </c>
      <c r="G19" s="198">
        <f t="shared" si="53"/>
        <v>333758.88</v>
      </c>
      <c r="H19" s="198">
        <f t="shared" si="53"/>
        <v>321919.92000000004</v>
      </c>
      <c r="I19" s="198">
        <f t="shared" si="53"/>
        <v>370591.2</v>
      </c>
      <c r="J19" s="198">
        <f t="shared" si="53"/>
        <v>440490.96</v>
      </c>
      <c r="K19" s="198">
        <f t="shared" si="53"/>
        <v>557519.76</v>
      </c>
      <c r="L19" s="198">
        <f t="shared" si="53"/>
        <v>552666.24000000011</v>
      </c>
      <c r="M19" s="198">
        <f t="shared" si="53"/>
        <v>574302.96000000008</v>
      </c>
      <c r="N19" s="198">
        <f t="shared" si="53"/>
        <v>597527.28</v>
      </c>
      <c r="O19" s="198">
        <f t="shared" si="53"/>
        <v>627419.52000000014</v>
      </c>
      <c r="P19" s="198">
        <f t="shared" si="53"/>
        <v>644248.07999999996</v>
      </c>
      <c r="Q19" s="198">
        <f t="shared" si="53"/>
        <v>652322.16</v>
      </c>
      <c r="R19" s="198">
        <f t="shared" si="53"/>
        <v>651777.84000000008</v>
      </c>
      <c r="S19" s="198">
        <f t="shared" si="53"/>
        <v>680626.8</v>
      </c>
      <c r="T19" s="198">
        <f t="shared" si="53"/>
        <v>709566.48</v>
      </c>
      <c r="U19" s="198">
        <f t="shared" si="53"/>
        <v>761957.28</v>
      </c>
      <c r="V19" s="198">
        <f t="shared" si="53"/>
        <v>787177.44000000006</v>
      </c>
      <c r="W19" s="198">
        <f t="shared" si="53"/>
        <v>790352.64000000013</v>
      </c>
      <c r="X19" s="198">
        <f t="shared" si="32"/>
        <v>795342.24000000011</v>
      </c>
      <c r="Y19" s="198">
        <f t="shared" si="32"/>
        <v>795705.12</v>
      </c>
      <c r="Z19" s="198">
        <f t="shared" si="33"/>
        <v>799923.60000000009</v>
      </c>
      <c r="AA19" s="198">
        <f t="shared" si="33"/>
        <v>805276.08000000007</v>
      </c>
      <c r="AB19" s="198">
        <f t="shared" si="4"/>
        <v>829135.44000000006</v>
      </c>
      <c r="AC19" s="198">
        <f t="shared" si="4"/>
        <v>831630.24000000011</v>
      </c>
      <c r="AD19" s="198">
        <f t="shared" ref="AD19:AE19" si="54">(AD70/MT_Lbs)*10^6</f>
        <v>860388.48</v>
      </c>
      <c r="AE19" s="198">
        <f t="shared" si="54"/>
        <v>821787.12000000011</v>
      </c>
      <c r="AF19" s="198">
        <f t="shared" ref="AF19:AG19" si="55">(AF70/MT_Lbs)*10^6</f>
        <v>827683.92000000016</v>
      </c>
      <c r="AG19" s="198">
        <f t="shared" si="55"/>
        <v>835395.12</v>
      </c>
      <c r="AH19" s="198">
        <f t="shared" ref="AH19" si="56">(AH70/MT_Lbs)*10^6</f>
        <v>851271.12</v>
      </c>
      <c r="AI19" s="213"/>
      <c r="AJ19" s="213"/>
      <c r="AK19" s="213"/>
      <c r="AL19" s="213"/>
    </row>
    <row r="20" spans="1:38">
      <c r="A20" s="197" t="s">
        <v>265</v>
      </c>
      <c r="B20" s="222" t="s">
        <v>175</v>
      </c>
      <c r="C20" s="198">
        <f t="shared" ref="C20:W20" si="57">(C71/MT_Lbs)*10^6</f>
        <v>2790093.6</v>
      </c>
      <c r="D20" s="198">
        <f t="shared" si="57"/>
        <v>2908846.0800000005</v>
      </c>
      <c r="E20" s="198">
        <f t="shared" si="57"/>
        <v>3059441.2800000003</v>
      </c>
      <c r="F20" s="198">
        <f t="shared" si="57"/>
        <v>3013400.8800000004</v>
      </c>
      <c r="G20" s="198">
        <f t="shared" si="57"/>
        <v>3244328.64</v>
      </c>
      <c r="H20" s="198">
        <f t="shared" si="57"/>
        <v>3151295.2800000003</v>
      </c>
      <c r="I20" s="198">
        <f t="shared" si="57"/>
        <v>2628748.08</v>
      </c>
      <c r="J20" s="198">
        <f t="shared" si="57"/>
        <v>2445221.52</v>
      </c>
      <c r="K20" s="198">
        <f t="shared" si="57"/>
        <v>2804427.3600000003</v>
      </c>
      <c r="L20" s="198">
        <f t="shared" si="57"/>
        <v>2860265.52</v>
      </c>
      <c r="M20" s="198">
        <f t="shared" si="57"/>
        <v>2697559.2</v>
      </c>
      <c r="N20" s="198">
        <f t="shared" si="57"/>
        <v>2710622.8800000004</v>
      </c>
      <c r="O20" s="198">
        <f t="shared" si="57"/>
        <v>2823523.92</v>
      </c>
      <c r="P20" s="198">
        <f t="shared" si="57"/>
        <v>2913109.92</v>
      </c>
      <c r="Q20" s="198">
        <f t="shared" si="57"/>
        <v>2981875.68</v>
      </c>
      <c r="R20" s="198">
        <f t="shared" si="57"/>
        <v>2940053.7600000007</v>
      </c>
      <c r="S20" s="198">
        <f t="shared" si="57"/>
        <v>2966407.92</v>
      </c>
      <c r="T20" s="198">
        <f t="shared" si="57"/>
        <v>2992807.44</v>
      </c>
      <c r="U20" s="198">
        <f t="shared" si="57"/>
        <v>3205954.08</v>
      </c>
      <c r="V20" s="198">
        <f t="shared" si="57"/>
        <v>3159550.8000000003</v>
      </c>
      <c r="W20" s="198">
        <f t="shared" si="57"/>
        <v>2980242.72</v>
      </c>
      <c r="X20" s="198">
        <f t="shared" si="32"/>
        <v>2990040.4800000004</v>
      </c>
      <c r="Y20" s="198">
        <f t="shared" si="32"/>
        <v>3011087.52</v>
      </c>
      <c r="Z20" s="198">
        <f t="shared" si="33"/>
        <v>2981013.8400000003</v>
      </c>
      <c r="AA20" s="198">
        <f t="shared" si="33"/>
        <v>2992444.5600000005</v>
      </c>
      <c r="AB20" s="198">
        <f t="shared" si="4"/>
        <v>3161138.4000000004</v>
      </c>
      <c r="AC20" s="198">
        <f t="shared" si="4"/>
        <v>3200238.72</v>
      </c>
      <c r="AD20" s="198">
        <f t="shared" ref="AD20:AE20" si="58">(AD71/MT_Lbs)*10^6</f>
        <v>3279301.2</v>
      </c>
      <c r="AE20" s="198">
        <f t="shared" si="58"/>
        <v>3492946.8000000003</v>
      </c>
      <c r="AF20" s="198">
        <f t="shared" ref="AF20:AG20" si="59">(AF71/MT_Lbs)*10^6</f>
        <v>3911846.4000000004</v>
      </c>
      <c r="AG20" s="198">
        <f t="shared" si="59"/>
        <v>4064437.44</v>
      </c>
      <c r="AH20" s="198">
        <f t="shared" ref="AH20" si="60">(AH71/MT_Lbs)*10^6</f>
        <v>3990546</v>
      </c>
      <c r="AI20" s="213"/>
      <c r="AJ20" s="213"/>
      <c r="AK20" s="213"/>
      <c r="AL20" s="213"/>
    </row>
    <row r="21" spans="1:38">
      <c r="A21" s="197" t="s">
        <v>273</v>
      </c>
      <c r="B21" s="222" t="s">
        <v>176</v>
      </c>
      <c r="C21" s="198">
        <f t="shared" ref="C21:W21" si="61">(C72/MT_Lbs)*10^6</f>
        <v>2096221.6800000002</v>
      </c>
      <c r="D21" s="198">
        <f t="shared" si="61"/>
        <v>2030857.92</v>
      </c>
      <c r="E21" s="198">
        <f t="shared" si="61"/>
        <v>2045010.2399999998</v>
      </c>
      <c r="F21" s="198">
        <f t="shared" si="61"/>
        <v>2063018.1600000004</v>
      </c>
      <c r="G21" s="198">
        <f t="shared" si="61"/>
        <v>2382216.4800000004</v>
      </c>
      <c r="H21" s="198">
        <f t="shared" si="61"/>
        <v>2438961.8400000003</v>
      </c>
      <c r="I21" s="198">
        <f t="shared" si="61"/>
        <v>2373189.8400000003</v>
      </c>
      <c r="J21" s="198">
        <f t="shared" si="61"/>
        <v>2469489.12</v>
      </c>
      <c r="K21" s="198">
        <f t="shared" si="61"/>
        <v>2604798</v>
      </c>
      <c r="L21" s="198">
        <f t="shared" si="61"/>
        <v>2811367.44</v>
      </c>
      <c r="M21" s="198">
        <f t="shared" si="61"/>
        <v>2875824</v>
      </c>
      <c r="N21" s="198">
        <f t="shared" si="61"/>
        <v>2549322.7200000002</v>
      </c>
      <c r="O21" s="198">
        <f t="shared" si="61"/>
        <v>2668664.8800000004</v>
      </c>
      <c r="P21" s="198">
        <f t="shared" si="61"/>
        <v>2597676.4800000004</v>
      </c>
      <c r="Q21" s="198">
        <f t="shared" si="61"/>
        <v>2541203.2800000003</v>
      </c>
      <c r="R21" s="198">
        <f t="shared" si="61"/>
        <v>2636005.6800000002</v>
      </c>
      <c r="S21" s="198">
        <f t="shared" si="61"/>
        <v>2782609.2000000007</v>
      </c>
      <c r="T21" s="198">
        <f t="shared" si="61"/>
        <v>2823523.92</v>
      </c>
      <c r="U21" s="198">
        <f t="shared" si="61"/>
        <v>2426578.56</v>
      </c>
      <c r="V21" s="198">
        <f t="shared" si="61"/>
        <v>2396459.52</v>
      </c>
      <c r="W21" s="198">
        <f t="shared" si="61"/>
        <v>2440368.0000000005</v>
      </c>
      <c r="X21" s="198">
        <f t="shared" si="32"/>
        <v>2422722.9600000004</v>
      </c>
      <c r="Y21" s="198">
        <f t="shared" si="32"/>
        <v>2392377.12</v>
      </c>
      <c r="Z21" s="198">
        <f t="shared" si="33"/>
        <v>2444042.1600000006</v>
      </c>
      <c r="AA21" s="198">
        <f t="shared" si="33"/>
        <v>2301203.52</v>
      </c>
      <c r="AB21" s="198">
        <f t="shared" si="4"/>
        <v>2285599.6800000002</v>
      </c>
      <c r="AC21" s="198">
        <f t="shared" si="4"/>
        <v>2457695.52</v>
      </c>
      <c r="AD21" s="198">
        <f t="shared" ref="AD21:AE21" si="62">(AD72/MT_Lbs)*10^6</f>
        <v>2581573.6800000006</v>
      </c>
      <c r="AE21" s="198">
        <f t="shared" si="62"/>
        <v>2665036.08</v>
      </c>
      <c r="AF21" s="198">
        <f t="shared" ref="AF21:AG21" si="63">(AF72/MT_Lbs)*10^6</f>
        <v>2533718.8800000004</v>
      </c>
      <c r="AG21" s="198">
        <f t="shared" si="63"/>
        <v>2734300.8000000003</v>
      </c>
      <c r="AH21" s="198">
        <f t="shared" ref="AH21" si="64">(AH72/MT_Lbs)*10^6</f>
        <v>2792361.6000000006</v>
      </c>
      <c r="AI21" s="213"/>
      <c r="AJ21" s="213"/>
      <c r="AK21" s="213"/>
      <c r="AL21" s="213"/>
    </row>
    <row r="22" spans="1:38">
      <c r="A22" s="197" t="s">
        <v>274</v>
      </c>
      <c r="B22" s="222" t="s">
        <v>177</v>
      </c>
      <c r="C22" s="198">
        <f t="shared" ref="C22:W22" si="65">(C73/MT_Lbs)*10^6</f>
        <v>255104.63999999998</v>
      </c>
      <c r="D22" s="198">
        <f t="shared" si="65"/>
        <v>264902.40000000002</v>
      </c>
      <c r="E22" s="198">
        <f t="shared" si="65"/>
        <v>254016.00000000003</v>
      </c>
      <c r="F22" s="198">
        <f t="shared" si="65"/>
        <v>246849.12000000002</v>
      </c>
      <c r="G22" s="198">
        <f t="shared" si="65"/>
        <v>263949.83999999997</v>
      </c>
      <c r="H22" s="198">
        <f t="shared" si="65"/>
        <v>281232.00000000006</v>
      </c>
      <c r="I22" s="198">
        <f t="shared" si="65"/>
        <v>232515.36000000004</v>
      </c>
      <c r="J22" s="198">
        <f t="shared" si="65"/>
        <v>203484.96000000002</v>
      </c>
      <c r="K22" s="198">
        <f t="shared" si="65"/>
        <v>232787.52000000005</v>
      </c>
      <c r="L22" s="198">
        <f t="shared" si="65"/>
        <v>215913.60000000001</v>
      </c>
      <c r="M22" s="198">
        <f t="shared" si="65"/>
        <v>198268.56000000003</v>
      </c>
      <c r="N22" s="198">
        <f t="shared" si="65"/>
        <v>195365.52000000002</v>
      </c>
      <c r="O22" s="198">
        <f t="shared" si="65"/>
        <v>203212.80000000002</v>
      </c>
      <c r="P22" s="198">
        <f t="shared" si="65"/>
        <v>213509.52000000002</v>
      </c>
      <c r="Q22" s="198">
        <f t="shared" si="65"/>
        <v>227253.60000000003</v>
      </c>
      <c r="R22" s="198">
        <f t="shared" si="65"/>
        <v>214189.92</v>
      </c>
      <c r="S22" s="198">
        <f t="shared" si="65"/>
        <v>226391.76000000004</v>
      </c>
      <c r="T22" s="198">
        <f t="shared" si="65"/>
        <v>255376.80000000002</v>
      </c>
      <c r="U22" s="198">
        <f t="shared" si="65"/>
        <v>266762.16000000003</v>
      </c>
      <c r="V22" s="198">
        <f t="shared" si="65"/>
        <v>257962.32000000004</v>
      </c>
      <c r="W22" s="198">
        <f t="shared" si="65"/>
        <v>254333.52000000005</v>
      </c>
      <c r="X22" s="198">
        <f t="shared" si="32"/>
        <v>251112.96000000005</v>
      </c>
      <c r="Y22" s="198">
        <f t="shared" si="32"/>
        <v>248255.28</v>
      </c>
      <c r="Z22" s="198">
        <f t="shared" si="33"/>
        <v>234828.72000000006</v>
      </c>
      <c r="AA22" s="198">
        <f t="shared" si="33"/>
        <v>232606.07999999999</v>
      </c>
      <c r="AB22" s="198">
        <f t="shared" si="4"/>
        <v>253154.16</v>
      </c>
      <c r="AC22" s="198">
        <f t="shared" si="4"/>
        <v>252110.87999999998</v>
      </c>
      <c r="AD22" s="198">
        <f t="shared" ref="AD22:AE22" si="66">(AD73/MT_Lbs)*10^6</f>
        <v>246849.12000000002</v>
      </c>
      <c r="AE22" s="198">
        <f t="shared" si="66"/>
        <v>249525.36000000002</v>
      </c>
      <c r="AF22" s="198">
        <f t="shared" ref="AF22:AG22" si="67">(AF73/MT_Lbs)*10^6</f>
        <v>262316.87999999995</v>
      </c>
      <c r="AG22" s="198">
        <f t="shared" si="67"/>
        <v>283409.27999999997</v>
      </c>
      <c r="AH22" s="198">
        <f t="shared" ref="AH22" si="68">(AH73/MT_Lbs)*10^6</f>
        <v>281277.36000000004</v>
      </c>
      <c r="AI22" s="213"/>
      <c r="AJ22" s="213"/>
      <c r="AK22" s="213"/>
      <c r="AL22" s="213"/>
    </row>
    <row r="23" spans="1:38">
      <c r="A23" s="197" t="s">
        <v>232</v>
      </c>
      <c r="B23" s="222" t="s">
        <v>178</v>
      </c>
      <c r="C23" s="198">
        <f t="shared" ref="C23:W23" si="69">(C74/MT_Lbs)*10^6</f>
        <v>16828.560000000001</v>
      </c>
      <c r="D23" s="198">
        <f t="shared" si="69"/>
        <v>14424.480000000001</v>
      </c>
      <c r="E23" s="198">
        <f t="shared" si="69"/>
        <v>13471.92</v>
      </c>
      <c r="F23" s="198">
        <f t="shared" si="69"/>
        <v>12247.2</v>
      </c>
      <c r="G23" s="198">
        <f t="shared" si="69"/>
        <v>11702.880000000001</v>
      </c>
      <c r="H23" s="198">
        <f t="shared" si="69"/>
        <v>11702.880000000001</v>
      </c>
      <c r="I23" s="198">
        <f t="shared" si="69"/>
        <v>12791.52</v>
      </c>
      <c r="J23" s="198">
        <f t="shared" si="69"/>
        <v>10886.400000000001</v>
      </c>
      <c r="K23" s="198">
        <f t="shared" si="69"/>
        <v>9797.76</v>
      </c>
      <c r="L23" s="198">
        <f t="shared" si="69"/>
        <v>8663.760000000002</v>
      </c>
      <c r="M23" s="198">
        <f t="shared" si="69"/>
        <v>7847.2800000000016</v>
      </c>
      <c r="N23" s="198">
        <f t="shared" si="69"/>
        <v>7756.5600000000013</v>
      </c>
      <c r="O23" s="198">
        <f t="shared" si="69"/>
        <v>7529.760000000002</v>
      </c>
      <c r="P23" s="198">
        <f t="shared" si="69"/>
        <v>6849.3600000000006</v>
      </c>
      <c r="Q23" s="198">
        <f t="shared" si="69"/>
        <v>5987.52</v>
      </c>
      <c r="R23" s="198">
        <f t="shared" si="69"/>
        <v>5488.56</v>
      </c>
      <c r="S23" s="198">
        <f t="shared" si="69"/>
        <v>4037.0400000000004</v>
      </c>
      <c r="T23" s="198">
        <f t="shared" si="69"/>
        <v>3402</v>
      </c>
      <c r="U23" s="198">
        <f t="shared" si="69"/>
        <v>3265.92</v>
      </c>
      <c r="V23" s="198">
        <f t="shared" si="69"/>
        <v>2903.0400000000004</v>
      </c>
      <c r="W23" s="198">
        <f t="shared" si="69"/>
        <v>2676.2400000000002</v>
      </c>
      <c r="X23" s="198">
        <f t="shared" si="32"/>
        <v>2721.6000000000004</v>
      </c>
      <c r="Y23" s="198">
        <f t="shared" si="32"/>
        <v>2358.7200000000003</v>
      </c>
      <c r="Z23" s="198">
        <f t="shared" si="33"/>
        <v>2222.6400000000003</v>
      </c>
      <c r="AA23" s="198">
        <f t="shared" si="33"/>
        <v>2313.36</v>
      </c>
      <c r="AB23" s="198">
        <f t="shared" si="4"/>
        <v>2540.16</v>
      </c>
      <c r="AC23" s="198">
        <f t="shared" si="4"/>
        <v>2313.36</v>
      </c>
      <c r="AD23" s="198">
        <f t="shared" ref="AD23:AE23" si="70">(AD74/MT_Lbs)*10^6</f>
        <v>1995.8400000000004</v>
      </c>
      <c r="AE23" s="198">
        <f t="shared" si="70"/>
        <v>1995.8400000000004</v>
      </c>
      <c r="AF23" s="198">
        <f t="shared" ref="AF23:AG23" si="71">(AF74/MT_Lbs)*10^6</f>
        <v>1859.76</v>
      </c>
      <c r="AG23" s="198">
        <f t="shared" si="71"/>
        <v>2268</v>
      </c>
      <c r="AH23" s="198">
        <f t="shared" ref="AH23" si="72">(AH74/MT_Lbs)*10^6</f>
        <v>2086.56</v>
      </c>
      <c r="AI23" s="213"/>
      <c r="AJ23" s="213"/>
      <c r="AK23" s="213"/>
      <c r="AL23" s="213"/>
    </row>
    <row r="24" spans="1:38">
      <c r="A24" s="197" t="s">
        <v>234</v>
      </c>
      <c r="B24" s="222" t="s">
        <v>180</v>
      </c>
      <c r="C24" s="198">
        <f t="shared" ref="C24:AA24" si="73">(C75/MT_Lbs)*10^6</f>
        <v>0</v>
      </c>
      <c r="D24" s="198">
        <f t="shared" si="73"/>
        <v>0</v>
      </c>
      <c r="E24" s="198">
        <f t="shared" si="73"/>
        <v>0</v>
      </c>
      <c r="F24" s="198">
        <f t="shared" si="73"/>
        <v>0</v>
      </c>
      <c r="G24" s="198">
        <f t="shared" si="73"/>
        <v>0</v>
      </c>
      <c r="H24" s="198">
        <f t="shared" si="73"/>
        <v>0</v>
      </c>
      <c r="I24" s="198">
        <f t="shared" si="73"/>
        <v>0</v>
      </c>
      <c r="J24" s="198">
        <f t="shared" si="73"/>
        <v>0</v>
      </c>
      <c r="K24" s="198">
        <f t="shared" si="73"/>
        <v>0</v>
      </c>
      <c r="L24" s="198">
        <f t="shared" si="73"/>
        <v>0</v>
      </c>
      <c r="M24" s="198">
        <f t="shared" si="73"/>
        <v>0</v>
      </c>
      <c r="N24" s="198">
        <f t="shared" si="73"/>
        <v>0</v>
      </c>
      <c r="O24" s="198">
        <f t="shared" si="73"/>
        <v>0</v>
      </c>
      <c r="P24" s="198">
        <f t="shared" si="73"/>
        <v>0</v>
      </c>
      <c r="Q24" s="198">
        <f t="shared" si="73"/>
        <v>0</v>
      </c>
      <c r="R24" s="198">
        <f t="shared" si="73"/>
        <v>0</v>
      </c>
      <c r="S24" s="198">
        <f t="shared" si="73"/>
        <v>0</v>
      </c>
      <c r="T24" s="198">
        <f t="shared" si="73"/>
        <v>17191.440000000002</v>
      </c>
      <c r="U24" s="198">
        <f t="shared" si="73"/>
        <v>16737.84</v>
      </c>
      <c r="V24" s="198">
        <f t="shared" si="73"/>
        <v>17781.120000000003</v>
      </c>
      <c r="W24" s="198">
        <f t="shared" si="73"/>
        <v>17236.8</v>
      </c>
      <c r="X24" s="198">
        <f t="shared" si="73"/>
        <v>16284.240000000002</v>
      </c>
      <c r="Y24" s="198">
        <f t="shared" si="73"/>
        <v>14152.320000000002</v>
      </c>
      <c r="Z24" s="198">
        <f t="shared" si="73"/>
        <v>13834.800000000001</v>
      </c>
      <c r="AA24" s="198">
        <f t="shared" si="73"/>
        <v>14106.960000000001</v>
      </c>
      <c r="AB24" s="198">
        <f t="shared" si="4"/>
        <v>15513.120000000003</v>
      </c>
      <c r="AC24" s="198">
        <f t="shared" si="4"/>
        <v>16284.240000000002</v>
      </c>
      <c r="AD24" s="198">
        <f t="shared" ref="AD24:AE24" si="74">(AD75/MT_Lbs)*10^6</f>
        <v>16420.320000000003</v>
      </c>
      <c r="AE24" s="198">
        <f t="shared" si="74"/>
        <v>16873.920000000006</v>
      </c>
      <c r="AF24" s="198">
        <f t="shared" ref="AF24:AG24" si="75">(AF75/MT_Lbs)*10^6</f>
        <v>16284.240000000002</v>
      </c>
      <c r="AG24" s="198">
        <f t="shared" si="75"/>
        <v>16148.160000000002</v>
      </c>
      <c r="AH24" s="198">
        <f t="shared" ref="AH24" si="76">(AH75/MT_Lbs)*10^6</f>
        <v>16329.6</v>
      </c>
      <c r="AI24" s="213"/>
      <c r="AJ24" s="213"/>
      <c r="AK24" s="213"/>
      <c r="AL24" s="213"/>
    </row>
    <row r="25" spans="1:38">
      <c r="A25" s="197" t="s">
        <v>236</v>
      </c>
      <c r="B25" s="222" t="s">
        <v>182</v>
      </c>
      <c r="C25" s="198">
        <f t="shared" ref="C25:W25" si="77">(C76/MT_Lbs)*10^6</f>
        <v>451967.04000000004</v>
      </c>
      <c r="D25" s="198">
        <f t="shared" si="77"/>
        <v>423934.56000000006</v>
      </c>
      <c r="E25" s="198">
        <f t="shared" si="77"/>
        <v>409782.24000000005</v>
      </c>
      <c r="F25" s="198">
        <f t="shared" si="77"/>
        <v>397897.9200000001</v>
      </c>
      <c r="G25" s="198">
        <f t="shared" si="77"/>
        <v>452738.16000000003</v>
      </c>
      <c r="H25" s="198">
        <f t="shared" si="77"/>
        <v>474737.76</v>
      </c>
      <c r="I25" s="198">
        <f t="shared" si="77"/>
        <v>466164.72000000003</v>
      </c>
      <c r="J25" s="198">
        <f t="shared" si="77"/>
        <v>435773.52000000008</v>
      </c>
      <c r="K25" s="198">
        <f t="shared" si="77"/>
        <v>280007.28000000003</v>
      </c>
      <c r="L25" s="198">
        <f t="shared" si="77"/>
        <v>159803.28000000003</v>
      </c>
      <c r="M25" s="198">
        <f t="shared" si="77"/>
        <v>162207.36000000002</v>
      </c>
      <c r="N25" s="198">
        <f t="shared" si="77"/>
        <v>175180.32</v>
      </c>
      <c r="O25" s="198">
        <f t="shared" si="77"/>
        <v>190829.52</v>
      </c>
      <c r="P25" s="198">
        <f t="shared" si="77"/>
        <v>182029.68000000002</v>
      </c>
      <c r="Q25" s="198">
        <f t="shared" si="77"/>
        <v>173184.48000000004</v>
      </c>
      <c r="R25" s="198">
        <f t="shared" si="77"/>
        <v>177720.48</v>
      </c>
      <c r="S25" s="198">
        <f t="shared" si="77"/>
        <v>206614.80000000002</v>
      </c>
      <c r="T25" s="198">
        <f t="shared" si="77"/>
        <v>224758.80000000002</v>
      </c>
      <c r="U25" s="198">
        <f t="shared" si="77"/>
        <v>237731.76000000004</v>
      </c>
      <c r="V25" s="198">
        <f t="shared" si="77"/>
        <v>237051.36000000002</v>
      </c>
      <c r="W25" s="198">
        <f t="shared" si="77"/>
        <v>238003.92000000004</v>
      </c>
      <c r="X25" s="198">
        <f t="shared" ref="X25:AA52" si="78">(X76/MT_Lbs)*10^6</f>
        <v>230791.68000000002</v>
      </c>
      <c r="Y25" s="198">
        <f t="shared" si="78"/>
        <v>224894.88</v>
      </c>
      <c r="Z25" s="198">
        <f t="shared" si="78"/>
        <v>217682.64</v>
      </c>
      <c r="AA25" s="198">
        <f t="shared" si="78"/>
        <v>211377.60000000003</v>
      </c>
      <c r="AB25" s="198">
        <f t="shared" si="4"/>
        <v>202986.00000000003</v>
      </c>
      <c r="AC25" s="198">
        <f t="shared" si="4"/>
        <v>218998.08000000002</v>
      </c>
      <c r="AD25" s="198">
        <f t="shared" ref="AD25:AE25" si="79">(AD76/MT_Lbs)*10^6</f>
        <v>266762.16000000003</v>
      </c>
      <c r="AE25" s="198">
        <f t="shared" si="79"/>
        <v>448111.44</v>
      </c>
      <c r="AF25" s="198">
        <f t="shared" ref="AF25:AG25" si="80">(AF76/MT_Lbs)*10^6</f>
        <v>485805.60000000003</v>
      </c>
      <c r="AG25" s="198">
        <f t="shared" si="80"/>
        <v>563507.28</v>
      </c>
      <c r="AH25" s="198">
        <f t="shared" ref="AH25" si="81">(AH76/MT_Lbs)*10^6</f>
        <v>577614.24000000011</v>
      </c>
      <c r="AI25" s="213"/>
      <c r="AJ25" s="213"/>
      <c r="AK25" s="213"/>
      <c r="AL25" s="213"/>
    </row>
    <row r="26" spans="1:38">
      <c r="A26" s="197" t="s">
        <v>237</v>
      </c>
      <c r="B26" s="222" t="s">
        <v>183</v>
      </c>
      <c r="C26" s="198">
        <f t="shared" ref="C26:W26" si="82">(C77/MT_Lbs)*10^6</f>
        <v>777969.3600000001</v>
      </c>
      <c r="D26" s="198">
        <f t="shared" si="82"/>
        <v>948659.04000000015</v>
      </c>
      <c r="E26" s="198">
        <f t="shared" si="82"/>
        <v>1020237.12</v>
      </c>
      <c r="F26" s="198">
        <f t="shared" si="82"/>
        <v>1015746.4800000002</v>
      </c>
      <c r="G26" s="198">
        <f t="shared" si="82"/>
        <v>937364.40000000014</v>
      </c>
      <c r="H26" s="198">
        <f t="shared" si="82"/>
        <v>926840.88000000012</v>
      </c>
      <c r="I26" s="198">
        <f t="shared" si="82"/>
        <v>931921.20000000007</v>
      </c>
      <c r="J26" s="198">
        <f t="shared" si="82"/>
        <v>938453.04</v>
      </c>
      <c r="K26" s="198">
        <f t="shared" si="82"/>
        <v>895224.96000000008</v>
      </c>
      <c r="L26" s="198">
        <f t="shared" si="82"/>
        <v>936048.96000000008</v>
      </c>
      <c r="M26" s="198">
        <f t="shared" si="82"/>
        <v>918131.76000000013</v>
      </c>
      <c r="N26" s="198">
        <f t="shared" si="82"/>
        <v>969706.08000000019</v>
      </c>
      <c r="O26" s="198">
        <f t="shared" si="82"/>
        <v>1031985.36</v>
      </c>
      <c r="P26" s="198">
        <f t="shared" si="82"/>
        <v>1053077.76</v>
      </c>
      <c r="Q26" s="198">
        <f t="shared" si="82"/>
        <v>1040785.2000000002</v>
      </c>
      <c r="R26" s="198">
        <f t="shared" si="82"/>
        <v>1038970.8000000002</v>
      </c>
      <c r="S26" s="198">
        <f t="shared" si="82"/>
        <v>1083106.08</v>
      </c>
      <c r="T26" s="198">
        <f t="shared" si="82"/>
        <v>1107645.8400000003</v>
      </c>
      <c r="U26" s="198">
        <f t="shared" si="82"/>
        <v>1172374.56</v>
      </c>
      <c r="V26" s="198">
        <f t="shared" si="82"/>
        <v>1171558.0800000003</v>
      </c>
      <c r="W26" s="198">
        <f t="shared" si="82"/>
        <v>1229528.1600000001</v>
      </c>
      <c r="X26" s="198">
        <f t="shared" si="78"/>
        <v>1249713.3600000001</v>
      </c>
      <c r="Y26" s="198">
        <f t="shared" si="78"/>
        <v>1273890.24</v>
      </c>
      <c r="Z26" s="198">
        <f t="shared" si="78"/>
        <v>1217008.8</v>
      </c>
      <c r="AA26" s="198">
        <f t="shared" si="78"/>
        <v>1136993.76</v>
      </c>
      <c r="AB26" s="198">
        <f t="shared" si="4"/>
        <v>1176547.6800000002</v>
      </c>
      <c r="AC26" s="198">
        <f t="shared" si="4"/>
        <v>1159900.56</v>
      </c>
      <c r="AD26" s="198">
        <f t="shared" ref="AD26:AE26" si="83">(AD77/MT_Lbs)*10^6</f>
        <v>1249214.4000000001</v>
      </c>
      <c r="AE26" s="198">
        <f t="shared" si="83"/>
        <v>1278380.8800000004</v>
      </c>
      <c r="AF26" s="198">
        <f t="shared" ref="AF26:AG26" si="84">(AF77/MT_Lbs)*10^6</f>
        <v>1295209.44</v>
      </c>
      <c r="AG26" s="198">
        <f t="shared" si="84"/>
        <v>1292034.2400000002</v>
      </c>
      <c r="AH26" s="198">
        <f t="shared" ref="AH26" si="85">(AH77/MT_Lbs)*10^6</f>
        <v>1373909.0400000003</v>
      </c>
      <c r="AI26" s="213"/>
      <c r="AJ26" s="213"/>
      <c r="AK26" s="213"/>
      <c r="AL26" s="213"/>
    </row>
    <row r="27" spans="1:38">
      <c r="A27" s="197" t="s">
        <v>238</v>
      </c>
      <c r="B27" s="222" t="s">
        <v>184</v>
      </c>
      <c r="C27" s="198">
        <f t="shared" ref="C27:W27" si="86">(C78/MT_Lbs)*10^6</f>
        <v>179943.12000000002</v>
      </c>
      <c r="D27" s="198">
        <f t="shared" si="86"/>
        <v>168603.12</v>
      </c>
      <c r="E27" s="198">
        <f t="shared" si="86"/>
        <v>161481.60000000001</v>
      </c>
      <c r="F27" s="198">
        <f t="shared" si="86"/>
        <v>140117.04</v>
      </c>
      <c r="G27" s="198">
        <f t="shared" si="86"/>
        <v>144970.56000000003</v>
      </c>
      <c r="H27" s="198">
        <f t="shared" si="86"/>
        <v>137985.12000000002</v>
      </c>
      <c r="I27" s="198">
        <f t="shared" si="86"/>
        <v>125102.88000000003</v>
      </c>
      <c r="J27" s="198">
        <f t="shared" si="86"/>
        <v>132133.68</v>
      </c>
      <c r="K27" s="198">
        <f t="shared" si="86"/>
        <v>133993.44</v>
      </c>
      <c r="L27" s="198">
        <f t="shared" si="86"/>
        <v>133857.36000000002</v>
      </c>
      <c r="M27" s="198">
        <f t="shared" si="86"/>
        <v>126735.83999999998</v>
      </c>
      <c r="N27" s="198">
        <f t="shared" si="86"/>
        <v>132224.40000000002</v>
      </c>
      <c r="O27" s="198">
        <f t="shared" si="86"/>
        <v>133766.63999999998</v>
      </c>
      <c r="P27" s="198">
        <f t="shared" si="86"/>
        <v>136170.72</v>
      </c>
      <c r="Q27" s="198">
        <f t="shared" si="86"/>
        <v>135308.88000000003</v>
      </c>
      <c r="R27" s="198">
        <f t="shared" si="86"/>
        <v>131770.80000000002</v>
      </c>
      <c r="S27" s="198">
        <f t="shared" si="86"/>
        <v>131589.36000000002</v>
      </c>
      <c r="T27" s="198">
        <f t="shared" si="86"/>
        <v>35698.320000000007</v>
      </c>
      <c r="U27" s="198">
        <f t="shared" si="86"/>
        <v>7030.8</v>
      </c>
      <c r="V27" s="198">
        <f t="shared" si="86"/>
        <v>11748.24</v>
      </c>
      <c r="W27" s="198">
        <f t="shared" si="86"/>
        <v>10704.960000000001</v>
      </c>
      <c r="X27" s="198">
        <f t="shared" si="78"/>
        <v>11702.880000000001</v>
      </c>
      <c r="Y27" s="198">
        <f t="shared" si="78"/>
        <v>12065.760000000002</v>
      </c>
      <c r="Z27" s="198">
        <f t="shared" si="78"/>
        <v>6259.6800000000012</v>
      </c>
      <c r="AA27" s="198">
        <f t="shared" si="78"/>
        <v>2948.4000000000005</v>
      </c>
      <c r="AB27" s="198">
        <f t="shared" ref="AB27:AC46" si="87">(AB78/MT_Lbs)*10^6</f>
        <v>2630.88</v>
      </c>
      <c r="AC27" s="198">
        <f t="shared" si="87"/>
        <v>2721.6000000000004</v>
      </c>
      <c r="AD27" s="198">
        <f t="shared" ref="AD27:AE27" si="88">(AD78/MT_Lbs)*10^6</f>
        <v>2812.3200000000006</v>
      </c>
      <c r="AE27" s="198">
        <f t="shared" si="88"/>
        <v>3084.48</v>
      </c>
      <c r="AF27" s="198">
        <f t="shared" ref="AF27:AG27" si="89">(AF78/MT_Lbs)*10^6</f>
        <v>3039.1200000000003</v>
      </c>
      <c r="AG27" s="198">
        <f t="shared" si="89"/>
        <v>3810.2400000000002</v>
      </c>
      <c r="AH27" s="198">
        <f t="shared" ref="AH27" si="90">(AH78/MT_Lbs)*10^6</f>
        <v>3946.3199999999997</v>
      </c>
      <c r="AI27" s="213"/>
      <c r="AJ27" s="213"/>
      <c r="AK27" s="213"/>
      <c r="AL27" s="213"/>
    </row>
    <row r="28" spans="1:38">
      <c r="A28" s="197" t="s">
        <v>239</v>
      </c>
      <c r="B28" s="222" t="s">
        <v>185</v>
      </c>
      <c r="C28" s="198">
        <f t="shared" ref="C28:W28" si="91">(C79/MT_Lbs)*10^6</f>
        <v>307268.64</v>
      </c>
      <c r="D28" s="198">
        <f t="shared" si="91"/>
        <v>234465.84</v>
      </c>
      <c r="E28" s="198">
        <f t="shared" si="91"/>
        <v>264811.68</v>
      </c>
      <c r="F28" s="198">
        <f t="shared" si="91"/>
        <v>307676.88</v>
      </c>
      <c r="G28" s="198">
        <f t="shared" si="91"/>
        <v>200037.6</v>
      </c>
      <c r="H28" s="198">
        <f t="shared" si="91"/>
        <v>288126.72000000003</v>
      </c>
      <c r="I28" s="198">
        <f t="shared" si="91"/>
        <v>329495.04000000004</v>
      </c>
      <c r="J28" s="198">
        <f t="shared" si="91"/>
        <v>334212.48000000004</v>
      </c>
      <c r="K28" s="198">
        <f t="shared" si="91"/>
        <v>361519.2</v>
      </c>
      <c r="L28" s="198">
        <f t="shared" si="91"/>
        <v>368187.12000000005</v>
      </c>
      <c r="M28" s="198">
        <f t="shared" si="91"/>
        <v>356983.20000000007</v>
      </c>
      <c r="N28" s="198">
        <f t="shared" si="91"/>
        <v>288671.03999999998</v>
      </c>
      <c r="O28" s="198">
        <f t="shared" si="91"/>
        <v>197951.04</v>
      </c>
      <c r="P28" s="198">
        <f t="shared" si="91"/>
        <v>202895.28</v>
      </c>
      <c r="Q28" s="198">
        <f t="shared" si="91"/>
        <v>204800.40000000002</v>
      </c>
      <c r="R28" s="198">
        <f t="shared" si="91"/>
        <v>219769.2</v>
      </c>
      <c r="S28" s="198">
        <f t="shared" si="91"/>
        <v>430103.52000000008</v>
      </c>
      <c r="T28" s="198">
        <f t="shared" si="91"/>
        <v>680490.72000000009</v>
      </c>
      <c r="U28" s="198">
        <f t="shared" si="91"/>
        <v>766946.88</v>
      </c>
      <c r="V28" s="198">
        <f t="shared" si="91"/>
        <v>788175.35999999999</v>
      </c>
      <c r="W28" s="198">
        <f t="shared" si="91"/>
        <v>770167.44000000018</v>
      </c>
      <c r="X28" s="198">
        <f t="shared" si="78"/>
        <v>796294.8</v>
      </c>
      <c r="Y28" s="198">
        <f t="shared" si="78"/>
        <v>800876.16</v>
      </c>
      <c r="Z28" s="198">
        <f t="shared" si="78"/>
        <v>831403.44000000006</v>
      </c>
      <c r="AA28" s="198">
        <f t="shared" si="78"/>
        <v>855807.12000000011</v>
      </c>
      <c r="AB28" s="198">
        <f t="shared" si="87"/>
        <v>885109.68</v>
      </c>
      <c r="AC28" s="198">
        <f t="shared" si="87"/>
        <v>908424.72000000009</v>
      </c>
      <c r="AD28" s="198">
        <f t="shared" ref="AD28:AE28" si="92">(AD79/MT_Lbs)*10^6</f>
        <v>926024.4</v>
      </c>
      <c r="AE28" s="198">
        <f t="shared" si="92"/>
        <v>905204.16</v>
      </c>
      <c r="AF28" s="198">
        <f t="shared" ref="AF28:AG28" si="93">(AF79/MT_Lbs)*10^6</f>
        <v>886198.32000000007</v>
      </c>
      <c r="AG28" s="198">
        <f t="shared" si="93"/>
        <v>888965.28</v>
      </c>
      <c r="AH28" s="198">
        <f t="shared" ref="AH28" si="94">(AH79/MT_Lbs)*10^6</f>
        <v>905839.20000000007</v>
      </c>
      <c r="AI28" s="213"/>
      <c r="AJ28" s="213"/>
      <c r="AK28" s="213"/>
      <c r="AL28" s="213"/>
    </row>
    <row r="29" spans="1:38">
      <c r="A29" s="197" t="s">
        <v>275</v>
      </c>
      <c r="B29" s="222" t="s">
        <v>186</v>
      </c>
      <c r="C29" s="198">
        <f t="shared" ref="C29:W29" si="95">(C80/MT_Lbs)*10^6</f>
        <v>9344.16</v>
      </c>
      <c r="D29" s="198">
        <f t="shared" si="95"/>
        <v>7529.760000000002</v>
      </c>
      <c r="E29" s="198">
        <f t="shared" si="95"/>
        <v>7801.92</v>
      </c>
      <c r="F29" s="198">
        <f t="shared" si="95"/>
        <v>7847.2800000000016</v>
      </c>
      <c r="G29" s="198">
        <f t="shared" si="95"/>
        <v>9026.6400000000012</v>
      </c>
      <c r="H29" s="198">
        <f t="shared" si="95"/>
        <v>8074.0800000000008</v>
      </c>
      <c r="I29" s="198">
        <f t="shared" si="95"/>
        <v>8210.1600000000017</v>
      </c>
      <c r="J29" s="198">
        <f t="shared" si="95"/>
        <v>6940.0800000000008</v>
      </c>
      <c r="K29" s="198">
        <f t="shared" si="95"/>
        <v>8799.84</v>
      </c>
      <c r="L29" s="198">
        <f t="shared" si="95"/>
        <v>10069.920000000002</v>
      </c>
      <c r="M29" s="198">
        <f t="shared" si="95"/>
        <v>9752.4000000000015</v>
      </c>
      <c r="N29" s="198">
        <f t="shared" si="95"/>
        <v>7439.04</v>
      </c>
      <c r="O29" s="198">
        <f t="shared" si="95"/>
        <v>7620.4800000000005</v>
      </c>
      <c r="P29" s="198">
        <f t="shared" si="95"/>
        <v>7257.6</v>
      </c>
      <c r="Q29" s="198">
        <f t="shared" si="95"/>
        <v>7030.8</v>
      </c>
      <c r="R29" s="198">
        <f t="shared" si="95"/>
        <v>7892.6399999999994</v>
      </c>
      <c r="S29" s="198">
        <f t="shared" si="95"/>
        <v>7348.3200000000006</v>
      </c>
      <c r="T29" s="198">
        <f t="shared" si="95"/>
        <v>7348.3200000000006</v>
      </c>
      <c r="U29" s="198">
        <f t="shared" si="95"/>
        <v>7529.760000000002</v>
      </c>
      <c r="V29" s="198">
        <f t="shared" si="95"/>
        <v>8346.24</v>
      </c>
      <c r="W29" s="198">
        <f t="shared" si="95"/>
        <v>7938.0000000000009</v>
      </c>
      <c r="X29" s="198">
        <f t="shared" si="78"/>
        <v>7302.9600000000019</v>
      </c>
      <c r="Y29" s="198">
        <f t="shared" si="78"/>
        <v>7393.68</v>
      </c>
      <c r="Z29" s="198">
        <f t="shared" si="78"/>
        <v>7575.12</v>
      </c>
      <c r="AA29" s="198">
        <f t="shared" si="78"/>
        <v>7529.760000000002</v>
      </c>
      <c r="AB29" s="198">
        <f t="shared" si="87"/>
        <v>7393.68</v>
      </c>
      <c r="AC29" s="198">
        <f t="shared" si="87"/>
        <v>8074.0800000000008</v>
      </c>
      <c r="AD29" s="198">
        <f t="shared" ref="AD29:AE29" si="96">(AD80/MT_Lbs)*10^6</f>
        <v>10251.36</v>
      </c>
      <c r="AE29" s="198">
        <f t="shared" si="96"/>
        <v>9616.3200000000015</v>
      </c>
      <c r="AF29" s="198">
        <f t="shared" ref="AF29:AG29" si="97">(AF80/MT_Lbs)*10^6</f>
        <v>9525.6</v>
      </c>
      <c r="AG29" s="198">
        <f t="shared" si="97"/>
        <v>10478.160000000002</v>
      </c>
      <c r="AH29" s="198">
        <f t="shared" ref="AH29" si="98">(AH80/MT_Lbs)*10^6</f>
        <v>15603.84</v>
      </c>
      <c r="AI29" s="213"/>
      <c r="AJ29" s="213"/>
      <c r="AK29" s="213"/>
      <c r="AL29" s="213"/>
    </row>
    <row r="30" spans="1:38">
      <c r="A30" s="197" t="s">
        <v>276</v>
      </c>
      <c r="B30" s="222" t="s">
        <v>187</v>
      </c>
      <c r="C30" s="198">
        <f t="shared" ref="C30:W30" si="99">(C81/MT_Lbs)*10^6</f>
        <v>2289908.8800000004</v>
      </c>
      <c r="D30" s="198">
        <f t="shared" si="99"/>
        <v>2493076.3200000003</v>
      </c>
      <c r="E30" s="198">
        <f t="shared" si="99"/>
        <v>2626842.9600000004</v>
      </c>
      <c r="F30" s="198">
        <f t="shared" si="99"/>
        <v>2592278.64</v>
      </c>
      <c r="G30" s="198">
        <f t="shared" si="99"/>
        <v>2663992.8000000003</v>
      </c>
      <c r="H30" s="198">
        <f t="shared" si="99"/>
        <v>2724140.1600000006</v>
      </c>
      <c r="I30" s="198">
        <f t="shared" si="99"/>
        <v>2868475.6800000006</v>
      </c>
      <c r="J30" s="198">
        <f t="shared" si="99"/>
        <v>2940915.6</v>
      </c>
      <c r="K30" s="198">
        <f t="shared" si="99"/>
        <v>3043701.3600000003</v>
      </c>
      <c r="L30" s="198">
        <f t="shared" si="99"/>
        <v>3110879.52</v>
      </c>
      <c r="M30" s="198">
        <f t="shared" si="99"/>
        <v>3222964.0800000005</v>
      </c>
      <c r="N30" s="198">
        <f t="shared" si="99"/>
        <v>3248274.9600000004</v>
      </c>
      <c r="O30" s="198">
        <f t="shared" si="99"/>
        <v>3446861.04</v>
      </c>
      <c r="P30" s="198">
        <f t="shared" si="99"/>
        <v>3286422.72</v>
      </c>
      <c r="Q30" s="198">
        <f t="shared" si="99"/>
        <v>3084480</v>
      </c>
      <c r="R30" s="198">
        <f t="shared" si="99"/>
        <v>3196746</v>
      </c>
      <c r="S30" s="198">
        <f t="shared" si="99"/>
        <v>3278076.48</v>
      </c>
      <c r="T30" s="198">
        <f t="shared" si="99"/>
        <v>3275082.72</v>
      </c>
      <c r="U30" s="198">
        <f t="shared" si="99"/>
        <v>3353374.0800000005</v>
      </c>
      <c r="V30" s="198">
        <f t="shared" si="99"/>
        <v>3250588.3200000003</v>
      </c>
      <c r="W30" s="198">
        <f t="shared" si="99"/>
        <v>3236753.52</v>
      </c>
      <c r="X30" s="198">
        <f t="shared" si="78"/>
        <v>3249545.04</v>
      </c>
      <c r="Y30" s="198">
        <f t="shared" si="78"/>
        <v>3304521.3600000003</v>
      </c>
      <c r="Z30" s="198">
        <f t="shared" si="78"/>
        <v>3335320.8000000003</v>
      </c>
      <c r="AA30" s="198">
        <f t="shared" si="78"/>
        <v>3299667.8400000003</v>
      </c>
      <c r="AB30" s="198">
        <f t="shared" si="87"/>
        <v>3390705.3600000003</v>
      </c>
      <c r="AC30" s="198">
        <f t="shared" si="87"/>
        <v>3632338.08</v>
      </c>
      <c r="AD30" s="198">
        <f t="shared" ref="AD30:AE30" si="100">(AD81/MT_Lbs)*10^6</f>
        <v>3680056.8000000003</v>
      </c>
      <c r="AE30" s="198">
        <f t="shared" si="100"/>
        <v>3677063.04</v>
      </c>
      <c r="AF30" s="198">
        <f t="shared" ref="AF30:AG30" si="101">(AF81/MT_Lbs)*10^6</f>
        <v>3759981.120000001</v>
      </c>
      <c r="AG30" s="198">
        <f t="shared" si="101"/>
        <v>3593782.0800000005</v>
      </c>
      <c r="AH30" s="198">
        <f t="shared" ref="AH30" si="102">(AH81/MT_Lbs)*10^6</f>
        <v>3614466.24</v>
      </c>
      <c r="AI30" s="213"/>
      <c r="AJ30" s="213"/>
      <c r="AK30" s="213"/>
      <c r="AL30" s="213"/>
    </row>
    <row r="31" spans="1:38">
      <c r="A31" s="197" t="s">
        <v>240</v>
      </c>
      <c r="B31" s="222" t="s">
        <v>188</v>
      </c>
      <c r="C31" s="198">
        <f t="shared" ref="C31:U32" si="103">(C82/MT_Lbs)*10^6</f>
        <v>589.68000000000006</v>
      </c>
      <c r="D31" s="198">
        <f t="shared" si="103"/>
        <v>680.40000000000009</v>
      </c>
      <c r="E31" s="198">
        <f t="shared" si="103"/>
        <v>589.68000000000006</v>
      </c>
      <c r="F31" s="198">
        <f t="shared" si="103"/>
        <v>544.32000000000005</v>
      </c>
      <c r="G31" s="198">
        <f t="shared" si="103"/>
        <v>544.32000000000005</v>
      </c>
      <c r="H31" s="198">
        <f t="shared" si="103"/>
        <v>544.32000000000005</v>
      </c>
      <c r="I31" s="198">
        <f t="shared" si="103"/>
        <v>589.68000000000006</v>
      </c>
      <c r="J31" s="198">
        <f t="shared" si="103"/>
        <v>498.96000000000009</v>
      </c>
      <c r="K31" s="198">
        <f t="shared" si="103"/>
        <v>408.24</v>
      </c>
      <c r="L31" s="198">
        <f t="shared" si="103"/>
        <v>408.24</v>
      </c>
      <c r="M31" s="198">
        <f t="shared" si="103"/>
        <v>408.24</v>
      </c>
      <c r="N31" s="198">
        <f t="shared" si="103"/>
        <v>408.24</v>
      </c>
      <c r="O31" s="198">
        <f t="shared" si="103"/>
        <v>408.24</v>
      </c>
      <c r="P31" s="198">
        <f t="shared" si="103"/>
        <v>408.24</v>
      </c>
      <c r="Q31" s="198">
        <f t="shared" si="103"/>
        <v>453.6</v>
      </c>
      <c r="R31" s="198">
        <f t="shared" si="103"/>
        <v>498.96000000000009</v>
      </c>
      <c r="S31" s="198">
        <f t="shared" si="103"/>
        <v>362.88000000000005</v>
      </c>
      <c r="T31" s="198">
        <f t="shared" si="103"/>
        <v>453.6</v>
      </c>
      <c r="U31" s="198">
        <f t="shared" si="103"/>
        <v>589.68000000000006</v>
      </c>
      <c r="V31" s="198">
        <f>(V82/MT_Lbs)*10^6</f>
        <v>498.96000000000009</v>
      </c>
      <c r="W31" s="198">
        <f>(W82/MT_Lbs)*10^6</f>
        <v>362.88000000000005</v>
      </c>
      <c r="X31" s="198">
        <f t="shared" si="78"/>
        <v>498.96000000000009</v>
      </c>
      <c r="Y31" s="198">
        <f t="shared" si="78"/>
        <v>408.24</v>
      </c>
      <c r="Z31" s="198">
        <f t="shared" si="78"/>
        <v>453.6</v>
      </c>
      <c r="AA31" s="198">
        <f t="shared" si="78"/>
        <v>498.96000000000009</v>
      </c>
      <c r="AB31" s="198">
        <f t="shared" si="87"/>
        <v>544.32000000000005</v>
      </c>
      <c r="AC31" s="198">
        <f t="shared" si="87"/>
        <v>589.68000000000006</v>
      </c>
      <c r="AD31" s="198">
        <f t="shared" ref="AD31:AE31" si="104">(AD82/MT_Lbs)*10^6</f>
        <v>635.04</v>
      </c>
      <c r="AE31" s="198">
        <f t="shared" si="104"/>
        <v>635.04</v>
      </c>
      <c r="AF31" s="198">
        <f t="shared" ref="AF31:AG31" si="105">(AF82/MT_Lbs)*10^6</f>
        <v>498.96000000000009</v>
      </c>
      <c r="AG31" s="198">
        <f t="shared" si="105"/>
        <v>408.24</v>
      </c>
      <c r="AH31" s="198">
        <f t="shared" ref="AH31" si="106">(AH82/MT_Lbs)*10^6</f>
        <v>317.52</v>
      </c>
      <c r="AI31" s="213"/>
      <c r="AJ31" s="213"/>
      <c r="AK31" s="213"/>
      <c r="AL31" s="213"/>
    </row>
    <row r="32" spans="1:38">
      <c r="A32" s="197" t="s">
        <v>241</v>
      </c>
      <c r="B32" s="222" t="s">
        <v>189</v>
      </c>
      <c r="C32" s="198">
        <f t="shared" si="103"/>
        <v>0</v>
      </c>
      <c r="D32" s="198">
        <f t="shared" si="103"/>
        <v>0</v>
      </c>
      <c r="E32" s="198">
        <f t="shared" si="103"/>
        <v>0</v>
      </c>
      <c r="F32" s="198">
        <f t="shared" si="103"/>
        <v>0</v>
      </c>
      <c r="G32" s="198">
        <f t="shared" si="103"/>
        <v>0</v>
      </c>
      <c r="H32" s="198">
        <f t="shared" si="103"/>
        <v>0</v>
      </c>
      <c r="I32" s="198">
        <f t="shared" si="103"/>
        <v>0</v>
      </c>
      <c r="J32" s="198">
        <f t="shared" si="103"/>
        <v>0</v>
      </c>
      <c r="K32" s="198">
        <f t="shared" si="103"/>
        <v>0</v>
      </c>
      <c r="L32" s="198">
        <f t="shared" si="103"/>
        <v>0</v>
      </c>
      <c r="M32" s="198">
        <f t="shared" si="103"/>
        <v>0</v>
      </c>
      <c r="N32" s="198">
        <f t="shared" si="103"/>
        <v>0</v>
      </c>
      <c r="O32" s="198">
        <f t="shared" si="103"/>
        <v>0</v>
      </c>
      <c r="P32" s="198">
        <f t="shared" si="103"/>
        <v>0</v>
      </c>
      <c r="Q32" s="198">
        <f t="shared" si="103"/>
        <v>0</v>
      </c>
      <c r="R32" s="198">
        <f t="shared" si="103"/>
        <v>0</v>
      </c>
      <c r="S32" s="198">
        <f t="shared" si="103"/>
        <v>0</v>
      </c>
      <c r="T32" s="198">
        <f t="shared" si="103"/>
        <v>5806.0800000000008</v>
      </c>
      <c r="U32" s="198">
        <f t="shared" si="103"/>
        <v>6259.6800000000012</v>
      </c>
      <c r="V32" s="198">
        <f>(V83/MT_Lbs)*10^6</f>
        <v>7393.68</v>
      </c>
      <c r="W32" s="198">
        <f>(W83/MT_Lbs)*10^6</f>
        <v>7393.68</v>
      </c>
      <c r="X32" s="198">
        <f t="shared" si="78"/>
        <v>7892.6399999999994</v>
      </c>
      <c r="Y32" s="198">
        <f t="shared" si="78"/>
        <v>8482.32</v>
      </c>
      <c r="Z32" s="198">
        <f t="shared" si="78"/>
        <v>8890.5600000000013</v>
      </c>
      <c r="AA32" s="198">
        <f t="shared" si="78"/>
        <v>9298.8000000000011</v>
      </c>
      <c r="AB32" s="198">
        <f t="shared" si="87"/>
        <v>10024.560000000001</v>
      </c>
      <c r="AC32" s="198">
        <f t="shared" si="87"/>
        <v>11067.84</v>
      </c>
      <c r="AD32" s="198">
        <f t="shared" ref="AD32:AE32" si="107">(AD83/MT_Lbs)*10^6</f>
        <v>11249.280000000002</v>
      </c>
      <c r="AE32" s="198">
        <f t="shared" si="107"/>
        <v>11340.000000000002</v>
      </c>
      <c r="AF32" s="198">
        <f t="shared" ref="AF32:AG32" si="108">(AF83/MT_Lbs)*10^6</f>
        <v>12337.92</v>
      </c>
      <c r="AG32" s="198">
        <f t="shared" si="108"/>
        <v>15694.560000000003</v>
      </c>
      <c r="AH32" s="198">
        <f t="shared" ref="AH32" si="109">(AH83/MT_Lbs)*10^6</f>
        <v>15876.000000000002</v>
      </c>
      <c r="AI32" s="213"/>
      <c r="AJ32" s="213"/>
      <c r="AK32" s="213"/>
      <c r="AL32" s="213"/>
    </row>
    <row r="33" spans="1:38">
      <c r="A33" s="197" t="s">
        <v>242</v>
      </c>
      <c r="B33" s="222" t="s">
        <v>190</v>
      </c>
      <c r="C33" s="198">
        <f t="shared" ref="C33:W33" si="110">(C84/MT_Lbs)*10^6</f>
        <v>13199.760000000002</v>
      </c>
      <c r="D33" s="198">
        <f t="shared" si="110"/>
        <v>14288.400000000001</v>
      </c>
      <c r="E33" s="198">
        <f t="shared" si="110"/>
        <v>14696.640000000001</v>
      </c>
      <c r="F33" s="198">
        <f t="shared" si="110"/>
        <v>13925.52</v>
      </c>
      <c r="G33" s="198">
        <f t="shared" si="110"/>
        <v>13834.800000000001</v>
      </c>
      <c r="H33" s="198">
        <f t="shared" si="110"/>
        <v>16193.520000000002</v>
      </c>
      <c r="I33" s="198">
        <f t="shared" si="110"/>
        <v>19459.440000000002</v>
      </c>
      <c r="J33" s="198">
        <f t="shared" si="110"/>
        <v>23178.960000000003</v>
      </c>
      <c r="K33" s="198">
        <f t="shared" si="110"/>
        <v>24811.920000000006</v>
      </c>
      <c r="L33" s="198">
        <f t="shared" si="110"/>
        <v>24766.560000000005</v>
      </c>
      <c r="M33" s="198">
        <f t="shared" si="110"/>
        <v>25673.760000000002</v>
      </c>
      <c r="N33" s="198">
        <f t="shared" si="110"/>
        <v>27079.920000000006</v>
      </c>
      <c r="O33" s="198">
        <f t="shared" si="110"/>
        <v>27397.440000000002</v>
      </c>
      <c r="P33" s="198">
        <f t="shared" si="110"/>
        <v>24358.320000000003</v>
      </c>
      <c r="Q33" s="198">
        <f t="shared" si="110"/>
        <v>22543.920000000002</v>
      </c>
      <c r="R33" s="198">
        <f t="shared" si="110"/>
        <v>22271.760000000002</v>
      </c>
      <c r="S33" s="198">
        <f t="shared" si="110"/>
        <v>23541.84</v>
      </c>
      <c r="T33" s="198">
        <f t="shared" si="110"/>
        <v>23904.720000000005</v>
      </c>
      <c r="U33" s="198">
        <f t="shared" si="110"/>
        <v>21818.160000000003</v>
      </c>
      <c r="V33" s="198">
        <f t="shared" si="110"/>
        <v>22498.560000000005</v>
      </c>
      <c r="W33" s="198">
        <f t="shared" si="110"/>
        <v>24630.48</v>
      </c>
      <c r="X33" s="198">
        <f t="shared" si="78"/>
        <v>24857.280000000002</v>
      </c>
      <c r="Y33" s="198">
        <f t="shared" si="78"/>
        <v>22816.079999999998</v>
      </c>
      <c r="Z33" s="198">
        <f t="shared" si="78"/>
        <v>22725.360000000004</v>
      </c>
      <c r="AA33" s="198">
        <f t="shared" si="78"/>
        <v>20502.72</v>
      </c>
      <c r="AB33" s="198">
        <f t="shared" si="87"/>
        <v>20548.079999999998</v>
      </c>
      <c r="AC33" s="198">
        <f t="shared" si="87"/>
        <v>16057.439999999999</v>
      </c>
      <c r="AD33" s="198">
        <f t="shared" ref="AD33:AE33" si="111">(AD84/MT_Lbs)*10^6</f>
        <v>17236.8</v>
      </c>
      <c r="AE33" s="198">
        <f t="shared" si="111"/>
        <v>17962.560000000001</v>
      </c>
      <c r="AF33" s="198">
        <f t="shared" ref="AF33:AG33" si="112">(AF84/MT_Lbs)*10^6</f>
        <v>18824.400000000001</v>
      </c>
      <c r="AG33" s="198">
        <f t="shared" si="112"/>
        <v>19368.72</v>
      </c>
      <c r="AH33" s="198">
        <f t="shared" ref="AH33" si="113">(AH84/MT_Lbs)*10^6</f>
        <v>20865.600000000002</v>
      </c>
      <c r="AI33" s="213"/>
      <c r="AJ33" s="213"/>
      <c r="AK33" s="213"/>
      <c r="AL33" s="213"/>
    </row>
    <row r="34" spans="1:38">
      <c r="A34" s="197" t="s">
        <v>243</v>
      </c>
      <c r="B34" s="222" t="s">
        <v>191</v>
      </c>
      <c r="C34" s="198">
        <f t="shared" ref="C34:W34" si="114">(C85/MT_Lbs)*10^6</f>
        <v>40506.480000000003</v>
      </c>
      <c r="D34" s="198">
        <f t="shared" si="114"/>
        <v>38057.040000000008</v>
      </c>
      <c r="E34" s="198">
        <f t="shared" si="114"/>
        <v>26127.360000000001</v>
      </c>
      <c r="F34" s="198">
        <f t="shared" si="114"/>
        <v>13562.640000000001</v>
      </c>
      <c r="G34" s="198">
        <f t="shared" si="114"/>
        <v>12700.800000000001</v>
      </c>
      <c r="H34" s="198">
        <f t="shared" si="114"/>
        <v>9117.36</v>
      </c>
      <c r="I34" s="198">
        <f t="shared" si="114"/>
        <v>9162.7200000000012</v>
      </c>
      <c r="J34" s="198">
        <f t="shared" si="114"/>
        <v>6214.3200000000006</v>
      </c>
      <c r="K34" s="198">
        <f t="shared" si="114"/>
        <v>5397.8400000000011</v>
      </c>
      <c r="L34" s="198">
        <f t="shared" si="114"/>
        <v>6078.2400000000007</v>
      </c>
      <c r="M34" s="198">
        <f t="shared" si="114"/>
        <v>4490.6400000000003</v>
      </c>
      <c r="N34" s="198">
        <f t="shared" si="114"/>
        <v>4490.6400000000003</v>
      </c>
      <c r="O34" s="198">
        <f t="shared" si="114"/>
        <v>4853.5200000000004</v>
      </c>
      <c r="P34" s="198">
        <f t="shared" si="114"/>
        <v>5624.6400000000012</v>
      </c>
      <c r="Q34" s="198">
        <f t="shared" si="114"/>
        <v>3583.4400000000005</v>
      </c>
      <c r="R34" s="198">
        <f t="shared" si="114"/>
        <v>3039.1200000000003</v>
      </c>
      <c r="S34" s="198">
        <f t="shared" si="114"/>
        <v>2766.96</v>
      </c>
      <c r="T34" s="198">
        <f t="shared" si="114"/>
        <v>2222.6400000000003</v>
      </c>
      <c r="U34" s="198">
        <f t="shared" si="114"/>
        <v>2585.5200000000004</v>
      </c>
      <c r="V34" s="198">
        <f t="shared" si="114"/>
        <v>2358.7200000000003</v>
      </c>
      <c r="W34" s="198">
        <f t="shared" si="114"/>
        <v>2177.2800000000002</v>
      </c>
      <c r="X34" s="198">
        <f t="shared" si="78"/>
        <v>2086.56</v>
      </c>
      <c r="Y34" s="198">
        <f t="shared" si="78"/>
        <v>1632.96</v>
      </c>
      <c r="Z34" s="198">
        <f t="shared" si="78"/>
        <v>1678.3200000000004</v>
      </c>
      <c r="AA34" s="198">
        <f t="shared" si="78"/>
        <v>1587.6000000000001</v>
      </c>
      <c r="AB34" s="198">
        <f t="shared" si="87"/>
        <v>1587.6000000000001</v>
      </c>
      <c r="AC34" s="198">
        <f t="shared" si="87"/>
        <v>1451.5200000000002</v>
      </c>
      <c r="AD34" s="198">
        <f t="shared" ref="AD34:AE34" si="115">(AD85/MT_Lbs)*10^6</f>
        <v>1451.5200000000002</v>
      </c>
      <c r="AE34" s="198">
        <f t="shared" si="115"/>
        <v>1723.68</v>
      </c>
      <c r="AF34" s="198">
        <f t="shared" ref="AF34:AG34" si="116">(AF85/MT_Lbs)*10^6</f>
        <v>1678.3200000000004</v>
      </c>
      <c r="AG34" s="198">
        <f t="shared" si="116"/>
        <v>2313.36</v>
      </c>
      <c r="AH34" s="198">
        <f t="shared" ref="AH34" si="117">(AH85/MT_Lbs)*10^6</f>
        <v>2222.6400000000003</v>
      </c>
      <c r="AI34" s="213"/>
      <c r="AJ34" s="213"/>
      <c r="AK34" s="213"/>
      <c r="AL34" s="213"/>
    </row>
    <row r="35" spans="1:38">
      <c r="A35" s="197" t="s">
        <v>244</v>
      </c>
      <c r="B35" s="222" t="s">
        <v>192</v>
      </c>
      <c r="C35" s="198">
        <f t="shared" ref="C35:W35" si="118">(C86/MT_Lbs)*10^6</f>
        <v>39463.200000000004</v>
      </c>
      <c r="D35" s="198">
        <f t="shared" si="118"/>
        <v>41549.759999999995</v>
      </c>
      <c r="E35" s="198">
        <f t="shared" si="118"/>
        <v>46720.80000000001</v>
      </c>
      <c r="F35" s="198">
        <f t="shared" si="118"/>
        <v>37195.200000000004</v>
      </c>
      <c r="G35" s="198">
        <f t="shared" si="118"/>
        <v>41368.320000000007</v>
      </c>
      <c r="H35" s="198">
        <f t="shared" si="118"/>
        <v>45405.36</v>
      </c>
      <c r="I35" s="198">
        <f t="shared" si="118"/>
        <v>50803.200000000004</v>
      </c>
      <c r="J35" s="198">
        <f t="shared" si="118"/>
        <v>42366.240000000005</v>
      </c>
      <c r="K35" s="198">
        <f t="shared" si="118"/>
        <v>30300.48</v>
      </c>
      <c r="L35" s="198">
        <f t="shared" si="118"/>
        <v>23950.080000000002</v>
      </c>
      <c r="M35" s="198">
        <f t="shared" si="118"/>
        <v>22770.720000000005</v>
      </c>
      <c r="N35" s="198">
        <f t="shared" si="118"/>
        <v>18552.240000000002</v>
      </c>
      <c r="O35" s="198">
        <f t="shared" si="118"/>
        <v>20412.000000000004</v>
      </c>
      <c r="P35" s="198">
        <f t="shared" si="118"/>
        <v>20457.36</v>
      </c>
      <c r="Q35" s="198">
        <f t="shared" si="118"/>
        <v>17327.520000000004</v>
      </c>
      <c r="R35" s="198">
        <f t="shared" si="118"/>
        <v>17871.84</v>
      </c>
      <c r="S35" s="198">
        <f t="shared" si="118"/>
        <v>15921.360000000002</v>
      </c>
      <c r="T35" s="198">
        <f t="shared" si="118"/>
        <v>15240.960000000001</v>
      </c>
      <c r="U35" s="198">
        <f t="shared" si="118"/>
        <v>16647.120000000003</v>
      </c>
      <c r="V35" s="198">
        <f t="shared" si="118"/>
        <v>15331.68</v>
      </c>
      <c r="W35" s="198">
        <f t="shared" si="118"/>
        <v>15014.160000000002</v>
      </c>
      <c r="X35" s="198">
        <f t="shared" si="78"/>
        <v>14968.800000000001</v>
      </c>
      <c r="Y35" s="198">
        <f t="shared" si="78"/>
        <v>14832.720000000003</v>
      </c>
      <c r="Z35" s="198">
        <f t="shared" si="78"/>
        <v>15331.68</v>
      </c>
      <c r="AA35" s="198">
        <f t="shared" si="78"/>
        <v>15830.64</v>
      </c>
      <c r="AB35" s="198">
        <f t="shared" si="87"/>
        <v>16420.320000000003</v>
      </c>
      <c r="AC35" s="198">
        <f t="shared" si="87"/>
        <v>18779.04</v>
      </c>
      <c r="AD35" s="198">
        <f t="shared" ref="AD35:AE35" si="119">(AD86/MT_Lbs)*10^6</f>
        <v>18370.800000000003</v>
      </c>
      <c r="AE35" s="198">
        <f t="shared" si="119"/>
        <v>18053.280000000002</v>
      </c>
      <c r="AF35" s="198">
        <f t="shared" ref="AF35:AG35" si="120">(AF86/MT_Lbs)*10^6</f>
        <v>17055.36</v>
      </c>
      <c r="AG35" s="198">
        <f t="shared" si="120"/>
        <v>17917.2</v>
      </c>
      <c r="AH35" s="198">
        <f t="shared" ref="AH35" si="121">(AH86/MT_Lbs)*10^6</f>
        <v>18461.52</v>
      </c>
      <c r="AI35" s="213"/>
      <c r="AJ35" s="213"/>
      <c r="AK35" s="213"/>
      <c r="AL35" s="213"/>
    </row>
    <row r="36" spans="1:38">
      <c r="A36" s="197" t="s">
        <v>245</v>
      </c>
      <c r="B36" s="222" t="s">
        <v>193</v>
      </c>
      <c r="C36" s="198">
        <f t="shared" ref="C36:W36" si="122">(C87/MT_Lbs)*10^6</f>
        <v>243492.48000000001</v>
      </c>
      <c r="D36" s="198">
        <f t="shared" si="122"/>
        <v>273157.92000000004</v>
      </c>
      <c r="E36" s="198">
        <f t="shared" si="122"/>
        <v>343919.52</v>
      </c>
      <c r="F36" s="198">
        <f t="shared" si="122"/>
        <v>509075.28</v>
      </c>
      <c r="G36" s="198">
        <f t="shared" si="122"/>
        <v>568043.28</v>
      </c>
      <c r="H36" s="198">
        <f t="shared" si="122"/>
        <v>665884.80000000005</v>
      </c>
      <c r="I36" s="198">
        <f t="shared" si="122"/>
        <v>786587.76</v>
      </c>
      <c r="J36" s="198">
        <f t="shared" si="122"/>
        <v>823284</v>
      </c>
      <c r="K36" s="198">
        <f t="shared" si="122"/>
        <v>844194.96000000008</v>
      </c>
      <c r="L36" s="198">
        <f t="shared" si="122"/>
        <v>873542.88</v>
      </c>
      <c r="M36" s="198">
        <f t="shared" si="122"/>
        <v>878396.4</v>
      </c>
      <c r="N36" s="198">
        <f t="shared" si="122"/>
        <v>898989.8400000002</v>
      </c>
      <c r="O36" s="198">
        <f t="shared" si="122"/>
        <v>935504.64000000013</v>
      </c>
      <c r="P36" s="198">
        <f t="shared" si="122"/>
        <v>997965.36</v>
      </c>
      <c r="Q36" s="198">
        <f t="shared" si="122"/>
        <v>983404.8</v>
      </c>
      <c r="R36" s="198">
        <f t="shared" si="122"/>
        <v>1014884.6400000002</v>
      </c>
      <c r="S36" s="198">
        <f t="shared" si="122"/>
        <v>1039878.0000000001</v>
      </c>
      <c r="T36" s="198">
        <f t="shared" si="122"/>
        <v>1058702.4000000001</v>
      </c>
      <c r="U36" s="198">
        <f t="shared" si="122"/>
        <v>1138808.1599999999</v>
      </c>
      <c r="V36" s="198">
        <f t="shared" si="122"/>
        <v>1161034.56</v>
      </c>
      <c r="W36" s="198">
        <f t="shared" si="122"/>
        <v>1107419.04</v>
      </c>
      <c r="X36" s="198">
        <f t="shared" si="78"/>
        <v>1081518.4800000002</v>
      </c>
      <c r="Y36" s="198">
        <f t="shared" si="78"/>
        <v>1107645.8400000003</v>
      </c>
      <c r="Z36" s="198">
        <f t="shared" si="78"/>
        <v>1137764.8800000001</v>
      </c>
      <c r="AA36" s="198">
        <f t="shared" si="78"/>
        <v>1039106.8800000001</v>
      </c>
      <c r="AB36" s="198">
        <f t="shared" si="87"/>
        <v>1104788.1599999999</v>
      </c>
      <c r="AC36" s="198">
        <f t="shared" si="87"/>
        <v>1131278.3999999999</v>
      </c>
      <c r="AD36" s="198">
        <f t="shared" ref="AD36:AE36" si="123">(AD87/MT_Lbs)*10^6</f>
        <v>1166795.28</v>
      </c>
      <c r="AE36" s="198">
        <f t="shared" si="123"/>
        <v>1158585.1199999999</v>
      </c>
      <c r="AF36" s="198">
        <f t="shared" ref="AF36:AG36" si="124">(AF87/MT_Lbs)*10^6</f>
        <v>1228394.1600000001</v>
      </c>
      <c r="AG36" s="198">
        <f t="shared" si="124"/>
        <v>1177046.6400000001</v>
      </c>
      <c r="AH36" s="198">
        <f t="shared" ref="AH36" si="125">(AH87/MT_Lbs)*10^6</f>
        <v>1220047.9200000002</v>
      </c>
      <c r="AI36" s="213"/>
      <c r="AJ36" s="213"/>
      <c r="AK36" s="213"/>
      <c r="AL36" s="213"/>
    </row>
    <row r="37" spans="1:38">
      <c r="A37" s="197" t="s">
        <v>277</v>
      </c>
      <c r="B37" s="222" t="s">
        <v>194</v>
      </c>
      <c r="C37" s="198">
        <f t="shared" ref="C37:W37" si="126">(C88/MT_Lbs)*10^6</f>
        <v>56019.600000000006</v>
      </c>
      <c r="D37" s="198">
        <f t="shared" si="126"/>
        <v>57743.28</v>
      </c>
      <c r="E37" s="198">
        <f t="shared" si="126"/>
        <v>58242.240000000005</v>
      </c>
      <c r="F37" s="198">
        <f t="shared" si="126"/>
        <v>55157.760000000002</v>
      </c>
      <c r="G37" s="198">
        <f t="shared" si="126"/>
        <v>51302.159999999996</v>
      </c>
      <c r="H37" s="198">
        <f t="shared" si="126"/>
        <v>49034.16</v>
      </c>
      <c r="I37" s="198">
        <f t="shared" si="126"/>
        <v>56427.840000000004</v>
      </c>
      <c r="J37" s="198">
        <f t="shared" si="126"/>
        <v>49397.040000000008</v>
      </c>
      <c r="K37" s="198">
        <f t="shared" si="126"/>
        <v>48535.200000000004</v>
      </c>
      <c r="L37" s="198">
        <f t="shared" si="126"/>
        <v>13698.720000000001</v>
      </c>
      <c r="M37" s="198">
        <f t="shared" si="126"/>
        <v>12610.080000000002</v>
      </c>
      <c r="N37" s="198">
        <f t="shared" si="126"/>
        <v>15739.920000000002</v>
      </c>
      <c r="O37" s="198">
        <f t="shared" si="126"/>
        <v>16238.880000000001</v>
      </c>
      <c r="P37" s="198">
        <f t="shared" si="126"/>
        <v>14515.2</v>
      </c>
      <c r="Q37" s="198">
        <f t="shared" si="126"/>
        <v>14787.36</v>
      </c>
      <c r="R37" s="198">
        <f t="shared" si="126"/>
        <v>15377.039999999999</v>
      </c>
      <c r="S37" s="198">
        <f t="shared" si="126"/>
        <v>14923.44</v>
      </c>
      <c r="T37" s="198">
        <f t="shared" si="126"/>
        <v>13517.28</v>
      </c>
      <c r="U37" s="198">
        <f t="shared" si="126"/>
        <v>12927.6</v>
      </c>
      <c r="V37" s="198">
        <f t="shared" si="126"/>
        <v>13471.92</v>
      </c>
      <c r="W37" s="198">
        <f t="shared" si="126"/>
        <v>17599.68</v>
      </c>
      <c r="X37" s="198">
        <f t="shared" si="78"/>
        <v>16964.64</v>
      </c>
      <c r="Y37" s="198">
        <f t="shared" si="78"/>
        <v>6531.84</v>
      </c>
      <c r="Z37" s="198">
        <f t="shared" si="78"/>
        <v>3583.4400000000005</v>
      </c>
      <c r="AA37" s="198">
        <f t="shared" si="78"/>
        <v>3538.0800000000004</v>
      </c>
      <c r="AB37" s="198">
        <f t="shared" si="87"/>
        <v>3492.7200000000003</v>
      </c>
      <c r="AC37" s="198">
        <f t="shared" si="87"/>
        <v>3719.52</v>
      </c>
      <c r="AD37" s="198">
        <f t="shared" ref="AD37:AE37" si="127">(AD88/MT_Lbs)*10^6</f>
        <v>3764.880000000001</v>
      </c>
      <c r="AE37" s="198">
        <f t="shared" si="127"/>
        <v>3356.6400000000008</v>
      </c>
      <c r="AF37" s="198">
        <f t="shared" ref="AF37:AG37" si="128">(AF88/MT_Lbs)*10^6</f>
        <v>3356.6400000000008</v>
      </c>
      <c r="AG37" s="198">
        <f t="shared" si="128"/>
        <v>3991.6800000000007</v>
      </c>
      <c r="AH37" s="198">
        <f t="shared" ref="AH37" si="129">(AH88/MT_Lbs)*10^6</f>
        <v>4672.08</v>
      </c>
      <c r="AI37" s="213"/>
      <c r="AJ37" s="213"/>
      <c r="AK37" s="213"/>
      <c r="AL37" s="213"/>
    </row>
    <row r="38" spans="1:38">
      <c r="A38" s="197" t="s">
        <v>246</v>
      </c>
      <c r="B38" s="222" t="s">
        <v>195</v>
      </c>
      <c r="C38" s="198">
        <f t="shared" ref="C38:W38" si="130">(C89/MT_Lbs)*10^6</f>
        <v>283091.76</v>
      </c>
      <c r="D38" s="198">
        <f t="shared" si="130"/>
        <v>291891.60000000003</v>
      </c>
      <c r="E38" s="198">
        <f t="shared" si="130"/>
        <v>304229.52</v>
      </c>
      <c r="F38" s="198">
        <f t="shared" si="130"/>
        <v>280415.52</v>
      </c>
      <c r="G38" s="198">
        <f t="shared" si="130"/>
        <v>181530.72</v>
      </c>
      <c r="H38" s="198">
        <f t="shared" si="130"/>
        <v>159485.76000000004</v>
      </c>
      <c r="I38" s="198">
        <f t="shared" si="130"/>
        <v>147918.96000000002</v>
      </c>
      <c r="J38" s="198">
        <f t="shared" si="130"/>
        <v>141387.12</v>
      </c>
      <c r="K38" s="198">
        <f t="shared" si="130"/>
        <v>154405.44</v>
      </c>
      <c r="L38" s="198">
        <f t="shared" si="130"/>
        <v>152681.76000000004</v>
      </c>
      <c r="M38" s="198">
        <f t="shared" si="130"/>
        <v>143020.08000000002</v>
      </c>
      <c r="N38" s="198">
        <f t="shared" si="130"/>
        <v>134719.20000000001</v>
      </c>
      <c r="O38" s="198">
        <f t="shared" si="130"/>
        <v>142158.24</v>
      </c>
      <c r="P38" s="198">
        <f t="shared" si="130"/>
        <v>146784.96000000002</v>
      </c>
      <c r="Q38" s="198">
        <f t="shared" si="130"/>
        <v>144607.68000000002</v>
      </c>
      <c r="R38" s="198">
        <f t="shared" si="130"/>
        <v>131725.44</v>
      </c>
      <c r="S38" s="198">
        <f t="shared" si="130"/>
        <v>131045.04000000001</v>
      </c>
      <c r="T38" s="198">
        <f t="shared" si="130"/>
        <v>131226.48000000001</v>
      </c>
      <c r="U38" s="198">
        <f t="shared" si="130"/>
        <v>140298.48000000001</v>
      </c>
      <c r="V38" s="198">
        <f t="shared" si="130"/>
        <v>138620.16000000003</v>
      </c>
      <c r="W38" s="198">
        <f t="shared" si="130"/>
        <v>137259.36000000002</v>
      </c>
      <c r="X38" s="198">
        <f t="shared" si="78"/>
        <v>134719.20000000001</v>
      </c>
      <c r="Y38" s="198">
        <f t="shared" si="78"/>
        <v>126418.32</v>
      </c>
      <c r="Z38" s="198">
        <f t="shared" si="78"/>
        <v>125737.92</v>
      </c>
      <c r="AA38" s="198">
        <f t="shared" si="78"/>
        <v>122018.40000000001</v>
      </c>
      <c r="AB38" s="198">
        <f t="shared" si="87"/>
        <v>119206.08000000002</v>
      </c>
      <c r="AC38" s="198">
        <f t="shared" si="87"/>
        <v>120702.96000000002</v>
      </c>
      <c r="AD38" s="198">
        <f t="shared" ref="AD38:AE38" si="131">(AD89/MT_Lbs)*10^6</f>
        <v>116030.88000000002</v>
      </c>
      <c r="AE38" s="198">
        <f t="shared" si="131"/>
        <v>112492.8</v>
      </c>
      <c r="AF38" s="198">
        <f t="shared" ref="AF38:AG38" si="132">(AF89/MT_Lbs)*10^6</f>
        <v>115305.12000000001</v>
      </c>
      <c r="AG38" s="198">
        <f t="shared" si="132"/>
        <v>135354.24000000002</v>
      </c>
      <c r="AH38" s="198">
        <f t="shared" ref="AH38" si="133">(AH89/MT_Lbs)*10^6</f>
        <v>128958.48000000001</v>
      </c>
      <c r="AI38" s="213"/>
      <c r="AJ38" s="213"/>
      <c r="AK38" s="213"/>
      <c r="AL38" s="213"/>
    </row>
    <row r="39" spans="1:38">
      <c r="A39" s="197" t="s">
        <v>247</v>
      </c>
      <c r="B39" s="222" t="s">
        <v>196</v>
      </c>
      <c r="C39" s="198">
        <f t="shared" ref="C39:W39" si="134">(C90/MT_Lbs)*10^6</f>
        <v>27714.960000000003</v>
      </c>
      <c r="D39" s="198">
        <f t="shared" si="134"/>
        <v>26444.880000000001</v>
      </c>
      <c r="E39" s="198">
        <f t="shared" si="134"/>
        <v>29257.200000000004</v>
      </c>
      <c r="F39" s="198">
        <f t="shared" si="134"/>
        <v>25401.600000000002</v>
      </c>
      <c r="G39" s="198">
        <f t="shared" si="134"/>
        <v>25129.440000000002</v>
      </c>
      <c r="H39" s="198">
        <f t="shared" si="134"/>
        <v>23859.360000000004</v>
      </c>
      <c r="I39" s="198">
        <f t="shared" si="134"/>
        <v>144562.32</v>
      </c>
      <c r="J39" s="198">
        <f t="shared" si="134"/>
        <v>305091.36000000004</v>
      </c>
      <c r="K39" s="198">
        <f t="shared" si="134"/>
        <v>376578.72000000003</v>
      </c>
      <c r="L39" s="198">
        <f t="shared" si="134"/>
        <v>416949.12000000005</v>
      </c>
      <c r="M39" s="198">
        <f t="shared" si="134"/>
        <v>431555.04</v>
      </c>
      <c r="N39" s="198">
        <f t="shared" si="134"/>
        <v>437769.36000000004</v>
      </c>
      <c r="O39" s="198">
        <f t="shared" si="134"/>
        <v>441352.80000000005</v>
      </c>
      <c r="P39" s="198">
        <f t="shared" si="134"/>
        <v>446886.72000000009</v>
      </c>
      <c r="Q39" s="198">
        <f t="shared" si="134"/>
        <v>473331.60000000003</v>
      </c>
      <c r="R39" s="198">
        <f t="shared" si="134"/>
        <v>484535.52000000008</v>
      </c>
      <c r="S39" s="198">
        <f t="shared" si="134"/>
        <v>476280.00000000006</v>
      </c>
      <c r="T39" s="198">
        <f t="shared" si="134"/>
        <v>469929.60000000003</v>
      </c>
      <c r="U39" s="198">
        <f t="shared" si="134"/>
        <v>508258.8</v>
      </c>
      <c r="V39" s="198">
        <f t="shared" si="134"/>
        <v>514926.72000000009</v>
      </c>
      <c r="W39" s="198">
        <f t="shared" si="134"/>
        <v>521912.16</v>
      </c>
      <c r="X39" s="198">
        <f t="shared" si="78"/>
        <v>542369.52</v>
      </c>
      <c r="Y39" s="198">
        <f t="shared" si="78"/>
        <v>523635.84000000008</v>
      </c>
      <c r="Z39" s="198">
        <f t="shared" si="78"/>
        <v>520959.60000000009</v>
      </c>
      <c r="AA39" s="198">
        <f t="shared" si="78"/>
        <v>477187.2</v>
      </c>
      <c r="AB39" s="198">
        <f t="shared" si="87"/>
        <v>543730.32000000007</v>
      </c>
      <c r="AC39" s="198">
        <f t="shared" si="87"/>
        <v>522955.44000000006</v>
      </c>
      <c r="AD39" s="198">
        <f t="shared" ref="AD39:AE39" si="135">(AD90/MT_Lbs)*10^6</f>
        <v>521277.12000000005</v>
      </c>
      <c r="AE39" s="198">
        <f t="shared" si="135"/>
        <v>545771.52000000002</v>
      </c>
      <c r="AF39" s="198">
        <f t="shared" ref="AF39:AG39" si="136">(AF90/MT_Lbs)*10^6</f>
        <v>553437.36</v>
      </c>
      <c r="AG39" s="198">
        <f t="shared" si="136"/>
        <v>606916.80000000005</v>
      </c>
      <c r="AH39" s="198">
        <f t="shared" ref="AH39" si="137">(AH90/MT_Lbs)*10^6</f>
        <v>582513.12000000011</v>
      </c>
      <c r="AI39" s="213"/>
      <c r="AJ39" s="213"/>
      <c r="AK39" s="213"/>
      <c r="AL39" s="213"/>
    </row>
    <row r="40" spans="1:38">
      <c r="A40" s="197" t="s">
        <v>248</v>
      </c>
      <c r="B40" s="222" t="s">
        <v>197</v>
      </c>
      <c r="C40" s="198">
        <f t="shared" ref="C40:W40" si="138">(C91/MT_Lbs)*10^6</f>
        <v>27714.960000000003</v>
      </c>
      <c r="D40" s="198">
        <f t="shared" si="138"/>
        <v>21546.000000000004</v>
      </c>
      <c r="E40" s="198">
        <f t="shared" si="138"/>
        <v>21183.120000000003</v>
      </c>
      <c r="F40" s="198">
        <f t="shared" si="138"/>
        <v>22044.960000000003</v>
      </c>
      <c r="G40" s="198">
        <f t="shared" si="138"/>
        <v>15513.120000000003</v>
      </c>
      <c r="H40" s="198">
        <f t="shared" si="138"/>
        <v>16873.920000000006</v>
      </c>
      <c r="I40" s="198">
        <f t="shared" si="138"/>
        <v>18189.36</v>
      </c>
      <c r="J40" s="198">
        <f t="shared" si="138"/>
        <v>18688.32</v>
      </c>
      <c r="K40" s="198">
        <f t="shared" si="138"/>
        <v>18779.04</v>
      </c>
      <c r="L40" s="198">
        <f t="shared" si="138"/>
        <v>19550.160000000003</v>
      </c>
      <c r="M40" s="198">
        <f t="shared" si="138"/>
        <v>20412.000000000004</v>
      </c>
      <c r="N40" s="198">
        <f t="shared" si="138"/>
        <v>20321.28</v>
      </c>
      <c r="O40" s="198">
        <f t="shared" si="138"/>
        <v>19686.240000000002</v>
      </c>
      <c r="P40" s="198">
        <f t="shared" si="138"/>
        <v>19504.800000000003</v>
      </c>
      <c r="Q40" s="198">
        <f t="shared" si="138"/>
        <v>18915.120000000003</v>
      </c>
      <c r="R40" s="198">
        <f t="shared" si="138"/>
        <v>19822.320000000003</v>
      </c>
      <c r="S40" s="198">
        <f t="shared" si="138"/>
        <v>22997.520000000004</v>
      </c>
      <c r="T40" s="198">
        <f t="shared" si="138"/>
        <v>25673.760000000002</v>
      </c>
      <c r="U40" s="198">
        <f t="shared" si="138"/>
        <v>26218.080000000002</v>
      </c>
      <c r="V40" s="198">
        <f t="shared" si="138"/>
        <v>25855.200000000001</v>
      </c>
      <c r="W40" s="198">
        <f t="shared" si="138"/>
        <v>26626.320000000003</v>
      </c>
      <c r="X40" s="198">
        <f t="shared" si="78"/>
        <v>31207.68</v>
      </c>
      <c r="Y40" s="198">
        <f t="shared" si="78"/>
        <v>33022.080000000002</v>
      </c>
      <c r="Z40" s="198">
        <f t="shared" si="78"/>
        <v>36151.920000000006</v>
      </c>
      <c r="AA40" s="198">
        <f t="shared" si="78"/>
        <v>34700.400000000009</v>
      </c>
      <c r="AB40" s="198">
        <f t="shared" si="87"/>
        <v>34564.32</v>
      </c>
      <c r="AC40" s="198">
        <f t="shared" si="87"/>
        <v>32205.600000000002</v>
      </c>
      <c r="AD40" s="198">
        <f t="shared" ref="AD40:AE40" si="139">(AD91/MT_Lbs)*10^6</f>
        <v>30164.400000000001</v>
      </c>
      <c r="AE40" s="198">
        <f t="shared" si="139"/>
        <v>23541.84</v>
      </c>
      <c r="AF40" s="198">
        <f t="shared" ref="AF40:AG40" si="140">(AF91/MT_Lbs)*10^6</f>
        <v>21772.800000000003</v>
      </c>
      <c r="AG40" s="198">
        <f t="shared" si="140"/>
        <v>22725.360000000004</v>
      </c>
      <c r="AH40" s="198">
        <f t="shared" ref="AH40" si="141">(AH91/MT_Lbs)*10^6</f>
        <v>22226.400000000001</v>
      </c>
      <c r="AI40" s="213"/>
      <c r="AJ40" s="213"/>
      <c r="AK40" s="213"/>
      <c r="AL40" s="213"/>
    </row>
    <row r="41" spans="1:38">
      <c r="A41" s="197" t="s">
        <v>250</v>
      </c>
      <c r="B41" s="222" t="s">
        <v>198</v>
      </c>
      <c r="C41" s="198">
        <f t="shared" ref="C41:W41" si="142">(C92/MT_Lbs)*10^6</f>
        <v>450606.24000000005</v>
      </c>
      <c r="D41" s="198">
        <f t="shared" si="142"/>
        <v>471335.76</v>
      </c>
      <c r="E41" s="198">
        <f t="shared" si="142"/>
        <v>486712.80000000005</v>
      </c>
      <c r="F41" s="198">
        <f t="shared" si="142"/>
        <v>492201.36</v>
      </c>
      <c r="G41" s="198">
        <f t="shared" si="142"/>
        <v>500411.52000000014</v>
      </c>
      <c r="H41" s="198">
        <f t="shared" si="142"/>
        <v>514155.60000000003</v>
      </c>
      <c r="I41" s="198">
        <f t="shared" si="142"/>
        <v>526811.04000000015</v>
      </c>
      <c r="J41" s="198">
        <f t="shared" si="142"/>
        <v>509755.68000000005</v>
      </c>
      <c r="K41" s="198">
        <f t="shared" si="142"/>
        <v>512568</v>
      </c>
      <c r="L41" s="198">
        <f t="shared" si="142"/>
        <v>541553.04</v>
      </c>
      <c r="M41" s="198">
        <f t="shared" si="142"/>
        <v>537470.64000000013</v>
      </c>
      <c r="N41" s="198">
        <f t="shared" si="142"/>
        <v>529850.15999999992</v>
      </c>
      <c r="O41" s="198">
        <f t="shared" si="142"/>
        <v>568179.36</v>
      </c>
      <c r="P41" s="198">
        <f t="shared" si="142"/>
        <v>573259.68000000005</v>
      </c>
      <c r="Q41" s="198">
        <f t="shared" si="142"/>
        <v>529215.12</v>
      </c>
      <c r="R41" s="198">
        <f t="shared" si="142"/>
        <v>524679.12000000011</v>
      </c>
      <c r="S41" s="198">
        <f t="shared" si="142"/>
        <v>554571.36</v>
      </c>
      <c r="T41" s="198">
        <f t="shared" si="142"/>
        <v>584372.88</v>
      </c>
      <c r="U41" s="198">
        <f t="shared" si="142"/>
        <v>606417.84000000008</v>
      </c>
      <c r="V41" s="198">
        <f t="shared" si="142"/>
        <v>581424.48</v>
      </c>
      <c r="W41" s="198">
        <f t="shared" si="142"/>
        <v>582422.4</v>
      </c>
      <c r="X41" s="198">
        <f t="shared" si="78"/>
        <v>576843.12</v>
      </c>
      <c r="Y41" s="198">
        <f t="shared" si="78"/>
        <v>580018.32000000007</v>
      </c>
      <c r="Z41" s="198">
        <f t="shared" si="78"/>
        <v>565457.76</v>
      </c>
      <c r="AA41" s="198">
        <f t="shared" si="78"/>
        <v>578521.44000000006</v>
      </c>
      <c r="AB41" s="198">
        <f t="shared" si="87"/>
        <v>609184.80000000005</v>
      </c>
      <c r="AC41" s="198">
        <f t="shared" si="87"/>
        <v>658854</v>
      </c>
      <c r="AD41" s="198">
        <f t="shared" ref="AD41:AE41" si="143">(AD92/MT_Lbs)*10^6</f>
        <v>662845.67999999993</v>
      </c>
      <c r="AE41" s="198">
        <f t="shared" si="143"/>
        <v>668969.28</v>
      </c>
      <c r="AF41" s="198">
        <f t="shared" ref="AF41:AG41" si="144">(AF92/MT_Lbs)*10^6</f>
        <v>686432.88</v>
      </c>
      <c r="AG41" s="198">
        <f t="shared" si="144"/>
        <v>669649.68000000005</v>
      </c>
      <c r="AH41" s="198">
        <f t="shared" ref="AH41" si="145">(AH92/MT_Lbs)*10^6</f>
        <v>668243.52000000014</v>
      </c>
      <c r="AI41" s="213"/>
      <c r="AJ41" s="213"/>
      <c r="AK41" s="213"/>
      <c r="AL41" s="213"/>
    </row>
    <row r="42" spans="1:38">
      <c r="A42" s="197" t="s">
        <v>252</v>
      </c>
      <c r="B42" s="222" t="s">
        <v>200</v>
      </c>
      <c r="C42" s="198">
        <f t="shared" ref="C42:W42" si="146">(C93/MT_Lbs)*10^6</f>
        <v>78699.600000000006</v>
      </c>
      <c r="D42" s="198">
        <f t="shared" si="146"/>
        <v>76340.880000000019</v>
      </c>
      <c r="E42" s="198">
        <f t="shared" si="146"/>
        <v>81103.680000000008</v>
      </c>
      <c r="F42" s="198">
        <f t="shared" si="146"/>
        <v>81149.040000000008</v>
      </c>
      <c r="G42" s="198">
        <f t="shared" si="146"/>
        <v>77429.52</v>
      </c>
      <c r="H42" s="198">
        <f t="shared" si="146"/>
        <v>74481.119999999995</v>
      </c>
      <c r="I42" s="198">
        <f t="shared" si="146"/>
        <v>72530.640000000014</v>
      </c>
      <c r="J42" s="198">
        <f t="shared" si="146"/>
        <v>74798.640000000014</v>
      </c>
      <c r="K42" s="198">
        <f t="shared" si="146"/>
        <v>81920.160000000003</v>
      </c>
      <c r="L42" s="198">
        <f t="shared" si="146"/>
        <v>100381.68000000001</v>
      </c>
      <c r="M42" s="198">
        <f t="shared" si="146"/>
        <v>99202.319999999992</v>
      </c>
      <c r="N42" s="198">
        <f t="shared" si="146"/>
        <v>105053.76000000001</v>
      </c>
      <c r="O42" s="198">
        <f t="shared" si="146"/>
        <v>111948.48000000001</v>
      </c>
      <c r="P42" s="198">
        <f t="shared" si="146"/>
        <v>110587.68000000001</v>
      </c>
      <c r="Q42" s="198">
        <f t="shared" si="146"/>
        <v>111812.40000000001</v>
      </c>
      <c r="R42" s="198">
        <f t="shared" si="146"/>
        <v>109589.76000000001</v>
      </c>
      <c r="S42" s="198">
        <f t="shared" si="146"/>
        <v>112538.16000000002</v>
      </c>
      <c r="T42" s="198">
        <f t="shared" si="146"/>
        <v>115350.48000000003</v>
      </c>
      <c r="U42" s="198">
        <f t="shared" si="146"/>
        <v>114261.84000000001</v>
      </c>
      <c r="V42" s="198">
        <f t="shared" si="146"/>
        <v>106958.88000000002</v>
      </c>
      <c r="W42" s="198">
        <f t="shared" si="146"/>
        <v>110270.16</v>
      </c>
      <c r="X42" s="198">
        <f t="shared" si="78"/>
        <v>111177.36</v>
      </c>
      <c r="Y42" s="198">
        <f t="shared" si="78"/>
        <v>112039.20000000001</v>
      </c>
      <c r="Z42" s="198">
        <f t="shared" si="78"/>
        <v>106006.32</v>
      </c>
      <c r="AA42" s="198">
        <f t="shared" si="78"/>
        <v>111449.52</v>
      </c>
      <c r="AB42" s="198">
        <f t="shared" si="87"/>
        <v>104464.08000000002</v>
      </c>
      <c r="AC42" s="198">
        <f t="shared" si="87"/>
        <v>72031.680000000008</v>
      </c>
      <c r="AD42" s="198">
        <f t="shared" ref="AD42:AE42" si="147">(AD93/MT_Lbs)*10^6</f>
        <v>52572.240000000005</v>
      </c>
      <c r="AE42" s="198">
        <f t="shared" si="147"/>
        <v>50757.840000000004</v>
      </c>
      <c r="AF42" s="198">
        <f t="shared" ref="AF42:AG42" si="148">(AF93/MT_Lbs)*10^6</f>
        <v>66225.600000000006</v>
      </c>
      <c r="AG42" s="198">
        <f t="shared" si="148"/>
        <v>82509.840000000011</v>
      </c>
      <c r="AH42" s="198">
        <f t="shared" ref="AH42" si="149">(AH93/MT_Lbs)*10^6</f>
        <v>89087.040000000008</v>
      </c>
      <c r="AI42" s="213"/>
      <c r="AJ42" s="213"/>
      <c r="AK42" s="213"/>
      <c r="AL42" s="213"/>
    </row>
    <row r="43" spans="1:38">
      <c r="A43" s="197" t="s">
        <v>278</v>
      </c>
      <c r="B43" s="222" t="s">
        <v>201</v>
      </c>
      <c r="C43" s="198">
        <f t="shared" ref="C43:W43" si="150">(C94/MT_Lbs)*10^6</f>
        <v>562191.84000000008</v>
      </c>
      <c r="D43" s="198">
        <f t="shared" si="150"/>
        <v>571717.44000000018</v>
      </c>
      <c r="E43" s="198">
        <f t="shared" si="150"/>
        <v>571082.40000000014</v>
      </c>
      <c r="F43" s="198">
        <f t="shared" si="150"/>
        <v>524180.16000000003</v>
      </c>
      <c r="G43" s="198">
        <f t="shared" si="150"/>
        <v>564641.28000000003</v>
      </c>
      <c r="H43" s="198">
        <f t="shared" si="150"/>
        <v>579836.88</v>
      </c>
      <c r="I43" s="198">
        <f t="shared" si="150"/>
        <v>543684.96</v>
      </c>
      <c r="J43" s="198">
        <f t="shared" si="150"/>
        <v>504947.52000000008</v>
      </c>
      <c r="K43" s="198">
        <f t="shared" si="150"/>
        <v>467616.24000000005</v>
      </c>
      <c r="L43" s="198">
        <f t="shared" si="150"/>
        <v>452057.76</v>
      </c>
      <c r="M43" s="198">
        <f t="shared" si="150"/>
        <v>441534.24000000005</v>
      </c>
      <c r="N43" s="198">
        <f t="shared" si="150"/>
        <v>460494.72000000009</v>
      </c>
      <c r="O43" s="198">
        <f t="shared" si="150"/>
        <v>425839.68</v>
      </c>
      <c r="P43" s="198">
        <f t="shared" si="150"/>
        <v>445888.80000000005</v>
      </c>
      <c r="Q43" s="198">
        <f t="shared" si="150"/>
        <v>446977.44</v>
      </c>
      <c r="R43" s="198">
        <f t="shared" si="150"/>
        <v>454915.44</v>
      </c>
      <c r="S43" s="198">
        <f t="shared" si="150"/>
        <v>429786.00000000006</v>
      </c>
      <c r="T43" s="198">
        <f t="shared" si="150"/>
        <v>465892.56</v>
      </c>
      <c r="U43" s="198">
        <f t="shared" si="150"/>
        <v>467208</v>
      </c>
      <c r="V43" s="198">
        <f t="shared" si="150"/>
        <v>433868.4</v>
      </c>
      <c r="W43" s="198">
        <f t="shared" si="150"/>
        <v>449154.72000000009</v>
      </c>
      <c r="X43" s="198">
        <f t="shared" si="78"/>
        <v>473331.60000000003</v>
      </c>
      <c r="Y43" s="198">
        <f t="shared" si="78"/>
        <v>478003.68000000005</v>
      </c>
      <c r="Z43" s="198">
        <f t="shared" si="78"/>
        <v>486395.28</v>
      </c>
      <c r="AA43" s="198">
        <f t="shared" si="78"/>
        <v>497327.0400000001</v>
      </c>
      <c r="AB43" s="198">
        <f t="shared" si="87"/>
        <v>536064.4800000001</v>
      </c>
      <c r="AC43" s="198">
        <f t="shared" si="87"/>
        <v>595395.36</v>
      </c>
      <c r="AD43" s="198">
        <f t="shared" ref="AD43:AE43" si="151">(AD94/MT_Lbs)*10^6</f>
        <v>667608.4800000001</v>
      </c>
      <c r="AE43" s="198">
        <f t="shared" si="151"/>
        <v>688791.60000000009</v>
      </c>
      <c r="AF43" s="198">
        <f t="shared" ref="AF43:AG43" si="152">(AF94/MT_Lbs)*10^6</f>
        <v>704440.8</v>
      </c>
      <c r="AG43" s="198">
        <f t="shared" si="152"/>
        <v>668515.68000000005</v>
      </c>
      <c r="AH43" s="198">
        <f t="shared" ref="AH43" si="153">(AH94/MT_Lbs)*10^6</f>
        <v>681035.04000000015</v>
      </c>
      <c r="AI43" s="213"/>
      <c r="AJ43" s="213"/>
      <c r="AK43" s="213"/>
      <c r="AL43" s="213"/>
    </row>
    <row r="44" spans="1:38">
      <c r="A44" s="197" t="s">
        <v>253</v>
      </c>
      <c r="B44" s="222" t="s">
        <v>202</v>
      </c>
      <c r="C44" s="198">
        <f t="shared" ref="C44:W44" si="154">(C95/MT_Lbs)*10^6</f>
        <v>107684.64000000001</v>
      </c>
      <c r="D44" s="198">
        <f t="shared" si="154"/>
        <v>77701.680000000008</v>
      </c>
      <c r="E44" s="198">
        <f t="shared" si="154"/>
        <v>87227.280000000013</v>
      </c>
      <c r="F44" s="198">
        <f t="shared" si="154"/>
        <v>97569.36</v>
      </c>
      <c r="G44" s="198">
        <f t="shared" si="154"/>
        <v>104872.32000000001</v>
      </c>
      <c r="H44" s="198">
        <f t="shared" si="154"/>
        <v>89903.52</v>
      </c>
      <c r="I44" s="198">
        <f t="shared" si="154"/>
        <v>91808.640000000014</v>
      </c>
      <c r="J44" s="198">
        <f t="shared" si="154"/>
        <v>95392.080000000016</v>
      </c>
      <c r="K44" s="198">
        <f t="shared" si="154"/>
        <v>102060.00000000001</v>
      </c>
      <c r="L44" s="198">
        <f t="shared" si="154"/>
        <v>105552.72</v>
      </c>
      <c r="M44" s="198">
        <f t="shared" si="154"/>
        <v>106097.04000000002</v>
      </c>
      <c r="N44" s="198">
        <f t="shared" si="154"/>
        <v>102921.84000000001</v>
      </c>
      <c r="O44" s="198">
        <f t="shared" si="154"/>
        <v>103239.36</v>
      </c>
      <c r="P44" s="198">
        <f t="shared" si="154"/>
        <v>105643.44</v>
      </c>
      <c r="Q44" s="198">
        <f t="shared" si="154"/>
        <v>100744.56000000001</v>
      </c>
      <c r="R44" s="198">
        <f t="shared" si="154"/>
        <v>97796.160000000003</v>
      </c>
      <c r="S44" s="198">
        <f t="shared" si="154"/>
        <v>95709.6</v>
      </c>
      <c r="T44" s="198">
        <f t="shared" si="154"/>
        <v>98748.72</v>
      </c>
      <c r="U44" s="198">
        <f t="shared" si="154"/>
        <v>102150.72</v>
      </c>
      <c r="V44" s="198">
        <f t="shared" si="154"/>
        <v>105824.88</v>
      </c>
      <c r="W44" s="198">
        <f t="shared" si="154"/>
        <v>106686.72</v>
      </c>
      <c r="X44" s="198">
        <f t="shared" si="78"/>
        <v>105734.16</v>
      </c>
      <c r="Y44" s="198">
        <f t="shared" si="78"/>
        <v>108002.16</v>
      </c>
      <c r="Z44" s="198">
        <f t="shared" si="78"/>
        <v>109499.04000000001</v>
      </c>
      <c r="AA44" s="198">
        <f t="shared" si="78"/>
        <v>108954.72</v>
      </c>
      <c r="AB44" s="198">
        <f t="shared" si="87"/>
        <v>116030.88000000002</v>
      </c>
      <c r="AC44" s="198">
        <f t="shared" si="87"/>
        <v>118888.56000000001</v>
      </c>
      <c r="AD44" s="198">
        <f t="shared" ref="AD44:AE44" si="155">(AD95/MT_Lbs)*10^6</f>
        <v>123016.31999999999</v>
      </c>
      <c r="AE44" s="198">
        <f t="shared" si="155"/>
        <v>117391.68000000001</v>
      </c>
      <c r="AF44" s="198">
        <f t="shared" ref="AF44:AG44" si="156">(AF95/MT_Lbs)*10^6</f>
        <v>122426.64</v>
      </c>
      <c r="AG44" s="198">
        <f t="shared" si="156"/>
        <v>146467.44</v>
      </c>
      <c r="AH44" s="198">
        <f t="shared" ref="AH44" si="157">(AH95/MT_Lbs)*10^6</f>
        <v>132904.80000000002</v>
      </c>
      <c r="AI44" s="213"/>
      <c r="AJ44" s="213"/>
      <c r="AK44" s="213"/>
      <c r="AL44" s="213"/>
    </row>
    <row r="45" spans="1:38">
      <c r="A45" s="197" t="s">
        <v>254</v>
      </c>
      <c r="B45" s="222" t="s">
        <v>203</v>
      </c>
      <c r="C45" s="198">
        <f t="shared" ref="C45:W45" si="158">(C96/MT_Lbs)*10^6</f>
        <v>1760240.1600000001</v>
      </c>
      <c r="D45" s="198">
        <f t="shared" si="158"/>
        <v>1781922.24</v>
      </c>
      <c r="E45" s="198">
        <f t="shared" si="158"/>
        <v>1805055.8400000003</v>
      </c>
      <c r="F45" s="198">
        <f t="shared" si="158"/>
        <v>1881941.04</v>
      </c>
      <c r="G45" s="198">
        <f t="shared" si="158"/>
        <v>1966446.72</v>
      </c>
      <c r="H45" s="198">
        <f t="shared" si="158"/>
        <v>2034577.4400000002</v>
      </c>
      <c r="I45" s="198">
        <f t="shared" si="158"/>
        <v>2102436</v>
      </c>
      <c r="J45" s="198">
        <f t="shared" si="158"/>
        <v>2088283.6800000004</v>
      </c>
      <c r="K45" s="198">
        <f t="shared" si="158"/>
        <v>2205448.56</v>
      </c>
      <c r="L45" s="198">
        <f t="shared" si="158"/>
        <v>2227402.8000000003</v>
      </c>
      <c r="M45" s="198">
        <f t="shared" si="158"/>
        <v>2197238.4000000004</v>
      </c>
      <c r="N45" s="198">
        <f t="shared" si="158"/>
        <v>2168570.8800000004</v>
      </c>
      <c r="O45" s="198">
        <f t="shared" si="158"/>
        <v>2213568</v>
      </c>
      <c r="P45" s="198">
        <f t="shared" si="158"/>
        <v>2197056.9600000004</v>
      </c>
      <c r="Q45" s="198">
        <f t="shared" si="158"/>
        <v>2090597.04</v>
      </c>
      <c r="R45" s="198">
        <f t="shared" si="158"/>
        <v>2125977.84</v>
      </c>
      <c r="S45" s="198">
        <f t="shared" si="158"/>
        <v>2234841.84</v>
      </c>
      <c r="T45" s="198">
        <f t="shared" si="158"/>
        <v>2121124.3200000003</v>
      </c>
      <c r="U45" s="198">
        <f t="shared" si="158"/>
        <v>2343796.5600000005</v>
      </c>
      <c r="V45" s="198">
        <f t="shared" si="158"/>
        <v>2317714.56</v>
      </c>
      <c r="W45" s="198">
        <f t="shared" si="158"/>
        <v>2295261.3600000003</v>
      </c>
      <c r="X45" s="198">
        <f t="shared" si="78"/>
        <v>2332955.52</v>
      </c>
      <c r="Y45" s="198">
        <f t="shared" si="78"/>
        <v>2274305.04</v>
      </c>
      <c r="Z45" s="198">
        <f t="shared" si="78"/>
        <v>2081615.7600000005</v>
      </c>
      <c r="AA45" s="198">
        <f t="shared" si="78"/>
        <v>1896320.1600000004</v>
      </c>
      <c r="AB45" s="198">
        <f t="shared" si="87"/>
        <v>1851958.08</v>
      </c>
      <c r="AC45" s="198">
        <f t="shared" si="87"/>
        <v>1992392.6400000001</v>
      </c>
      <c r="AD45" s="198">
        <f t="shared" ref="AD45:AE45" si="159">(AD96/MT_Lbs)*10^6</f>
        <v>2048548.32</v>
      </c>
      <c r="AE45" s="198">
        <f t="shared" si="159"/>
        <v>2111553.3600000003</v>
      </c>
      <c r="AF45" s="198">
        <f t="shared" ref="AF45:AG45" si="160">(AF96/MT_Lbs)*10^6</f>
        <v>2122349.04</v>
      </c>
      <c r="AG45" s="198">
        <f t="shared" si="160"/>
        <v>2082114.7200000002</v>
      </c>
      <c r="AH45" s="198">
        <f t="shared" ref="AH45" si="161">(AH96/MT_Lbs)*10^6</f>
        <v>2158228.8000000003</v>
      </c>
      <c r="AI45" s="213"/>
      <c r="AJ45" s="213"/>
      <c r="AK45" s="213"/>
      <c r="AL45" s="213"/>
    </row>
    <row r="46" spans="1:38">
      <c r="A46" s="197" t="s">
        <v>279</v>
      </c>
      <c r="B46" s="222" t="s">
        <v>211</v>
      </c>
      <c r="C46" s="198">
        <f t="shared" ref="C46:W46" si="162">(C97/MT_Lbs)*10^6</f>
        <v>17511772.32</v>
      </c>
      <c r="D46" s="198">
        <f t="shared" si="162"/>
        <v>17872520.400000002</v>
      </c>
      <c r="E46" s="198">
        <f t="shared" si="162"/>
        <v>18505110.960000001</v>
      </c>
      <c r="F46" s="198">
        <f t="shared" si="162"/>
        <v>18401780.880000003</v>
      </c>
      <c r="G46" s="198">
        <f t="shared" si="162"/>
        <v>19289657.52</v>
      </c>
      <c r="H46" s="198">
        <f t="shared" si="162"/>
        <v>19739674.080000006</v>
      </c>
      <c r="I46" s="198">
        <f t="shared" si="162"/>
        <v>19567215.360000003</v>
      </c>
      <c r="J46" s="198">
        <f t="shared" si="162"/>
        <v>19599194.16</v>
      </c>
      <c r="K46" s="198">
        <f t="shared" si="162"/>
        <v>20472374.16</v>
      </c>
      <c r="L46" s="198">
        <f t="shared" si="162"/>
        <v>20924704.080000002</v>
      </c>
      <c r="M46" s="198">
        <f t="shared" si="162"/>
        <v>20934275.040000003</v>
      </c>
      <c r="N46" s="198">
        <f t="shared" si="162"/>
        <v>20713371.84</v>
      </c>
      <c r="O46" s="198">
        <f t="shared" si="162"/>
        <v>21395813.040000003</v>
      </c>
      <c r="P46" s="198">
        <f t="shared" si="162"/>
        <v>21126873.600000001</v>
      </c>
      <c r="Q46" s="198">
        <f t="shared" si="162"/>
        <v>20601604.800000001</v>
      </c>
      <c r="R46" s="198">
        <f t="shared" si="162"/>
        <v>20734282.800000001</v>
      </c>
      <c r="S46" s="198">
        <f t="shared" si="162"/>
        <v>21562964.640000004</v>
      </c>
      <c r="T46" s="198">
        <f t="shared" si="162"/>
        <v>22082971.680000003</v>
      </c>
      <c r="U46" s="198">
        <f t="shared" si="162"/>
        <v>22781878.560000002</v>
      </c>
      <c r="V46" s="198">
        <f t="shared" si="162"/>
        <v>22350731.760000002</v>
      </c>
      <c r="W46" s="198">
        <f t="shared" si="162"/>
        <v>22244226.48</v>
      </c>
      <c r="X46" s="198">
        <f t="shared" si="78"/>
        <v>22331499.120000001</v>
      </c>
      <c r="Y46" s="198">
        <f t="shared" si="78"/>
        <v>22425938.640000001</v>
      </c>
      <c r="Z46" s="198">
        <f t="shared" si="78"/>
        <v>22305326.400000002</v>
      </c>
      <c r="AA46" s="198">
        <f t="shared" si="78"/>
        <v>21474285.840000004</v>
      </c>
      <c r="AB46" s="198">
        <f t="shared" si="87"/>
        <v>21968755.199999999</v>
      </c>
      <c r="AC46" s="198">
        <f t="shared" si="87"/>
        <v>22855951.440000001</v>
      </c>
      <c r="AD46" s="198">
        <f t="shared" ref="AD46:AE46" si="163">(AD97/MT_Lbs)*10^6</f>
        <v>23583299.040000003</v>
      </c>
      <c r="AE46" s="198">
        <f t="shared" si="163"/>
        <v>24229815.120000001</v>
      </c>
      <c r="AF46" s="198">
        <f t="shared" ref="AF46:AG46" si="164">(AF97/MT_Lbs)*10^6</f>
        <v>24954940.080000002</v>
      </c>
      <c r="AG46" s="198">
        <f t="shared" si="164"/>
        <v>25256130.480000004</v>
      </c>
      <c r="AH46" s="198">
        <f t="shared" ref="AH46" si="165">(AH97/MT_Lbs)*10^6</f>
        <v>25317048.960000001</v>
      </c>
      <c r="AI46" s="213"/>
      <c r="AJ46" s="213"/>
      <c r="AK46" s="213"/>
      <c r="AL46" s="213"/>
    </row>
    <row r="47" spans="1:38">
      <c r="A47" s="197" t="s">
        <v>255</v>
      </c>
      <c r="B47" s="222" t="s">
        <v>204</v>
      </c>
      <c r="C47" s="198">
        <f t="shared" ref="C47:W47" si="166">(C98/MT_Lbs)*10^6</f>
        <v>178582.32</v>
      </c>
      <c r="D47" s="198">
        <f t="shared" si="166"/>
        <v>182301.84</v>
      </c>
      <c r="E47" s="198">
        <f t="shared" si="166"/>
        <v>190920.24000000002</v>
      </c>
      <c r="F47" s="198">
        <f t="shared" si="166"/>
        <v>197814.96000000005</v>
      </c>
      <c r="G47" s="198">
        <f t="shared" si="166"/>
        <v>210515.76000000004</v>
      </c>
      <c r="H47" s="198">
        <f t="shared" si="166"/>
        <v>192281.04</v>
      </c>
      <c r="I47" s="198">
        <f t="shared" si="166"/>
        <v>188561.52000000002</v>
      </c>
      <c r="J47" s="198">
        <f t="shared" si="166"/>
        <v>184978.08000000002</v>
      </c>
      <c r="K47" s="198">
        <f t="shared" si="166"/>
        <v>208429.2</v>
      </c>
      <c r="L47" s="198">
        <f t="shared" si="166"/>
        <v>224486.64</v>
      </c>
      <c r="M47" s="198">
        <f t="shared" si="166"/>
        <v>225529.92</v>
      </c>
      <c r="N47" s="198">
        <f t="shared" si="166"/>
        <v>236507.04</v>
      </c>
      <c r="O47" s="198">
        <f t="shared" si="166"/>
        <v>230746.32</v>
      </c>
      <c r="P47" s="198">
        <f t="shared" si="166"/>
        <v>208746.72000000003</v>
      </c>
      <c r="Q47" s="198">
        <f t="shared" si="166"/>
        <v>186021.36000000002</v>
      </c>
      <c r="R47" s="198">
        <f t="shared" si="166"/>
        <v>209245.68000000002</v>
      </c>
      <c r="S47" s="198">
        <f t="shared" si="166"/>
        <v>227707.20000000004</v>
      </c>
      <c r="T47" s="198">
        <f t="shared" si="166"/>
        <v>215641.44000000003</v>
      </c>
      <c r="U47" s="198">
        <f t="shared" si="166"/>
        <v>235962.72000000003</v>
      </c>
      <c r="V47" s="198">
        <f t="shared" si="166"/>
        <v>199629.36000000004</v>
      </c>
      <c r="W47" s="198">
        <f t="shared" si="166"/>
        <v>206388.00000000003</v>
      </c>
      <c r="X47" s="198">
        <f t="shared" si="78"/>
        <v>205798.32</v>
      </c>
      <c r="Y47" s="198">
        <f t="shared" si="78"/>
        <v>223035.12</v>
      </c>
      <c r="Z47" s="198">
        <f t="shared" si="78"/>
        <v>216639.36000000004</v>
      </c>
      <c r="AA47" s="198">
        <f t="shared" si="78"/>
        <v>212511.60000000003</v>
      </c>
      <c r="AB47" s="198">
        <f t="shared" ref="AB47:AC52" si="167">(AB98/MT_Lbs)*10^6</f>
        <v>210334.32</v>
      </c>
      <c r="AC47" s="198">
        <f t="shared" si="167"/>
        <v>224078.40000000002</v>
      </c>
      <c r="AD47" s="198">
        <f t="shared" ref="AD47:AE47" si="168">(AD98/MT_Lbs)*10^6</f>
        <v>239818.32000000004</v>
      </c>
      <c r="AE47" s="198">
        <f t="shared" si="168"/>
        <v>254923.2</v>
      </c>
      <c r="AF47" s="198">
        <f t="shared" ref="AF47:AG47" si="169">(AF98/MT_Lbs)*10^6</f>
        <v>265537.44</v>
      </c>
      <c r="AG47" s="198">
        <f t="shared" si="169"/>
        <v>257055.12000000002</v>
      </c>
      <c r="AH47" s="198">
        <f t="shared" ref="AH47" si="170">(AH98/MT_Lbs)*10^6</f>
        <v>249570.72000000006</v>
      </c>
      <c r="AI47" s="213"/>
      <c r="AJ47" s="213"/>
      <c r="AK47" s="213"/>
      <c r="AL47" s="213"/>
    </row>
    <row r="48" spans="1:38">
      <c r="A48" s="197" t="s">
        <v>257</v>
      </c>
      <c r="B48" s="222" t="s">
        <v>206</v>
      </c>
      <c r="C48" s="198">
        <f t="shared" ref="C48:W48" si="171">(C99/MT_Lbs)*10^6</f>
        <v>370228.32000000007</v>
      </c>
      <c r="D48" s="198">
        <f t="shared" si="171"/>
        <v>383745.60000000003</v>
      </c>
      <c r="E48" s="198">
        <f t="shared" si="171"/>
        <v>387283.68</v>
      </c>
      <c r="F48" s="198">
        <f t="shared" si="171"/>
        <v>322600.32000000007</v>
      </c>
      <c r="G48" s="198">
        <f t="shared" si="171"/>
        <v>381205.44</v>
      </c>
      <c r="H48" s="198">
        <f t="shared" si="171"/>
        <v>399757.68</v>
      </c>
      <c r="I48" s="198">
        <f t="shared" si="171"/>
        <v>371861.28</v>
      </c>
      <c r="J48" s="198">
        <f t="shared" si="171"/>
        <v>351721.44</v>
      </c>
      <c r="K48" s="198">
        <f t="shared" si="171"/>
        <v>351131.76</v>
      </c>
      <c r="L48" s="198">
        <f t="shared" si="171"/>
        <v>334983.60000000003</v>
      </c>
      <c r="M48" s="198">
        <f t="shared" si="171"/>
        <v>327635.28000000003</v>
      </c>
      <c r="N48" s="198">
        <f t="shared" si="171"/>
        <v>348682.32000000007</v>
      </c>
      <c r="O48" s="198">
        <f t="shared" si="171"/>
        <v>366236.64</v>
      </c>
      <c r="P48" s="198">
        <f t="shared" si="171"/>
        <v>341832.96000000002</v>
      </c>
      <c r="Q48" s="198">
        <f t="shared" si="171"/>
        <v>344191.68</v>
      </c>
      <c r="R48" s="198">
        <f t="shared" si="171"/>
        <v>298468.80000000005</v>
      </c>
      <c r="S48" s="198">
        <f t="shared" si="171"/>
        <v>186248.16000000003</v>
      </c>
      <c r="T48" s="198">
        <f t="shared" si="171"/>
        <v>217546.56000000003</v>
      </c>
      <c r="U48" s="198">
        <f t="shared" si="171"/>
        <v>230292.72</v>
      </c>
      <c r="V48" s="198">
        <f t="shared" si="171"/>
        <v>209608.56000000003</v>
      </c>
      <c r="W48" s="198">
        <f t="shared" si="171"/>
        <v>220268.16000000003</v>
      </c>
      <c r="X48" s="198">
        <f t="shared" si="78"/>
        <v>221084.63999999998</v>
      </c>
      <c r="Y48" s="198">
        <f t="shared" si="78"/>
        <v>235872.00000000003</v>
      </c>
      <c r="Z48" s="198">
        <f t="shared" si="78"/>
        <v>235236.96000000002</v>
      </c>
      <c r="AA48" s="198">
        <f t="shared" si="78"/>
        <v>217410.48</v>
      </c>
      <c r="AB48" s="198">
        <f t="shared" si="167"/>
        <v>226936.08000000002</v>
      </c>
      <c r="AC48" s="198">
        <f t="shared" si="167"/>
        <v>229068.00000000003</v>
      </c>
      <c r="AD48" s="198">
        <f t="shared" ref="AD48:AE48" si="172">(AD99/MT_Lbs)*10^6</f>
        <v>235917.36000000002</v>
      </c>
      <c r="AE48" s="198">
        <f t="shared" si="172"/>
        <v>238412.16000000003</v>
      </c>
      <c r="AF48" s="198">
        <f t="shared" ref="AF48:AG48" si="173">(AF99/MT_Lbs)*10^6</f>
        <v>243038.88</v>
      </c>
      <c r="AG48" s="198">
        <f t="shared" si="173"/>
        <v>212965.2</v>
      </c>
      <c r="AH48" s="198">
        <f t="shared" ref="AH48" si="174">(AH99/MT_Lbs)*10^6</f>
        <v>126781.20000000001</v>
      </c>
      <c r="AI48" s="213"/>
      <c r="AJ48" s="213"/>
      <c r="AK48" s="213"/>
      <c r="AL48" s="213"/>
    </row>
    <row r="49" spans="1:38">
      <c r="A49" s="197" t="s">
        <v>258</v>
      </c>
      <c r="B49" s="222" t="s">
        <v>207</v>
      </c>
      <c r="C49" s="198">
        <f t="shared" ref="C49:W49" si="175">(C100/MT_Lbs)*10^6</f>
        <v>275562.00000000006</v>
      </c>
      <c r="D49" s="198">
        <f t="shared" si="175"/>
        <v>272658.96000000002</v>
      </c>
      <c r="E49" s="198">
        <f t="shared" si="175"/>
        <v>279871.20000000007</v>
      </c>
      <c r="F49" s="198">
        <f t="shared" si="175"/>
        <v>273974.40000000002</v>
      </c>
      <c r="G49" s="198">
        <f t="shared" si="175"/>
        <v>294749.28000000003</v>
      </c>
      <c r="H49" s="198">
        <f t="shared" si="175"/>
        <v>308357.28000000003</v>
      </c>
      <c r="I49" s="198">
        <f t="shared" si="175"/>
        <v>333622.80000000005</v>
      </c>
      <c r="J49" s="198">
        <f t="shared" si="175"/>
        <v>313528.32000000001</v>
      </c>
      <c r="K49" s="198">
        <f t="shared" si="175"/>
        <v>317973.60000000003</v>
      </c>
      <c r="L49" s="198">
        <f t="shared" si="175"/>
        <v>298242</v>
      </c>
      <c r="M49" s="198">
        <f t="shared" si="175"/>
        <v>314798.40000000002</v>
      </c>
      <c r="N49" s="198">
        <f t="shared" si="175"/>
        <v>304365.60000000003</v>
      </c>
      <c r="O49" s="198">
        <f t="shared" si="175"/>
        <v>293887.44</v>
      </c>
      <c r="P49" s="198">
        <f t="shared" si="175"/>
        <v>271207.44</v>
      </c>
      <c r="Q49" s="198">
        <f t="shared" si="175"/>
        <v>221220.72</v>
      </c>
      <c r="R49" s="198">
        <f t="shared" si="175"/>
        <v>280324.80000000005</v>
      </c>
      <c r="S49" s="198">
        <f t="shared" si="175"/>
        <v>343239.12000000005</v>
      </c>
      <c r="T49" s="198">
        <f t="shared" si="175"/>
        <v>399893.76000000007</v>
      </c>
      <c r="U49" s="198">
        <f t="shared" si="175"/>
        <v>369684</v>
      </c>
      <c r="V49" s="198">
        <f t="shared" si="175"/>
        <v>374673.60000000003</v>
      </c>
      <c r="W49" s="198">
        <f t="shared" si="175"/>
        <v>392636.16000000009</v>
      </c>
      <c r="X49" s="198">
        <f t="shared" si="78"/>
        <v>392772.24</v>
      </c>
      <c r="Y49" s="198">
        <f t="shared" si="78"/>
        <v>406879.20000000007</v>
      </c>
      <c r="Z49" s="198">
        <f t="shared" si="78"/>
        <v>398850.48</v>
      </c>
      <c r="AA49" s="198">
        <f t="shared" si="78"/>
        <v>392817.60000000003</v>
      </c>
      <c r="AB49" s="198">
        <f t="shared" si="167"/>
        <v>386875.44</v>
      </c>
      <c r="AC49" s="198">
        <f t="shared" si="167"/>
        <v>414046.08</v>
      </c>
      <c r="AD49" s="198">
        <f t="shared" ref="AD49:AE49" si="176">(AD100/MT_Lbs)*10^6</f>
        <v>416223.36000000004</v>
      </c>
      <c r="AE49" s="198">
        <f t="shared" si="176"/>
        <v>412639.92000000004</v>
      </c>
      <c r="AF49" s="198">
        <f t="shared" ref="AF49:AG49" si="177">(AF100/MT_Lbs)*10^6</f>
        <v>437542.56</v>
      </c>
      <c r="AG49" s="198">
        <f t="shared" si="177"/>
        <v>418128.48000000004</v>
      </c>
      <c r="AH49" s="198">
        <f t="shared" ref="AH49" si="178">(AH100/MT_Lbs)*10^6</f>
        <v>429513.84</v>
      </c>
      <c r="AI49" s="213"/>
      <c r="AJ49" s="213"/>
      <c r="AK49" s="213"/>
      <c r="AL49" s="213"/>
    </row>
    <row r="50" spans="1:38">
      <c r="A50" s="197" t="s">
        <v>280</v>
      </c>
      <c r="B50" s="222" t="s">
        <v>208</v>
      </c>
      <c r="C50" s="198">
        <f t="shared" ref="C50:W50" si="179">(C101/MT_Lbs)*10^6</f>
        <v>7302.9600000000019</v>
      </c>
      <c r="D50" s="198">
        <f t="shared" si="179"/>
        <v>7892.6399999999994</v>
      </c>
      <c r="E50" s="198">
        <f t="shared" si="179"/>
        <v>8164.8</v>
      </c>
      <c r="F50" s="198">
        <f t="shared" si="179"/>
        <v>7756.5600000000013</v>
      </c>
      <c r="G50" s="198">
        <f t="shared" si="179"/>
        <v>8663.760000000002</v>
      </c>
      <c r="H50" s="198">
        <f t="shared" si="179"/>
        <v>8346.24</v>
      </c>
      <c r="I50" s="198">
        <f t="shared" si="179"/>
        <v>9162.7200000000012</v>
      </c>
      <c r="J50" s="198">
        <f t="shared" si="179"/>
        <v>6078.2400000000007</v>
      </c>
      <c r="K50" s="198">
        <f t="shared" si="179"/>
        <v>4263.84</v>
      </c>
      <c r="L50" s="198">
        <f t="shared" si="179"/>
        <v>4445.2800000000007</v>
      </c>
      <c r="M50" s="198">
        <f t="shared" si="179"/>
        <v>3810.2400000000002</v>
      </c>
      <c r="N50" s="198">
        <f t="shared" si="179"/>
        <v>3447.36</v>
      </c>
      <c r="O50" s="198">
        <f t="shared" si="179"/>
        <v>3492.7200000000003</v>
      </c>
      <c r="P50" s="198">
        <f t="shared" si="179"/>
        <v>3220.56</v>
      </c>
      <c r="Q50" s="198">
        <f t="shared" si="179"/>
        <v>3175.2000000000003</v>
      </c>
      <c r="R50" s="198">
        <f t="shared" si="179"/>
        <v>2812.3200000000006</v>
      </c>
      <c r="S50" s="198">
        <f t="shared" si="179"/>
        <v>2676.2400000000002</v>
      </c>
      <c r="T50" s="198">
        <f t="shared" si="179"/>
        <v>3039.1200000000003</v>
      </c>
      <c r="U50" s="198">
        <f t="shared" si="179"/>
        <v>3311.28</v>
      </c>
      <c r="V50" s="198">
        <f t="shared" si="179"/>
        <v>3810.2400000000002</v>
      </c>
      <c r="W50" s="198">
        <f t="shared" si="179"/>
        <v>3628.8</v>
      </c>
      <c r="X50" s="198">
        <f t="shared" si="78"/>
        <v>3900.96</v>
      </c>
      <c r="Y50" s="198">
        <f t="shared" si="78"/>
        <v>3356.6400000000008</v>
      </c>
      <c r="Z50" s="198">
        <f t="shared" si="78"/>
        <v>3311.28</v>
      </c>
      <c r="AA50" s="198">
        <f t="shared" si="78"/>
        <v>3039.1200000000003</v>
      </c>
      <c r="AB50" s="198">
        <f t="shared" si="167"/>
        <v>3039.1200000000003</v>
      </c>
      <c r="AC50" s="198">
        <f t="shared" si="167"/>
        <v>3311.28</v>
      </c>
      <c r="AD50" s="198">
        <f t="shared" ref="AD50:AE50" si="180">(AD101/MT_Lbs)*10^6</f>
        <v>3583.4400000000005</v>
      </c>
      <c r="AE50" s="198">
        <f t="shared" si="180"/>
        <v>3810.2400000000002</v>
      </c>
      <c r="AF50" s="198">
        <f t="shared" ref="AF50:AG50" si="181">(AF101/MT_Lbs)*10^6</f>
        <v>3719.52</v>
      </c>
      <c r="AG50" s="198">
        <f t="shared" si="181"/>
        <v>5806.0800000000008</v>
      </c>
      <c r="AH50" s="198">
        <f t="shared" ref="AH50" si="182">(AH101/MT_Lbs)*10^6</f>
        <v>4898.88</v>
      </c>
      <c r="AI50" s="213"/>
      <c r="AJ50" s="213"/>
      <c r="AK50" s="213"/>
      <c r="AL50" s="213"/>
    </row>
    <row r="51" spans="1:38">
      <c r="A51" s="197" t="s">
        <v>259</v>
      </c>
      <c r="B51" s="222" t="s">
        <v>209</v>
      </c>
      <c r="C51" s="198">
        <f t="shared" ref="C51:W51" si="183">(C102/MT_Lbs)*10^6</f>
        <v>396537.12000000005</v>
      </c>
      <c r="D51" s="198">
        <f t="shared" si="183"/>
        <v>383881.68</v>
      </c>
      <c r="E51" s="198">
        <f t="shared" si="183"/>
        <v>435138.48</v>
      </c>
      <c r="F51" s="198">
        <f t="shared" si="183"/>
        <v>456321.60000000003</v>
      </c>
      <c r="G51" s="198">
        <f t="shared" si="183"/>
        <v>450334.08</v>
      </c>
      <c r="H51" s="198">
        <f t="shared" si="183"/>
        <v>461084.40000000008</v>
      </c>
      <c r="I51" s="198">
        <f t="shared" si="183"/>
        <v>506671.2</v>
      </c>
      <c r="J51" s="198">
        <f t="shared" si="183"/>
        <v>531210.96</v>
      </c>
      <c r="K51" s="198">
        <f t="shared" si="183"/>
        <v>557565.12</v>
      </c>
      <c r="L51" s="198">
        <f t="shared" si="183"/>
        <v>593399.52</v>
      </c>
      <c r="M51" s="198">
        <f t="shared" si="183"/>
        <v>611498.16</v>
      </c>
      <c r="N51" s="198">
        <f t="shared" si="183"/>
        <v>591358.32000000007</v>
      </c>
      <c r="O51" s="198">
        <f t="shared" si="183"/>
        <v>614628.00000000012</v>
      </c>
      <c r="P51" s="198">
        <f t="shared" si="183"/>
        <v>596620.07999999996</v>
      </c>
      <c r="Q51" s="198">
        <f t="shared" si="183"/>
        <v>556521.84000000008</v>
      </c>
      <c r="R51" s="198">
        <f t="shared" si="183"/>
        <v>559606.32000000007</v>
      </c>
      <c r="S51" s="198">
        <f t="shared" si="183"/>
        <v>605782.80000000005</v>
      </c>
      <c r="T51" s="198">
        <f t="shared" si="183"/>
        <v>643839.84000000008</v>
      </c>
      <c r="U51" s="198">
        <f t="shared" si="183"/>
        <v>657266.4</v>
      </c>
      <c r="V51" s="198">
        <f t="shared" si="183"/>
        <v>628009.20000000007</v>
      </c>
      <c r="W51" s="198">
        <f t="shared" si="183"/>
        <v>638714.16</v>
      </c>
      <c r="X51" s="198">
        <f t="shared" si="78"/>
        <v>634042.08000000007</v>
      </c>
      <c r="Y51" s="198">
        <f t="shared" si="78"/>
        <v>589362.48</v>
      </c>
      <c r="Z51" s="198">
        <f t="shared" si="78"/>
        <v>601020</v>
      </c>
      <c r="AA51" s="198">
        <f t="shared" si="78"/>
        <v>527264.64</v>
      </c>
      <c r="AB51" s="198">
        <f t="shared" si="167"/>
        <v>463216.32000000007</v>
      </c>
      <c r="AC51" s="198">
        <f t="shared" si="167"/>
        <v>492428.16000000003</v>
      </c>
      <c r="AD51" s="198">
        <f t="shared" ref="AD51:AE51" si="184">(AD102/MT_Lbs)*10^6</f>
        <v>552212.64</v>
      </c>
      <c r="AE51" s="198">
        <f t="shared" si="184"/>
        <v>552212.64</v>
      </c>
      <c r="AF51" s="198">
        <f t="shared" ref="AF51:AG51" si="185">(AF102/MT_Lbs)*10^6</f>
        <v>560105.28</v>
      </c>
      <c r="AG51" s="198">
        <f t="shared" si="185"/>
        <v>570719.52</v>
      </c>
      <c r="AH51" s="198">
        <f t="shared" ref="AH51" si="186">(AH102/MT_Lbs)*10^6</f>
        <v>582513.12000000011</v>
      </c>
      <c r="AI51" s="213"/>
      <c r="AJ51" s="213"/>
      <c r="AK51" s="213"/>
      <c r="AL51" s="213"/>
    </row>
    <row r="52" spans="1:38">
      <c r="A52" s="240" t="s">
        <v>281</v>
      </c>
      <c r="B52" s="222" t="s">
        <v>210</v>
      </c>
      <c r="C52" s="198">
        <f t="shared" ref="C52:W52" si="187">(C103/MT_Lbs)*10^6</f>
        <v>2041.2</v>
      </c>
      <c r="D52" s="198">
        <f t="shared" si="187"/>
        <v>1814.4</v>
      </c>
      <c r="E52" s="198">
        <f t="shared" si="187"/>
        <v>1950.48</v>
      </c>
      <c r="F52" s="198">
        <f t="shared" si="187"/>
        <v>2086.56</v>
      </c>
      <c r="G52" s="198">
        <f t="shared" si="187"/>
        <v>2222.6400000000003</v>
      </c>
      <c r="H52" s="198">
        <f t="shared" si="187"/>
        <v>2540.16</v>
      </c>
      <c r="I52" s="198">
        <f t="shared" si="187"/>
        <v>2494.8000000000002</v>
      </c>
      <c r="J52" s="198">
        <f t="shared" si="187"/>
        <v>2268</v>
      </c>
      <c r="K52" s="198">
        <f t="shared" si="187"/>
        <v>2449.44</v>
      </c>
      <c r="L52" s="198">
        <f t="shared" si="187"/>
        <v>2540.16</v>
      </c>
      <c r="M52" s="198">
        <f t="shared" si="187"/>
        <v>2268</v>
      </c>
      <c r="N52" s="198">
        <f t="shared" si="187"/>
        <v>2086.56</v>
      </c>
      <c r="O52" s="198">
        <f t="shared" si="187"/>
        <v>2585.5200000000004</v>
      </c>
      <c r="P52" s="198">
        <f t="shared" si="187"/>
        <v>2993.76</v>
      </c>
      <c r="Q52" s="198">
        <f t="shared" si="187"/>
        <v>3129.8400000000006</v>
      </c>
      <c r="R52" s="198">
        <f t="shared" si="187"/>
        <v>2948.4000000000005</v>
      </c>
      <c r="S52" s="198">
        <f t="shared" si="187"/>
        <v>2812.3200000000006</v>
      </c>
      <c r="T52" s="198">
        <f t="shared" si="187"/>
        <v>2766.96</v>
      </c>
      <c r="U52" s="198">
        <f t="shared" si="187"/>
        <v>2812.3200000000006</v>
      </c>
      <c r="V52" s="198">
        <f t="shared" si="187"/>
        <v>2948.4000000000005</v>
      </c>
      <c r="W52" s="198">
        <f t="shared" si="187"/>
        <v>2766.96</v>
      </c>
      <c r="X52" s="198">
        <f t="shared" si="78"/>
        <v>2857.68</v>
      </c>
      <c r="Y52" s="198">
        <f t="shared" si="78"/>
        <v>2721.6000000000004</v>
      </c>
      <c r="Z52" s="198">
        <f t="shared" si="78"/>
        <v>2449.44</v>
      </c>
      <c r="AA52" s="198">
        <f t="shared" si="78"/>
        <v>2358.7200000000003</v>
      </c>
      <c r="AB52" s="198">
        <f t="shared" si="167"/>
        <v>2131.92</v>
      </c>
      <c r="AC52" s="198">
        <f t="shared" si="167"/>
        <v>2131.92</v>
      </c>
      <c r="AD52" s="198">
        <f t="shared" ref="AD52:AE52" si="188">(AD103/MT_Lbs)*10^6</f>
        <v>1995.8400000000004</v>
      </c>
      <c r="AE52" s="198">
        <f t="shared" si="188"/>
        <v>2041.2</v>
      </c>
      <c r="AF52" s="198">
        <f t="shared" ref="AF52:AG52" si="189">(AF103/MT_Lbs)*10^6</f>
        <v>1950.48</v>
      </c>
      <c r="AG52" s="198">
        <f t="shared" si="189"/>
        <v>2676.2400000000002</v>
      </c>
      <c r="AH52" s="198">
        <f t="shared" ref="AH52" si="190">(AH103/MT_Lbs)*10^6</f>
        <v>4399.92</v>
      </c>
      <c r="AI52" s="213"/>
      <c r="AJ52" s="213"/>
      <c r="AK52" s="213"/>
      <c r="AL52" s="213"/>
    </row>
    <row r="53" spans="1:38">
      <c r="A53" s="18"/>
      <c r="B53" s="18"/>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row>
    <row r="54" spans="1:38">
      <c r="A54" s="18" t="s">
        <v>260</v>
      </c>
      <c r="B54" s="18"/>
      <c r="C54" s="176">
        <f>2000/0.9072</f>
        <v>2204.5855379188711</v>
      </c>
      <c r="D54" s="18" t="s">
        <v>282</v>
      </c>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row>
    <row r="55" spans="1:38">
      <c r="A55" s="18" t="s">
        <v>283</v>
      </c>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row>
    <row r="56" spans="1:38">
      <c r="A56" s="18" t="s">
        <v>284</v>
      </c>
      <c r="B56" s="18"/>
      <c r="C56" s="201">
        <v>2</v>
      </c>
      <c r="D56" s="201">
        <v>3</v>
      </c>
      <c r="E56" s="201">
        <v>4</v>
      </c>
      <c r="F56" s="201">
        <v>5</v>
      </c>
      <c r="G56" s="201">
        <v>6</v>
      </c>
      <c r="H56" s="201">
        <v>7</v>
      </c>
      <c r="I56" s="201">
        <v>8</v>
      </c>
      <c r="J56" s="201">
        <v>9</v>
      </c>
      <c r="K56" s="201">
        <v>10</v>
      </c>
      <c r="L56" s="201">
        <v>11</v>
      </c>
      <c r="M56" s="201">
        <v>12</v>
      </c>
      <c r="N56" s="201">
        <v>13</v>
      </c>
      <c r="O56" s="201">
        <v>14</v>
      </c>
      <c r="P56" s="201">
        <v>15</v>
      </c>
      <c r="Q56" s="201">
        <v>16</v>
      </c>
      <c r="R56" s="201">
        <v>17</v>
      </c>
      <c r="S56" s="201">
        <v>18</v>
      </c>
      <c r="T56" s="201">
        <v>19</v>
      </c>
      <c r="U56" s="201">
        <v>20</v>
      </c>
      <c r="V56" s="201">
        <v>21</v>
      </c>
      <c r="W56" s="201">
        <v>22</v>
      </c>
      <c r="X56" s="201">
        <v>23</v>
      </c>
      <c r="Y56" s="201">
        <v>24</v>
      </c>
      <c r="Z56" s="201">
        <v>25</v>
      </c>
      <c r="AA56" s="201">
        <v>26</v>
      </c>
      <c r="AB56" s="201">
        <v>27</v>
      </c>
      <c r="AC56" s="201">
        <v>28</v>
      </c>
      <c r="AD56" s="201">
        <v>29</v>
      </c>
      <c r="AE56" s="201">
        <v>30</v>
      </c>
      <c r="AF56" s="201">
        <v>31</v>
      </c>
      <c r="AG56" s="201">
        <v>32</v>
      </c>
      <c r="AH56" s="201">
        <v>33</v>
      </c>
      <c r="AI56" s="201">
        <v>34</v>
      </c>
      <c r="AJ56" s="201">
        <v>35</v>
      </c>
      <c r="AK56" s="201">
        <v>36</v>
      </c>
      <c r="AL56" s="201">
        <v>37</v>
      </c>
    </row>
    <row r="57" spans="1:38">
      <c r="A57" s="237" t="s">
        <v>218</v>
      </c>
      <c r="B57" s="237"/>
      <c r="C57" s="242">
        <v>1990</v>
      </c>
      <c r="D57" s="242">
        <v>1991</v>
      </c>
      <c r="E57" s="242">
        <v>1992</v>
      </c>
      <c r="F57" s="242">
        <v>1993</v>
      </c>
      <c r="G57" s="242">
        <v>1994</v>
      </c>
      <c r="H57" s="242">
        <v>1995</v>
      </c>
      <c r="I57" s="242">
        <v>1996</v>
      </c>
      <c r="J57" s="242">
        <v>1997</v>
      </c>
      <c r="K57" s="242">
        <v>1998</v>
      </c>
      <c r="L57" s="242">
        <v>1999</v>
      </c>
      <c r="M57" s="242">
        <v>2000</v>
      </c>
      <c r="N57" s="242">
        <v>2001</v>
      </c>
      <c r="O57" s="242">
        <v>2002</v>
      </c>
      <c r="P57" s="242">
        <v>2003</v>
      </c>
      <c r="Q57" s="242">
        <v>2004</v>
      </c>
      <c r="R57" s="242">
        <v>2005</v>
      </c>
      <c r="S57" s="242">
        <v>2006</v>
      </c>
      <c r="T57" s="242">
        <v>2007</v>
      </c>
      <c r="U57" s="242">
        <v>2008</v>
      </c>
      <c r="V57" s="242">
        <v>2009</v>
      </c>
      <c r="W57" s="242">
        <v>2010</v>
      </c>
      <c r="X57" s="242">
        <v>2011</v>
      </c>
      <c r="Y57" s="242">
        <v>2012</v>
      </c>
      <c r="Z57" s="242">
        <v>2013</v>
      </c>
      <c r="AA57" s="242">
        <v>2014</v>
      </c>
      <c r="AB57" s="242">
        <v>2015</v>
      </c>
      <c r="AC57" s="242">
        <v>2016</v>
      </c>
      <c r="AD57" s="242">
        <v>2017</v>
      </c>
      <c r="AE57" s="242">
        <v>2018</v>
      </c>
      <c r="AF57" s="242">
        <v>2019</v>
      </c>
      <c r="AG57" s="242">
        <v>2020</v>
      </c>
      <c r="AH57" s="242">
        <v>2021</v>
      </c>
      <c r="AI57" s="242">
        <v>2022</v>
      </c>
      <c r="AJ57" s="242">
        <v>2023</v>
      </c>
      <c r="AK57" s="242">
        <v>2024</v>
      </c>
      <c r="AL57" s="242">
        <v>2025</v>
      </c>
    </row>
    <row r="58" spans="1:38">
      <c r="A58" s="237" t="s">
        <v>219</v>
      </c>
      <c r="B58" s="237" t="s">
        <v>219</v>
      </c>
      <c r="C58" s="200">
        <v>209</v>
      </c>
      <c r="D58" s="200">
        <v>191.6</v>
      </c>
      <c r="E58" s="200">
        <v>39.5</v>
      </c>
      <c r="F58" s="200">
        <v>40.4</v>
      </c>
      <c r="G58" s="200">
        <v>40.200000000000003</v>
      </c>
      <c r="H58" s="200">
        <v>114.3</v>
      </c>
      <c r="I58" s="200">
        <v>138</v>
      </c>
      <c r="J58" s="200">
        <v>133.19999999999999</v>
      </c>
      <c r="K58" s="200">
        <v>153.69999999999999</v>
      </c>
      <c r="L58" s="200">
        <v>93.4</v>
      </c>
      <c r="M58" s="200">
        <v>42.2</v>
      </c>
      <c r="N58" s="200">
        <v>45.6</v>
      </c>
      <c r="O58" s="200">
        <v>49.9</v>
      </c>
      <c r="P58" s="200">
        <v>40.5</v>
      </c>
      <c r="Q58" s="200">
        <v>33.700000000000003</v>
      </c>
      <c r="R58" s="200">
        <v>31</v>
      </c>
      <c r="S58" s="200">
        <v>30.6</v>
      </c>
      <c r="T58" s="200">
        <v>27.6</v>
      </c>
      <c r="U58" s="200">
        <v>24</v>
      </c>
      <c r="V58" s="200">
        <v>22.8</v>
      </c>
      <c r="W58" s="200">
        <v>21.7</v>
      </c>
      <c r="X58" s="200">
        <v>20.100000000000001</v>
      </c>
      <c r="Y58" s="200">
        <v>11.4</v>
      </c>
      <c r="Z58" s="200">
        <v>11.1</v>
      </c>
      <c r="AA58" s="200">
        <v>9.1999999999999993</v>
      </c>
      <c r="AB58" s="200">
        <v>8.8000000000000007</v>
      </c>
      <c r="AC58" s="200">
        <v>10.1</v>
      </c>
      <c r="AD58" s="200">
        <v>13.3</v>
      </c>
      <c r="AE58" s="200">
        <v>13.8</v>
      </c>
      <c r="AF58" s="200">
        <v>9.4</v>
      </c>
      <c r="AG58" s="200">
        <v>11.2</v>
      </c>
      <c r="AH58" s="200">
        <v>11.9</v>
      </c>
      <c r="AI58" s="214"/>
      <c r="AJ58" s="214"/>
      <c r="AK58" s="214"/>
      <c r="AL58" s="214"/>
    </row>
    <row r="59" spans="1:38">
      <c r="A59" s="197" t="s">
        <v>272</v>
      </c>
      <c r="B59" s="197" t="s">
        <v>272</v>
      </c>
      <c r="C59" s="200">
        <v>0</v>
      </c>
      <c r="D59" s="200">
        <v>0</v>
      </c>
      <c r="E59" s="200">
        <v>0</v>
      </c>
      <c r="F59" s="200">
        <v>0</v>
      </c>
      <c r="G59" s="200">
        <v>0</v>
      </c>
      <c r="H59" s="200">
        <v>0</v>
      </c>
      <c r="I59" s="200">
        <v>0</v>
      </c>
      <c r="J59" s="200">
        <v>0</v>
      </c>
      <c r="K59" s="200">
        <v>0</v>
      </c>
      <c r="L59" s="200">
        <v>0.4</v>
      </c>
      <c r="M59" s="200">
        <v>0.6</v>
      </c>
      <c r="N59" s="200">
        <v>0.5</v>
      </c>
      <c r="O59" s="200">
        <v>0.6</v>
      </c>
      <c r="P59" s="200">
        <v>0.5</v>
      </c>
      <c r="Q59" s="200">
        <v>0.5</v>
      </c>
      <c r="R59" s="200">
        <v>0.7</v>
      </c>
      <c r="S59" s="200">
        <v>0.7</v>
      </c>
      <c r="T59" s="200">
        <v>0.5</v>
      </c>
      <c r="U59" s="200">
        <v>0.5</v>
      </c>
      <c r="V59" s="200">
        <v>0.6</v>
      </c>
      <c r="W59" s="200">
        <v>0.6</v>
      </c>
      <c r="X59" s="200">
        <v>0.6</v>
      </c>
      <c r="Y59" s="200">
        <v>0.5</v>
      </c>
      <c r="Z59" s="200">
        <v>0.7</v>
      </c>
      <c r="AA59" s="200">
        <v>0.6</v>
      </c>
      <c r="AB59" s="200">
        <v>0.6</v>
      </c>
      <c r="AC59" s="200">
        <v>1.3</v>
      </c>
      <c r="AD59" s="200">
        <v>1</v>
      </c>
      <c r="AE59" s="200">
        <v>0.9</v>
      </c>
      <c r="AF59" s="200">
        <v>0.7</v>
      </c>
      <c r="AG59" s="200">
        <v>0.9</v>
      </c>
      <c r="AH59" s="200">
        <v>0.7</v>
      </c>
      <c r="AI59" s="214"/>
      <c r="AJ59" s="214"/>
      <c r="AK59" s="214"/>
      <c r="AL59" s="214"/>
    </row>
    <row r="60" spans="1:38">
      <c r="A60" s="197" t="s">
        <v>220</v>
      </c>
      <c r="B60" s="197" t="s">
        <v>220</v>
      </c>
      <c r="C60" s="200">
        <v>226.4</v>
      </c>
      <c r="D60" s="200">
        <v>238.8</v>
      </c>
      <c r="E60" s="200">
        <v>239.3</v>
      </c>
      <c r="F60" s="200">
        <v>248.8</v>
      </c>
      <c r="G60" s="200">
        <v>271.60000000000002</v>
      </c>
      <c r="H60" s="200">
        <v>312.5</v>
      </c>
      <c r="I60" s="200">
        <v>335.9</v>
      </c>
      <c r="J60" s="200">
        <v>321.7</v>
      </c>
      <c r="K60" s="200">
        <v>328.9</v>
      </c>
      <c r="L60" s="200">
        <v>358.6</v>
      </c>
      <c r="M60" s="200">
        <v>390.3</v>
      </c>
      <c r="N60" s="200">
        <v>417.3</v>
      </c>
      <c r="O60" s="200">
        <v>449</v>
      </c>
      <c r="P60" s="200">
        <v>424.7</v>
      </c>
      <c r="Q60" s="200">
        <v>353.9</v>
      </c>
      <c r="R60" s="200">
        <v>360.5</v>
      </c>
      <c r="S60" s="200">
        <v>386.5</v>
      </c>
      <c r="T60" s="200">
        <v>405.9</v>
      </c>
      <c r="U60" s="200">
        <v>408.3</v>
      </c>
      <c r="V60" s="200">
        <v>362.5</v>
      </c>
      <c r="W60" s="200">
        <v>391.2</v>
      </c>
      <c r="X60" s="200">
        <v>413.7</v>
      </c>
      <c r="Y60" s="200">
        <v>386.3</v>
      </c>
      <c r="Z60" s="200">
        <v>403.7</v>
      </c>
      <c r="AA60" s="200">
        <v>418.2</v>
      </c>
      <c r="AB60" s="200">
        <v>450</v>
      </c>
      <c r="AC60" s="200">
        <v>490.5</v>
      </c>
      <c r="AD60" s="200">
        <v>455.7</v>
      </c>
      <c r="AE60" s="200">
        <v>468.1</v>
      </c>
      <c r="AF60" s="200">
        <v>464.9</v>
      </c>
      <c r="AG60" s="200">
        <v>462.1</v>
      </c>
      <c r="AH60" s="200">
        <v>478.5</v>
      </c>
      <c r="AI60" s="214"/>
      <c r="AJ60" s="214"/>
      <c r="AK60" s="214"/>
      <c r="AL60" s="214"/>
    </row>
    <row r="61" spans="1:38">
      <c r="A61" s="197" t="s">
        <v>221</v>
      </c>
      <c r="B61" s="197" t="s">
        <v>221</v>
      </c>
      <c r="C61" s="200">
        <v>67</v>
      </c>
      <c r="D61" s="200">
        <v>72.8</v>
      </c>
      <c r="E61" s="200">
        <v>71.8</v>
      </c>
      <c r="F61" s="200">
        <v>65.900000000000006</v>
      </c>
      <c r="G61" s="200">
        <v>69.2</v>
      </c>
      <c r="H61" s="200">
        <v>78.2</v>
      </c>
      <c r="I61" s="200">
        <v>77.099999999999994</v>
      </c>
      <c r="J61" s="200">
        <v>70.2</v>
      </c>
      <c r="K61" s="200">
        <v>68.400000000000006</v>
      </c>
      <c r="L61" s="200">
        <v>69.8</v>
      </c>
      <c r="M61" s="200">
        <v>55.8</v>
      </c>
      <c r="N61" s="200">
        <v>59.3</v>
      </c>
      <c r="O61" s="200">
        <v>66.8</v>
      </c>
      <c r="P61" s="200">
        <v>65.599999999999994</v>
      </c>
      <c r="Q61" s="200">
        <v>60.4</v>
      </c>
      <c r="R61" s="200">
        <v>56.8</v>
      </c>
      <c r="S61" s="200">
        <v>54.3</v>
      </c>
      <c r="T61" s="200">
        <v>58.2</v>
      </c>
      <c r="U61" s="200">
        <v>64.3</v>
      </c>
      <c r="V61" s="200">
        <v>59.6</v>
      </c>
      <c r="W61" s="200">
        <v>51.7</v>
      </c>
      <c r="X61" s="200">
        <v>42.7</v>
      </c>
      <c r="Y61" s="200">
        <v>45.5</v>
      </c>
      <c r="Z61" s="200">
        <v>15.9</v>
      </c>
      <c r="AA61" s="200">
        <v>4.7</v>
      </c>
      <c r="AB61" s="200">
        <v>4.3</v>
      </c>
      <c r="AC61" s="200">
        <v>5</v>
      </c>
      <c r="AD61" s="200">
        <v>5</v>
      </c>
      <c r="AE61" s="200">
        <v>4.2</v>
      </c>
      <c r="AF61" s="200">
        <v>4.2</v>
      </c>
      <c r="AG61" s="200">
        <v>6.1</v>
      </c>
      <c r="AH61" s="200">
        <v>6.6</v>
      </c>
      <c r="AI61" s="214"/>
      <c r="AJ61" s="214"/>
      <c r="AK61" s="214"/>
      <c r="AL61" s="214"/>
    </row>
    <row r="62" spans="1:38">
      <c r="A62" s="197" t="s">
        <v>222</v>
      </c>
      <c r="B62" s="197" t="s">
        <v>222</v>
      </c>
      <c r="C62" s="200">
        <v>1124</v>
      </c>
      <c r="D62" s="200">
        <v>1069.7</v>
      </c>
      <c r="E62" s="200">
        <v>948.8</v>
      </c>
      <c r="F62" s="200">
        <v>911.1</v>
      </c>
      <c r="G62" s="200">
        <v>957.7</v>
      </c>
      <c r="H62" s="200">
        <v>1043</v>
      </c>
      <c r="I62" s="200">
        <v>1052</v>
      </c>
      <c r="J62" s="200">
        <v>1036.2</v>
      </c>
      <c r="K62" s="200">
        <v>1043.2</v>
      </c>
      <c r="L62" s="200">
        <v>1060.3</v>
      </c>
      <c r="M62" s="200">
        <v>1074.3</v>
      </c>
      <c r="N62" s="200">
        <v>1131.9000000000001</v>
      </c>
      <c r="O62" s="200">
        <v>1353</v>
      </c>
      <c r="P62" s="200">
        <v>1427.8</v>
      </c>
      <c r="Q62" s="200">
        <v>1428.9</v>
      </c>
      <c r="R62" s="200">
        <v>1469.1</v>
      </c>
      <c r="S62" s="200">
        <v>1607.6</v>
      </c>
      <c r="T62" s="200">
        <v>1672.4</v>
      </c>
      <c r="U62" s="200">
        <v>1662.2</v>
      </c>
      <c r="V62" s="200">
        <v>1703.8</v>
      </c>
      <c r="W62" s="200">
        <v>1723.9</v>
      </c>
      <c r="X62" s="200">
        <v>1733.5</v>
      </c>
      <c r="Y62" s="200">
        <v>1727</v>
      </c>
      <c r="Z62" s="200">
        <v>1731.2</v>
      </c>
      <c r="AA62" s="200">
        <v>1450</v>
      </c>
      <c r="AB62" s="200">
        <v>1325.9</v>
      </c>
      <c r="AC62" s="200">
        <v>1362.2</v>
      </c>
      <c r="AD62" s="200">
        <v>1431.1</v>
      </c>
      <c r="AE62" s="200">
        <v>1448.3</v>
      </c>
      <c r="AF62" s="200">
        <v>1592.5</v>
      </c>
      <c r="AG62" s="200">
        <v>1756.3</v>
      </c>
      <c r="AH62" s="200">
        <v>1750.3</v>
      </c>
      <c r="AI62" s="214"/>
      <c r="AJ62" s="214"/>
      <c r="AK62" s="214"/>
      <c r="AL62" s="214"/>
    </row>
    <row r="63" spans="1:38">
      <c r="A63" s="197" t="s">
        <v>223</v>
      </c>
      <c r="B63" s="197" t="s">
        <v>223</v>
      </c>
      <c r="C63" s="200">
        <v>1589.6</v>
      </c>
      <c r="D63" s="200">
        <v>1753.8</v>
      </c>
      <c r="E63" s="200">
        <v>1937</v>
      </c>
      <c r="F63" s="200">
        <v>1899.3</v>
      </c>
      <c r="G63" s="200">
        <v>1952.7</v>
      </c>
      <c r="H63" s="200">
        <v>2022.2</v>
      </c>
      <c r="I63" s="200">
        <v>2030.5</v>
      </c>
      <c r="J63" s="200">
        <v>2026.7</v>
      </c>
      <c r="K63" s="200">
        <v>1955.5</v>
      </c>
      <c r="L63" s="200">
        <v>2137.9</v>
      </c>
      <c r="M63" s="200">
        <v>2150.4</v>
      </c>
      <c r="N63" s="200">
        <v>2138.1999999999998</v>
      </c>
      <c r="O63" s="200">
        <v>2184.9</v>
      </c>
      <c r="P63" s="200">
        <v>1981.9</v>
      </c>
      <c r="Q63" s="200">
        <v>1973.1</v>
      </c>
      <c r="R63" s="200">
        <v>1761.4</v>
      </c>
      <c r="S63" s="200">
        <v>1828.6</v>
      </c>
      <c r="T63" s="200">
        <v>1887.3</v>
      </c>
      <c r="U63" s="200">
        <v>2133.9</v>
      </c>
      <c r="V63" s="200">
        <v>2038</v>
      </c>
      <c r="W63" s="200">
        <v>2130.9</v>
      </c>
      <c r="X63" s="200">
        <v>2150.1</v>
      </c>
      <c r="Y63" s="200">
        <v>2211.6999999999998</v>
      </c>
      <c r="Z63" s="200">
        <v>2268.1</v>
      </c>
      <c r="AA63" s="200">
        <v>2184.3000000000002</v>
      </c>
      <c r="AB63" s="200">
        <v>2131.1</v>
      </c>
      <c r="AC63" s="200">
        <v>2234.9</v>
      </c>
      <c r="AD63" s="200">
        <v>2242.3000000000002</v>
      </c>
      <c r="AE63" s="200">
        <v>2235.6999999999998</v>
      </c>
      <c r="AF63" s="200">
        <v>2189.9</v>
      </c>
      <c r="AG63" s="200">
        <v>2097.1999999999998</v>
      </c>
      <c r="AH63" s="200">
        <v>2061.5</v>
      </c>
      <c r="AI63" s="214"/>
      <c r="AJ63" s="214"/>
      <c r="AK63" s="214"/>
      <c r="AL63" s="214"/>
    </row>
    <row r="64" spans="1:38">
      <c r="A64" s="197" t="s">
        <v>225</v>
      </c>
      <c r="B64" s="197" t="s">
        <v>225</v>
      </c>
      <c r="C64" s="200">
        <v>0</v>
      </c>
      <c r="D64" s="200">
        <v>0</v>
      </c>
      <c r="E64" s="200">
        <v>0</v>
      </c>
      <c r="F64" s="200">
        <v>0</v>
      </c>
      <c r="G64" s="200">
        <v>0</v>
      </c>
      <c r="H64" s="200">
        <v>0</v>
      </c>
      <c r="I64" s="200">
        <v>0</v>
      </c>
      <c r="J64" s="200">
        <v>0</v>
      </c>
      <c r="K64" s="200">
        <v>0</v>
      </c>
      <c r="L64" s="200">
        <v>0</v>
      </c>
      <c r="M64" s="200">
        <v>0</v>
      </c>
      <c r="N64" s="200">
        <v>0</v>
      </c>
      <c r="O64" s="200">
        <v>0</v>
      </c>
      <c r="P64" s="200">
        <v>0</v>
      </c>
      <c r="Q64" s="200">
        <v>0</v>
      </c>
      <c r="R64" s="200">
        <v>0</v>
      </c>
      <c r="S64" s="200">
        <v>0</v>
      </c>
      <c r="T64" s="200">
        <v>0</v>
      </c>
      <c r="U64" s="200">
        <v>0</v>
      </c>
      <c r="V64" s="200">
        <v>0</v>
      </c>
      <c r="W64" s="200">
        <v>0</v>
      </c>
      <c r="X64" s="200">
        <v>0</v>
      </c>
      <c r="Y64" s="200">
        <v>0</v>
      </c>
      <c r="Z64" s="200">
        <v>0</v>
      </c>
      <c r="AA64" s="200">
        <v>0</v>
      </c>
      <c r="AB64" s="200">
        <v>0</v>
      </c>
      <c r="AC64" s="200">
        <v>0</v>
      </c>
      <c r="AD64" s="200">
        <v>0</v>
      </c>
      <c r="AE64" s="200">
        <v>0</v>
      </c>
      <c r="AF64" s="200">
        <v>0</v>
      </c>
      <c r="AG64" s="200">
        <v>0</v>
      </c>
      <c r="AH64" s="200">
        <v>0</v>
      </c>
      <c r="AI64" s="214"/>
      <c r="AJ64" s="214"/>
      <c r="AK64" s="214"/>
      <c r="AL64" s="214"/>
    </row>
    <row r="65" spans="1:38">
      <c r="A65" s="197" t="s">
        <v>226</v>
      </c>
      <c r="B65" s="197" t="s">
        <v>226</v>
      </c>
      <c r="C65" s="200">
        <v>98.3</v>
      </c>
      <c r="D65" s="200">
        <v>49.8</v>
      </c>
      <c r="E65" s="200">
        <v>40.299999999999997</v>
      </c>
      <c r="F65" s="200">
        <v>40.6</v>
      </c>
      <c r="G65" s="200">
        <v>42.9</v>
      </c>
      <c r="H65" s="200">
        <v>45</v>
      </c>
      <c r="I65" s="200">
        <v>49.5</v>
      </c>
      <c r="J65" s="200">
        <v>46.5</v>
      </c>
      <c r="K65" s="200">
        <v>44.6</v>
      </c>
      <c r="L65" s="200">
        <v>46.9</v>
      </c>
      <c r="M65" s="200">
        <v>55.9</v>
      </c>
      <c r="N65" s="200">
        <v>63.1</v>
      </c>
      <c r="O65" s="200">
        <v>68.7</v>
      </c>
      <c r="P65" s="200">
        <v>66.599999999999994</v>
      </c>
      <c r="Q65" s="200">
        <v>55.1</v>
      </c>
      <c r="R65" s="200">
        <v>54</v>
      </c>
      <c r="S65" s="200">
        <v>66.7</v>
      </c>
      <c r="T65" s="200">
        <v>86.7</v>
      </c>
      <c r="U65" s="200">
        <v>99.6</v>
      </c>
      <c r="V65" s="200">
        <v>103.2</v>
      </c>
      <c r="W65" s="200">
        <v>113.9</v>
      </c>
      <c r="X65" s="200">
        <v>118.1</v>
      </c>
      <c r="Y65" s="200">
        <v>116.5</v>
      </c>
      <c r="Z65" s="200">
        <v>119</v>
      </c>
      <c r="AA65" s="200">
        <v>94.2</v>
      </c>
      <c r="AB65" s="200">
        <v>92.8</v>
      </c>
      <c r="AC65" s="200">
        <v>43.7</v>
      </c>
      <c r="AD65" s="200">
        <v>30</v>
      </c>
      <c r="AE65" s="200">
        <v>31.4</v>
      </c>
      <c r="AF65" s="200">
        <v>36.1</v>
      </c>
      <c r="AG65" s="200">
        <v>45.9</v>
      </c>
      <c r="AH65" s="200">
        <v>76.7</v>
      </c>
      <c r="AI65" s="214"/>
      <c r="AJ65" s="214"/>
      <c r="AK65" s="214"/>
      <c r="AL65" s="214"/>
    </row>
    <row r="66" spans="1:38">
      <c r="A66" s="197" t="s">
        <v>227</v>
      </c>
      <c r="B66" s="197" t="s">
        <v>227</v>
      </c>
      <c r="C66" s="200">
        <v>396.3</v>
      </c>
      <c r="D66" s="200">
        <v>429.8</v>
      </c>
      <c r="E66" s="200">
        <v>446</v>
      </c>
      <c r="F66" s="200">
        <v>428.1</v>
      </c>
      <c r="G66" s="200">
        <v>453</v>
      </c>
      <c r="H66" s="200">
        <v>457</v>
      </c>
      <c r="I66" s="200">
        <v>348.4</v>
      </c>
      <c r="J66" s="200">
        <v>294.89999999999998</v>
      </c>
      <c r="K66" s="200">
        <v>280.89999999999998</v>
      </c>
      <c r="L66" s="200">
        <v>302.2</v>
      </c>
      <c r="M66" s="200">
        <v>328</v>
      </c>
      <c r="N66" s="200">
        <v>327</v>
      </c>
      <c r="O66" s="200">
        <v>256.60000000000002</v>
      </c>
      <c r="P66" s="200">
        <v>247.9</v>
      </c>
      <c r="Q66" s="200">
        <v>159.30000000000001</v>
      </c>
      <c r="R66" s="200">
        <v>135.30000000000001</v>
      </c>
      <c r="S66" s="200">
        <v>147.9</v>
      </c>
      <c r="T66" s="200">
        <v>163.4</v>
      </c>
      <c r="U66" s="200">
        <v>157.1</v>
      </c>
      <c r="V66" s="200">
        <v>129.1</v>
      </c>
      <c r="W66" s="200">
        <v>125.4</v>
      </c>
      <c r="X66" s="200">
        <v>135</v>
      </c>
      <c r="Y66" s="200">
        <v>141.19999999999999</v>
      </c>
      <c r="Z66" s="200">
        <v>141.5</v>
      </c>
      <c r="AA66" s="200">
        <v>120.1</v>
      </c>
      <c r="AB66" s="200">
        <v>124.5</v>
      </c>
      <c r="AC66" s="200">
        <v>142.69999999999999</v>
      </c>
      <c r="AD66" s="200">
        <v>156.69999999999999</v>
      </c>
      <c r="AE66" s="200">
        <v>158.9</v>
      </c>
      <c r="AF66" s="200">
        <v>167.5</v>
      </c>
      <c r="AG66" s="200">
        <v>175.9</v>
      </c>
      <c r="AH66" s="200">
        <v>167</v>
      </c>
      <c r="AI66" s="214"/>
      <c r="AJ66" s="214"/>
      <c r="AK66" s="214"/>
      <c r="AL66" s="214"/>
    </row>
    <row r="67" spans="1:38">
      <c r="A67" s="197" t="s">
        <v>228</v>
      </c>
      <c r="B67" s="197" t="s">
        <v>228</v>
      </c>
      <c r="C67" s="200">
        <v>38.700000000000003</v>
      </c>
      <c r="D67" s="200">
        <v>34.5</v>
      </c>
      <c r="E67" s="200">
        <v>29.1</v>
      </c>
      <c r="F67" s="200">
        <v>17.399999999999999</v>
      </c>
      <c r="G67" s="200">
        <v>15.9</v>
      </c>
      <c r="H67" s="200">
        <v>14.5</v>
      </c>
      <c r="I67" s="200">
        <v>15.6</v>
      </c>
      <c r="J67" s="200">
        <v>16.600000000000001</v>
      </c>
      <c r="K67" s="200">
        <v>15.3</v>
      </c>
      <c r="L67" s="200">
        <v>14.5</v>
      </c>
      <c r="M67" s="200">
        <v>14.3</v>
      </c>
      <c r="N67" s="200">
        <v>12.3</v>
      </c>
      <c r="O67" s="200">
        <v>11.7</v>
      </c>
      <c r="P67" s="200">
        <v>10.7</v>
      </c>
      <c r="Q67" s="200">
        <v>10.5</v>
      </c>
      <c r="R67" s="200">
        <v>9.1999999999999993</v>
      </c>
      <c r="S67" s="200">
        <v>10.1</v>
      </c>
      <c r="T67" s="200">
        <v>10</v>
      </c>
      <c r="U67" s="200">
        <v>10.8</v>
      </c>
      <c r="V67" s="200">
        <v>10.199999999999999</v>
      </c>
      <c r="W67" s="200">
        <v>10.7</v>
      </c>
      <c r="X67" s="200">
        <v>10.6</v>
      </c>
      <c r="Y67" s="200">
        <v>10.1</v>
      </c>
      <c r="Z67" s="200">
        <v>9.1999999999999993</v>
      </c>
      <c r="AA67" s="200">
        <v>9.1999999999999993</v>
      </c>
      <c r="AB67" s="200">
        <v>8.6999999999999993</v>
      </c>
      <c r="AC67" s="200">
        <v>8.4</v>
      </c>
      <c r="AD67" s="200">
        <v>8.6999999999999993</v>
      </c>
      <c r="AE67" s="200">
        <v>8.1</v>
      </c>
      <c r="AF67" s="200">
        <v>9.1999999999999993</v>
      </c>
      <c r="AG67" s="200">
        <v>10.5</v>
      </c>
      <c r="AH67" s="200">
        <v>10.5</v>
      </c>
      <c r="AI67" s="214"/>
      <c r="AJ67" s="214"/>
      <c r="AK67" s="214"/>
      <c r="AL67" s="214"/>
    </row>
    <row r="68" spans="1:38">
      <c r="A68" s="197" t="s">
        <v>229</v>
      </c>
      <c r="B68" s="197" t="s">
        <v>229</v>
      </c>
      <c r="C68" s="200">
        <v>463.4</v>
      </c>
      <c r="D68" s="200">
        <v>442.1</v>
      </c>
      <c r="E68" s="200">
        <v>475.9</v>
      </c>
      <c r="F68" s="200">
        <v>457.2</v>
      </c>
      <c r="G68" s="200">
        <v>500.8</v>
      </c>
      <c r="H68" s="200">
        <v>521</v>
      </c>
      <c r="I68" s="200">
        <v>546.70000000000005</v>
      </c>
      <c r="J68" s="200">
        <v>543.5</v>
      </c>
      <c r="K68" s="200">
        <v>547.70000000000005</v>
      </c>
      <c r="L68" s="200">
        <v>581.5</v>
      </c>
      <c r="M68" s="200">
        <v>588</v>
      </c>
      <c r="N68" s="200">
        <v>642.4</v>
      </c>
      <c r="O68" s="200">
        <v>625.5</v>
      </c>
      <c r="P68" s="200">
        <v>572.79999999999995</v>
      </c>
      <c r="Q68" s="200">
        <v>449</v>
      </c>
      <c r="R68" s="200">
        <v>312.7</v>
      </c>
      <c r="S68" s="200">
        <v>225.4</v>
      </c>
      <c r="T68" s="200">
        <v>179</v>
      </c>
      <c r="U68" s="200">
        <v>231.5</v>
      </c>
      <c r="V68" s="200">
        <v>227.9</v>
      </c>
      <c r="W68" s="200">
        <v>204.1</v>
      </c>
      <c r="X68" s="200">
        <v>93.2</v>
      </c>
      <c r="Y68" s="200">
        <v>43.8</v>
      </c>
      <c r="Z68" s="200">
        <v>45.6</v>
      </c>
      <c r="AA68" s="200">
        <v>43.5</v>
      </c>
      <c r="AB68" s="200">
        <v>46.6</v>
      </c>
      <c r="AC68" s="200">
        <v>53.7</v>
      </c>
      <c r="AD68" s="200">
        <v>148</v>
      </c>
      <c r="AE68" s="200">
        <v>310.8</v>
      </c>
      <c r="AF68" s="200">
        <v>365.7</v>
      </c>
      <c r="AG68" s="200">
        <v>396</v>
      </c>
      <c r="AH68" s="200">
        <v>404.1</v>
      </c>
      <c r="AI68" s="214"/>
      <c r="AJ68" s="214"/>
      <c r="AK68" s="214"/>
      <c r="AL68" s="214"/>
    </row>
    <row r="69" spans="1:38">
      <c r="A69" s="197" t="s">
        <v>230</v>
      </c>
      <c r="B69" s="197" t="s">
        <v>230</v>
      </c>
      <c r="C69" s="200">
        <v>2471.4</v>
      </c>
      <c r="D69" s="200">
        <v>2363.6999999999998</v>
      </c>
      <c r="E69" s="200">
        <v>2385.8000000000002</v>
      </c>
      <c r="F69" s="200">
        <v>2255.6</v>
      </c>
      <c r="G69" s="200">
        <v>2575.4</v>
      </c>
      <c r="H69" s="200">
        <v>2608.3000000000002</v>
      </c>
      <c r="I69" s="200">
        <v>2430.3000000000002</v>
      </c>
      <c r="J69" s="200">
        <v>2393.6999999999998</v>
      </c>
      <c r="K69" s="200">
        <v>2570.6999999999998</v>
      </c>
      <c r="L69" s="200">
        <v>2606.1</v>
      </c>
      <c r="M69" s="200">
        <v>2681.2</v>
      </c>
      <c r="N69" s="200">
        <v>2648.7</v>
      </c>
      <c r="O69" s="200">
        <v>2625.5</v>
      </c>
      <c r="P69" s="200">
        <v>2494.9</v>
      </c>
      <c r="Q69" s="200">
        <v>2647.2</v>
      </c>
      <c r="R69" s="200">
        <v>2675.9</v>
      </c>
      <c r="S69" s="200">
        <v>2737.4</v>
      </c>
      <c r="T69" s="200">
        <v>2861.5</v>
      </c>
      <c r="U69" s="200">
        <v>3029.4</v>
      </c>
      <c r="V69" s="200">
        <v>2826.6</v>
      </c>
      <c r="W69" s="200">
        <v>2715.5</v>
      </c>
      <c r="X69" s="200">
        <v>2757.1</v>
      </c>
      <c r="Y69" s="200">
        <v>2976.5</v>
      </c>
      <c r="Z69" s="200">
        <v>3045.8</v>
      </c>
      <c r="AA69" s="200">
        <v>3029</v>
      </c>
      <c r="AB69" s="200">
        <v>3282.9</v>
      </c>
      <c r="AC69" s="200">
        <v>3372.2</v>
      </c>
      <c r="AD69" s="200">
        <v>3378.9</v>
      </c>
      <c r="AE69" s="200">
        <v>3400</v>
      </c>
      <c r="AF69" s="200">
        <v>3482.6</v>
      </c>
      <c r="AG69" s="200">
        <v>3524</v>
      </c>
      <c r="AH69" s="200">
        <v>3296</v>
      </c>
      <c r="AI69" s="214"/>
      <c r="AJ69" s="214"/>
      <c r="AK69" s="214"/>
      <c r="AL69" s="214"/>
    </row>
    <row r="70" spans="1:38">
      <c r="A70" s="197" t="s">
        <v>231</v>
      </c>
      <c r="B70" s="197" t="s">
        <v>231</v>
      </c>
      <c r="C70" s="200">
        <v>722.5</v>
      </c>
      <c r="D70" s="200">
        <v>727.7</v>
      </c>
      <c r="E70" s="200">
        <v>894.2</v>
      </c>
      <c r="F70" s="200">
        <v>810.5</v>
      </c>
      <c r="G70" s="200">
        <v>735.8</v>
      </c>
      <c r="H70" s="200">
        <v>709.7</v>
      </c>
      <c r="I70" s="200">
        <v>817</v>
      </c>
      <c r="J70" s="200">
        <v>971.1</v>
      </c>
      <c r="K70" s="200">
        <v>1229.0999999999999</v>
      </c>
      <c r="L70" s="200">
        <v>1218.4000000000001</v>
      </c>
      <c r="M70" s="200">
        <v>1266.0999999999999</v>
      </c>
      <c r="N70" s="200">
        <v>1317.3</v>
      </c>
      <c r="O70" s="200">
        <v>1383.2</v>
      </c>
      <c r="P70" s="200">
        <v>1420.3</v>
      </c>
      <c r="Q70" s="200">
        <v>1438.1</v>
      </c>
      <c r="R70" s="200">
        <v>1436.9</v>
      </c>
      <c r="S70" s="200">
        <v>1500.5</v>
      </c>
      <c r="T70" s="200">
        <v>1564.3</v>
      </c>
      <c r="U70" s="200">
        <v>1679.8</v>
      </c>
      <c r="V70" s="200">
        <v>1735.4</v>
      </c>
      <c r="W70" s="200">
        <v>1742.4</v>
      </c>
      <c r="X70" s="200">
        <v>1753.4</v>
      </c>
      <c r="Y70" s="200">
        <v>1754.2</v>
      </c>
      <c r="Z70" s="200">
        <v>1763.5</v>
      </c>
      <c r="AA70" s="200">
        <v>1775.3</v>
      </c>
      <c r="AB70" s="200">
        <v>1827.9</v>
      </c>
      <c r="AC70" s="200">
        <v>1833.4</v>
      </c>
      <c r="AD70" s="200">
        <v>1896.8</v>
      </c>
      <c r="AE70" s="200">
        <v>1811.7</v>
      </c>
      <c r="AF70" s="200">
        <v>1824.7</v>
      </c>
      <c r="AG70" s="200">
        <v>1841.7</v>
      </c>
      <c r="AH70" s="200">
        <v>1876.7</v>
      </c>
      <c r="AI70" s="214"/>
      <c r="AJ70" s="214"/>
      <c r="AK70" s="214"/>
      <c r="AL70" s="214"/>
    </row>
    <row r="71" spans="1:38">
      <c r="A71" s="197" t="s">
        <v>265</v>
      </c>
      <c r="B71" s="197" t="s">
        <v>265</v>
      </c>
      <c r="C71" s="200">
        <v>6151</v>
      </c>
      <c r="D71" s="200">
        <v>6412.8</v>
      </c>
      <c r="E71" s="200">
        <v>6744.8</v>
      </c>
      <c r="F71" s="200">
        <v>6643.3</v>
      </c>
      <c r="G71" s="200">
        <v>7152.4</v>
      </c>
      <c r="H71" s="200">
        <v>6947.3</v>
      </c>
      <c r="I71" s="200">
        <v>5795.3</v>
      </c>
      <c r="J71" s="200">
        <v>5390.7</v>
      </c>
      <c r="K71" s="200">
        <v>6182.6</v>
      </c>
      <c r="L71" s="200">
        <v>6305.7</v>
      </c>
      <c r="M71" s="200">
        <v>5947</v>
      </c>
      <c r="N71" s="200">
        <v>5975.8</v>
      </c>
      <c r="O71" s="200">
        <v>6224.7</v>
      </c>
      <c r="P71" s="200">
        <v>6422.2</v>
      </c>
      <c r="Q71" s="200">
        <v>6573.8</v>
      </c>
      <c r="R71" s="200">
        <v>6481.6</v>
      </c>
      <c r="S71" s="200">
        <v>6539.7</v>
      </c>
      <c r="T71" s="200">
        <v>6597.9</v>
      </c>
      <c r="U71" s="200">
        <v>7067.8</v>
      </c>
      <c r="V71" s="200">
        <v>6965.5</v>
      </c>
      <c r="W71" s="200">
        <v>6570.2</v>
      </c>
      <c r="X71" s="200">
        <v>6591.8</v>
      </c>
      <c r="Y71" s="200">
        <v>6638.2</v>
      </c>
      <c r="Z71" s="200">
        <v>6571.9</v>
      </c>
      <c r="AA71" s="200">
        <v>6597.1</v>
      </c>
      <c r="AB71" s="200">
        <v>6969</v>
      </c>
      <c r="AC71" s="200">
        <v>7055.2</v>
      </c>
      <c r="AD71" s="200">
        <v>7229.5</v>
      </c>
      <c r="AE71" s="200">
        <v>7700.5</v>
      </c>
      <c r="AF71" s="200">
        <v>8624</v>
      </c>
      <c r="AG71" s="200">
        <v>8960.4</v>
      </c>
      <c r="AH71" s="200">
        <v>8797.5</v>
      </c>
      <c r="AI71" s="214"/>
      <c r="AJ71" s="214"/>
      <c r="AK71" s="214"/>
      <c r="AL71" s="214"/>
    </row>
    <row r="72" spans="1:38">
      <c r="A72" s="197" t="s">
        <v>273</v>
      </c>
      <c r="B72" s="197" t="s">
        <v>273</v>
      </c>
      <c r="C72" s="200">
        <v>4621.3</v>
      </c>
      <c r="D72" s="200">
        <v>4477.2</v>
      </c>
      <c r="E72" s="200">
        <v>4508.3999999999996</v>
      </c>
      <c r="F72" s="200">
        <v>4548.1000000000004</v>
      </c>
      <c r="G72" s="200">
        <v>5251.8</v>
      </c>
      <c r="H72" s="200">
        <v>5376.9</v>
      </c>
      <c r="I72" s="200">
        <v>5231.8999999999996</v>
      </c>
      <c r="J72" s="200">
        <v>5444.2</v>
      </c>
      <c r="K72" s="200">
        <v>5742.5</v>
      </c>
      <c r="L72" s="200">
        <v>6197.9</v>
      </c>
      <c r="M72" s="200">
        <v>6340</v>
      </c>
      <c r="N72" s="200">
        <v>5620.2</v>
      </c>
      <c r="O72" s="200">
        <v>5883.3</v>
      </c>
      <c r="P72" s="200">
        <v>5726.8</v>
      </c>
      <c r="Q72" s="200">
        <v>5602.3</v>
      </c>
      <c r="R72" s="200">
        <v>5811.3</v>
      </c>
      <c r="S72" s="200">
        <v>6134.5</v>
      </c>
      <c r="T72" s="200">
        <v>6224.7</v>
      </c>
      <c r="U72" s="200">
        <v>5349.6</v>
      </c>
      <c r="V72" s="200">
        <v>5283.2</v>
      </c>
      <c r="W72" s="200">
        <v>5380</v>
      </c>
      <c r="X72" s="200">
        <v>5341.1</v>
      </c>
      <c r="Y72" s="200">
        <v>5274.2</v>
      </c>
      <c r="Z72" s="200">
        <v>5388.1</v>
      </c>
      <c r="AA72" s="200">
        <v>5073.2</v>
      </c>
      <c r="AB72" s="200">
        <v>5038.8</v>
      </c>
      <c r="AC72" s="200">
        <v>5418.2</v>
      </c>
      <c r="AD72" s="200">
        <v>5691.3</v>
      </c>
      <c r="AE72" s="200">
        <v>5875.3</v>
      </c>
      <c r="AF72" s="200">
        <v>5585.8</v>
      </c>
      <c r="AG72" s="200">
        <v>6028</v>
      </c>
      <c r="AH72" s="200">
        <v>6156</v>
      </c>
      <c r="AI72" s="214"/>
      <c r="AJ72" s="214"/>
      <c r="AK72" s="214"/>
      <c r="AL72" s="214"/>
    </row>
    <row r="73" spans="1:38">
      <c r="A73" s="197" t="s">
        <v>274</v>
      </c>
      <c r="B73" s="197" t="s">
        <v>274</v>
      </c>
      <c r="C73" s="200">
        <v>562.4</v>
      </c>
      <c r="D73" s="200">
        <v>584</v>
      </c>
      <c r="E73" s="200">
        <v>560</v>
      </c>
      <c r="F73" s="200">
        <v>544.20000000000005</v>
      </c>
      <c r="G73" s="200">
        <v>581.9</v>
      </c>
      <c r="H73" s="200">
        <v>620</v>
      </c>
      <c r="I73" s="200">
        <v>512.6</v>
      </c>
      <c r="J73" s="200">
        <v>448.6</v>
      </c>
      <c r="K73" s="200">
        <v>513.20000000000005</v>
      </c>
      <c r="L73" s="200">
        <v>476</v>
      </c>
      <c r="M73" s="200">
        <v>437.1</v>
      </c>
      <c r="N73" s="200">
        <v>430.7</v>
      </c>
      <c r="O73" s="200">
        <v>448</v>
      </c>
      <c r="P73" s="200">
        <v>470.7</v>
      </c>
      <c r="Q73" s="200">
        <v>501</v>
      </c>
      <c r="R73" s="200">
        <v>472.2</v>
      </c>
      <c r="S73" s="200">
        <v>499.1</v>
      </c>
      <c r="T73" s="200">
        <v>563</v>
      </c>
      <c r="U73" s="200">
        <v>588.1</v>
      </c>
      <c r="V73" s="200">
        <v>568.70000000000005</v>
      </c>
      <c r="W73" s="200">
        <v>560.70000000000005</v>
      </c>
      <c r="X73" s="200">
        <v>553.6</v>
      </c>
      <c r="Y73" s="200">
        <v>547.29999999999995</v>
      </c>
      <c r="Z73" s="200">
        <v>517.70000000000005</v>
      </c>
      <c r="AA73" s="200">
        <v>512.79999999999995</v>
      </c>
      <c r="AB73" s="200">
        <v>558.1</v>
      </c>
      <c r="AC73" s="200">
        <v>555.79999999999995</v>
      </c>
      <c r="AD73" s="200">
        <v>544.20000000000005</v>
      </c>
      <c r="AE73" s="200">
        <v>550.1</v>
      </c>
      <c r="AF73" s="200">
        <v>578.29999999999995</v>
      </c>
      <c r="AG73" s="200">
        <v>624.79999999999995</v>
      </c>
      <c r="AH73" s="200">
        <v>620.1</v>
      </c>
      <c r="AI73" s="214"/>
      <c r="AJ73" s="214"/>
      <c r="AK73" s="214"/>
      <c r="AL73" s="214"/>
    </row>
    <row r="74" spans="1:38">
      <c r="A74" s="197" t="s">
        <v>232</v>
      </c>
      <c r="B74" s="197" t="s">
        <v>232</v>
      </c>
      <c r="C74" s="200">
        <v>37.1</v>
      </c>
      <c r="D74" s="200">
        <v>31.8</v>
      </c>
      <c r="E74" s="200">
        <v>29.7</v>
      </c>
      <c r="F74" s="200">
        <v>27</v>
      </c>
      <c r="G74" s="200">
        <v>25.8</v>
      </c>
      <c r="H74" s="200">
        <v>25.8</v>
      </c>
      <c r="I74" s="200">
        <v>28.2</v>
      </c>
      <c r="J74" s="200">
        <v>24</v>
      </c>
      <c r="K74" s="200">
        <v>21.6</v>
      </c>
      <c r="L74" s="200">
        <v>19.100000000000001</v>
      </c>
      <c r="M74" s="200">
        <v>17.3</v>
      </c>
      <c r="N74" s="200">
        <v>17.100000000000001</v>
      </c>
      <c r="O74" s="200">
        <v>16.600000000000001</v>
      </c>
      <c r="P74" s="200">
        <v>15.1</v>
      </c>
      <c r="Q74" s="200">
        <v>13.2</v>
      </c>
      <c r="R74" s="200">
        <v>12.1</v>
      </c>
      <c r="S74" s="200">
        <v>8.9</v>
      </c>
      <c r="T74" s="200">
        <v>7.5</v>
      </c>
      <c r="U74" s="200">
        <v>7.2</v>
      </c>
      <c r="V74" s="200">
        <v>6.4</v>
      </c>
      <c r="W74" s="200">
        <v>5.9</v>
      </c>
      <c r="X74" s="200">
        <v>6</v>
      </c>
      <c r="Y74" s="200">
        <v>5.2</v>
      </c>
      <c r="Z74" s="200">
        <v>4.9000000000000004</v>
      </c>
      <c r="AA74" s="200">
        <v>5.0999999999999996</v>
      </c>
      <c r="AB74" s="200">
        <v>5.6</v>
      </c>
      <c r="AC74" s="200">
        <v>5.0999999999999996</v>
      </c>
      <c r="AD74" s="200">
        <v>4.4000000000000004</v>
      </c>
      <c r="AE74" s="200">
        <v>4.4000000000000004</v>
      </c>
      <c r="AF74" s="200">
        <v>4.0999999999999996</v>
      </c>
      <c r="AG74" s="200">
        <v>5</v>
      </c>
      <c r="AH74" s="200">
        <v>4.5999999999999996</v>
      </c>
      <c r="AI74" s="214"/>
      <c r="AJ74" s="214"/>
      <c r="AK74" s="214"/>
      <c r="AL74" s="214"/>
    </row>
    <row r="75" spans="1:38">
      <c r="A75" s="197" t="s">
        <v>234</v>
      </c>
      <c r="B75" s="197" t="s">
        <v>234</v>
      </c>
      <c r="C75" s="200">
        <v>0</v>
      </c>
      <c r="D75" s="200">
        <v>0</v>
      </c>
      <c r="E75" s="200">
        <v>0</v>
      </c>
      <c r="F75" s="200">
        <v>0</v>
      </c>
      <c r="G75" s="200">
        <v>0</v>
      </c>
      <c r="H75" s="200">
        <v>0</v>
      </c>
      <c r="I75" s="200">
        <v>0</v>
      </c>
      <c r="J75" s="200">
        <v>0</v>
      </c>
      <c r="K75" s="200">
        <v>0</v>
      </c>
      <c r="L75" s="200">
        <v>0</v>
      </c>
      <c r="M75" s="200">
        <v>0</v>
      </c>
      <c r="N75" s="200">
        <v>0</v>
      </c>
      <c r="O75" s="200">
        <v>0</v>
      </c>
      <c r="P75" s="200">
        <v>0</v>
      </c>
      <c r="Q75" s="200">
        <v>0</v>
      </c>
      <c r="R75" s="200">
        <v>0</v>
      </c>
      <c r="S75" s="200">
        <v>0</v>
      </c>
      <c r="T75" s="200">
        <v>37.9</v>
      </c>
      <c r="U75" s="200">
        <v>36.9</v>
      </c>
      <c r="V75" s="200">
        <v>39.200000000000003</v>
      </c>
      <c r="W75" s="200">
        <v>38</v>
      </c>
      <c r="X75" s="200">
        <v>35.9</v>
      </c>
      <c r="Y75" s="200">
        <v>31.2</v>
      </c>
      <c r="Z75" s="200">
        <v>30.5</v>
      </c>
      <c r="AA75" s="200">
        <v>31.1</v>
      </c>
      <c r="AB75" s="200">
        <v>34.200000000000003</v>
      </c>
      <c r="AC75" s="200">
        <v>35.9</v>
      </c>
      <c r="AD75" s="200">
        <v>36.200000000000003</v>
      </c>
      <c r="AE75" s="200">
        <v>37.200000000000003</v>
      </c>
      <c r="AF75" s="200">
        <v>35.9</v>
      </c>
      <c r="AG75" s="200">
        <v>35.6</v>
      </c>
      <c r="AH75" s="200">
        <v>36</v>
      </c>
      <c r="AI75" s="214"/>
      <c r="AJ75" s="214"/>
      <c r="AK75" s="214"/>
      <c r="AL75" s="214"/>
    </row>
    <row r="76" spans="1:38">
      <c r="A76" s="197" t="s">
        <v>236</v>
      </c>
      <c r="B76" s="197" t="s">
        <v>236</v>
      </c>
      <c r="C76" s="200">
        <v>996.4</v>
      </c>
      <c r="D76" s="200">
        <v>934.6</v>
      </c>
      <c r="E76" s="200">
        <v>903.4</v>
      </c>
      <c r="F76" s="200">
        <v>877.2</v>
      </c>
      <c r="G76" s="200">
        <v>998.1</v>
      </c>
      <c r="H76" s="200">
        <v>1046.5999999999999</v>
      </c>
      <c r="I76" s="200">
        <v>1027.7</v>
      </c>
      <c r="J76" s="200">
        <v>960.7</v>
      </c>
      <c r="K76" s="200">
        <v>617.29999999999995</v>
      </c>
      <c r="L76" s="200">
        <v>352.3</v>
      </c>
      <c r="M76" s="200">
        <v>357.6</v>
      </c>
      <c r="N76" s="200">
        <v>386.2</v>
      </c>
      <c r="O76" s="200">
        <v>420.7</v>
      </c>
      <c r="P76" s="200">
        <v>401.3</v>
      </c>
      <c r="Q76" s="200">
        <v>381.8</v>
      </c>
      <c r="R76" s="200">
        <v>391.8</v>
      </c>
      <c r="S76" s="200">
        <v>455.5</v>
      </c>
      <c r="T76" s="200">
        <v>495.5</v>
      </c>
      <c r="U76" s="200">
        <v>524.1</v>
      </c>
      <c r="V76" s="200">
        <v>522.6</v>
      </c>
      <c r="W76" s="200">
        <v>524.70000000000005</v>
      </c>
      <c r="X76" s="200">
        <v>508.8</v>
      </c>
      <c r="Y76" s="200">
        <v>495.8</v>
      </c>
      <c r="Z76" s="200">
        <v>479.9</v>
      </c>
      <c r="AA76" s="200">
        <v>466</v>
      </c>
      <c r="AB76" s="200">
        <v>447.5</v>
      </c>
      <c r="AC76" s="200">
        <v>482.8</v>
      </c>
      <c r="AD76" s="200">
        <v>588.1</v>
      </c>
      <c r="AE76" s="200">
        <v>987.9</v>
      </c>
      <c r="AF76" s="200">
        <v>1071</v>
      </c>
      <c r="AG76" s="200">
        <v>1242.3</v>
      </c>
      <c r="AH76" s="200">
        <v>1273.4000000000001</v>
      </c>
      <c r="AI76" s="214"/>
      <c r="AJ76" s="214"/>
      <c r="AK76" s="214"/>
      <c r="AL76" s="214"/>
    </row>
    <row r="77" spans="1:38">
      <c r="A77" s="197" t="s">
        <v>237</v>
      </c>
      <c r="B77" s="197" t="s">
        <v>237</v>
      </c>
      <c r="C77" s="200">
        <v>1715.1</v>
      </c>
      <c r="D77" s="200">
        <v>2091.4</v>
      </c>
      <c r="E77" s="200">
        <v>2249.1999999999998</v>
      </c>
      <c r="F77" s="200">
        <v>2239.3000000000002</v>
      </c>
      <c r="G77" s="200">
        <v>2066.5</v>
      </c>
      <c r="H77" s="200">
        <v>2043.3</v>
      </c>
      <c r="I77" s="200">
        <v>2054.5</v>
      </c>
      <c r="J77" s="200">
        <v>2068.9</v>
      </c>
      <c r="K77" s="200">
        <v>1973.6</v>
      </c>
      <c r="L77" s="200">
        <v>2063.6</v>
      </c>
      <c r="M77" s="200">
        <v>2024.1</v>
      </c>
      <c r="N77" s="200">
        <v>2137.8000000000002</v>
      </c>
      <c r="O77" s="200">
        <v>2275.1</v>
      </c>
      <c r="P77" s="200">
        <v>2321.6</v>
      </c>
      <c r="Q77" s="200">
        <v>2294.5</v>
      </c>
      <c r="R77" s="200">
        <v>2290.5</v>
      </c>
      <c r="S77" s="200">
        <v>2387.8000000000002</v>
      </c>
      <c r="T77" s="200">
        <v>2441.9</v>
      </c>
      <c r="U77" s="200">
        <v>2584.6</v>
      </c>
      <c r="V77" s="200">
        <v>2582.8000000000002</v>
      </c>
      <c r="W77" s="200">
        <v>2710.6</v>
      </c>
      <c r="X77" s="200">
        <v>2755.1</v>
      </c>
      <c r="Y77" s="200">
        <v>2808.4</v>
      </c>
      <c r="Z77" s="200">
        <v>2683</v>
      </c>
      <c r="AA77" s="200">
        <v>2506.6</v>
      </c>
      <c r="AB77" s="200">
        <v>2593.8000000000002</v>
      </c>
      <c r="AC77" s="200">
        <v>2557.1</v>
      </c>
      <c r="AD77" s="200">
        <v>2754</v>
      </c>
      <c r="AE77" s="200">
        <v>2818.3</v>
      </c>
      <c r="AF77" s="200">
        <v>2855.4</v>
      </c>
      <c r="AG77" s="200">
        <v>2848.4</v>
      </c>
      <c r="AH77" s="200">
        <v>3028.9</v>
      </c>
      <c r="AI77" s="214"/>
      <c r="AJ77" s="214"/>
      <c r="AK77" s="214"/>
      <c r="AL77" s="214"/>
    </row>
    <row r="78" spans="1:38">
      <c r="A78" s="197" t="s">
        <v>238</v>
      </c>
      <c r="B78" s="197" t="s">
        <v>238</v>
      </c>
      <c r="C78" s="200">
        <v>396.7</v>
      </c>
      <c r="D78" s="200">
        <v>371.7</v>
      </c>
      <c r="E78" s="200">
        <v>356</v>
      </c>
      <c r="F78" s="200">
        <v>308.89999999999998</v>
      </c>
      <c r="G78" s="200">
        <v>319.60000000000002</v>
      </c>
      <c r="H78" s="200">
        <v>304.2</v>
      </c>
      <c r="I78" s="200">
        <v>275.8</v>
      </c>
      <c r="J78" s="200">
        <v>291.3</v>
      </c>
      <c r="K78" s="200">
        <v>295.39999999999998</v>
      </c>
      <c r="L78" s="200">
        <v>295.10000000000002</v>
      </c>
      <c r="M78" s="200">
        <v>279.39999999999998</v>
      </c>
      <c r="N78" s="200">
        <v>291.5</v>
      </c>
      <c r="O78" s="200">
        <v>294.89999999999998</v>
      </c>
      <c r="P78" s="200">
        <v>300.2</v>
      </c>
      <c r="Q78" s="200">
        <v>298.3</v>
      </c>
      <c r="R78" s="200">
        <v>290.5</v>
      </c>
      <c r="S78" s="200">
        <v>290.10000000000002</v>
      </c>
      <c r="T78" s="200">
        <v>78.7</v>
      </c>
      <c r="U78" s="200">
        <v>15.5</v>
      </c>
      <c r="V78" s="200">
        <v>25.9</v>
      </c>
      <c r="W78" s="200">
        <v>23.6</v>
      </c>
      <c r="X78" s="200">
        <v>25.8</v>
      </c>
      <c r="Y78" s="200">
        <v>26.6</v>
      </c>
      <c r="Z78" s="200">
        <v>13.8</v>
      </c>
      <c r="AA78" s="200">
        <v>6.5</v>
      </c>
      <c r="AB78" s="200">
        <v>5.8</v>
      </c>
      <c r="AC78" s="200">
        <v>6</v>
      </c>
      <c r="AD78" s="200">
        <v>6.2</v>
      </c>
      <c r="AE78" s="200">
        <v>6.8</v>
      </c>
      <c r="AF78" s="200">
        <v>6.7</v>
      </c>
      <c r="AG78" s="200">
        <v>8.4</v>
      </c>
      <c r="AH78" s="200">
        <v>8.6999999999999993</v>
      </c>
      <c r="AI78" s="214"/>
      <c r="AJ78" s="214"/>
      <c r="AK78" s="214"/>
      <c r="AL78" s="214"/>
    </row>
    <row r="79" spans="1:38">
      <c r="A79" s="197" t="s">
        <v>239</v>
      </c>
      <c r="B79" s="197" t="s">
        <v>239</v>
      </c>
      <c r="C79" s="200">
        <v>677.4</v>
      </c>
      <c r="D79" s="200">
        <v>516.9</v>
      </c>
      <c r="E79" s="200">
        <v>583.79999999999995</v>
      </c>
      <c r="F79" s="200">
        <v>678.3</v>
      </c>
      <c r="G79" s="200">
        <v>441</v>
      </c>
      <c r="H79" s="200">
        <v>635.20000000000005</v>
      </c>
      <c r="I79" s="200">
        <v>726.4</v>
      </c>
      <c r="J79" s="200">
        <v>736.8</v>
      </c>
      <c r="K79" s="200">
        <v>797</v>
      </c>
      <c r="L79" s="200">
        <v>811.7</v>
      </c>
      <c r="M79" s="200">
        <v>787</v>
      </c>
      <c r="N79" s="200">
        <v>636.4</v>
      </c>
      <c r="O79" s="200">
        <v>436.4</v>
      </c>
      <c r="P79" s="200">
        <v>447.3</v>
      </c>
      <c r="Q79" s="200">
        <v>451.5</v>
      </c>
      <c r="R79" s="200">
        <v>484.5</v>
      </c>
      <c r="S79" s="200">
        <v>948.2</v>
      </c>
      <c r="T79" s="200">
        <v>1500.2</v>
      </c>
      <c r="U79" s="200">
        <v>1690.8</v>
      </c>
      <c r="V79" s="200">
        <v>1737.6</v>
      </c>
      <c r="W79" s="200">
        <v>1697.9</v>
      </c>
      <c r="X79" s="200">
        <v>1755.5</v>
      </c>
      <c r="Y79" s="200">
        <v>1765.6</v>
      </c>
      <c r="Z79" s="200">
        <v>1832.9</v>
      </c>
      <c r="AA79" s="200">
        <v>1886.7</v>
      </c>
      <c r="AB79" s="200">
        <v>1951.3</v>
      </c>
      <c r="AC79" s="200">
        <v>2002.7</v>
      </c>
      <c r="AD79" s="200">
        <v>2041.5</v>
      </c>
      <c r="AE79" s="200">
        <v>1995.6</v>
      </c>
      <c r="AF79" s="200">
        <v>1953.7</v>
      </c>
      <c r="AG79" s="200">
        <v>1959.8</v>
      </c>
      <c r="AH79" s="200">
        <v>1997</v>
      </c>
      <c r="AI79" s="214"/>
      <c r="AJ79" s="214"/>
      <c r="AK79" s="214"/>
      <c r="AL79" s="214"/>
    </row>
    <row r="80" spans="1:38">
      <c r="A80" s="197" t="s">
        <v>275</v>
      </c>
      <c r="B80" s="197" t="s">
        <v>275</v>
      </c>
      <c r="C80" s="200">
        <v>20.6</v>
      </c>
      <c r="D80" s="200">
        <v>16.600000000000001</v>
      </c>
      <c r="E80" s="200">
        <v>17.2</v>
      </c>
      <c r="F80" s="200">
        <v>17.3</v>
      </c>
      <c r="G80" s="200">
        <v>19.899999999999999</v>
      </c>
      <c r="H80" s="200">
        <v>17.8</v>
      </c>
      <c r="I80" s="200">
        <v>18.100000000000001</v>
      </c>
      <c r="J80" s="200">
        <v>15.3</v>
      </c>
      <c r="K80" s="200">
        <v>19.399999999999999</v>
      </c>
      <c r="L80" s="200">
        <v>22.2</v>
      </c>
      <c r="M80" s="200">
        <v>21.5</v>
      </c>
      <c r="N80" s="200">
        <v>16.399999999999999</v>
      </c>
      <c r="O80" s="200">
        <v>16.8</v>
      </c>
      <c r="P80" s="200">
        <v>16</v>
      </c>
      <c r="Q80" s="200">
        <v>15.5</v>
      </c>
      <c r="R80" s="200">
        <v>17.399999999999999</v>
      </c>
      <c r="S80" s="200">
        <v>16.2</v>
      </c>
      <c r="T80" s="200">
        <v>16.2</v>
      </c>
      <c r="U80" s="200">
        <v>16.600000000000001</v>
      </c>
      <c r="V80" s="200">
        <v>18.399999999999999</v>
      </c>
      <c r="W80" s="200">
        <v>17.5</v>
      </c>
      <c r="X80" s="200">
        <v>16.100000000000001</v>
      </c>
      <c r="Y80" s="200">
        <v>16.3</v>
      </c>
      <c r="Z80" s="200">
        <v>16.7</v>
      </c>
      <c r="AA80" s="200">
        <v>16.600000000000001</v>
      </c>
      <c r="AB80" s="200">
        <v>16.3</v>
      </c>
      <c r="AC80" s="200">
        <v>17.8</v>
      </c>
      <c r="AD80" s="200">
        <v>22.6</v>
      </c>
      <c r="AE80" s="200">
        <v>21.2</v>
      </c>
      <c r="AF80" s="200">
        <v>21</v>
      </c>
      <c r="AG80" s="200">
        <v>23.1</v>
      </c>
      <c r="AH80" s="200">
        <v>34.4</v>
      </c>
      <c r="AI80" s="214"/>
      <c r="AJ80" s="214"/>
      <c r="AK80" s="214"/>
      <c r="AL80" s="214"/>
    </row>
    <row r="81" spans="1:38">
      <c r="A81" s="197" t="s">
        <v>276</v>
      </c>
      <c r="B81" s="197" t="s">
        <v>276</v>
      </c>
      <c r="C81" s="200">
        <v>5048.3</v>
      </c>
      <c r="D81" s="200">
        <v>5496.2</v>
      </c>
      <c r="E81" s="200">
        <v>5791.1</v>
      </c>
      <c r="F81" s="200">
        <v>5714.9</v>
      </c>
      <c r="G81" s="200">
        <v>5873</v>
      </c>
      <c r="H81" s="200">
        <v>6005.6</v>
      </c>
      <c r="I81" s="200">
        <v>6323.8</v>
      </c>
      <c r="J81" s="200">
        <v>6483.5</v>
      </c>
      <c r="K81" s="200">
        <v>6710.1</v>
      </c>
      <c r="L81" s="200">
        <v>6858.2</v>
      </c>
      <c r="M81" s="200">
        <v>7105.3</v>
      </c>
      <c r="N81" s="200">
        <v>7161.1</v>
      </c>
      <c r="O81" s="200">
        <v>7598.9</v>
      </c>
      <c r="P81" s="200">
        <v>7245.2</v>
      </c>
      <c r="Q81" s="200">
        <v>6800</v>
      </c>
      <c r="R81" s="200">
        <v>7047.5</v>
      </c>
      <c r="S81" s="200">
        <v>7226.8</v>
      </c>
      <c r="T81" s="200">
        <v>7220.2</v>
      </c>
      <c r="U81" s="200">
        <v>7392.8</v>
      </c>
      <c r="V81" s="200">
        <v>7166.2</v>
      </c>
      <c r="W81" s="200">
        <v>7135.7</v>
      </c>
      <c r="X81" s="200">
        <v>7163.9</v>
      </c>
      <c r="Y81" s="200">
        <v>7285.1</v>
      </c>
      <c r="Z81" s="200">
        <v>7353</v>
      </c>
      <c r="AA81" s="200">
        <v>7274.4</v>
      </c>
      <c r="AB81" s="200">
        <v>7475.1</v>
      </c>
      <c r="AC81" s="200">
        <v>8007.8</v>
      </c>
      <c r="AD81" s="200">
        <v>8113</v>
      </c>
      <c r="AE81" s="200">
        <v>8106.4</v>
      </c>
      <c r="AF81" s="200">
        <v>8289.2000000000007</v>
      </c>
      <c r="AG81" s="200">
        <v>7922.8</v>
      </c>
      <c r="AH81" s="200">
        <v>7968.4</v>
      </c>
      <c r="AI81" s="214"/>
      <c r="AJ81" s="214"/>
      <c r="AK81" s="214"/>
      <c r="AL81" s="214"/>
    </row>
    <row r="82" spans="1:38">
      <c r="A82" s="197" t="s">
        <v>240</v>
      </c>
      <c r="B82" s="197" t="s">
        <v>240</v>
      </c>
      <c r="C82" s="200">
        <v>1.3</v>
      </c>
      <c r="D82" s="200">
        <v>1.5</v>
      </c>
      <c r="E82" s="200">
        <v>1.3</v>
      </c>
      <c r="F82" s="200">
        <v>1.2</v>
      </c>
      <c r="G82" s="200">
        <v>1.2</v>
      </c>
      <c r="H82" s="200">
        <v>1.2</v>
      </c>
      <c r="I82" s="200">
        <v>1.3</v>
      </c>
      <c r="J82" s="200">
        <v>1.1000000000000001</v>
      </c>
      <c r="K82" s="200">
        <v>0.9</v>
      </c>
      <c r="L82" s="200">
        <v>0.9</v>
      </c>
      <c r="M82" s="200">
        <v>0.9</v>
      </c>
      <c r="N82" s="200">
        <v>0.9</v>
      </c>
      <c r="O82" s="200">
        <v>0.9</v>
      </c>
      <c r="P82" s="200">
        <v>0.9</v>
      </c>
      <c r="Q82" s="200">
        <v>1</v>
      </c>
      <c r="R82" s="200">
        <v>1.1000000000000001</v>
      </c>
      <c r="S82" s="200">
        <v>0.8</v>
      </c>
      <c r="T82" s="200">
        <v>1</v>
      </c>
      <c r="U82" s="200">
        <v>1.3</v>
      </c>
      <c r="V82" s="200">
        <v>1.1000000000000001</v>
      </c>
      <c r="W82" s="200">
        <v>0.8</v>
      </c>
      <c r="X82" s="200">
        <v>1.1000000000000001</v>
      </c>
      <c r="Y82" s="200">
        <v>0.9</v>
      </c>
      <c r="Z82" s="200">
        <v>1</v>
      </c>
      <c r="AA82" s="200">
        <v>1.1000000000000001</v>
      </c>
      <c r="AB82" s="200">
        <v>1.2</v>
      </c>
      <c r="AC82" s="200">
        <v>1.3</v>
      </c>
      <c r="AD82" s="200">
        <v>1.4</v>
      </c>
      <c r="AE82" s="200">
        <v>1.4</v>
      </c>
      <c r="AF82" s="200">
        <v>1.1000000000000001</v>
      </c>
      <c r="AG82" s="200">
        <v>0.9</v>
      </c>
      <c r="AH82" s="200">
        <v>0.7</v>
      </c>
      <c r="AI82" s="214"/>
      <c r="AJ82" s="214"/>
      <c r="AK82" s="214"/>
      <c r="AL82" s="214"/>
    </row>
    <row r="83" spans="1:38">
      <c r="A83" s="197" t="s">
        <v>241</v>
      </c>
      <c r="B83" s="197" t="s">
        <v>241</v>
      </c>
      <c r="C83" s="200">
        <v>0</v>
      </c>
      <c r="D83" s="200">
        <v>0</v>
      </c>
      <c r="E83" s="200">
        <v>0</v>
      </c>
      <c r="F83" s="200">
        <v>0</v>
      </c>
      <c r="G83" s="200">
        <v>0</v>
      </c>
      <c r="H83" s="200">
        <v>0</v>
      </c>
      <c r="I83" s="200">
        <v>0</v>
      </c>
      <c r="J83" s="200">
        <v>0</v>
      </c>
      <c r="K83" s="200">
        <v>0</v>
      </c>
      <c r="L83" s="200">
        <v>0</v>
      </c>
      <c r="M83" s="200">
        <v>0</v>
      </c>
      <c r="N83" s="200">
        <v>0</v>
      </c>
      <c r="O83" s="200">
        <v>0</v>
      </c>
      <c r="P83" s="200">
        <v>0</v>
      </c>
      <c r="Q83" s="200">
        <v>0</v>
      </c>
      <c r="R83" s="200">
        <v>0</v>
      </c>
      <c r="S83" s="200">
        <v>0</v>
      </c>
      <c r="T83" s="200">
        <v>12.8</v>
      </c>
      <c r="U83" s="200">
        <v>13.8</v>
      </c>
      <c r="V83" s="200">
        <v>16.3</v>
      </c>
      <c r="W83" s="200">
        <v>16.3</v>
      </c>
      <c r="X83" s="200">
        <v>17.399999999999999</v>
      </c>
      <c r="Y83" s="200">
        <v>18.7</v>
      </c>
      <c r="Z83" s="200">
        <v>19.600000000000001</v>
      </c>
      <c r="AA83" s="200">
        <v>20.5</v>
      </c>
      <c r="AB83" s="200">
        <v>22.1</v>
      </c>
      <c r="AC83" s="200">
        <v>24.4</v>
      </c>
      <c r="AD83" s="200">
        <v>24.8</v>
      </c>
      <c r="AE83" s="200">
        <v>25</v>
      </c>
      <c r="AF83" s="200">
        <v>27.2</v>
      </c>
      <c r="AG83" s="200">
        <v>34.6</v>
      </c>
      <c r="AH83" s="200">
        <v>35</v>
      </c>
      <c r="AI83" s="214"/>
      <c r="AJ83" s="214"/>
      <c r="AK83" s="214"/>
      <c r="AL83" s="214"/>
    </row>
    <row r="84" spans="1:38">
      <c r="A84" s="197" t="s">
        <v>242</v>
      </c>
      <c r="B84" s="197" t="s">
        <v>242</v>
      </c>
      <c r="C84" s="200">
        <v>29.1</v>
      </c>
      <c r="D84" s="200">
        <v>31.5</v>
      </c>
      <c r="E84" s="200">
        <v>32.4</v>
      </c>
      <c r="F84" s="200">
        <v>30.7</v>
      </c>
      <c r="G84" s="200">
        <v>30.5</v>
      </c>
      <c r="H84" s="200">
        <v>35.700000000000003</v>
      </c>
      <c r="I84" s="200">
        <v>42.9</v>
      </c>
      <c r="J84" s="200">
        <v>51.1</v>
      </c>
      <c r="K84" s="200">
        <v>54.7</v>
      </c>
      <c r="L84" s="200">
        <v>54.6</v>
      </c>
      <c r="M84" s="200">
        <v>56.6</v>
      </c>
      <c r="N84" s="200">
        <v>59.7</v>
      </c>
      <c r="O84" s="200">
        <v>60.4</v>
      </c>
      <c r="P84" s="200">
        <v>53.7</v>
      </c>
      <c r="Q84" s="200">
        <v>49.7</v>
      </c>
      <c r="R84" s="200">
        <v>49.1</v>
      </c>
      <c r="S84" s="200">
        <v>51.9</v>
      </c>
      <c r="T84" s="200">
        <v>52.7</v>
      </c>
      <c r="U84" s="200">
        <v>48.1</v>
      </c>
      <c r="V84" s="200">
        <v>49.6</v>
      </c>
      <c r="W84" s="200">
        <v>54.3</v>
      </c>
      <c r="X84" s="200">
        <v>54.8</v>
      </c>
      <c r="Y84" s="200">
        <v>50.3</v>
      </c>
      <c r="Z84" s="200">
        <v>50.1</v>
      </c>
      <c r="AA84" s="200">
        <v>45.2</v>
      </c>
      <c r="AB84" s="200">
        <v>45.3</v>
      </c>
      <c r="AC84" s="200">
        <v>35.4</v>
      </c>
      <c r="AD84" s="200">
        <v>38</v>
      </c>
      <c r="AE84" s="200">
        <v>39.6</v>
      </c>
      <c r="AF84" s="200">
        <v>41.5</v>
      </c>
      <c r="AG84" s="200">
        <v>42.7</v>
      </c>
      <c r="AH84" s="200">
        <v>46</v>
      </c>
      <c r="AI84" s="214"/>
      <c r="AJ84" s="214"/>
      <c r="AK84" s="214"/>
      <c r="AL84" s="214"/>
    </row>
    <row r="85" spans="1:38">
      <c r="A85" s="197" t="s">
        <v>243</v>
      </c>
      <c r="B85" s="197" t="s">
        <v>243</v>
      </c>
      <c r="C85" s="200">
        <v>89.3</v>
      </c>
      <c r="D85" s="200">
        <v>83.9</v>
      </c>
      <c r="E85" s="200">
        <v>57.6</v>
      </c>
      <c r="F85" s="200">
        <v>29.9</v>
      </c>
      <c r="G85" s="200">
        <v>28</v>
      </c>
      <c r="H85" s="200">
        <v>20.100000000000001</v>
      </c>
      <c r="I85" s="200">
        <v>20.2</v>
      </c>
      <c r="J85" s="200">
        <v>13.7</v>
      </c>
      <c r="K85" s="200">
        <v>11.9</v>
      </c>
      <c r="L85" s="200">
        <v>13.4</v>
      </c>
      <c r="M85" s="200">
        <v>9.9</v>
      </c>
      <c r="N85" s="200">
        <v>9.9</v>
      </c>
      <c r="O85" s="200">
        <v>10.7</v>
      </c>
      <c r="P85" s="200">
        <v>12.4</v>
      </c>
      <c r="Q85" s="200">
        <v>7.9</v>
      </c>
      <c r="R85" s="200">
        <v>6.7</v>
      </c>
      <c r="S85" s="200">
        <v>6.1</v>
      </c>
      <c r="T85" s="200">
        <v>4.9000000000000004</v>
      </c>
      <c r="U85" s="200">
        <v>5.7</v>
      </c>
      <c r="V85" s="200">
        <v>5.2</v>
      </c>
      <c r="W85" s="200">
        <v>4.8</v>
      </c>
      <c r="X85" s="200">
        <v>4.5999999999999996</v>
      </c>
      <c r="Y85" s="200">
        <v>3.6</v>
      </c>
      <c r="Z85" s="200">
        <v>3.7</v>
      </c>
      <c r="AA85" s="200">
        <v>3.5</v>
      </c>
      <c r="AB85" s="200">
        <v>3.5</v>
      </c>
      <c r="AC85" s="200">
        <v>3.2</v>
      </c>
      <c r="AD85" s="200">
        <v>3.2</v>
      </c>
      <c r="AE85" s="200">
        <v>3.8</v>
      </c>
      <c r="AF85" s="200">
        <v>3.7</v>
      </c>
      <c r="AG85" s="200">
        <v>5.0999999999999996</v>
      </c>
      <c r="AH85" s="200">
        <v>4.9000000000000004</v>
      </c>
      <c r="AI85" s="214"/>
      <c r="AJ85" s="214"/>
      <c r="AK85" s="214"/>
      <c r="AL85" s="214"/>
    </row>
    <row r="86" spans="1:38">
      <c r="A86" s="197" t="s">
        <v>244</v>
      </c>
      <c r="B86" s="197" t="s">
        <v>244</v>
      </c>
      <c r="C86" s="200">
        <v>87</v>
      </c>
      <c r="D86" s="200">
        <v>91.6</v>
      </c>
      <c r="E86" s="200">
        <v>103</v>
      </c>
      <c r="F86" s="200">
        <v>82</v>
      </c>
      <c r="G86" s="200">
        <v>91.2</v>
      </c>
      <c r="H86" s="200">
        <v>100.1</v>
      </c>
      <c r="I86" s="200">
        <v>112</v>
      </c>
      <c r="J86" s="200">
        <v>93.4</v>
      </c>
      <c r="K86" s="200">
        <v>66.8</v>
      </c>
      <c r="L86" s="200">
        <v>52.8</v>
      </c>
      <c r="M86" s="200">
        <v>50.2</v>
      </c>
      <c r="N86" s="200">
        <v>40.9</v>
      </c>
      <c r="O86" s="200">
        <v>45</v>
      </c>
      <c r="P86" s="200">
        <v>45.1</v>
      </c>
      <c r="Q86" s="200">
        <v>38.200000000000003</v>
      </c>
      <c r="R86" s="200">
        <v>39.4</v>
      </c>
      <c r="S86" s="200">
        <v>35.1</v>
      </c>
      <c r="T86" s="200">
        <v>33.6</v>
      </c>
      <c r="U86" s="200">
        <v>36.700000000000003</v>
      </c>
      <c r="V86" s="200">
        <v>33.799999999999997</v>
      </c>
      <c r="W86" s="200">
        <v>33.1</v>
      </c>
      <c r="X86" s="200">
        <v>33</v>
      </c>
      <c r="Y86" s="200">
        <v>32.700000000000003</v>
      </c>
      <c r="Z86" s="200">
        <v>33.799999999999997</v>
      </c>
      <c r="AA86" s="200">
        <v>34.9</v>
      </c>
      <c r="AB86" s="200">
        <v>36.200000000000003</v>
      </c>
      <c r="AC86" s="200">
        <v>41.4</v>
      </c>
      <c r="AD86" s="200">
        <v>40.5</v>
      </c>
      <c r="AE86" s="200">
        <v>39.799999999999997</v>
      </c>
      <c r="AF86" s="200">
        <v>37.6</v>
      </c>
      <c r="AG86" s="200">
        <v>39.5</v>
      </c>
      <c r="AH86" s="200">
        <v>40.700000000000003</v>
      </c>
      <c r="AI86" s="214"/>
      <c r="AJ86" s="214"/>
      <c r="AK86" s="214"/>
      <c r="AL86" s="214"/>
    </row>
    <row r="87" spans="1:38">
      <c r="A87" s="197" t="s">
        <v>245</v>
      </c>
      <c r="B87" s="197" t="s">
        <v>245</v>
      </c>
      <c r="C87" s="200">
        <v>536.79999999999995</v>
      </c>
      <c r="D87" s="200">
        <v>602.20000000000005</v>
      </c>
      <c r="E87" s="200">
        <v>758.2</v>
      </c>
      <c r="F87" s="200">
        <v>1122.3</v>
      </c>
      <c r="G87" s="200">
        <v>1252.3</v>
      </c>
      <c r="H87" s="200">
        <v>1468</v>
      </c>
      <c r="I87" s="200">
        <v>1734.1</v>
      </c>
      <c r="J87" s="200">
        <v>1815</v>
      </c>
      <c r="K87" s="200">
        <v>1861.1</v>
      </c>
      <c r="L87" s="200">
        <v>1925.8</v>
      </c>
      <c r="M87" s="200">
        <v>1936.5</v>
      </c>
      <c r="N87" s="200">
        <v>1981.9</v>
      </c>
      <c r="O87" s="200">
        <v>2062.4</v>
      </c>
      <c r="P87" s="200">
        <v>2200.1</v>
      </c>
      <c r="Q87" s="200">
        <v>2168</v>
      </c>
      <c r="R87" s="200">
        <v>2237.4</v>
      </c>
      <c r="S87" s="200">
        <v>2292.5</v>
      </c>
      <c r="T87" s="200">
        <v>2334</v>
      </c>
      <c r="U87" s="200">
        <v>2510.6</v>
      </c>
      <c r="V87" s="200">
        <v>2559.6</v>
      </c>
      <c r="W87" s="200">
        <v>2441.4</v>
      </c>
      <c r="X87" s="200">
        <v>2384.3000000000002</v>
      </c>
      <c r="Y87" s="200">
        <v>2441.9</v>
      </c>
      <c r="Z87" s="200">
        <v>2508.3000000000002</v>
      </c>
      <c r="AA87" s="200">
        <v>2290.8000000000002</v>
      </c>
      <c r="AB87" s="200">
        <v>2435.6</v>
      </c>
      <c r="AC87" s="200">
        <v>2494</v>
      </c>
      <c r="AD87" s="200">
        <v>2572.3000000000002</v>
      </c>
      <c r="AE87" s="200">
        <v>2554.1999999999998</v>
      </c>
      <c r="AF87" s="200">
        <v>2708.1</v>
      </c>
      <c r="AG87" s="200">
        <v>2594.9</v>
      </c>
      <c r="AH87" s="200">
        <v>2689.7</v>
      </c>
      <c r="AI87" s="214"/>
      <c r="AJ87" s="214"/>
      <c r="AK87" s="214"/>
      <c r="AL87" s="214"/>
    </row>
    <row r="88" spans="1:38">
      <c r="A88" s="197" t="s">
        <v>277</v>
      </c>
      <c r="B88" s="197" t="s">
        <v>277</v>
      </c>
      <c r="C88" s="200">
        <v>123.5</v>
      </c>
      <c r="D88" s="200">
        <v>127.3</v>
      </c>
      <c r="E88" s="200">
        <v>128.4</v>
      </c>
      <c r="F88" s="200">
        <v>121.6</v>
      </c>
      <c r="G88" s="200">
        <v>113.1</v>
      </c>
      <c r="H88" s="200">
        <v>108.1</v>
      </c>
      <c r="I88" s="200">
        <v>124.4</v>
      </c>
      <c r="J88" s="200">
        <v>108.9</v>
      </c>
      <c r="K88" s="200">
        <v>107</v>
      </c>
      <c r="L88" s="200">
        <v>30.2</v>
      </c>
      <c r="M88" s="200">
        <v>27.8</v>
      </c>
      <c r="N88" s="200">
        <v>34.700000000000003</v>
      </c>
      <c r="O88" s="200">
        <v>35.799999999999997</v>
      </c>
      <c r="P88" s="200">
        <v>32</v>
      </c>
      <c r="Q88" s="200">
        <v>32.6</v>
      </c>
      <c r="R88" s="200">
        <v>33.9</v>
      </c>
      <c r="S88" s="200">
        <v>32.9</v>
      </c>
      <c r="T88" s="200">
        <v>29.8</v>
      </c>
      <c r="U88" s="200">
        <v>28.5</v>
      </c>
      <c r="V88" s="200">
        <v>29.7</v>
      </c>
      <c r="W88" s="200">
        <v>38.799999999999997</v>
      </c>
      <c r="X88" s="200">
        <v>37.4</v>
      </c>
      <c r="Y88" s="200">
        <v>14.4</v>
      </c>
      <c r="Z88" s="200">
        <v>7.9</v>
      </c>
      <c r="AA88" s="200">
        <v>7.8</v>
      </c>
      <c r="AB88" s="200">
        <v>7.7</v>
      </c>
      <c r="AC88" s="200">
        <v>8.1999999999999993</v>
      </c>
      <c r="AD88" s="200">
        <v>8.3000000000000007</v>
      </c>
      <c r="AE88" s="200">
        <v>7.4</v>
      </c>
      <c r="AF88" s="200">
        <v>7.4</v>
      </c>
      <c r="AG88" s="200">
        <v>8.8000000000000007</v>
      </c>
      <c r="AH88" s="200">
        <v>10.3</v>
      </c>
      <c r="AI88" s="214"/>
      <c r="AJ88" s="214"/>
      <c r="AK88" s="214"/>
      <c r="AL88" s="214"/>
    </row>
    <row r="89" spans="1:38">
      <c r="A89" s="197" t="s">
        <v>246</v>
      </c>
      <c r="B89" s="197" t="s">
        <v>246</v>
      </c>
      <c r="C89" s="200">
        <v>624.1</v>
      </c>
      <c r="D89" s="200">
        <v>643.5</v>
      </c>
      <c r="E89" s="200">
        <v>670.7</v>
      </c>
      <c r="F89" s="200">
        <v>618.20000000000005</v>
      </c>
      <c r="G89" s="200">
        <v>400.2</v>
      </c>
      <c r="H89" s="200">
        <v>351.6</v>
      </c>
      <c r="I89" s="200">
        <v>326.10000000000002</v>
      </c>
      <c r="J89" s="200">
        <v>311.7</v>
      </c>
      <c r="K89" s="200">
        <v>340.4</v>
      </c>
      <c r="L89" s="200">
        <v>336.6</v>
      </c>
      <c r="M89" s="200">
        <v>315.3</v>
      </c>
      <c r="N89" s="200">
        <v>297</v>
      </c>
      <c r="O89" s="200">
        <v>313.39999999999998</v>
      </c>
      <c r="P89" s="200">
        <v>323.60000000000002</v>
      </c>
      <c r="Q89" s="200">
        <v>318.8</v>
      </c>
      <c r="R89" s="200">
        <v>290.39999999999998</v>
      </c>
      <c r="S89" s="200">
        <v>288.89999999999998</v>
      </c>
      <c r="T89" s="200">
        <v>289.3</v>
      </c>
      <c r="U89" s="200">
        <v>309.3</v>
      </c>
      <c r="V89" s="200">
        <v>305.60000000000002</v>
      </c>
      <c r="W89" s="200">
        <v>302.60000000000002</v>
      </c>
      <c r="X89" s="200">
        <v>297</v>
      </c>
      <c r="Y89" s="200">
        <v>278.7</v>
      </c>
      <c r="Z89" s="200">
        <v>277.2</v>
      </c>
      <c r="AA89" s="200">
        <v>269</v>
      </c>
      <c r="AB89" s="200">
        <v>262.8</v>
      </c>
      <c r="AC89" s="200">
        <v>266.10000000000002</v>
      </c>
      <c r="AD89" s="200">
        <v>255.8</v>
      </c>
      <c r="AE89" s="200">
        <v>248</v>
      </c>
      <c r="AF89" s="200">
        <v>254.2</v>
      </c>
      <c r="AG89" s="200">
        <v>298.39999999999998</v>
      </c>
      <c r="AH89" s="200">
        <v>284.3</v>
      </c>
      <c r="AI89" s="214"/>
      <c r="AJ89" s="214"/>
      <c r="AK89" s="214"/>
      <c r="AL89" s="214"/>
    </row>
    <row r="90" spans="1:38">
      <c r="A90" s="197" t="s">
        <v>247</v>
      </c>
      <c r="B90" s="197" t="s">
        <v>247</v>
      </c>
      <c r="C90" s="200">
        <v>61.1</v>
      </c>
      <c r="D90" s="200">
        <v>58.3</v>
      </c>
      <c r="E90" s="200">
        <v>64.5</v>
      </c>
      <c r="F90" s="200">
        <v>56</v>
      </c>
      <c r="G90" s="200">
        <v>55.4</v>
      </c>
      <c r="H90" s="200">
        <v>52.6</v>
      </c>
      <c r="I90" s="200">
        <v>318.7</v>
      </c>
      <c r="J90" s="200">
        <v>672.6</v>
      </c>
      <c r="K90" s="200">
        <v>830.2</v>
      </c>
      <c r="L90" s="200">
        <v>919.2</v>
      </c>
      <c r="M90" s="200">
        <v>951.4</v>
      </c>
      <c r="N90" s="200">
        <v>965.1</v>
      </c>
      <c r="O90" s="200">
        <v>973</v>
      </c>
      <c r="P90" s="200">
        <v>985.2</v>
      </c>
      <c r="Q90" s="200">
        <v>1043.5</v>
      </c>
      <c r="R90" s="200">
        <v>1068.2</v>
      </c>
      <c r="S90" s="200">
        <v>1050</v>
      </c>
      <c r="T90" s="200">
        <v>1036</v>
      </c>
      <c r="U90" s="200">
        <v>1120.5</v>
      </c>
      <c r="V90" s="200">
        <v>1135.2</v>
      </c>
      <c r="W90" s="200">
        <v>1150.5999999999999</v>
      </c>
      <c r="X90" s="200">
        <v>1195.7</v>
      </c>
      <c r="Y90" s="200">
        <v>1154.4000000000001</v>
      </c>
      <c r="Z90" s="200">
        <v>1148.5</v>
      </c>
      <c r="AA90" s="200">
        <v>1052</v>
      </c>
      <c r="AB90" s="200">
        <v>1198.7</v>
      </c>
      <c r="AC90" s="200">
        <v>1152.9000000000001</v>
      </c>
      <c r="AD90" s="200">
        <v>1149.2</v>
      </c>
      <c r="AE90" s="200">
        <v>1203.2</v>
      </c>
      <c r="AF90" s="200">
        <v>1220.0999999999999</v>
      </c>
      <c r="AG90" s="200">
        <v>1338</v>
      </c>
      <c r="AH90" s="200">
        <v>1284.2</v>
      </c>
      <c r="AI90" s="214"/>
      <c r="AJ90" s="214"/>
      <c r="AK90" s="214"/>
      <c r="AL90" s="214"/>
    </row>
    <row r="91" spans="1:38">
      <c r="A91" s="197" t="s">
        <v>248</v>
      </c>
      <c r="B91" s="197" t="s">
        <v>248</v>
      </c>
      <c r="C91" s="200">
        <v>61.1</v>
      </c>
      <c r="D91" s="200">
        <v>47.5</v>
      </c>
      <c r="E91" s="200">
        <v>46.7</v>
      </c>
      <c r="F91" s="200">
        <v>48.6</v>
      </c>
      <c r="G91" s="200">
        <v>34.200000000000003</v>
      </c>
      <c r="H91" s="200">
        <v>37.200000000000003</v>
      </c>
      <c r="I91" s="200">
        <v>40.1</v>
      </c>
      <c r="J91" s="200">
        <v>41.2</v>
      </c>
      <c r="K91" s="200">
        <v>41.4</v>
      </c>
      <c r="L91" s="200">
        <v>43.1</v>
      </c>
      <c r="M91" s="200">
        <v>45</v>
      </c>
      <c r="N91" s="200">
        <v>44.8</v>
      </c>
      <c r="O91" s="200">
        <v>43.4</v>
      </c>
      <c r="P91" s="200">
        <v>43</v>
      </c>
      <c r="Q91" s="200">
        <v>41.7</v>
      </c>
      <c r="R91" s="200">
        <v>43.7</v>
      </c>
      <c r="S91" s="200">
        <v>50.7</v>
      </c>
      <c r="T91" s="200">
        <v>56.6</v>
      </c>
      <c r="U91" s="200">
        <v>57.8</v>
      </c>
      <c r="V91" s="200">
        <v>57</v>
      </c>
      <c r="W91" s="200">
        <v>58.7</v>
      </c>
      <c r="X91" s="200">
        <v>68.8</v>
      </c>
      <c r="Y91" s="200">
        <v>72.8</v>
      </c>
      <c r="Z91" s="200">
        <v>79.7</v>
      </c>
      <c r="AA91" s="200">
        <v>76.5</v>
      </c>
      <c r="AB91" s="200">
        <v>76.2</v>
      </c>
      <c r="AC91" s="200">
        <v>71</v>
      </c>
      <c r="AD91" s="200">
        <v>66.5</v>
      </c>
      <c r="AE91" s="200">
        <v>51.9</v>
      </c>
      <c r="AF91" s="200">
        <v>48</v>
      </c>
      <c r="AG91" s="200">
        <v>50.1</v>
      </c>
      <c r="AH91" s="200">
        <v>49</v>
      </c>
      <c r="AI91" s="214"/>
      <c r="AJ91" s="214"/>
      <c r="AK91" s="214"/>
      <c r="AL91" s="214"/>
    </row>
    <row r="92" spans="1:38">
      <c r="A92" s="197" t="s">
        <v>250</v>
      </c>
      <c r="B92" s="197" t="s">
        <v>250</v>
      </c>
      <c r="C92" s="200">
        <v>993.4</v>
      </c>
      <c r="D92" s="200">
        <v>1039.0999999999999</v>
      </c>
      <c r="E92" s="200">
        <v>1073</v>
      </c>
      <c r="F92" s="200">
        <v>1085.0999999999999</v>
      </c>
      <c r="G92" s="200">
        <v>1103.2</v>
      </c>
      <c r="H92" s="200">
        <v>1133.5</v>
      </c>
      <c r="I92" s="200">
        <v>1161.4000000000001</v>
      </c>
      <c r="J92" s="200">
        <v>1123.8</v>
      </c>
      <c r="K92" s="200">
        <v>1130</v>
      </c>
      <c r="L92" s="200">
        <v>1193.9000000000001</v>
      </c>
      <c r="M92" s="200">
        <v>1184.9000000000001</v>
      </c>
      <c r="N92" s="200">
        <v>1168.0999999999999</v>
      </c>
      <c r="O92" s="200">
        <v>1252.5999999999999</v>
      </c>
      <c r="P92" s="200">
        <v>1263.8</v>
      </c>
      <c r="Q92" s="200">
        <v>1166.7</v>
      </c>
      <c r="R92" s="200">
        <v>1156.7</v>
      </c>
      <c r="S92" s="200">
        <v>1222.5999999999999</v>
      </c>
      <c r="T92" s="200">
        <v>1288.3</v>
      </c>
      <c r="U92" s="200">
        <v>1336.9</v>
      </c>
      <c r="V92" s="200">
        <v>1281.8</v>
      </c>
      <c r="W92" s="200">
        <v>1284</v>
      </c>
      <c r="X92" s="200">
        <v>1271.7</v>
      </c>
      <c r="Y92" s="200">
        <v>1278.7</v>
      </c>
      <c r="Z92" s="200">
        <v>1246.5999999999999</v>
      </c>
      <c r="AA92" s="200">
        <v>1275.4000000000001</v>
      </c>
      <c r="AB92" s="200">
        <v>1343</v>
      </c>
      <c r="AC92" s="200">
        <v>1452.5</v>
      </c>
      <c r="AD92" s="200">
        <v>1461.3</v>
      </c>
      <c r="AE92" s="200">
        <v>1474.8</v>
      </c>
      <c r="AF92" s="200">
        <v>1513.3</v>
      </c>
      <c r="AG92" s="200">
        <v>1476.3</v>
      </c>
      <c r="AH92" s="200">
        <v>1473.2</v>
      </c>
      <c r="AI92" s="214"/>
      <c r="AJ92" s="214"/>
      <c r="AK92" s="214"/>
      <c r="AL92" s="214"/>
    </row>
    <row r="93" spans="1:38">
      <c r="A93" s="197" t="s">
        <v>252</v>
      </c>
      <c r="B93" s="197" t="s">
        <v>252</v>
      </c>
      <c r="C93" s="200">
        <v>173.5</v>
      </c>
      <c r="D93" s="200">
        <v>168.3</v>
      </c>
      <c r="E93" s="200">
        <v>178.8</v>
      </c>
      <c r="F93" s="200">
        <v>178.9</v>
      </c>
      <c r="G93" s="200">
        <v>170.7</v>
      </c>
      <c r="H93" s="200">
        <v>164.2</v>
      </c>
      <c r="I93" s="200">
        <v>159.9</v>
      </c>
      <c r="J93" s="200">
        <v>164.9</v>
      </c>
      <c r="K93" s="200">
        <v>180.6</v>
      </c>
      <c r="L93" s="200">
        <v>221.3</v>
      </c>
      <c r="M93" s="200">
        <v>218.7</v>
      </c>
      <c r="N93" s="200">
        <v>231.6</v>
      </c>
      <c r="O93" s="200">
        <v>246.8</v>
      </c>
      <c r="P93" s="200">
        <v>243.8</v>
      </c>
      <c r="Q93" s="200">
        <v>246.5</v>
      </c>
      <c r="R93" s="200">
        <v>241.6</v>
      </c>
      <c r="S93" s="200">
        <v>248.1</v>
      </c>
      <c r="T93" s="200">
        <v>254.3</v>
      </c>
      <c r="U93" s="200">
        <v>251.9</v>
      </c>
      <c r="V93" s="200">
        <v>235.8</v>
      </c>
      <c r="W93" s="200">
        <v>243.1</v>
      </c>
      <c r="X93" s="200">
        <v>245.1</v>
      </c>
      <c r="Y93" s="200">
        <v>247</v>
      </c>
      <c r="Z93" s="200">
        <v>233.7</v>
      </c>
      <c r="AA93" s="200">
        <v>245.7</v>
      </c>
      <c r="AB93" s="200">
        <v>230.3</v>
      </c>
      <c r="AC93" s="200">
        <v>158.80000000000001</v>
      </c>
      <c r="AD93" s="200">
        <v>115.9</v>
      </c>
      <c r="AE93" s="200">
        <v>111.9</v>
      </c>
      <c r="AF93" s="200">
        <v>146</v>
      </c>
      <c r="AG93" s="200">
        <v>181.9</v>
      </c>
      <c r="AH93" s="200">
        <v>196.4</v>
      </c>
      <c r="AI93" s="214"/>
      <c r="AJ93" s="214"/>
      <c r="AK93" s="214"/>
      <c r="AL93" s="214"/>
    </row>
    <row r="94" spans="1:38">
      <c r="A94" s="197" t="s">
        <v>278</v>
      </c>
      <c r="B94" s="197" t="s">
        <v>278</v>
      </c>
      <c r="C94" s="200">
        <v>1239.4000000000001</v>
      </c>
      <c r="D94" s="200">
        <v>1260.4000000000001</v>
      </c>
      <c r="E94" s="200">
        <v>1259</v>
      </c>
      <c r="F94" s="200">
        <v>1155.5999999999999</v>
      </c>
      <c r="G94" s="200">
        <v>1244.8</v>
      </c>
      <c r="H94" s="200">
        <v>1278.3</v>
      </c>
      <c r="I94" s="200">
        <v>1198.5999999999999</v>
      </c>
      <c r="J94" s="200">
        <v>1113.2</v>
      </c>
      <c r="K94" s="200">
        <v>1030.9000000000001</v>
      </c>
      <c r="L94" s="200">
        <v>996.6</v>
      </c>
      <c r="M94" s="200">
        <v>973.4</v>
      </c>
      <c r="N94" s="200">
        <v>1015.2</v>
      </c>
      <c r="O94" s="200">
        <v>938.8</v>
      </c>
      <c r="P94" s="200">
        <v>983</v>
      </c>
      <c r="Q94" s="200">
        <v>985.4</v>
      </c>
      <c r="R94" s="200">
        <v>1002.9</v>
      </c>
      <c r="S94" s="200">
        <v>947.5</v>
      </c>
      <c r="T94" s="200">
        <v>1027.0999999999999</v>
      </c>
      <c r="U94" s="200">
        <v>1030</v>
      </c>
      <c r="V94" s="200">
        <v>956.5</v>
      </c>
      <c r="W94" s="200">
        <v>990.2</v>
      </c>
      <c r="X94" s="200">
        <v>1043.5</v>
      </c>
      <c r="Y94" s="200">
        <v>1053.8</v>
      </c>
      <c r="Z94" s="200">
        <v>1072.3</v>
      </c>
      <c r="AA94" s="200">
        <v>1096.4000000000001</v>
      </c>
      <c r="AB94" s="200">
        <v>1181.8</v>
      </c>
      <c r="AC94" s="200">
        <v>1312.6</v>
      </c>
      <c r="AD94" s="200">
        <v>1471.8</v>
      </c>
      <c r="AE94" s="200">
        <v>1518.5</v>
      </c>
      <c r="AF94" s="200">
        <v>1553</v>
      </c>
      <c r="AG94" s="200">
        <v>1473.8</v>
      </c>
      <c r="AH94" s="200">
        <v>1501.4</v>
      </c>
      <c r="AI94" s="214"/>
      <c r="AJ94" s="214"/>
      <c r="AK94" s="214"/>
      <c r="AL94" s="214"/>
    </row>
    <row r="95" spans="1:38">
      <c r="A95" s="197" t="s">
        <v>253</v>
      </c>
      <c r="B95" s="197" t="s">
        <v>253</v>
      </c>
      <c r="C95" s="200">
        <v>237.4</v>
      </c>
      <c r="D95" s="200">
        <v>171.3</v>
      </c>
      <c r="E95" s="200">
        <v>192.3</v>
      </c>
      <c r="F95" s="200">
        <v>215.1</v>
      </c>
      <c r="G95" s="200">
        <v>231.2</v>
      </c>
      <c r="H95" s="200">
        <v>198.2</v>
      </c>
      <c r="I95" s="200">
        <v>202.4</v>
      </c>
      <c r="J95" s="200">
        <v>210.3</v>
      </c>
      <c r="K95" s="200">
        <v>225</v>
      </c>
      <c r="L95" s="200">
        <v>232.7</v>
      </c>
      <c r="M95" s="200">
        <v>233.9</v>
      </c>
      <c r="N95" s="200">
        <v>226.9</v>
      </c>
      <c r="O95" s="200">
        <v>227.6</v>
      </c>
      <c r="P95" s="200">
        <v>232.9</v>
      </c>
      <c r="Q95" s="200">
        <v>222.1</v>
      </c>
      <c r="R95" s="200">
        <v>215.6</v>
      </c>
      <c r="S95" s="200">
        <v>211</v>
      </c>
      <c r="T95" s="200">
        <v>217.7</v>
      </c>
      <c r="U95" s="200">
        <v>225.2</v>
      </c>
      <c r="V95" s="200">
        <v>233.3</v>
      </c>
      <c r="W95" s="200">
        <v>235.2</v>
      </c>
      <c r="X95" s="200">
        <v>233.1</v>
      </c>
      <c r="Y95" s="200">
        <v>238.1</v>
      </c>
      <c r="Z95" s="200">
        <v>241.4</v>
      </c>
      <c r="AA95" s="200">
        <v>240.2</v>
      </c>
      <c r="AB95" s="200">
        <v>255.8</v>
      </c>
      <c r="AC95" s="200">
        <v>262.10000000000002</v>
      </c>
      <c r="AD95" s="200">
        <v>271.2</v>
      </c>
      <c r="AE95" s="200">
        <v>258.8</v>
      </c>
      <c r="AF95" s="200">
        <v>269.89999999999998</v>
      </c>
      <c r="AG95" s="200">
        <v>322.89999999999998</v>
      </c>
      <c r="AH95" s="200">
        <v>293</v>
      </c>
      <c r="AI95" s="214"/>
      <c r="AJ95" s="214"/>
      <c r="AK95" s="214"/>
      <c r="AL95" s="214"/>
    </row>
    <row r="96" spans="1:38">
      <c r="A96" s="197" t="s">
        <v>254</v>
      </c>
      <c r="B96" s="197" t="s">
        <v>254</v>
      </c>
      <c r="C96" s="200">
        <v>3880.6</v>
      </c>
      <c r="D96" s="200">
        <v>3928.4</v>
      </c>
      <c r="E96" s="200">
        <v>3979.4</v>
      </c>
      <c r="F96" s="200">
        <v>4148.8999999999996</v>
      </c>
      <c r="G96" s="200">
        <v>4335.2</v>
      </c>
      <c r="H96" s="200">
        <v>4485.3999999999996</v>
      </c>
      <c r="I96" s="200">
        <v>4635</v>
      </c>
      <c r="J96" s="200">
        <v>4603.8</v>
      </c>
      <c r="K96" s="200">
        <v>4862.1000000000004</v>
      </c>
      <c r="L96" s="200">
        <v>4910.5</v>
      </c>
      <c r="M96" s="200">
        <v>4844</v>
      </c>
      <c r="N96" s="200">
        <v>4780.8</v>
      </c>
      <c r="O96" s="200">
        <v>4880</v>
      </c>
      <c r="P96" s="200">
        <v>4843.6000000000004</v>
      </c>
      <c r="Q96" s="200">
        <v>4608.8999999999996</v>
      </c>
      <c r="R96" s="200">
        <v>4686.8999999999996</v>
      </c>
      <c r="S96" s="200">
        <v>4926.8999999999996</v>
      </c>
      <c r="T96" s="200">
        <v>4676.2</v>
      </c>
      <c r="U96" s="200">
        <v>5167.1000000000004</v>
      </c>
      <c r="V96" s="200">
        <v>5109.6000000000004</v>
      </c>
      <c r="W96" s="200">
        <v>5060.1000000000004</v>
      </c>
      <c r="X96" s="200">
        <v>5143.2</v>
      </c>
      <c r="Y96" s="200">
        <v>5013.8999999999996</v>
      </c>
      <c r="Z96" s="200">
        <v>4589.1000000000004</v>
      </c>
      <c r="AA96" s="200">
        <v>4180.6000000000004</v>
      </c>
      <c r="AB96" s="200">
        <v>4082.8</v>
      </c>
      <c r="AC96" s="200">
        <v>4392.3999999999996</v>
      </c>
      <c r="AD96" s="200">
        <v>4516.2</v>
      </c>
      <c r="AE96" s="200">
        <v>4655.1000000000004</v>
      </c>
      <c r="AF96" s="200">
        <v>4678.8999999999996</v>
      </c>
      <c r="AG96" s="200">
        <v>4590.2</v>
      </c>
      <c r="AH96" s="200">
        <v>4758</v>
      </c>
      <c r="AI96" s="214"/>
      <c r="AJ96" s="214"/>
      <c r="AK96" s="214"/>
      <c r="AL96" s="214"/>
    </row>
    <row r="97" spans="1:38">
      <c r="A97" s="197" t="s">
        <v>279</v>
      </c>
      <c r="B97" s="197" t="s">
        <v>285</v>
      </c>
      <c r="C97" s="200">
        <v>38606.199999999997</v>
      </c>
      <c r="D97" s="200">
        <v>39401.5</v>
      </c>
      <c r="E97" s="200">
        <v>40796.1</v>
      </c>
      <c r="F97" s="200">
        <v>40568.300000000003</v>
      </c>
      <c r="G97" s="200">
        <v>42525.7</v>
      </c>
      <c r="H97" s="200">
        <v>43517.8</v>
      </c>
      <c r="I97" s="200">
        <v>43137.599999999999</v>
      </c>
      <c r="J97" s="200">
        <v>43208.1</v>
      </c>
      <c r="K97" s="200">
        <v>45133.1</v>
      </c>
      <c r="L97" s="200">
        <v>46130.3</v>
      </c>
      <c r="M97" s="200">
        <v>46151.4</v>
      </c>
      <c r="N97" s="200">
        <v>45664.4</v>
      </c>
      <c r="O97" s="200">
        <v>47168.9</v>
      </c>
      <c r="P97" s="200">
        <v>46576</v>
      </c>
      <c r="Q97" s="200">
        <v>45418</v>
      </c>
      <c r="R97" s="200">
        <v>45710.5</v>
      </c>
      <c r="S97" s="200">
        <v>47537.4</v>
      </c>
      <c r="T97" s="200">
        <v>48683.8</v>
      </c>
      <c r="U97" s="200">
        <v>50224.6</v>
      </c>
      <c r="V97" s="200">
        <v>49274.1</v>
      </c>
      <c r="W97" s="200">
        <v>49039.3</v>
      </c>
      <c r="X97" s="200">
        <v>49231.7</v>
      </c>
      <c r="Y97" s="200">
        <v>49439.9</v>
      </c>
      <c r="Z97" s="200">
        <v>49174</v>
      </c>
      <c r="AA97" s="200">
        <v>47341.9</v>
      </c>
      <c r="AB97" s="200">
        <v>48432</v>
      </c>
      <c r="AC97" s="200">
        <v>50387.9</v>
      </c>
      <c r="AD97" s="200">
        <v>51991.4</v>
      </c>
      <c r="AE97" s="200">
        <v>53416.7</v>
      </c>
      <c r="AF97" s="200">
        <v>55015.3</v>
      </c>
      <c r="AG97" s="200">
        <v>55679.3</v>
      </c>
      <c r="AH97" s="200">
        <v>55813.599999999999</v>
      </c>
      <c r="AI97" s="214"/>
      <c r="AJ97" s="214"/>
      <c r="AK97" s="214"/>
      <c r="AL97" s="214"/>
    </row>
    <row r="98" spans="1:38">
      <c r="A98" s="197" t="s">
        <v>255</v>
      </c>
      <c r="B98" s="197" t="s">
        <v>255</v>
      </c>
      <c r="C98" s="200">
        <v>393.7</v>
      </c>
      <c r="D98" s="200">
        <v>401.9</v>
      </c>
      <c r="E98" s="200">
        <v>420.9</v>
      </c>
      <c r="F98" s="200">
        <v>436.1</v>
      </c>
      <c r="G98" s="200">
        <v>464.1</v>
      </c>
      <c r="H98" s="200">
        <v>423.9</v>
      </c>
      <c r="I98" s="200">
        <v>415.7</v>
      </c>
      <c r="J98" s="200">
        <v>407.8</v>
      </c>
      <c r="K98" s="200">
        <v>459.5</v>
      </c>
      <c r="L98" s="200">
        <v>494.9</v>
      </c>
      <c r="M98" s="200">
        <v>497.2</v>
      </c>
      <c r="N98" s="200">
        <v>521.4</v>
      </c>
      <c r="O98" s="200">
        <v>508.7</v>
      </c>
      <c r="P98" s="200">
        <v>460.2</v>
      </c>
      <c r="Q98" s="200">
        <v>410.1</v>
      </c>
      <c r="R98" s="200">
        <v>461.3</v>
      </c>
      <c r="S98" s="200">
        <v>502</v>
      </c>
      <c r="T98" s="200">
        <v>475.4</v>
      </c>
      <c r="U98" s="200">
        <v>520.20000000000005</v>
      </c>
      <c r="V98" s="200">
        <v>440.1</v>
      </c>
      <c r="W98" s="200">
        <v>455</v>
      </c>
      <c r="X98" s="200">
        <v>453.7</v>
      </c>
      <c r="Y98" s="200">
        <v>491.7</v>
      </c>
      <c r="Z98" s="200">
        <v>477.6</v>
      </c>
      <c r="AA98" s="200">
        <v>468.5</v>
      </c>
      <c r="AB98" s="200">
        <v>463.7</v>
      </c>
      <c r="AC98" s="200">
        <v>494</v>
      </c>
      <c r="AD98" s="200">
        <v>528.70000000000005</v>
      </c>
      <c r="AE98" s="200">
        <v>562</v>
      </c>
      <c r="AF98" s="200">
        <v>585.4</v>
      </c>
      <c r="AG98" s="200">
        <v>566.70000000000005</v>
      </c>
      <c r="AH98" s="200">
        <v>550.20000000000005</v>
      </c>
      <c r="AI98" s="214"/>
      <c r="AJ98" s="214"/>
      <c r="AK98" s="214"/>
      <c r="AL98" s="214"/>
    </row>
    <row r="99" spans="1:38">
      <c r="A99" s="197" t="s">
        <v>257</v>
      </c>
      <c r="B99" s="197" t="s">
        <v>257</v>
      </c>
      <c r="C99" s="200">
        <v>816.2</v>
      </c>
      <c r="D99" s="200">
        <v>846</v>
      </c>
      <c r="E99" s="200">
        <v>853.8</v>
      </c>
      <c r="F99" s="200">
        <v>711.2</v>
      </c>
      <c r="G99" s="200">
        <v>840.4</v>
      </c>
      <c r="H99" s="200">
        <v>881.3</v>
      </c>
      <c r="I99" s="200">
        <v>819.8</v>
      </c>
      <c r="J99" s="200">
        <v>775.4</v>
      </c>
      <c r="K99" s="200">
        <v>774.1</v>
      </c>
      <c r="L99" s="200">
        <v>738.5</v>
      </c>
      <c r="M99" s="200">
        <v>722.3</v>
      </c>
      <c r="N99" s="200">
        <v>768.7</v>
      </c>
      <c r="O99" s="200">
        <v>807.4</v>
      </c>
      <c r="P99" s="200">
        <v>753.6</v>
      </c>
      <c r="Q99" s="200">
        <v>758.8</v>
      </c>
      <c r="R99" s="200">
        <v>658</v>
      </c>
      <c r="S99" s="200">
        <v>410.6</v>
      </c>
      <c r="T99" s="200">
        <v>479.6</v>
      </c>
      <c r="U99" s="200">
        <v>507.7</v>
      </c>
      <c r="V99" s="200">
        <v>462.1</v>
      </c>
      <c r="W99" s="200">
        <v>485.6</v>
      </c>
      <c r="X99" s="200">
        <v>487.4</v>
      </c>
      <c r="Y99" s="200">
        <v>520</v>
      </c>
      <c r="Z99" s="200">
        <v>518.6</v>
      </c>
      <c r="AA99" s="200">
        <v>479.3</v>
      </c>
      <c r="AB99" s="200">
        <v>500.3</v>
      </c>
      <c r="AC99" s="200">
        <v>505</v>
      </c>
      <c r="AD99" s="200">
        <v>520.1</v>
      </c>
      <c r="AE99" s="200">
        <v>525.6</v>
      </c>
      <c r="AF99" s="200">
        <v>535.79999999999995</v>
      </c>
      <c r="AG99" s="200">
        <v>469.5</v>
      </c>
      <c r="AH99" s="200">
        <v>279.5</v>
      </c>
      <c r="AI99" s="214"/>
      <c r="AJ99" s="214"/>
      <c r="AK99" s="214"/>
      <c r="AL99" s="214"/>
    </row>
    <row r="100" spans="1:38">
      <c r="A100" s="197" t="s">
        <v>258</v>
      </c>
      <c r="B100" s="197" t="s">
        <v>258</v>
      </c>
      <c r="C100" s="200">
        <v>607.5</v>
      </c>
      <c r="D100" s="200">
        <v>601.1</v>
      </c>
      <c r="E100" s="200">
        <v>617</v>
      </c>
      <c r="F100" s="200">
        <v>604</v>
      </c>
      <c r="G100" s="200">
        <v>649.79999999999995</v>
      </c>
      <c r="H100" s="200">
        <v>679.8</v>
      </c>
      <c r="I100" s="200">
        <v>735.5</v>
      </c>
      <c r="J100" s="200">
        <v>691.2</v>
      </c>
      <c r="K100" s="200">
        <v>701</v>
      </c>
      <c r="L100" s="200">
        <v>657.5</v>
      </c>
      <c r="M100" s="200">
        <v>694</v>
      </c>
      <c r="N100" s="200">
        <v>671</v>
      </c>
      <c r="O100" s="200">
        <v>647.9</v>
      </c>
      <c r="P100" s="200">
        <v>597.9</v>
      </c>
      <c r="Q100" s="200">
        <v>487.7</v>
      </c>
      <c r="R100" s="200">
        <v>618</v>
      </c>
      <c r="S100" s="200">
        <v>756.7</v>
      </c>
      <c r="T100" s="200">
        <v>881.6</v>
      </c>
      <c r="U100" s="200">
        <v>815</v>
      </c>
      <c r="V100" s="200">
        <v>826</v>
      </c>
      <c r="W100" s="200">
        <v>865.6</v>
      </c>
      <c r="X100" s="200">
        <v>865.9</v>
      </c>
      <c r="Y100" s="200">
        <v>897</v>
      </c>
      <c r="Z100" s="200">
        <v>879.3</v>
      </c>
      <c r="AA100" s="200">
        <v>866</v>
      </c>
      <c r="AB100" s="200">
        <v>852.9</v>
      </c>
      <c r="AC100" s="200">
        <v>912.8</v>
      </c>
      <c r="AD100" s="200">
        <v>917.6</v>
      </c>
      <c r="AE100" s="200">
        <v>909.7</v>
      </c>
      <c r="AF100" s="200">
        <v>964.6</v>
      </c>
      <c r="AG100" s="200">
        <v>921.8</v>
      </c>
      <c r="AH100" s="200">
        <v>946.9</v>
      </c>
      <c r="AI100" s="214"/>
      <c r="AJ100" s="214"/>
      <c r="AK100" s="214"/>
      <c r="AL100" s="214"/>
    </row>
    <row r="101" spans="1:38">
      <c r="A101" s="197" t="s">
        <v>280</v>
      </c>
      <c r="B101" s="197" t="s">
        <v>280</v>
      </c>
      <c r="C101" s="200">
        <v>16.100000000000001</v>
      </c>
      <c r="D101" s="200">
        <v>17.399999999999999</v>
      </c>
      <c r="E101" s="200">
        <v>18</v>
      </c>
      <c r="F101" s="200">
        <v>17.100000000000001</v>
      </c>
      <c r="G101" s="200">
        <v>19.100000000000001</v>
      </c>
      <c r="H101" s="200">
        <v>18.399999999999999</v>
      </c>
      <c r="I101" s="200">
        <v>20.2</v>
      </c>
      <c r="J101" s="200">
        <v>13.4</v>
      </c>
      <c r="K101" s="200">
        <v>9.4</v>
      </c>
      <c r="L101" s="200">
        <v>9.8000000000000007</v>
      </c>
      <c r="M101" s="200">
        <v>8.4</v>
      </c>
      <c r="N101" s="200">
        <v>7.6</v>
      </c>
      <c r="O101" s="200">
        <v>7.7</v>
      </c>
      <c r="P101" s="200">
        <v>7.1</v>
      </c>
      <c r="Q101" s="200">
        <v>7</v>
      </c>
      <c r="R101" s="200">
        <v>6.2</v>
      </c>
      <c r="S101" s="200">
        <v>5.9</v>
      </c>
      <c r="T101" s="200">
        <v>6.7</v>
      </c>
      <c r="U101" s="200">
        <v>7.3</v>
      </c>
      <c r="V101" s="200">
        <v>8.4</v>
      </c>
      <c r="W101" s="200">
        <v>8</v>
      </c>
      <c r="X101" s="200">
        <v>8.6</v>
      </c>
      <c r="Y101" s="200">
        <v>7.4</v>
      </c>
      <c r="Z101" s="200">
        <v>7.3</v>
      </c>
      <c r="AA101" s="200">
        <v>6.7</v>
      </c>
      <c r="AB101" s="200">
        <v>6.7</v>
      </c>
      <c r="AC101" s="200">
        <v>7.3</v>
      </c>
      <c r="AD101" s="200">
        <v>7.9</v>
      </c>
      <c r="AE101" s="200">
        <v>8.4</v>
      </c>
      <c r="AF101" s="200">
        <v>8.1999999999999993</v>
      </c>
      <c r="AG101" s="200">
        <v>12.8</v>
      </c>
      <c r="AH101" s="200">
        <v>10.8</v>
      </c>
      <c r="AI101" s="214"/>
      <c r="AJ101" s="214"/>
      <c r="AK101" s="214"/>
      <c r="AL101" s="214"/>
    </row>
    <row r="102" spans="1:38">
      <c r="A102" s="197" t="s">
        <v>259</v>
      </c>
      <c r="B102" s="197" t="s">
        <v>259</v>
      </c>
      <c r="C102" s="200">
        <v>874.2</v>
      </c>
      <c r="D102" s="200">
        <v>846.3</v>
      </c>
      <c r="E102" s="200">
        <v>959.3</v>
      </c>
      <c r="F102" s="200">
        <v>1006</v>
      </c>
      <c r="G102" s="200">
        <v>992.8</v>
      </c>
      <c r="H102" s="200">
        <v>1016.5</v>
      </c>
      <c r="I102" s="200">
        <v>1117</v>
      </c>
      <c r="J102" s="200">
        <v>1171.0999999999999</v>
      </c>
      <c r="K102" s="200">
        <v>1229.2</v>
      </c>
      <c r="L102" s="200">
        <v>1308.2</v>
      </c>
      <c r="M102" s="200">
        <v>1348.1</v>
      </c>
      <c r="N102" s="200">
        <v>1303.7</v>
      </c>
      <c r="O102" s="200">
        <v>1355</v>
      </c>
      <c r="P102" s="200">
        <v>1315.3</v>
      </c>
      <c r="Q102" s="200">
        <v>1226.9000000000001</v>
      </c>
      <c r="R102" s="200">
        <v>1233.7</v>
      </c>
      <c r="S102" s="200">
        <v>1335.5</v>
      </c>
      <c r="T102" s="200">
        <v>1419.4</v>
      </c>
      <c r="U102" s="200">
        <v>1449</v>
      </c>
      <c r="V102" s="200">
        <v>1384.5</v>
      </c>
      <c r="W102" s="200">
        <v>1408.1</v>
      </c>
      <c r="X102" s="200">
        <v>1397.8</v>
      </c>
      <c r="Y102" s="200">
        <v>1299.3</v>
      </c>
      <c r="Z102" s="200">
        <v>1325</v>
      </c>
      <c r="AA102" s="200">
        <v>1162.4000000000001</v>
      </c>
      <c r="AB102" s="200">
        <v>1021.2</v>
      </c>
      <c r="AC102" s="200">
        <v>1085.5999999999999</v>
      </c>
      <c r="AD102" s="200">
        <v>1217.4000000000001</v>
      </c>
      <c r="AE102" s="200">
        <v>1217.4000000000001</v>
      </c>
      <c r="AF102" s="200">
        <v>1234.8</v>
      </c>
      <c r="AG102" s="200">
        <v>1258.2</v>
      </c>
      <c r="AH102" s="200">
        <v>1284.2</v>
      </c>
      <c r="AI102" s="214"/>
      <c r="AJ102" s="214"/>
      <c r="AK102" s="214"/>
      <c r="AL102" s="214"/>
    </row>
    <row r="103" spans="1:38">
      <c r="A103" s="240" t="s">
        <v>281</v>
      </c>
      <c r="B103" s="240" t="s">
        <v>281</v>
      </c>
      <c r="C103" s="200">
        <v>4.5</v>
      </c>
      <c r="D103" s="200">
        <v>4</v>
      </c>
      <c r="E103" s="200">
        <v>4.3</v>
      </c>
      <c r="F103" s="200">
        <v>4.5999999999999996</v>
      </c>
      <c r="G103" s="200">
        <v>4.9000000000000004</v>
      </c>
      <c r="H103" s="200">
        <v>5.6</v>
      </c>
      <c r="I103" s="200">
        <v>5.5</v>
      </c>
      <c r="J103" s="200">
        <v>5</v>
      </c>
      <c r="K103" s="200">
        <v>5.4</v>
      </c>
      <c r="L103" s="200">
        <v>5.6</v>
      </c>
      <c r="M103" s="200">
        <v>5</v>
      </c>
      <c r="N103" s="200">
        <v>4.5999999999999996</v>
      </c>
      <c r="O103" s="200">
        <v>5.7</v>
      </c>
      <c r="P103" s="200">
        <v>6.6</v>
      </c>
      <c r="Q103" s="200">
        <v>6.9</v>
      </c>
      <c r="R103" s="200">
        <v>6.5</v>
      </c>
      <c r="S103" s="200">
        <v>6.2</v>
      </c>
      <c r="T103" s="200">
        <v>6.1</v>
      </c>
      <c r="U103" s="200">
        <v>6.2</v>
      </c>
      <c r="V103" s="200">
        <v>6.5</v>
      </c>
      <c r="W103" s="200">
        <v>6.1</v>
      </c>
      <c r="X103" s="200">
        <v>6.3</v>
      </c>
      <c r="Y103" s="200">
        <v>6</v>
      </c>
      <c r="Z103" s="200">
        <v>5.4</v>
      </c>
      <c r="AA103" s="200">
        <v>5.2</v>
      </c>
      <c r="AB103" s="200">
        <v>4.7</v>
      </c>
      <c r="AC103" s="200">
        <v>4.7</v>
      </c>
      <c r="AD103" s="200">
        <v>4.4000000000000004</v>
      </c>
      <c r="AE103" s="200">
        <v>4.5</v>
      </c>
      <c r="AF103" s="200">
        <v>4.3</v>
      </c>
      <c r="AG103" s="200">
        <v>5.9</v>
      </c>
      <c r="AH103" s="200">
        <v>9.6999999999999993</v>
      </c>
      <c r="AI103" s="214"/>
      <c r="AJ103" s="214"/>
      <c r="AK103" s="214"/>
      <c r="AL103" s="214"/>
    </row>
    <row r="104" spans="1:38">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216"/>
      <c r="AD104" s="18"/>
      <c r="AE104" s="18"/>
      <c r="AF104" s="18"/>
      <c r="AG104" s="18"/>
      <c r="AH104" s="18"/>
      <c r="AI104" s="18"/>
      <c r="AJ104" s="18"/>
      <c r="AK104" s="18"/>
      <c r="AL104" s="18"/>
    </row>
    <row r="105" spans="1:38">
      <c r="A105" s="18" t="s">
        <v>326</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row>
    <row r="108" spans="1:38" ht="13">
      <c r="A108"/>
      <c r="B108"/>
      <c r="C108"/>
      <c r="D108"/>
      <c r="E108"/>
      <c r="F108"/>
      <c r="G108"/>
      <c r="H108"/>
      <c r="I108"/>
      <c r="J108"/>
      <c r="K108"/>
      <c r="L108"/>
      <c r="M108"/>
      <c r="N108"/>
      <c r="O108"/>
      <c r="P108"/>
      <c r="Q108"/>
      <c r="R108"/>
      <c r="S108"/>
      <c r="T108"/>
      <c r="U108"/>
      <c r="V108"/>
      <c r="W108"/>
      <c r="X108"/>
      <c r="Y108"/>
      <c r="Z108"/>
      <c r="AA108"/>
      <c r="AB108"/>
      <c r="AC108"/>
      <c r="AD108" s="18"/>
      <c r="AE108" s="18"/>
      <c r="AF108" s="18"/>
      <c r="AG108" s="18"/>
      <c r="AH108" s="18"/>
      <c r="AI108" s="18"/>
      <c r="AJ108" s="18"/>
      <c r="AK108" s="18"/>
      <c r="AL108" s="18"/>
    </row>
    <row r="109" spans="1:38" ht="13">
      <c r="A109"/>
      <c r="B109"/>
      <c r="C109"/>
      <c r="D109"/>
      <c r="E109"/>
      <c r="F109"/>
      <c r="G109"/>
      <c r="H109"/>
      <c r="I109"/>
      <c r="J109"/>
      <c r="K109"/>
      <c r="L109"/>
      <c r="M109"/>
      <c r="N109"/>
      <c r="O109"/>
      <c r="P109"/>
      <c r="Q109"/>
      <c r="R109"/>
      <c r="S109"/>
      <c r="T109"/>
      <c r="U109"/>
      <c r="V109"/>
      <c r="W109"/>
      <c r="X109"/>
      <c r="Y109"/>
      <c r="Z109"/>
      <c r="AA109"/>
      <c r="AB109"/>
      <c r="AC109"/>
      <c r="AD109" s="18"/>
      <c r="AE109" s="18"/>
      <c r="AF109" s="18"/>
      <c r="AG109" s="18"/>
      <c r="AH109" s="18"/>
      <c r="AI109" s="18"/>
      <c r="AJ109" s="18"/>
      <c r="AK109" s="18"/>
      <c r="AL109" s="18"/>
    </row>
    <row r="110" spans="1:38" ht="13">
      <c r="A110"/>
      <c r="B110"/>
      <c r="C110"/>
      <c r="D110"/>
      <c r="E110"/>
      <c r="F110"/>
      <c r="G110"/>
      <c r="H110"/>
      <c r="I110"/>
      <c r="J110"/>
      <c r="K110"/>
      <c r="L110"/>
      <c r="M110"/>
      <c r="N110"/>
      <c r="O110"/>
      <c r="P110"/>
      <c r="Q110"/>
      <c r="R110"/>
      <c r="S110"/>
      <c r="T110"/>
      <c r="U110"/>
      <c r="V110"/>
      <c r="W110"/>
      <c r="X110"/>
      <c r="Y110"/>
      <c r="Z110"/>
      <c r="AA110"/>
      <c r="AB110"/>
      <c r="AC110"/>
      <c r="AD110" s="18"/>
      <c r="AE110" s="18"/>
      <c r="AF110" s="18"/>
      <c r="AG110" s="18"/>
      <c r="AH110" s="18"/>
      <c r="AI110" s="18"/>
      <c r="AJ110" s="18"/>
      <c r="AK110" s="18"/>
      <c r="AL110" s="18"/>
    </row>
    <row r="111" spans="1:38" ht="13">
      <c r="A111"/>
      <c r="B111"/>
      <c r="C111"/>
      <c r="D111"/>
      <c r="E111"/>
      <c r="F111"/>
      <c r="G111"/>
      <c r="H111"/>
      <c r="I111"/>
      <c r="J111"/>
      <c r="K111"/>
      <c r="L111"/>
      <c r="M111"/>
      <c r="N111"/>
      <c r="O111"/>
      <c r="P111"/>
      <c r="Q111"/>
      <c r="R111"/>
      <c r="S111"/>
      <c r="T111"/>
      <c r="U111"/>
      <c r="V111"/>
      <c r="W111"/>
      <c r="X111"/>
      <c r="Y111"/>
      <c r="Z111"/>
      <c r="AA111"/>
      <c r="AB111"/>
      <c r="AC111"/>
      <c r="AD111" s="18"/>
      <c r="AE111" s="18"/>
      <c r="AF111" s="18"/>
      <c r="AG111" s="18"/>
      <c r="AH111" s="18"/>
      <c r="AI111" s="18"/>
      <c r="AJ111" s="18"/>
      <c r="AK111" s="18"/>
      <c r="AL111" s="18"/>
    </row>
    <row r="112" spans="1:38" ht="13">
      <c r="A112"/>
      <c r="B112"/>
      <c r="C112"/>
      <c r="D112"/>
      <c r="E112"/>
      <c r="F112"/>
      <c r="G112"/>
      <c r="H112"/>
      <c r="I112"/>
      <c r="J112"/>
      <c r="K112"/>
      <c r="L112"/>
      <c r="M112"/>
      <c r="N112"/>
      <c r="O112"/>
      <c r="P112"/>
      <c r="Q112"/>
      <c r="R112"/>
      <c r="S112"/>
      <c r="T112"/>
      <c r="U112"/>
      <c r="V112"/>
      <c r="W112"/>
      <c r="X112"/>
      <c r="Y112"/>
      <c r="Z112"/>
      <c r="AA112"/>
      <c r="AB112"/>
      <c r="AC112"/>
      <c r="AD112" s="18"/>
      <c r="AE112" s="18"/>
      <c r="AF112" s="18"/>
      <c r="AG112" s="18"/>
      <c r="AH112" s="18"/>
      <c r="AI112" s="18"/>
      <c r="AJ112" s="18"/>
      <c r="AK112" s="18"/>
      <c r="AL112" s="18"/>
    </row>
    <row r="113" spans="1:29" ht="13">
      <c r="A113"/>
      <c r="B113"/>
      <c r="C113"/>
      <c r="D113"/>
      <c r="E113"/>
      <c r="F113"/>
      <c r="G113"/>
      <c r="H113"/>
      <c r="I113"/>
      <c r="J113"/>
      <c r="K113"/>
      <c r="L113"/>
      <c r="M113"/>
      <c r="N113"/>
      <c r="O113"/>
      <c r="P113"/>
      <c r="Q113"/>
      <c r="R113"/>
      <c r="S113"/>
      <c r="T113"/>
      <c r="U113"/>
      <c r="V113"/>
      <c r="W113"/>
      <c r="X113"/>
      <c r="Y113"/>
      <c r="Z113"/>
      <c r="AA113"/>
      <c r="AB113"/>
      <c r="AC113"/>
    </row>
    <row r="114" spans="1:29" ht="13">
      <c r="A114"/>
      <c r="B114"/>
      <c r="C114"/>
      <c r="D114"/>
      <c r="E114"/>
      <c r="F114"/>
      <c r="G114"/>
      <c r="H114"/>
      <c r="I114"/>
      <c r="J114"/>
      <c r="K114"/>
      <c r="L114"/>
      <c r="M114"/>
      <c r="N114"/>
      <c r="O114"/>
      <c r="P114"/>
      <c r="Q114"/>
      <c r="R114"/>
      <c r="S114"/>
      <c r="T114"/>
      <c r="U114"/>
      <c r="V114"/>
      <c r="W114"/>
      <c r="X114"/>
      <c r="Y114"/>
      <c r="Z114"/>
      <c r="AA114"/>
      <c r="AB114"/>
      <c r="AC114"/>
    </row>
    <row r="115" spans="1:29" ht="13">
      <c r="A115"/>
      <c r="B115"/>
      <c r="C115"/>
      <c r="D115"/>
      <c r="E115"/>
      <c r="F115"/>
      <c r="G115"/>
      <c r="H115"/>
      <c r="I115"/>
      <c r="J115"/>
      <c r="K115"/>
      <c r="L115"/>
      <c r="M115"/>
      <c r="N115"/>
      <c r="O115"/>
      <c r="P115"/>
      <c r="Q115"/>
      <c r="R115"/>
      <c r="S115"/>
      <c r="T115"/>
      <c r="U115"/>
      <c r="V115"/>
      <c r="W115"/>
      <c r="X115"/>
      <c r="Y115"/>
      <c r="Z115"/>
      <c r="AA115"/>
      <c r="AB115"/>
      <c r="AC115"/>
    </row>
    <row r="116" spans="1:29" ht="13">
      <c r="A116"/>
      <c r="B116"/>
      <c r="C116"/>
      <c r="D116"/>
      <c r="E116"/>
      <c r="F116"/>
      <c r="G116"/>
      <c r="H116"/>
      <c r="I116"/>
      <c r="J116"/>
      <c r="K116"/>
      <c r="L116"/>
      <c r="M116"/>
      <c r="N116"/>
      <c r="O116"/>
      <c r="P116"/>
      <c r="Q116"/>
      <c r="R116"/>
      <c r="S116"/>
      <c r="T116"/>
      <c r="U116"/>
      <c r="V116"/>
      <c r="W116"/>
      <c r="X116"/>
      <c r="Y116"/>
      <c r="Z116"/>
      <c r="AA116"/>
      <c r="AB116"/>
      <c r="AC116"/>
    </row>
    <row r="117" spans="1:29" ht="13">
      <c r="A117"/>
      <c r="B117"/>
      <c r="C117"/>
      <c r="D117"/>
      <c r="E117"/>
      <c r="F117"/>
      <c r="G117"/>
      <c r="H117"/>
      <c r="I117"/>
      <c r="J117"/>
      <c r="K117"/>
      <c r="L117"/>
      <c r="M117"/>
      <c r="N117"/>
      <c r="O117"/>
      <c r="P117"/>
      <c r="Q117"/>
      <c r="R117"/>
      <c r="S117"/>
      <c r="T117"/>
      <c r="U117"/>
      <c r="V117"/>
      <c r="W117"/>
      <c r="X117"/>
      <c r="Y117"/>
      <c r="Z117"/>
      <c r="AA117"/>
      <c r="AB117"/>
      <c r="AC117"/>
    </row>
    <row r="118" spans="1:29" ht="13">
      <c r="A118"/>
      <c r="B118"/>
      <c r="C118"/>
      <c r="D118"/>
      <c r="E118"/>
      <c r="F118"/>
      <c r="G118"/>
      <c r="H118"/>
      <c r="I118"/>
      <c r="J118"/>
      <c r="K118"/>
      <c r="L118"/>
      <c r="M118"/>
      <c r="N118"/>
      <c r="O118"/>
      <c r="P118"/>
      <c r="Q118"/>
      <c r="R118"/>
      <c r="S118"/>
      <c r="T118"/>
      <c r="U118"/>
      <c r="V118"/>
      <c r="W118"/>
      <c r="X118"/>
      <c r="Y118"/>
      <c r="Z118"/>
      <c r="AA118"/>
      <c r="AB118"/>
      <c r="AC118"/>
    </row>
    <row r="119" spans="1:29" ht="13">
      <c r="A119"/>
      <c r="B119"/>
      <c r="C119"/>
      <c r="D119"/>
      <c r="E119"/>
      <c r="F119"/>
      <c r="G119"/>
      <c r="H119"/>
      <c r="I119"/>
      <c r="J119"/>
      <c r="K119"/>
      <c r="L119"/>
      <c r="M119"/>
      <c r="N119"/>
      <c r="O119"/>
      <c r="P119"/>
      <c r="Q119"/>
      <c r="R119"/>
      <c r="S119"/>
      <c r="T119"/>
      <c r="U119"/>
      <c r="V119"/>
      <c r="W119"/>
      <c r="X119"/>
      <c r="Y119"/>
      <c r="Z119"/>
      <c r="AA119"/>
      <c r="AB119"/>
      <c r="AC119"/>
    </row>
    <row r="120" spans="1:29" ht="13">
      <c r="A120"/>
      <c r="B120"/>
      <c r="C120"/>
      <c r="D120"/>
      <c r="E120"/>
      <c r="F120"/>
      <c r="G120"/>
      <c r="H120"/>
      <c r="I120"/>
      <c r="J120"/>
      <c r="K120"/>
      <c r="L120"/>
      <c r="M120"/>
      <c r="N120"/>
      <c r="O120"/>
      <c r="P120"/>
      <c r="Q120"/>
      <c r="R120"/>
      <c r="S120"/>
      <c r="T120"/>
      <c r="U120"/>
      <c r="V120"/>
      <c r="W120"/>
      <c r="X120"/>
      <c r="Y120"/>
      <c r="Z120"/>
      <c r="AA120"/>
      <c r="AB120"/>
      <c r="AC120"/>
    </row>
    <row r="121" spans="1:29" ht="13">
      <c r="A121"/>
      <c r="B121"/>
      <c r="C121"/>
      <c r="D121"/>
      <c r="E121"/>
      <c r="F121"/>
      <c r="G121"/>
      <c r="H121"/>
      <c r="I121"/>
      <c r="J121"/>
      <c r="K121"/>
      <c r="L121"/>
      <c r="M121"/>
      <c r="N121"/>
      <c r="O121"/>
      <c r="P121"/>
      <c r="Q121"/>
      <c r="R121"/>
      <c r="S121"/>
      <c r="T121"/>
      <c r="U121"/>
      <c r="V121"/>
      <c r="W121"/>
      <c r="X121"/>
      <c r="Y121"/>
      <c r="Z121"/>
      <c r="AA121"/>
      <c r="AB121"/>
      <c r="AC121"/>
    </row>
    <row r="122" spans="1:29" ht="13">
      <c r="A122"/>
      <c r="B122"/>
      <c r="C122"/>
      <c r="D122"/>
      <c r="E122"/>
      <c r="F122"/>
      <c r="G122"/>
      <c r="H122"/>
      <c r="I122"/>
      <c r="J122"/>
      <c r="K122"/>
      <c r="L122"/>
      <c r="M122"/>
      <c r="N122"/>
      <c r="O122"/>
      <c r="P122"/>
      <c r="Q122"/>
      <c r="R122"/>
      <c r="S122"/>
      <c r="T122"/>
      <c r="U122"/>
      <c r="V122"/>
      <c r="W122"/>
      <c r="X122"/>
      <c r="Y122"/>
      <c r="Z122"/>
      <c r="AA122"/>
      <c r="AB122"/>
      <c r="AC122"/>
    </row>
    <row r="123" spans="1:29" ht="13">
      <c r="A123"/>
      <c r="B123"/>
      <c r="C123"/>
      <c r="D123"/>
      <c r="E123"/>
      <c r="F123"/>
      <c r="G123"/>
      <c r="H123"/>
      <c r="I123"/>
      <c r="J123"/>
      <c r="K123"/>
      <c r="L123"/>
      <c r="M123"/>
      <c r="N123"/>
      <c r="O123"/>
      <c r="P123"/>
      <c r="Q123"/>
      <c r="R123"/>
      <c r="S123"/>
      <c r="T123"/>
      <c r="U123"/>
      <c r="V123"/>
      <c r="W123"/>
      <c r="X123"/>
      <c r="Y123"/>
      <c r="Z123"/>
      <c r="AA123"/>
      <c r="AB123"/>
      <c r="AC123"/>
    </row>
    <row r="124" spans="1:29" ht="13">
      <c r="A124"/>
      <c r="B124"/>
      <c r="C124"/>
      <c r="D124"/>
      <c r="E124"/>
      <c r="F124"/>
      <c r="G124"/>
      <c r="H124"/>
      <c r="I124"/>
      <c r="J124"/>
      <c r="K124"/>
      <c r="L124"/>
      <c r="M124"/>
      <c r="N124"/>
      <c r="O124"/>
      <c r="P124"/>
      <c r="Q124"/>
      <c r="R124"/>
      <c r="S124"/>
      <c r="T124"/>
      <c r="U124"/>
      <c r="V124"/>
      <c r="W124"/>
      <c r="X124"/>
      <c r="Y124"/>
      <c r="Z124"/>
      <c r="AA124"/>
      <c r="AB124"/>
      <c r="AC124"/>
    </row>
    <row r="125" spans="1:29" ht="13">
      <c r="A125"/>
      <c r="B125"/>
      <c r="C125"/>
      <c r="D125"/>
      <c r="E125"/>
      <c r="F125"/>
      <c r="G125"/>
      <c r="H125"/>
      <c r="I125"/>
      <c r="J125"/>
      <c r="K125"/>
      <c r="L125"/>
      <c r="M125"/>
      <c r="N125"/>
      <c r="O125"/>
      <c r="P125"/>
      <c r="Q125"/>
      <c r="R125"/>
      <c r="S125"/>
      <c r="T125"/>
      <c r="U125"/>
      <c r="V125"/>
      <c r="W125"/>
      <c r="X125"/>
      <c r="Y125"/>
      <c r="Z125"/>
      <c r="AA125"/>
      <c r="AB125"/>
      <c r="AC125"/>
    </row>
    <row r="126" spans="1:29" ht="13">
      <c r="A126"/>
      <c r="B126"/>
      <c r="C126"/>
      <c r="D126"/>
      <c r="E126"/>
      <c r="F126"/>
      <c r="G126"/>
      <c r="H126"/>
      <c r="I126"/>
      <c r="J126"/>
      <c r="K126"/>
      <c r="L126"/>
      <c r="M126"/>
      <c r="N126"/>
      <c r="O126"/>
      <c r="P126"/>
      <c r="Q126"/>
      <c r="R126"/>
      <c r="S126"/>
      <c r="T126"/>
      <c r="U126"/>
      <c r="V126"/>
      <c r="W126"/>
      <c r="X126"/>
      <c r="Y126"/>
      <c r="Z126"/>
      <c r="AA126"/>
      <c r="AB126"/>
      <c r="AC126"/>
    </row>
    <row r="127" spans="1:29" ht="13">
      <c r="A127"/>
      <c r="B127"/>
      <c r="C127"/>
      <c r="D127"/>
      <c r="E127"/>
      <c r="F127"/>
      <c r="G127"/>
      <c r="H127"/>
      <c r="I127"/>
      <c r="J127"/>
      <c r="K127"/>
      <c r="L127"/>
      <c r="M127"/>
      <c r="N127"/>
      <c r="O127"/>
      <c r="P127"/>
      <c r="Q127"/>
      <c r="R127"/>
      <c r="S127"/>
      <c r="T127"/>
      <c r="U127"/>
      <c r="V127"/>
      <c r="W127"/>
      <c r="X127"/>
      <c r="Y127"/>
      <c r="Z127"/>
      <c r="AA127"/>
      <c r="AB127"/>
      <c r="AC127"/>
    </row>
    <row r="128" spans="1:29" ht="13">
      <c r="A128"/>
      <c r="B128"/>
      <c r="C128"/>
      <c r="D128"/>
      <c r="E128"/>
      <c r="F128"/>
      <c r="G128"/>
      <c r="H128"/>
      <c r="I128"/>
      <c r="J128"/>
      <c r="K128"/>
      <c r="L128"/>
      <c r="M128"/>
      <c r="N128"/>
      <c r="O128"/>
      <c r="P128"/>
      <c r="Q128"/>
      <c r="R128"/>
      <c r="S128"/>
      <c r="T128"/>
      <c r="U128"/>
      <c r="V128"/>
      <c r="W128"/>
      <c r="X128"/>
      <c r="Y128"/>
      <c r="Z128"/>
      <c r="AA128"/>
      <c r="AB128"/>
      <c r="AC128"/>
    </row>
    <row r="129" spans="1:29" ht="13">
      <c r="A129"/>
      <c r="B129"/>
      <c r="C129"/>
      <c r="D129"/>
      <c r="E129"/>
      <c r="F129"/>
      <c r="G129"/>
      <c r="H129"/>
      <c r="I129"/>
      <c r="J129"/>
      <c r="K129"/>
      <c r="L129"/>
      <c r="M129"/>
      <c r="N129"/>
      <c r="O129"/>
      <c r="P129"/>
      <c r="Q129"/>
      <c r="R129"/>
      <c r="S129"/>
      <c r="T129"/>
      <c r="U129"/>
      <c r="V129"/>
      <c r="W129"/>
      <c r="X129"/>
      <c r="Y129"/>
      <c r="Z129"/>
      <c r="AA129"/>
      <c r="AB129"/>
      <c r="AC129"/>
    </row>
    <row r="130" spans="1:29" ht="13">
      <c r="A130"/>
      <c r="B130"/>
      <c r="C130"/>
      <c r="D130"/>
      <c r="E130"/>
      <c r="F130"/>
      <c r="G130"/>
      <c r="H130"/>
      <c r="I130"/>
      <c r="J130"/>
      <c r="K130"/>
      <c r="L130"/>
      <c r="M130"/>
      <c r="N130"/>
      <c r="O130"/>
      <c r="P130"/>
      <c r="Q130"/>
      <c r="R130"/>
      <c r="S130"/>
      <c r="T130"/>
      <c r="U130"/>
      <c r="V130"/>
      <c r="W130"/>
      <c r="X130"/>
      <c r="Y130"/>
      <c r="Z130"/>
      <c r="AA130"/>
      <c r="AB130"/>
      <c r="AC130"/>
    </row>
    <row r="131" spans="1:29" ht="13">
      <c r="A131"/>
      <c r="B131"/>
      <c r="C131"/>
      <c r="D131"/>
      <c r="E131"/>
      <c r="F131"/>
      <c r="G131"/>
      <c r="H131"/>
      <c r="I131"/>
      <c r="J131"/>
      <c r="K131"/>
      <c r="L131"/>
      <c r="M131"/>
      <c r="N131"/>
      <c r="O131"/>
      <c r="P131"/>
      <c r="Q131"/>
      <c r="R131"/>
      <c r="S131"/>
      <c r="T131"/>
      <c r="U131"/>
      <c r="V131"/>
      <c r="W131"/>
      <c r="X131"/>
      <c r="Y131"/>
      <c r="Z131"/>
      <c r="AA131"/>
      <c r="AB131"/>
      <c r="AC131"/>
    </row>
    <row r="132" spans="1:29" ht="13">
      <c r="A132"/>
      <c r="B132"/>
      <c r="C132"/>
      <c r="D132"/>
      <c r="E132"/>
      <c r="F132"/>
      <c r="G132"/>
      <c r="H132"/>
      <c r="I132"/>
      <c r="J132"/>
      <c r="K132"/>
      <c r="L132"/>
      <c r="M132"/>
      <c r="N132"/>
      <c r="O132"/>
      <c r="P132"/>
      <c r="Q132"/>
      <c r="R132"/>
      <c r="S132"/>
      <c r="T132"/>
      <c r="U132"/>
      <c r="V132"/>
      <c r="W132"/>
      <c r="X132"/>
      <c r="Y132"/>
      <c r="Z132"/>
      <c r="AA132"/>
      <c r="AB132"/>
      <c r="AC132"/>
    </row>
    <row r="133" spans="1:29" ht="13">
      <c r="A133"/>
      <c r="B133"/>
      <c r="C133"/>
      <c r="D133"/>
      <c r="E133"/>
      <c r="F133"/>
      <c r="G133"/>
      <c r="H133"/>
      <c r="I133"/>
      <c r="J133"/>
      <c r="K133"/>
      <c r="L133"/>
      <c r="M133"/>
      <c r="N133"/>
      <c r="O133"/>
      <c r="P133"/>
      <c r="Q133"/>
      <c r="R133"/>
      <c r="S133"/>
      <c r="T133"/>
      <c r="U133"/>
      <c r="V133"/>
      <c r="W133"/>
      <c r="X133"/>
      <c r="Y133"/>
      <c r="Z133"/>
      <c r="AA133"/>
      <c r="AB133"/>
      <c r="AC133"/>
    </row>
    <row r="134" spans="1:29" ht="13">
      <c r="A134"/>
      <c r="B134"/>
      <c r="C134"/>
      <c r="D134"/>
      <c r="E134"/>
      <c r="F134"/>
      <c r="G134"/>
      <c r="H134"/>
      <c r="I134"/>
      <c r="J134"/>
      <c r="K134"/>
      <c r="L134"/>
      <c r="M134"/>
      <c r="N134"/>
      <c r="O134"/>
      <c r="P134"/>
      <c r="Q134"/>
      <c r="R134"/>
      <c r="S134"/>
      <c r="T134"/>
      <c r="U134"/>
      <c r="V134"/>
      <c r="W134"/>
      <c r="X134"/>
      <c r="Y134"/>
      <c r="Z134"/>
      <c r="AA134"/>
      <c r="AB134"/>
      <c r="AC134"/>
    </row>
    <row r="135" spans="1:29" ht="13">
      <c r="A135"/>
      <c r="B135"/>
      <c r="C135"/>
      <c r="D135"/>
      <c r="E135"/>
      <c r="F135"/>
      <c r="G135"/>
      <c r="H135"/>
      <c r="I135"/>
      <c r="J135"/>
      <c r="K135"/>
      <c r="L135"/>
      <c r="M135"/>
      <c r="N135"/>
      <c r="O135"/>
      <c r="P135"/>
      <c r="Q135"/>
      <c r="R135"/>
      <c r="S135"/>
      <c r="T135"/>
      <c r="U135"/>
      <c r="V135"/>
      <c r="W135"/>
      <c r="X135"/>
      <c r="Y135"/>
      <c r="Z135"/>
      <c r="AA135"/>
      <c r="AB135"/>
      <c r="AC135"/>
    </row>
    <row r="136" spans="1:29" ht="13">
      <c r="A136"/>
      <c r="B136"/>
      <c r="C136"/>
      <c r="D136"/>
      <c r="E136"/>
      <c r="F136"/>
      <c r="G136"/>
      <c r="H136"/>
      <c r="I136"/>
      <c r="J136"/>
      <c r="K136"/>
      <c r="L136"/>
      <c r="M136"/>
      <c r="N136"/>
      <c r="O136"/>
      <c r="P136"/>
      <c r="Q136"/>
      <c r="R136"/>
      <c r="S136"/>
      <c r="T136"/>
      <c r="U136"/>
      <c r="V136"/>
      <c r="W136"/>
      <c r="X136"/>
      <c r="Y136"/>
      <c r="Z136"/>
      <c r="AA136"/>
      <c r="AB136"/>
      <c r="AC136"/>
    </row>
    <row r="137" spans="1:29" ht="13">
      <c r="A137"/>
      <c r="B137"/>
      <c r="C137"/>
      <c r="D137"/>
      <c r="E137"/>
      <c r="F137"/>
      <c r="G137"/>
      <c r="H137"/>
      <c r="I137"/>
      <c r="J137"/>
      <c r="K137"/>
      <c r="L137"/>
      <c r="M137"/>
      <c r="N137"/>
      <c r="O137"/>
      <c r="P137"/>
      <c r="Q137"/>
      <c r="R137"/>
      <c r="S137"/>
      <c r="T137"/>
      <c r="U137"/>
      <c r="V137"/>
      <c r="W137"/>
      <c r="X137"/>
      <c r="Y137"/>
      <c r="Z137"/>
      <c r="AA137"/>
      <c r="AB137"/>
      <c r="AC137"/>
    </row>
    <row r="138" spans="1:29" ht="13">
      <c r="A138"/>
      <c r="B138"/>
      <c r="C138"/>
      <c r="D138"/>
      <c r="E138"/>
      <c r="F138"/>
      <c r="G138"/>
      <c r="H138"/>
      <c r="I138"/>
      <c r="J138"/>
      <c r="K138"/>
      <c r="L138"/>
      <c r="M138"/>
      <c r="N138"/>
      <c r="O138"/>
      <c r="P138"/>
      <c r="Q138"/>
      <c r="R138"/>
      <c r="S138"/>
      <c r="T138"/>
      <c r="U138"/>
      <c r="V138"/>
      <c r="W138"/>
      <c r="X138"/>
      <c r="Y138"/>
      <c r="Z138"/>
      <c r="AA138"/>
      <c r="AB138"/>
      <c r="AC138"/>
    </row>
    <row r="139" spans="1:29" ht="13">
      <c r="A139"/>
      <c r="B139"/>
      <c r="C139"/>
      <c r="D139"/>
      <c r="E139"/>
      <c r="F139"/>
      <c r="G139"/>
      <c r="H139"/>
      <c r="I139"/>
      <c r="J139"/>
      <c r="K139"/>
      <c r="L139"/>
      <c r="M139"/>
      <c r="N139"/>
      <c r="O139"/>
      <c r="P139"/>
      <c r="Q139"/>
      <c r="R139"/>
      <c r="S139"/>
      <c r="T139"/>
      <c r="U139"/>
      <c r="V139"/>
      <c r="W139"/>
      <c r="X139"/>
      <c r="Y139"/>
      <c r="Z139"/>
      <c r="AA139"/>
      <c r="AB139"/>
      <c r="AC139"/>
    </row>
    <row r="140" spans="1:29" ht="13">
      <c r="A140"/>
      <c r="B140"/>
      <c r="C140"/>
      <c r="D140"/>
      <c r="E140"/>
      <c r="F140"/>
      <c r="G140"/>
      <c r="H140"/>
      <c r="I140"/>
      <c r="J140"/>
      <c r="K140"/>
      <c r="L140"/>
      <c r="M140"/>
      <c r="N140"/>
      <c r="O140"/>
      <c r="P140"/>
      <c r="Q140"/>
      <c r="R140"/>
      <c r="S140"/>
      <c r="T140"/>
      <c r="U140"/>
      <c r="V140"/>
      <c r="W140"/>
      <c r="X140"/>
      <c r="Y140"/>
      <c r="Z140"/>
      <c r="AA140"/>
      <c r="AB140"/>
      <c r="AC140"/>
    </row>
    <row r="141" spans="1:29" ht="13">
      <c r="A141"/>
      <c r="B141"/>
      <c r="C141"/>
      <c r="D141"/>
      <c r="E141"/>
      <c r="F141"/>
      <c r="G141"/>
      <c r="H141"/>
      <c r="I141"/>
      <c r="J141"/>
      <c r="K141"/>
      <c r="L141"/>
      <c r="M141"/>
      <c r="N141"/>
      <c r="O141"/>
      <c r="P141"/>
      <c r="Q141"/>
      <c r="R141"/>
      <c r="S141"/>
      <c r="T141"/>
      <c r="U141"/>
      <c r="V141"/>
      <c r="W141"/>
      <c r="X141"/>
      <c r="Y141"/>
      <c r="Z141"/>
      <c r="AA141"/>
      <c r="AB141"/>
      <c r="AC141"/>
    </row>
    <row r="142" spans="1:29" ht="13">
      <c r="A142"/>
      <c r="B142"/>
      <c r="C142"/>
      <c r="D142"/>
      <c r="E142"/>
      <c r="F142"/>
      <c r="G142"/>
      <c r="H142"/>
      <c r="I142"/>
      <c r="J142"/>
      <c r="K142"/>
      <c r="L142"/>
      <c r="M142"/>
      <c r="N142"/>
      <c r="O142"/>
      <c r="P142"/>
      <c r="Q142"/>
      <c r="R142"/>
      <c r="S142"/>
      <c r="T142"/>
      <c r="U142"/>
      <c r="V142"/>
      <c r="W142"/>
      <c r="X142"/>
      <c r="Y142"/>
      <c r="Z142"/>
      <c r="AA142"/>
      <c r="AB142"/>
      <c r="AC142"/>
    </row>
    <row r="143" spans="1:29" ht="13">
      <c r="A143"/>
      <c r="B143"/>
      <c r="C143"/>
      <c r="D143"/>
      <c r="E143"/>
      <c r="F143"/>
      <c r="G143"/>
      <c r="H143"/>
      <c r="I143"/>
      <c r="J143"/>
      <c r="K143"/>
      <c r="L143"/>
      <c r="M143"/>
      <c r="N143"/>
      <c r="O143"/>
      <c r="P143"/>
      <c r="Q143"/>
      <c r="R143"/>
      <c r="S143"/>
      <c r="T143"/>
      <c r="U143"/>
      <c r="V143"/>
      <c r="W143"/>
      <c r="X143"/>
      <c r="Y143"/>
      <c r="Z143"/>
      <c r="AA143"/>
      <c r="AB143"/>
      <c r="AC143"/>
    </row>
    <row r="144" spans="1:29" ht="13">
      <c r="A144"/>
      <c r="B144"/>
      <c r="C144"/>
      <c r="D144"/>
      <c r="E144"/>
      <c r="F144"/>
      <c r="G144"/>
      <c r="H144"/>
      <c r="I144"/>
      <c r="J144"/>
      <c r="K144"/>
      <c r="L144"/>
      <c r="M144"/>
      <c r="N144"/>
      <c r="O144"/>
      <c r="P144"/>
      <c r="Q144"/>
      <c r="R144"/>
      <c r="S144"/>
      <c r="T144"/>
      <c r="U144"/>
      <c r="V144"/>
      <c r="W144"/>
      <c r="X144"/>
      <c r="Y144"/>
      <c r="Z144"/>
      <c r="AA144"/>
      <c r="AB144"/>
      <c r="AC144"/>
    </row>
    <row r="145" spans="1:29" ht="13">
      <c r="A145"/>
      <c r="B145"/>
      <c r="C145"/>
      <c r="D145"/>
      <c r="E145"/>
      <c r="F145"/>
      <c r="G145"/>
      <c r="H145"/>
      <c r="I145"/>
      <c r="J145"/>
      <c r="K145"/>
      <c r="L145"/>
      <c r="M145"/>
      <c r="N145"/>
      <c r="O145"/>
      <c r="P145"/>
      <c r="Q145"/>
      <c r="R145"/>
      <c r="S145"/>
      <c r="T145"/>
      <c r="U145"/>
      <c r="V145"/>
      <c r="W145"/>
      <c r="X145"/>
      <c r="Y145"/>
      <c r="Z145"/>
      <c r="AA145"/>
      <c r="AB145"/>
      <c r="AC145"/>
    </row>
    <row r="146" spans="1:29" ht="13">
      <c r="A146"/>
      <c r="B146"/>
      <c r="C146"/>
      <c r="D146"/>
      <c r="E146"/>
      <c r="F146"/>
      <c r="G146"/>
      <c r="H146"/>
      <c r="I146"/>
      <c r="J146"/>
      <c r="K146"/>
      <c r="L146"/>
      <c r="M146"/>
      <c r="N146"/>
      <c r="O146"/>
      <c r="P146"/>
      <c r="Q146"/>
      <c r="R146"/>
      <c r="S146"/>
      <c r="T146"/>
      <c r="U146"/>
      <c r="V146"/>
      <c r="W146"/>
      <c r="X146"/>
      <c r="Y146"/>
      <c r="Z146"/>
      <c r="AA146"/>
      <c r="AB146"/>
      <c r="AC146"/>
    </row>
    <row r="147" spans="1:29" ht="13">
      <c r="A147"/>
      <c r="B147"/>
      <c r="C147"/>
      <c r="D147"/>
      <c r="E147"/>
      <c r="F147"/>
      <c r="G147"/>
      <c r="H147"/>
      <c r="I147"/>
      <c r="J147"/>
      <c r="K147"/>
      <c r="L147"/>
      <c r="M147"/>
      <c r="N147"/>
      <c r="O147"/>
      <c r="P147"/>
      <c r="Q147"/>
      <c r="R147"/>
      <c r="S147"/>
      <c r="T147"/>
      <c r="U147"/>
      <c r="V147"/>
      <c r="W147"/>
      <c r="X147"/>
      <c r="Y147"/>
      <c r="Z147"/>
      <c r="AA147"/>
      <c r="AB147"/>
      <c r="AC147"/>
    </row>
    <row r="148" spans="1:29" ht="13">
      <c r="A148"/>
      <c r="B148"/>
      <c r="C148"/>
      <c r="D148"/>
      <c r="E148"/>
      <c r="F148"/>
      <c r="G148"/>
      <c r="H148"/>
      <c r="I148"/>
      <c r="J148"/>
      <c r="K148"/>
      <c r="L148"/>
      <c r="M148"/>
      <c r="N148"/>
      <c r="O148"/>
      <c r="P148"/>
      <c r="Q148"/>
      <c r="R148"/>
      <c r="S148"/>
      <c r="T148"/>
      <c r="U148"/>
      <c r="V148"/>
      <c r="W148"/>
      <c r="X148"/>
      <c r="Y148"/>
      <c r="Z148"/>
      <c r="AA148"/>
      <c r="AB148"/>
      <c r="AC148"/>
    </row>
    <row r="149" spans="1:29" ht="13">
      <c r="A149"/>
      <c r="B149"/>
      <c r="C149"/>
      <c r="D149"/>
      <c r="E149"/>
      <c r="F149"/>
      <c r="G149"/>
      <c r="H149"/>
      <c r="I149"/>
      <c r="J149"/>
      <c r="K149"/>
      <c r="L149"/>
      <c r="M149"/>
      <c r="N149"/>
      <c r="O149"/>
      <c r="P149"/>
      <c r="Q149"/>
      <c r="R149"/>
      <c r="S149"/>
      <c r="T149"/>
      <c r="U149"/>
      <c r="V149"/>
      <c r="W149"/>
      <c r="X149"/>
      <c r="Y149"/>
      <c r="Z149"/>
      <c r="AA149"/>
      <c r="AB149"/>
      <c r="AC149"/>
    </row>
    <row r="150" spans="1:29" ht="13">
      <c r="A150"/>
      <c r="B150"/>
      <c r="C150"/>
      <c r="D150"/>
      <c r="E150"/>
      <c r="F150"/>
      <c r="G150"/>
      <c r="H150"/>
      <c r="I150"/>
      <c r="J150"/>
      <c r="K150"/>
      <c r="L150"/>
      <c r="M150"/>
      <c r="N150"/>
      <c r="O150"/>
      <c r="P150"/>
      <c r="Q150"/>
      <c r="R150"/>
      <c r="S150"/>
      <c r="T150"/>
      <c r="U150"/>
      <c r="V150"/>
      <c r="W150"/>
      <c r="X150"/>
      <c r="Y150"/>
      <c r="Z150"/>
      <c r="AA150"/>
      <c r="AB150"/>
      <c r="AC150"/>
    </row>
    <row r="151" spans="1:29" ht="13">
      <c r="A151"/>
      <c r="B151"/>
      <c r="C151"/>
      <c r="D151"/>
      <c r="E151"/>
      <c r="F151"/>
      <c r="G151"/>
      <c r="H151"/>
      <c r="I151"/>
      <c r="J151"/>
      <c r="K151"/>
      <c r="L151"/>
      <c r="M151"/>
      <c r="N151"/>
      <c r="O151"/>
      <c r="P151"/>
      <c r="Q151"/>
      <c r="R151"/>
      <c r="S151"/>
      <c r="T151"/>
      <c r="U151"/>
      <c r="V151"/>
      <c r="W151"/>
      <c r="X151"/>
      <c r="Y151"/>
      <c r="Z151"/>
      <c r="AA151"/>
      <c r="AB151"/>
      <c r="AC151"/>
    </row>
    <row r="152" spans="1:29" ht="13">
      <c r="A152"/>
      <c r="B152"/>
      <c r="C152"/>
      <c r="D152"/>
      <c r="E152"/>
      <c r="F152"/>
      <c r="G152"/>
      <c r="H152"/>
      <c r="I152"/>
      <c r="J152"/>
      <c r="K152"/>
      <c r="L152"/>
      <c r="M152"/>
      <c r="N152"/>
      <c r="O152"/>
      <c r="P152"/>
      <c r="Q152"/>
      <c r="R152"/>
      <c r="S152"/>
      <c r="T152"/>
      <c r="U152"/>
      <c r="V152"/>
      <c r="W152"/>
      <c r="X152"/>
      <c r="Y152"/>
      <c r="Z152"/>
      <c r="AA152"/>
      <c r="AB152"/>
      <c r="AC152"/>
    </row>
    <row r="153" spans="1:29" ht="13">
      <c r="A153"/>
      <c r="B153"/>
      <c r="C153"/>
      <c r="D153"/>
      <c r="E153"/>
      <c r="F153"/>
      <c r="G153"/>
      <c r="H153"/>
      <c r="I153"/>
      <c r="J153"/>
      <c r="K153"/>
      <c r="L153"/>
      <c r="M153"/>
      <c r="N153"/>
      <c r="O153"/>
      <c r="P153"/>
      <c r="Q153"/>
      <c r="R153"/>
      <c r="S153"/>
      <c r="T153"/>
      <c r="U153"/>
      <c r="V153"/>
      <c r="W153"/>
      <c r="X153"/>
      <c r="Y153"/>
      <c r="Z153"/>
      <c r="AA153"/>
      <c r="AB153"/>
      <c r="AC153"/>
    </row>
    <row r="154" spans="1:29" ht="13">
      <c r="A154"/>
      <c r="B154"/>
      <c r="C154"/>
      <c r="D154"/>
      <c r="E154"/>
      <c r="F154"/>
      <c r="G154"/>
      <c r="H154"/>
      <c r="I154"/>
      <c r="J154"/>
      <c r="K154"/>
      <c r="L154"/>
      <c r="M154"/>
      <c r="N154"/>
      <c r="O154"/>
      <c r="P154"/>
      <c r="Q154"/>
      <c r="R154"/>
      <c r="S154"/>
      <c r="T154"/>
      <c r="U154"/>
      <c r="V154"/>
      <c r="W154"/>
      <c r="X154"/>
      <c r="Y154"/>
      <c r="Z154"/>
      <c r="AA154"/>
      <c r="AB154"/>
      <c r="AC154"/>
    </row>
    <row r="155" spans="1:29" ht="13">
      <c r="A155"/>
      <c r="B155"/>
      <c r="C155"/>
      <c r="D155"/>
      <c r="E155"/>
      <c r="F155"/>
      <c r="G155"/>
      <c r="H155"/>
      <c r="I155"/>
      <c r="J155"/>
      <c r="K155"/>
      <c r="L155"/>
      <c r="M155"/>
      <c r="N155"/>
      <c r="O155"/>
      <c r="P155"/>
      <c r="Q155"/>
      <c r="R155"/>
      <c r="S155"/>
      <c r="T155"/>
      <c r="U155"/>
      <c r="V155"/>
      <c r="W155"/>
      <c r="X155"/>
      <c r="Y155"/>
      <c r="Z155"/>
      <c r="AA155"/>
      <c r="AB155"/>
      <c r="AC155"/>
    </row>
    <row r="156" spans="1:29" ht="13">
      <c r="A156"/>
      <c r="B156"/>
      <c r="C156"/>
      <c r="D156"/>
      <c r="E156"/>
      <c r="F156"/>
      <c r="G156"/>
      <c r="H156"/>
      <c r="I156"/>
      <c r="J156"/>
      <c r="K156"/>
      <c r="L156"/>
      <c r="M156"/>
      <c r="N156"/>
      <c r="O156"/>
      <c r="P156"/>
      <c r="Q156"/>
      <c r="R156"/>
      <c r="S156"/>
      <c r="T156"/>
      <c r="U156"/>
      <c r="V156"/>
      <c r="W156"/>
      <c r="X156"/>
      <c r="Y156"/>
      <c r="Z156"/>
      <c r="AA156"/>
      <c r="AB156"/>
      <c r="AC156"/>
    </row>
    <row r="157" spans="1:29" ht="13">
      <c r="A157"/>
      <c r="B157"/>
      <c r="C157"/>
      <c r="D157"/>
      <c r="E157"/>
      <c r="F157"/>
      <c r="G157"/>
      <c r="H157"/>
      <c r="I157"/>
      <c r="J157"/>
      <c r="K157"/>
      <c r="L157"/>
      <c r="M157"/>
      <c r="N157"/>
      <c r="O157"/>
      <c r="P157"/>
      <c r="Q157"/>
      <c r="R157"/>
      <c r="S157"/>
      <c r="T157"/>
      <c r="U157"/>
      <c r="V157"/>
      <c r="W157"/>
      <c r="X157"/>
      <c r="Y157"/>
      <c r="Z157"/>
      <c r="AA157"/>
      <c r="AB157"/>
      <c r="AC157"/>
    </row>
    <row r="158" spans="1:29" ht="13">
      <c r="A158"/>
      <c r="B158"/>
      <c r="C158"/>
      <c r="D158"/>
      <c r="E158"/>
      <c r="F158"/>
      <c r="G158"/>
      <c r="H158"/>
      <c r="I158"/>
      <c r="J158"/>
      <c r="K158"/>
      <c r="L158"/>
      <c r="M158"/>
      <c r="N158"/>
      <c r="O158"/>
      <c r="P158"/>
      <c r="Q158"/>
      <c r="R158"/>
      <c r="S158"/>
      <c r="T158"/>
      <c r="U158"/>
      <c r="V158"/>
      <c r="W158"/>
      <c r="X158"/>
      <c r="Y158"/>
      <c r="Z158"/>
      <c r="AA158"/>
      <c r="AB158"/>
      <c r="AC158"/>
    </row>
    <row r="159" spans="1:29" ht="13">
      <c r="A159"/>
      <c r="B159"/>
      <c r="C159"/>
      <c r="D159"/>
      <c r="E159"/>
      <c r="F159"/>
      <c r="G159"/>
      <c r="H159"/>
      <c r="I159"/>
      <c r="J159"/>
      <c r="K159"/>
      <c r="L159"/>
      <c r="M159"/>
      <c r="N159"/>
      <c r="O159"/>
      <c r="P159"/>
      <c r="Q159"/>
      <c r="R159"/>
      <c r="S159"/>
      <c r="T159"/>
      <c r="U159"/>
      <c r="V159"/>
      <c r="W159"/>
      <c r="X159"/>
      <c r="Y159"/>
      <c r="Z159"/>
      <c r="AA159"/>
      <c r="AB159"/>
      <c r="AC159"/>
    </row>
    <row r="160" spans="1:29" ht="13">
      <c r="A160"/>
      <c r="B160"/>
      <c r="C160"/>
      <c r="D160"/>
      <c r="E160"/>
      <c r="F160"/>
      <c r="G160"/>
      <c r="H160"/>
      <c r="I160"/>
      <c r="J160"/>
      <c r="K160"/>
      <c r="L160"/>
      <c r="M160"/>
      <c r="N160"/>
      <c r="O160"/>
      <c r="P160"/>
      <c r="Q160"/>
      <c r="R160"/>
      <c r="S160"/>
      <c r="T160"/>
      <c r="U160"/>
      <c r="V160"/>
      <c r="W160"/>
      <c r="X160"/>
      <c r="Y160"/>
      <c r="Z160"/>
      <c r="AA160"/>
      <c r="AB160"/>
      <c r="AC160"/>
    </row>
    <row r="161" spans="1:29" ht="13">
      <c r="A161"/>
      <c r="B161"/>
      <c r="C161"/>
      <c r="D161"/>
      <c r="E161"/>
      <c r="F161"/>
      <c r="G161"/>
      <c r="H161"/>
      <c r="I161"/>
      <c r="J161"/>
      <c r="K161"/>
      <c r="L161"/>
      <c r="M161"/>
      <c r="N161"/>
      <c r="O161"/>
      <c r="P161"/>
      <c r="Q161"/>
      <c r="R161"/>
      <c r="S161"/>
      <c r="T161"/>
      <c r="U161"/>
      <c r="V161"/>
      <c r="W161"/>
      <c r="X161"/>
      <c r="Y161"/>
      <c r="Z161"/>
      <c r="AA161"/>
      <c r="AB161"/>
      <c r="AC161"/>
    </row>
    <row r="162" spans="1:29" ht="13">
      <c r="A162"/>
      <c r="B162"/>
      <c r="C162"/>
      <c r="D162"/>
      <c r="E162"/>
      <c r="F162"/>
      <c r="G162"/>
      <c r="H162"/>
      <c r="I162"/>
      <c r="J162"/>
      <c r="K162"/>
      <c r="L162"/>
      <c r="M162"/>
      <c r="N162"/>
      <c r="O162"/>
      <c r="P162"/>
      <c r="Q162"/>
      <c r="R162"/>
      <c r="S162"/>
      <c r="T162"/>
      <c r="U162"/>
      <c r="V162"/>
      <c r="W162"/>
      <c r="X162"/>
      <c r="Y162"/>
      <c r="Z162"/>
      <c r="AA162"/>
      <c r="AB162"/>
      <c r="AC162"/>
    </row>
    <row r="163" spans="1:29" ht="13">
      <c r="A163"/>
      <c r="B163"/>
      <c r="C163"/>
      <c r="D163"/>
      <c r="E163"/>
      <c r="F163"/>
      <c r="G163"/>
      <c r="H163"/>
      <c r="I163"/>
      <c r="J163"/>
      <c r="K163"/>
      <c r="L163"/>
      <c r="M163"/>
      <c r="N163"/>
      <c r="O163"/>
      <c r="P163"/>
      <c r="Q163"/>
      <c r="R163"/>
      <c r="S163"/>
      <c r="T163"/>
      <c r="U163"/>
      <c r="V163"/>
      <c r="W163"/>
      <c r="X163"/>
      <c r="Y163"/>
      <c r="Z163"/>
      <c r="AA163"/>
      <c r="AB163"/>
      <c r="AC163"/>
    </row>
    <row r="164" spans="1:29" ht="13">
      <c r="A164"/>
      <c r="B164"/>
      <c r="C164"/>
      <c r="D164"/>
      <c r="E164"/>
      <c r="F164"/>
      <c r="G164"/>
      <c r="H164"/>
      <c r="I164"/>
      <c r="J164"/>
      <c r="K164"/>
      <c r="L164"/>
      <c r="M164"/>
      <c r="N164"/>
      <c r="O164"/>
      <c r="P164"/>
      <c r="Q164"/>
      <c r="R164"/>
      <c r="S164"/>
      <c r="T164"/>
      <c r="U164"/>
      <c r="V164"/>
      <c r="W164"/>
      <c r="X164"/>
      <c r="Y164"/>
      <c r="Z164"/>
      <c r="AA164"/>
      <c r="AB164"/>
      <c r="AC164"/>
    </row>
    <row r="165" spans="1:29" ht="13">
      <c r="A165"/>
      <c r="B165"/>
      <c r="C165"/>
      <c r="D165"/>
      <c r="E165"/>
      <c r="F165"/>
      <c r="G165"/>
      <c r="H165"/>
      <c r="I165"/>
      <c r="J165"/>
      <c r="K165"/>
      <c r="L165"/>
      <c r="M165"/>
      <c r="N165"/>
      <c r="O165"/>
      <c r="P165"/>
      <c r="Q165"/>
      <c r="R165"/>
      <c r="S165"/>
      <c r="T165"/>
      <c r="U165"/>
      <c r="V165"/>
      <c r="W165"/>
      <c r="X165"/>
      <c r="Y165"/>
      <c r="Z165"/>
      <c r="AA165"/>
      <c r="AB165"/>
      <c r="AC165"/>
    </row>
    <row r="166" spans="1:29" ht="13">
      <c r="A166"/>
      <c r="B166"/>
      <c r="C166"/>
      <c r="D166"/>
      <c r="E166"/>
      <c r="F166"/>
      <c r="G166"/>
      <c r="H166"/>
      <c r="I166"/>
      <c r="J166"/>
      <c r="K166"/>
      <c r="L166"/>
      <c r="M166"/>
      <c r="N166"/>
      <c r="O166"/>
      <c r="P166"/>
      <c r="Q166"/>
      <c r="R166"/>
      <c r="S166"/>
      <c r="T166"/>
      <c r="U166"/>
      <c r="V166"/>
      <c r="W166"/>
      <c r="X166"/>
      <c r="Y166"/>
      <c r="Z166"/>
      <c r="AA166"/>
      <c r="AB166"/>
      <c r="AC166"/>
    </row>
    <row r="167" spans="1:29" ht="13">
      <c r="A167"/>
      <c r="B167"/>
      <c r="C167"/>
      <c r="D167"/>
      <c r="E167"/>
      <c r="F167"/>
      <c r="G167"/>
      <c r="H167"/>
      <c r="I167"/>
      <c r="J167"/>
      <c r="K167"/>
      <c r="L167"/>
      <c r="M167"/>
      <c r="N167"/>
      <c r="O167"/>
      <c r="P167"/>
      <c r="Q167"/>
      <c r="R167"/>
      <c r="S167"/>
      <c r="T167"/>
      <c r="U167"/>
      <c r="V167"/>
      <c r="W167"/>
      <c r="X167"/>
      <c r="Y167"/>
      <c r="Z167"/>
      <c r="AA167"/>
      <c r="AB167"/>
      <c r="AC167"/>
    </row>
    <row r="168" spans="1:29" ht="13">
      <c r="A168"/>
      <c r="B168"/>
      <c r="C168"/>
      <c r="D168"/>
      <c r="E168"/>
      <c r="F168"/>
      <c r="G168"/>
      <c r="H168"/>
      <c r="I168"/>
      <c r="J168"/>
      <c r="K168"/>
      <c r="L168"/>
      <c r="M168"/>
      <c r="N168"/>
      <c r="O168"/>
      <c r="P168"/>
      <c r="Q168"/>
      <c r="R168"/>
      <c r="S168"/>
      <c r="T168"/>
      <c r="U168"/>
      <c r="V168"/>
      <c r="W168"/>
      <c r="X168"/>
      <c r="Y168"/>
      <c r="Z168"/>
      <c r="AA168"/>
      <c r="AB168"/>
      <c r="AC168"/>
    </row>
    <row r="169" spans="1:29" ht="13">
      <c r="A169"/>
      <c r="B169"/>
      <c r="C169"/>
      <c r="D169"/>
      <c r="E169"/>
      <c r="F169"/>
      <c r="G169"/>
      <c r="H169"/>
      <c r="I169"/>
      <c r="J169"/>
      <c r="K169"/>
      <c r="L169"/>
      <c r="M169"/>
      <c r="N169"/>
      <c r="O169"/>
      <c r="P169"/>
      <c r="Q169"/>
      <c r="R169"/>
      <c r="S169"/>
      <c r="T169"/>
      <c r="U169"/>
      <c r="V169"/>
      <c r="W169"/>
      <c r="X169"/>
      <c r="Y169"/>
      <c r="Z169"/>
      <c r="AA169"/>
      <c r="AB169"/>
      <c r="AC169"/>
    </row>
    <row r="170" spans="1:29" ht="13">
      <c r="A170"/>
      <c r="B170"/>
      <c r="C170"/>
      <c r="D170"/>
      <c r="E170"/>
      <c r="F170"/>
      <c r="G170"/>
      <c r="H170"/>
      <c r="I170"/>
      <c r="J170"/>
      <c r="K170"/>
      <c r="L170"/>
      <c r="M170"/>
      <c r="N170"/>
      <c r="O170"/>
      <c r="P170"/>
      <c r="Q170"/>
      <c r="R170"/>
      <c r="S170"/>
      <c r="T170"/>
      <c r="U170"/>
      <c r="V170"/>
      <c r="W170"/>
      <c r="X170"/>
      <c r="Y170"/>
      <c r="Z170"/>
      <c r="AA170"/>
      <c r="AB170"/>
      <c r="AC170"/>
    </row>
    <row r="171" spans="1:29" ht="13">
      <c r="A171"/>
      <c r="B171"/>
      <c r="C171"/>
      <c r="D171"/>
      <c r="E171"/>
      <c r="F171"/>
      <c r="G171"/>
      <c r="H171"/>
      <c r="I171"/>
      <c r="J171"/>
      <c r="K171"/>
      <c r="L171"/>
      <c r="M171"/>
      <c r="N171"/>
      <c r="O171"/>
      <c r="P171"/>
      <c r="Q171"/>
      <c r="R171"/>
      <c r="S171"/>
      <c r="T171"/>
      <c r="U171"/>
      <c r="V171"/>
      <c r="W171"/>
      <c r="X171"/>
      <c r="Y171"/>
      <c r="Z171"/>
      <c r="AA171"/>
      <c r="AB171"/>
      <c r="AC171"/>
    </row>
    <row r="172" spans="1:29" ht="13">
      <c r="A172"/>
      <c r="B172"/>
      <c r="C172"/>
      <c r="D172"/>
      <c r="E172"/>
      <c r="F172"/>
      <c r="G172"/>
      <c r="H172"/>
      <c r="I172"/>
      <c r="J172"/>
      <c r="K172"/>
      <c r="L172"/>
      <c r="M172"/>
      <c r="N172"/>
      <c r="O172"/>
      <c r="P172"/>
      <c r="Q172"/>
      <c r="R172"/>
      <c r="S172"/>
      <c r="T172"/>
      <c r="U172"/>
      <c r="V172"/>
      <c r="W172"/>
      <c r="X172"/>
      <c r="Y172"/>
      <c r="Z172"/>
      <c r="AA172"/>
      <c r="AB172"/>
      <c r="AC172"/>
    </row>
    <row r="173" spans="1:29" ht="13">
      <c r="A173"/>
      <c r="B173"/>
      <c r="C173"/>
      <c r="D173"/>
      <c r="E173"/>
      <c r="F173"/>
      <c r="G173"/>
      <c r="H173"/>
      <c r="I173"/>
      <c r="J173"/>
      <c r="K173"/>
      <c r="L173"/>
      <c r="M173"/>
      <c r="N173"/>
      <c r="O173"/>
      <c r="P173"/>
      <c r="Q173"/>
      <c r="R173"/>
      <c r="S173"/>
      <c r="T173"/>
      <c r="U173"/>
      <c r="V173"/>
      <c r="W173"/>
      <c r="X173"/>
      <c r="Y173"/>
      <c r="Z173"/>
      <c r="AA173"/>
      <c r="AB173"/>
      <c r="AC173"/>
    </row>
    <row r="174" spans="1:29" ht="13">
      <c r="A174"/>
      <c r="B174"/>
      <c r="C174"/>
      <c r="D174"/>
      <c r="E174"/>
      <c r="F174"/>
      <c r="G174"/>
      <c r="H174"/>
      <c r="I174"/>
      <c r="J174"/>
      <c r="K174"/>
      <c r="L174"/>
      <c r="M174"/>
      <c r="N174"/>
      <c r="O174"/>
      <c r="P174"/>
      <c r="Q174"/>
      <c r="R174"/>
      <c r="S174"/>
      <c r="T174"/>
      <c r="U174"/>
      <c r="V174"/>
      <c r="W174"/>
      <c r="X174"/>
      <c r="Y174"/>
      <c r="Z174"/>
      <c r="AA174"/>
      <c r="AB174"/>
      <c r="AC174"/>
    </row>
    <row r="175" spans="1:29" ht="13">
      <c r="A175"/>
      <c r="B175"/>
      <c r="C175"/>
      <c r="D175"/>
      <c r="E175"/>
      <c r="F175"/>
      <c r="G175"/>
      <c r="H175"/>
      <c r="I175"/>
      <c r="J175"/>
      <c r="K175"/>
      <c r="L175"/>
      <c r="M175"/>
      <c r="N175"/>
      <c r="O175"/>
      <c r="P175"/>
      <c r="Q175"/>
      <c r="R175"/>
      <c r="S175"/>
      <c r="T175"/>
      <c r="U175"/>
      <c r="V175"/>
      <c r="W175"/>
      <c r="X175"/>
      <c r="Y175"/>
      <c r="Z175"/>
      <c r="AA175"/>
      <c r="AB175"/>
      <c r="AC175"/>
    </row>
    <row r="176" spans="1:29" ht="13">
      <c r="A176"/>
      <c r="B176"/>
      <c r="C176"/>
      <c r="D176"/>
      <c r="E176"/>
      <c r="F176"/>
      <c r="G176"/>
      <c r="H176"/>
      <c r="I176"/>
      <c r="J176"/>
      <c r="K176"/>
      <c r="L176"/>
      <c r="M176"/>
      <c r="N176"/>
      <c r="O176"/>
      <c r="P176"/>
      <c r="Q176"/>
      <c r="R176"/>
      <c r="S176"/>
      <c r="T176"/>
      <c r="U176"/>
      <c r="V176"/>
      <c r="W176"/>
      <c r="X176"/>
      <c r="Y176"/>
      <c r="Z176"/>
      <c r="AA176"/>
      <c r="AB176"/>
      <c r="AC176"/>
    </row>
    <row r="177" spans="1:29" ht="13">
      <c r="A177"/>
      <c r="B177"/>
      <c r="C177"/>
      <c r="D177"/>
      <c r="E177"/>
      <c r="F177"/>
      <c r="G177"/>
      <c r="H177"/>
      <c r="I177"/>
      <c r="J177"/>
      <c r="K177"/>
      <c r="L177"/>
      <c r="M177"/>
      <c r="N177"/>
      <c r="O177"/>
      <c r="P177"/>
      <c r="Q177"/>
      <c r="R177"/>
      <c r="S177"/>
      <c r="T177"/>
      <c r="U177"/>
      <c r="V177"/>
      <c r="W177"/>
      <c r="X177"/>
      <c r="Y177"/>
      <c r="Z177"/>
      <c r="AA177"/>
      <c r="AB177"/>
      <c r="AC177"/>
    </row>
    <row r="178" spans="1:29" ht="13">
      <c r="A178"/>
      <c r="B178"/>
      <c r="C178"/>
      <c r="D178"/>
      <c r="E178"/>
      <c r="F178"/>
      <c r="G178"/>
      <c r="H178"/>
      <c r="I178"/>
      <c r="J178"/>
      <c r="K178"/>
      <c r="L178"/>
      <c r="M178"/>
      <c r="N178"/>
      <c r="O178"/>
      <c r="P178"/>
      <c r="Q178"/>
      <c r="R178"/>
      <c r="S178"/>
      <c r="T178"/>
      <c r="U178"/>
      <c r="V178"/>
      <c r="W178"/>
      <c r="X178"/>
      <c r="Y178"/>
      <c r="Z178"/>
      <c r="AA178"/>
      <c r="AB178"/>
      <c r="AC178"/>
    </row>
    <row r="179" spans="1:29" ht="13">
      <c r="A179"/>
      <c r="B179"/>
      <c r="C179"/>
      <c r="D179"/>
      <c r="E179"/>
      <c r="F179"/>
      <c r="G179"/>
      <c r="H179"/>
      <c r="I179"/>
      <c r="J179"/>
      <c r="K179"/>
      <c r="L179"/>
      <c r="M179"/>
      <c r="N179"/>
      <c r="O179"/>
      <c r="P179"/>
      <c r="Q179"/>
      <c r="R179"/>
      <c r="S179"/>
      <c r="T179"/>
      <c r="U179"/>
      <c r="V179"/>
      <c r="W179"/>
      <c r="X179"/>
      <c r="Y179"/>
      <c r="Z179"/>
      <c r="AA179"/>
      <c r="AB179"/>
      <c r="AC179"/>
    </row>
    <row r="180" spans="1:29" ht="13">
      <c r="A180"/>
      <c r="B180"/>
      <c r="C180"/>
      <c r="D180"/>
      <c r="E180"/>
      <c r="F180"/>
      <c r="G180"/>
      <c r="H180"/>
      <c r="I180"/>
      <c r="J180"/>
      <c r="K180"/>
      <c r="L180"/>
      <c r="M180"/>
      <c r="N180"/>
      <c r="O180"/>
      <c r="P180"/>
      <c r="Q180"/>
      <c r="R180"/>
      <c r="S180"/>
      <c r="T180"/>
      <c r="U180"/>
      <c r="V180"/>
      <c r="W180"/>
      <c r="X180"/>
      <c r="Y180"/>
      <c r="Z180"/>
      <c r="AA180"/>
      <c r="AB180"/>
      <c r="AC180"/>
    </row>
    <row r="181" spans="1:29" ht="13">
      <c r="A181"/>
      <c r="B181"/>
      <c r="C181"/>
      <c r="D181"/>
      <c r="E181"/>
      <c r="F181"/>
      <c r="G181"/>
      <c r="H181"/>
      <c r="I181"/>
      <c r="J181"/>
      <c r="K181"/>
      <c r="L181"/>
      <c r="M181"/>
      <c r="N181"/>
      <c r="O181"/>
      <c r="P181"/>
      <c r="Q181"/>
      <c r="R181"/>
      <c r="S181"/>
      <c r="T181"/>
      <c r="U181"/>
      <c r="V181"/>
      <c r="W181"/>
      <c r="X181"/>
      <c r="Y181"/>
      <c r="Z181"/>
      <c r="AA181"/>
      <c r="AB181"/>
      <c r="AC181"/>
    </row>
    <row r="182" spans="1:29" ht="13">
      <c r="A182"/>
      <c r="B182"/>
      <c r="C182"/>
      <c r="D182"/>
      <c r="E182"/>
      <c r="F182"/>
      <c r="G182"/>
      <c r="H182"/>
      <c r="I182"/>
      <c r="J182"/>
      <c r="K182"/>
      <c r="L182"/>
      <c r="M182"/>
      <c r="N182"/>
      <c r="O182"/>
      <c r="P182"/>
      <c r="Q182"/>
      <c r="R182"/>
      <c r="S182"/>
      <c r="T182"/>
      <c r="U182"/>
      <c r="V182"/>
      <c r="W182"/>
      <c r="X182"/>
      <c r="Y182"/>
      <c r="Z182"/>
      <c r="AA182"/>
      <c r="AB182"/>
      <c r="AC182"/>
    </row>
    <row r="183" spans="1:29" ht="13">
      <c r="A183"/>
      <c r="B183"/>
      <c r="C183"/>
      <c r="D183"/>
      <c r="E183"/>
      <c r="F183"/>
      <c r="G183"/>
      <c r="H183"/>
      <c r="I183"/>
      <c r="J183"/>
      <c r="K183"/>
      <c r="L183"/>
      <c r="M183"/>
      <c r="N183"/>
      <c r="O183"/>
      <c r="P183"/>
      <c r="Q183"/>
      <c r="R183"/>
      <c r="S183"/>
      <c r="T183"/>
      <c r="U183"/>
      <c r="V183"/>
      <c r="W183"/>
      <c r="X183"/>
      <c r="Y183"/>
      <c r="Z183"/>
      <c r="AA183"/>
      <c r="AB183"/>
      <c r="AC183"/>
    </row>
    <row r="184" spans="1:29" ht="13">
      <c r="A184"/>
      <c r="B184"/>
      <c r="C184"/>
      <c r="D184"/>
      <c r="E184"/>
      <c r="F184"/>
      <c r="G184"/>
      <c r="H184"/>
      <c r="I184"/>
      <c r="J184"/>
      <c r="K184"/>
      <c r="L184"/>
      <c r="M184"/>
      <c r="N184"/>
      <c r="O184"/>
      <c r="P184"/>
      <c r="Q184"/>
      <c r="R184"/>
      <c r="S184"/>
      <c r="T184"/>
      <c r="U184"/>
      <c r="V184"/>
      <c r="W184"/>
      <c r="X184"/>
      <c r="Y184"/>
      <c r="Z184"/>
      <c r="AA184"/>
      <c r="AB184"/>
      <c r="AC184"/>
    </row>
    <row r="185" spans="1:29" ht="13">
      <c r="A185"/>
      <c r="B185"/>
      <c r="C185"/>
      <c r="D185"/>
      <c r="E185"/>
      <c r="F185"/>
      <c r="G185"/>
      <c r="H185"/>
      <c r="I185"/>
      <c r="J185"/>
      <c r="K185"/>
      <c r="L185"/>
      <c r="M185"/>
      <c r="N185"/>
      <c r="O185"/>
      <c r="P185"/>
      <c r="Q185"/>
      <c r="R185"/>
      <c r="S185"/>
      <c r="T185"/>
      <c r="U185"/>
      <c r="V185"/>
      <c r="W185"/>
      <c r="X185"/>
      <c r="Y185"/>
      <c r="Z185"/>
      <c r="AA185"/>
      <c r="AB185"/>
      <c r="AC185"/>
    </row>
    <row r="186" spans="1:29" ht="13">
      <c r="A186"/>
      <c r="B186"/>
      <c r="C186"/>
      <c r="D186"/>
      <c r="E186"/>
      <c r="F186"/>
      <c r="G186"/>
      <c r="H186"/>
      <c r="I186"/>
      <c r="J186"/>
      <c r="K186"/>
      <c r="L186"/>
      <c r="M186"/>
      <c r="N186"/>
      <c r="O186"/>
      <c r="P186"/>
      <c r="Q186"/>
      <c r="R186"/>
      <c r="S186"/>
      <c r="T186"/>
      <c r="U186"/>
      <c r="V186"/>
      <c r="W186"/>
      <c r="X186"/>
      <c r="Y186"/>
      <c r="Z186"/>
      <c r="AA186"/>
      <c r="AB186"/>
      <c r="AC186"/>
    </row>
    <row r="187" spans="1:29" ht="13">
      <c r="A187"/>
      <c r="B187"/>
      <c r="C187"/>
      <c r="D187"/>
      <c r="E187"/>
      <c r="F187"/>
      <c r="G187"/>
      <c r="H187"/>
      <c r="I187"/>
      <c r="J187"/>
      <c r="K187"/>
      <c r="L187"/>
      <c r="M187"/>
      <c r="N187"/>
      <c r="O187"/>
      <c r="P187"/>
      <c r="Q187"/>
      <c r="R187"/>
      <c r="S187"/>
      <c r="T187"/>
      <c r="U187"/>
      <c r="V187"/>
      <c r="W187"/>
      <c r="X187"/>
      <c r="Y187"/>
      <c r="Z187"/>
      <c r="AA187"/>
      <c r="AB187"/>
      <c r="AC187"/>
    </row>
    <row r="188" spans="1:29" ht="13">
      <c r="A188"/>
      <c r="B188"/>
      <c r="C188"/>
      <c r="D188"/>
      <c r="E188"/>
      <c r="F188"/>
      <c r="G188"/>
      <c r="H188"/>
      <c r="I188"/>
      <c r="J188"/>
      <c r="K188"/>
      <c r="L188"/>
      <c r="M188"/>
      <c r="N188"/>
      <c r="O188"/>
      <c r="P188"/>
      <c r="Q188"/>
      <c r="R188"/>
      <c r="S188"/>
      <c r="T188"/>
      <c r="U188"/>
      <c r="V188"/>
      <c r="W188"/>
      <c r="X188"/>
      <c r="Y188"/>
      <c r="Z188"/>
      <c r="AA188"/>
      <c r="AB188"/>
      <c r="AC188"/>
    </row>
    <row r="189" spans="1:29" ht="13">
      <c r="A189"/>
      <c r="B189"/>
      <c r="C189"/>
      <c r="D189"/>
      <c r="E189"/>
      <c r="F189"/>
      <c r="G189"/>
      <c r="H189"/>
      <c r="I189"/>
      <c r="J189"/>
      <c r="K189"/>
      <c r="L189"/>
      <c r="M189"/>
      <c r="N189"/>
      <c r="O189"/>
      <c r="P189"/>
      <c r="Q189"/>
      <c r="R189"/>
      <c r="S189"/>
      <c r="T189"/>
      <c r="U189"/>
      <c r="V189"/>
      <c r="W189"/>
      <c r="X189"/>
      <c r="Y189"/>
      <c r="Z189"/>
      <c r="AA189"/>
      <c r="AB189"/>
      <c r="AC189"/>
    </row>
    <row r="190" spans="1:29" ht="13">
      <c r="A190"/>
      <c r="B190"/>
      <c r="C190"/>
      <c r="D190"/>
      <c r="E190"/>
      <c r="F190"/>
      <c r="G190"/>
      <c r="H190"/>
      <c r="I190"/>
      <c r="J190"/>
      <c r="K190"/>
      <c r="L190"/>
      <c r="M190"/>
      <c r="N190"/>
      <c r="O190"/>
      <c r="P190"/>
      <c r="Q190"/>
      <c r="R190"/>
      <c r="S190"/>
      <c r="T190"/>
      <c r="U190"/>
      <c r="V190"/>
      <c r="W190"/>
      <c r="X190"/>
      <c r="Y190"/>
      <c r="Z190"/>
      <c r="AA190"/>
      <c r="AB190"/>
      <c r="AC190"/>
    </row>
    <row r="191" spans="1:29" ht="13">
      <c r="A191"/>
      <c r="B191"/>
      <c r="C191"/>
      <c r="D191"/>
      <c r="E191"/>
      <c r="F191"/>
      <c r="G191"/>
      <c r="H191"/>
      <c r="I191"/>
      <c r="J191"/>
      <c r="K191"/>
      <c r="L191"/>
      <c r="M191"/>
      <c r="N191"/>
      <c r="O191"/>
      <c r="P191"/>
      <c r="Q191"/>
      <c r="R191"/>
      <c r="S191"/>
      <c r="T191"/>
      <c r="U191"/>
      <c r="V191"/>
      <c r="W191"/>
      <c r="X191"/>
      <c r="Y191"/>
      <c r="Z191"/>
      <c r="AA191"/>
      <c r="AB191"/>
      <c r="AC191"/>
    </row>
    <row r="192" spans="1:29" ht="13">
      <c r="A192"/>
      <c r="B192"/>
      <c r="C192"/>
      <c r="D192"/>
      <c r="E192"/>
      <c r="F192"/>
      <c r="G192"/>
      <c r="H192"/>
      <c r="I192"/>
      <c r="J192"/>
      <c r="K192"/>
      <c r="L192"/>
      <c r="M192"/>
      <c r="N192"/>
      <c r="O192"/>
      <c r="P192"/>
      <c r="Q192"/>
      <c r="R192"/>
      <c r="S192"/>
      <c r="T192"/>
      <c r="U192"/>
      <c r="V192"/>
      <c r="W192"/>
      <c r="X192"/>
      <c r="Y192"/>
      <c r="Z192"/>
      <c r="AA192"/>
      <c r="AB192"/>
      <c r="AC192"/>
    </row>
    <row r="193" spans="1:29" ht="13">
      <c r="A193"/>
      <c r="B193"/>
      <c r="C193"/>
      <c r="D193"/>
      <c r="E193"/>
      <c r="F193"/>
      <c r="G193"/>
      <c r="H193"/>
      <c r="I193"/>
      <c r="J193"/>
      <c r="K193"/>
      <c r="L193"/>
      <c r="M193"/>
      <c r="N193"/>
      <c r="O193"/>
      <c r="P193"/>
      <c r="Q193"/>
      <c r="R193"/>
      <c r="S193"/>
      <c r="T193"/>
      <c r="U193"/>
      <c r="V193"/>
      <c r="W193"/>
      <c r="X193"/>
      <c r="Y193"/>
      <c r="Z193"/>
      <c r="AA193"/>
      <c r="AB193"/>
      <c r="AC193"/>
    </row>
    <row r="194" spans="1:29" ht="13">
      <c r="A194"/>
      <c r="B194"/>
      <c r="C194"/>
      <c r="D194"/>
      <c r="E194"/>
      <c r="F194"/>
      <c r="G194"/>
      <c r="H194"/>
      <c r="I194"/>
      <c r="J194"/>
      <c r="K194"/>
      <c r="L194"/>
      <c r="M194"/>
      <c r="N194"/>
      <c r="O194"/>
      <c r="P194"/>
      <c r="Q194"/>
      <c r="R194"/>
      <c r="S194"/>
      <c r="T194"/>
      <c r="U194"/>
      <c r="V194"/>
      <c r="W194"/>
      <c r="X194"/>
      <c r="Y194"/>
      <c r="Z194"/>
      <c r="AA194"/>
      <c r="AB194"/>
      <c r="AC194"/>
    </row>
    <row r="195" spans="1:29" ht="13">
      <c r="A195"/>
      <c r="B195"/>
      <c r="C195"/>
      <c r="D195"/>
      <c r="E195"/>
      <c r="F195"/>
      <c r="G195"/>
      <c r="H195"/>
      <c r="I195"/>
      <c r="J195"/>
      <c r="K195"/>
      <c r="L195"/>
      <c r="M195"/>
      <c r="N195"/>
      <c r="O195"/>
      <c r="P195"/>
      <c r="Q195"/>
      <c r="R195"/>
      <c r="S195"/>
      <c r="T195"/>
      <c r="U195"/>
      <c r="V195"/>
      <c r="W195"/>
      <c r="X195"/>
      <c r="Y195"/>
      <c r="Z195"/>
      <c r="AA195"/>
      <c r="AB195"/>
      <c r="AC195"/>
    </row>
    <row r="196" spans="1:29" ht="13">
      <c r="A196"/>
      <c r="B196"/>
      <c r="C196"/>
      <c r="D196"/>
      <c r="E196"/>
      <c r="F196"/>
      <c r="G196"/>
      <c r="H196"/>
      <c r="I196"/>
      <c r="J196"/>
      <c r="K196"/>
      <c r="L196"/>
      <c r="M196"/>
      <c r="N196"/>
      <c r="O196"/>
      <c r="P196"/>
      <c r="Q196"/>
      <c r="R196"/>
      <c r="S196"/>
      <c r="T196"/>
      <c r="U196"/>
      <c r="V196"/>
      <c r="W196"/>
      <c r="X196"/>
      <c r="Y196"/>
      <c r="Z196"/>
      <c r="AA196"/>
      <c r="AB196"/>
      <c r="AC196"/>
    </row>
    <row r="197" spans="1:29" ht="13">
      <c r="A197"/>
      <c r="B197"/>
      <c r="C197"/>
      <c r="D197"/>
      <c r="E197"/>
      <c r="F197"/>
      <c r="G197"/>
      <c r="H197"/>
      <c r="I197"/>
      <c r="J197"/>
      <c r="K197"/>
      <c r="L197"/>
      <c r="M197"/>
      <c r="N197"/>
      <c r="O197"/>
      <c r="P197"/>
      <c r="Q197"/>
      <c r="R197"/>
      <c r="S197"/>
      <c r="T197"/>
      <c r="U197"/>
      <c r="V197"/>
      <c r="W197"/>
      <c r="X197"/>
      <c r="Y197"/>
      <c r="Z197"/>
      <c r="AA197"/>
      <c r="AB197"/>
      <c r="AC197"/>
    </row>
    <row r="198" spans="1:29" ht="13">
      <c r="A198"/>
      <c r="B198"/>
      <c r="C198"/>
      <c r="D198"/>
      <c r="E198"/>
      <c r="F198"/>
      <c r="G198"/>
      <c r="H198"/>
      <c r="I198"/>
      <c r="J198"/>
      <c r="K198"/>
      <c r="L198"/>
      <c r="M198"/>
      <c r="N198"/>
      <c r="O198"/>
      <c r="P198"/>
      <c r="Q198"/>
      <c r="R198"/>
      <c r="S198"/>
      <c r="T198"/>
      <c r="U198"/>
      <c r="V198"/>
      <c r="W198"/>
      <c r="X198"/>
      <c r="Y198"/>
      <c r="Z198"/>
      <c r="AA198"/>
      <c r="AB198"/>
      <c r="AC198"/>
    </row>
    <row r="199" spans="1:29" ht="13">
      <c r="A199"/>
      <c r="B199"/>
      <c r="C199"/>
      <c r="D199"/>
      <c r="E199"/>
      <c r="F199"/>
      <c r="G199"/>
      <c r="H199"/>
      <c r="I199"/>
      <c r="J199"/>
      <c r="K199"/>
      <c r="L199"/>
      <c r="M199"/>
      <c r="N199"/>
      <c r="O199"/>
      <c r="P199"/>
      <c r="Q199"/>
      <c r="R199"/>
      <c r="S199"/>
      <c r="T199"/>
      <c r="U199"/>
      <c r="V199"/>
      <c r="W199"/>
      <c r="X199"/>
      <c r="Y199"/>
      <c r="Z199"/>
      <c r="AA199"/>
      <c r="AB199"/>
      <c r="AC199"/>
    </row>
    <row r="200" spans="1:29" ht="13">
      <c r="A200"/>
      <c r="B200"/>
      <c r="C200"/>
      <c r="D200"/>
      <c r="E200"/>
      <c r="F200"/>
      <c r="G200"/>
      <c r="H200"/>
      <c r="I200"/>
      <c r="J200"/>
      <c r="K200"/>
      <c r="L200"/>
      <c r="M200"/>
      <c r="N200"/>
      <c r="O200"/>
      <c r="P200"/>
      <c r="Q200"/>
      <c r="R200"/>
      <c r="S200"/>
      <c r="T200"/>
      <c r="U200"/>
      <c r="V200"/>
      <c r="W200"/>
      <c r="X200"/>
      <c r="Y200"/>
      <c r="Z200"/>
      <c r="AA200"/>
      <c r="AB200"/>
      <c r="AC200"/>
    </row>
    <row r="201" spans="1:29" ht="13">
      <c r="A201"/>
      <c r="B201"/>
      <c r="C201"/>
      <c r="D201"/>
      <c r="E201"/>
      <c r="F201"/>
      <c r="G201"/>
      <c r="H201"/>
      <c r="I201"/>
      <c r="J201"/>
      <c r="K201"/>
      <c r="L201"/>
      <c r="M201"/>
      <c r="N201"/>
      <c r="O201"/>
      <c r="P201"/>
      <c r="Q201"/>
      <c r="R201"/>
      <c r="S201"/>
      <c r="T201"/>
      <c r="U201"/>
      <c r="V201"/>
      <c r="W201"/>
      <c r="X201"/>
      <c r="Y201"/>
      <c r="Z201"/>
      <c r="AA201"/>
      <c r="AB201"/>
      <c r="AC201"/>
    </row>
    <row r="202" spans="1:29" ht="13">
      <c r="A202"/>
      <c r="B202"/>
      <c r="C202"/>
      <c r="D202"/>
      <c r="E202"/>
      <c r="F202"/>
      <c r="G202"/>
      <c r="H202"/>
      <c r="I202"/>
      <c r="J202"/>
      <c r="K202"/>
      <c r="L202"/>
      <c r="M202"/>
      <c r="N202"/>
      <c r="O202"/>
      <c r="P202"/>
      <c r="Q202"/>
      <c r="R202"/>
      <c r="S202"/>
      <c r="T202"/>
      <c r="U202"/>
      <c r="V202"/>
      <c r="W202"/>
      <c r="X202"/>
      <c r="Y202"/>
      <c r="Z202"/>
      <c r="AA202"/>
      <c r="AB202"/>
      <c r="AC202"/>
    </row>
    <row r="203" spans="1:29" ht="13">
      <c r="A203"/>
      <c r="B203"/>
      <c r="C203"/>
      <c r="D203"/>
      <c r="E203"/>
      <c r="F203"/>
      <c r="G203"/>
      <c r="H203"/>
      <c r="I203"/>
      <c r="J203"/>
      <c r="K203"/>
      <c r="L203"/>
      <c r="M203"/>
      <c r="N203"/>
      <c r="O203"/>
      <c r="P203"/>
      <c r="Q203"/>
      <c r="R203"/>
      <c r="S203"/>
      <c r="T203"/>
      <c r="U203"/>
      <c r="V203"/>
      <c r="W203"/>
      <c r="X203"/>
      <c r="Y203"/>
      <c r="Z203"/>
      <c r="AA203"/>
      <c r="AB203"/>
      <c r="AC203"/>
    </row>
    <row r="204" spans="1:29" ht="13">
      <c r="A204"/>
      <c r="B204"/>
      <c r="C204"/>
      <c r="D204"/>
      <c r="E204"/>
      <c r="F204"/>
      <c r="G204"/>
      <c r="H204"/>
      <c r="I204"/>
      <c r="J204"/>
      <c r="K204"/>
      <c r="L204"/>
      <c r="M204"/>
      <c r="N204"/>
      <c r="O204"/>
      <c r="P204"/>
      <c r="Q204"/>
      <c r="R204"/>
      <c r="S204"/>
      <c r="T204"/>
      <c r="U204"/>
      <c r="V204"/>
      <c r="W204"/>
      <c r="X204"/>
      <c r="Y204"/>
      <c r="Z204"/>
      <c r="AA204"/>
      <c r="AB204"/>
      <c r="AC204"/>
    </row>
    <row r="205" spans="1:29" ht="13">
      <c r="A205"/>
      <c r="B205"/>
      <c r="C205"/>
      <c r="D205"/>
      <c r="E205"/>
      <c r="F205"/>
      <c r="G205"/>
      <c r="H205"/>
      <c r="I205"/>
      <c r="J205"/>
      <c r="K205"/>
      <c r="L205"/>
      <c r="M205"/>
      <c r="N205"/>
      <c r="O205"/>
      <c r="P205"/>
      <c r="Q205"/>
      <c r="R205"/>
      <c r="S205"/>
      <c r="T205"/>
      <c r="U205"/>
      <c r="V205"/>
      <c r="W205"/>
      <c r="X205"/>
      <c r="Y205"/>
      <c r="Z205"/>
      <c r="AA205"/>
      <c r="AB205"/>
      <c r="AC205"/>
    </row>
    <row r="206" spans="1:29" ht="13">
      <c r="A206"/>
      <c r="B206"/>
      <c r="C206"/>
      <c r="D206"/>
      <c r="E206"/>
      <c r="F206"/>
      <c r="G206"/>
      <c r="H206"/>
      <c r="I206"/>
      <c r="J206"/>
      <c r="K206"/>
      <c r="L206"/>
      <c r="M206"/>
      <c r="N206"/>
      <c r="O206"/>
      <c r="P206"/>
      <c r="Q206"/>
      <c r="R206"/>
      <c r="S206"/>
      <c r="T206"/>
      <c r="U206"/>
      <c r="V206"/>
      <c r="W206"/>
      <c r="X206"/>
      <c r="Y206"/>
      <c r="Z206"/>
      <c r="AA206"/>
      <c r="AB206"/>
      <c r="AC206"/>
    </row>
    <row r="207" spans="1:29" ht="13">
      <c r="A207"/>
      <c r="B207"/>
      <c r="C207"/>
      <c r="D207"/>
      <c r="E207"/>
      <c r="F207"/>
      <c r="G207"/>
      <c r="H207"/>
      <c r="I207"/>
      <c r="J207"/>
      <c r="K207"/>
      <c r="L207"/>
      <c r="M207"/>
      <c r="N207"/>
      <c r="O207"/>
      <c r="P207"/>
      <c r="Q207"/>
      <c r="R207"/>
      <c r="S207"/>
      <c r="T207"/>
      <c r="U207"/>
      <c r="V207"/>
      <c r="W207"/>
      <c r="X207"/>
      <c r="Y207"/>
      <c r="Z207"/>
      <c r="AA207"/>
      <c r="AB207"/>
      <c r="AC207"/>
    </row>
  </sheetData>
  <sheetProtection algorithmName="SHA-512" hashValue="N03FCB7/xKCtKu8cd0sfri6kC4bOWCj03HersMaSn+zcOVqquvy0f5Uhgr4I3mZ1YDPY9qLG3YuVqZUiPsgOAg==" saltValue="8LJa2ZMn1kDbu1pMKuxphg==" spinCount="100000" sheet="1" objects="1" scenarios="1"/>
  <phoneticPr fontId="10"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B1:N26"/>
  <sheetViews>
    <sheetView showGridLines="0" zoomScale="101" workbookViewId="0">
      <selection activeCell="L27" sqref="L27"/>
    </sheetView>
  </sheetViews>
  <sheetFormatPr baseColWidth="10" defaultColWidth="9.1640625" defaultRowHeight="13"/>
  <cols>
    <col min="1" max="9" width="9.1640625" style="129"/>
    <col min="10" max="10" width="12.1640625" style="129" customWidth="1"/>
    <col min="11" max="16384" width="9.1640625" style="129"/>
  </cols>
  <sheetData>
    <row r="1" spans="2:14">
      <c r="B1" s="243"/>
      <c r="C1" s="243"/>
      <c r="D1" s="243"/>
      <c r="E1" s="243"/>
      <c r="F1" s="243"/>
      <c r="G1" s="243"/>
      <c r="H1" s="243"/>
      <c r="I1" s="243"/>
      <c r="J1" s="243"/>
      <c r="K1" s="243"/>
      <c r="L1" s="243"/>
      <c r="M1" s="243"/>
      <c r="N1" s="131" t="s">
        <v>321</v>
      </c>
    </row>
    <row r="2" spans="2:14">
      <c r="B2" s="274" t="s">
        <v>287</v>
      </c>
      <c r="C2" s="274"/>
      <c r="D2" s="274"/>
      <c r="E2" s="274"/>
      <c r="F2" s="274"/>
      <c r="G2" s="274"/>
      <c r="H2" s="274"/>
      <c r="I2" s="274"/>
      <c r="J2" s="274"/>
      <c r="K2" s="243"/>
      <c r="L2" s="243"/>
      <c r="M2" s="243"/>
      <c r="N2" s="243"/>
    </row>
    <row r="5" spans="2:14">
      <c r="B5" s="244"/>
      <c r="C5" s="245"/>
      <c r="D5" s="245"/>
      <c r="E5" s="245"/>
      <c r="F5" s="245"/>
      <c r="G5" s="245"/>
      <c r="H5" s="245"/>
      <c r="I5" s="245"/>
      <c r="J5" s="246"/>
      <c r="K5" s="243"/>
      <c r="L5" s="243"/>
      <c r="M5" s="243"/>
      <c r="N5" s="243"/>
    </row>
    <row r="6" spans="2:14">
      <c r="B6" s="130" t="s">
        <v>288</v>
      </c>
      <c r="C6" s="243"/>
      <c r="D6" s="243"/>
      <c r="E6" s="243"/>
      <c r="F6" s="243"/>
      <c r="G6" s="243"/>
      <c r="H6" s="243"/>
      <c r="I6" s="243"/>
      <c r="J6" s="247"/>
      <c r="K6" s="243"/>
      <c r="L6" s="243"/>
      <c r="M6" s="243"/>
      <c r="N6" s="243"/>
    </row>
    <row r="7" spans="2:14">
      <c r="B7" s="248"/>
      <c r="C7" s="243"/>
      <c r="D7" s="243"/>
      <c r="E7" s="243"/>
      <c r="F7" s="243"/>
      <c r="G7" s="243"/>
      <c r="H7" s="243"/>
      <c r="I7" s="243"/>
      <c r="J7" s="247"/>
      <c r="K7" s="243"/>
      <c r="L7" s="243"/>
      <c r="M7" s="243"/>
      <c r="N7" s="243"/>
    </row>
    <row r="8" spans="2:14">
      <c r="B8" s="248"/>
      <c r="C8" s="249" t="s">
        <v>289</v>
      </c>
      <c r="D8" s="243"/>
      <c r="E8" s="243"/>
      <c r="F8" s="243"/>
      <c r="G8" s="243"/>
      <c r="H8" s="243"/>
      <c r="I8" s="243"/>
      <c r="J8" s="247"/>
      <c r="K8" s="243"/>
      <c r="L8" s="243"/>
      <c r="M8" s="243"/>
      <c r="N8" s="243"/>
    </row>
    <row r="9" spans="2:14" ht="15">
      <c r="B9" s="248"/>
      <c r="C9" s="249" t="s">
        <v>290</v>
      </c>
      <c r="D9" s="243"/>
      <c r="E9" s="243"/>
      <c r="F9" s="243"/>
      <c r="G9" s="243"/>
      <c r="H9" s="243"/>
      <c r="I9" s="243"/>
      <c r="J9" s="247"/>
      <c r="K9" s="243"/>
      <c r="L9" s="243"/>
      <c r="M9" s="243"/>
      <c r="N9" s="243"/>
    </row>
    <row r="10" spans="2:14">
      <c r="B10" s="250"/>
      <c r="C10" s="251"/>
      <c r="D10" s="251"/>
      <c r="E10" s="251"/>
      <c r="F10" s="251"/>
      <c r="G10" s="251"/>
      <c r="H10" s="251"/>
      <c r="I10" s="251"/>
      <c r="J10" s="252"/>
      <c r="K10" s="243"/>
      <c r="L10" s="243"/>
      <c r="M10" s="243"/>
      <c r="N10" s="243"/>
    </row>
    <row r="12" spans="2:14">
      <c r="B12" s="244"/>
      <c r="C12" s="245"/>
      <c r="D12" s="245"/>
      <c r="E12" s="245"/>
      <c r="F12" s="245"/>
      <c r="G12" s="245"/>
      <c r="H12" s="245"/>
      <c r="I12" s="245"/>
      <c r="J12" s="246"/>
      <c r="K12" s="243"/>
      <c r="L12" s="243"/>
      <c r="M12" s="243"/>
      <c r="N12" s="243"/>
    </row>
    <row r="13" spans="2:14">
      <c r="B13" s="130" t="s">
        <v>291</v>
      </c>
      <c r="C13" s="243"/>
      <c r="D13" s="243"/>
      <c r="E13" s="243"/>
      <c r="F13" s="243"/>
      <c r="G13" s="243"/>
      <c r="H13" s="243"/>
      <c r="I13" s="243"/>
      <c r="J13" s="247"/>
      <c r="K13" s="243"/>
      <c r="L13" s="243"/>
      <c r="M13" s="243"/>
      <c r="N13" s="243"/>
    </row>
    <row r="14" spans="2:14">
      <c r="B14" s="248"/>
      <c r="C14" s="243"/>
      <c r="D14" s="243"/>
      <c r="E14" s="243"/>
      <c r="F14" s="243"/>
      <c r="G14" s="243"/>
      <c r="H14" s="243"/>
      <c r="I14" s="243"/>
      <c r="J14" s="247"/>
      <c r="K14" s="243"/>
      <c r="L14" s="243"/>
      <c r="M14" s="243"/>
      <c r="N14" s="243"/>
    </row>
    <row r="15" spans="2:14">
      <c r="B15" s="248"/>
      <c r="C15" s="249" t="s">
        <v>292</v>
      </c>
      <c r="D15" s="243"/>
      <c r="E15" s="243"/>
      <c r="F15" s="243"/>
      <c r="G15" s="243"/>
      <c r="H15" s="243"/>
      <c r="I15" s="243"/>
      <c r="J15" s="247"/>
      <c r="K15" s="243"/>
      <c r="L15" s="243"/>
      <c r="M15" s="243"/>
      <c r="N15" s="243"/>
    </row>
    <row r="16" spans="2:14" ht="25.5" customHeight="1">
      <c r="B16" s="248"/>
      <c r="C16" s="269" t="s">
        <v>327</v>
      </c>
      <c r="D16" s="270"/>
      <c r="E16" s="270"/>
      <c r="F16" s="270"/>
      <c r="G16" s="270"/>
      <c r="H16" s="270"/>
      <c r="I16" s="270"/>
      <c r="J16" s="271"/>
      <c r="K16" s="243"/>
      <c r="L16" s="243"/>
      <c r="M16" s="243"/>
      <c r="N16" s="243"/>
    </row>
    <row r="17" spans="2:10">
      <c r="B17" s="253"/>
      <c r="C17" s="251"/>
      <c r="D17" s="251"/>
      <c r="E17" s="251"/>
      <c r="F17" s="251"/>
      <c r="G17" s="251"/>
      <c r="H17" s="251"/>
      <c r="I17" s="251"/>
      <c r="J17" s="252"/>
    </row>
    <row r="19" spans="2:10">
      <c r="B19" s="244"/>
      <c r="C19" s="245"/>
      <c r="D19" s="245"/>
      <c r="E19" s="245"/>
      <c r="F19" s="245"/>
      <c r="G19" s="245"/>
      <c r="H19" s="245"/>
      <c r="I19" s="245"/>
      <c r="J19" s="246"/>
    </row>
    <row r="20" spans="2:10">
      <c r="B20" s="130" t="s">
        <v>293</v>
      </c>
      <c r="C20" s="243"/>
      <c r="D20" s="243"/>
      <c r="E20" s="243"/>
      <c r="F20" s="243"/>
      <c r="G20" s="243"/>
      <c r="H20" s="243"/>
      <c r="I20" s="243"/>
      <c r="J20" s="247"/>
    </row>
    <row r="21" spans="2:10">
      <c r="B21" s="248"/>
      <c r="C21" s="243"/>
      <c r="D21" s="243"/>
      <c r="E21" s="243"/>
      <c r="F21" s="243"/>
      <c r="G21" s="243"/>
      <c r="H21" s="243"/>
      <c r="I21" s="243"/>
      <c r="J21" s="247"/>
    </row>
    <row r="22" spans="2:10">
      <c r="B22" s="248"/>
      <c r="C22" s="269" t="s">
        <v>294</v>
      </c>
      <c r="D22" s="272"/>
      <c r="E22" s="272"/>
      <c r="F22" s="272"/>
      <c r="G22" s="272"/>
      <c r="H22" s="272"/>
      <c r="I22" s="272"/>
      <c r="J22" s="255"/>
    </row>
    <row r="23" spans="2:10" ht="15.75" customHeight="1">
      <c r="B23" s="256"/>
      <c r="C23" s="254"/>
      <c r="D23" s="254"/>
      <c r="E23" s="254"/>
      <c r="F23" s="254"/>
      <c r="G23" s="254"/>
      <c r="H23" s="254"/>
      <c r="I23" s="254"/>
      <c r="J23" s="255"/>
    </row>
    <row r="24" spans="2:10" ht="51" customHeight="1">
      <c r="B24" s="248"/>
      <c r="C24" s="269" t="s">
        <v>328</v>
      </c>
      <c r="D24" s="272"/>
      <c r="E24" s="272"/>
      <c r="F24" s="272"/>
      <c r="G24" s="272"/>
      <c r="H24" s="272"/>
      <c r="I24" s="272"/>
      <c r="J24" s="273"/>
    </row>
    <row r="25" spans="2:10">
      <c r="B25" s="257"/>
      <c r="C25" s="258"/>
      <c r="D25" s="258"/>
      <c r="E25" s="258"/>
      <c r="F25" s="258"/>
      <c r="G25" s="258"/>
      <c r="H25" s="258"/>
      <c r="I25" s="258"/>
      <c r="J25" s="259"/>
    </row>
    <row r="26" spans="2:10">
      <c r="B26" s="254"/>
      <c r="C26" s="254"/>
      <c r="D26" s="254"/>
      <c r="E26" s="254"/>
      <c r="F26" s="254"/>
      <c r="G26" s="254"/>
      <c r="H26" s="254"/>
      <c r="I26" s="254"/>
      <c r="J26" s="254"/>
    </row>
  </sheetData>
  <sheetProtection algorithmName="SHA-512" hashValue="mjo22iHKTfl2L0TIxFb4/R+LJyzHs22xD9r47TLY1DQQJl4NEtrIBqi7j135HG8RHZUmXyKzcYTYUzSlU9Oy2A==" saltValue="/OitxBwKwszj4ayjussq8Q==" spinCount="100000" sheet="1" objects="1" scenarios="1"/>
  <mergeCells count="4">
    <mergeCell ref="C16:J16"/>
    <mergeCell ref="C24:J24"/>
    <mergeCell ref="B2:J2"/>
    <mergeCell ref="C22:I22"/>
  </mergeCells>
  <phoneticPr fontId="10" type="noConversion"/>
  <pageMargins left="0.75" right="0.75" top="1" bottom="1" header="0.5" footer="0.5"/>
  <pageSetup orientation="portrait" horizontalDpi="1200" verticalDpi="1200"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sLookups"/>
  <dimension ref="B1:K55"/>
  <sheetViews>
    <sheetView showGridLines="0" workbookViewId="0">
      <selection activeCell="K4" sqref="K4"/>
    </sheetView>
  </sheetViews>
  <sheetFormatPr baseColWidth="10" defaultColWidth="9.1640625" defaultRowHeight="11"/>
  <cols>
    <col min="1" max="6" width="9.1640625" style="18"/>
    <col min="7" max="7" width="30.5" style="18" bestFit="1" customWidth="1"/>
    <col min="8" max="8" width="12" style="18" bestFit="1" customWidth="1"/>
    <col min="9" max="16384" width="9.1640625" style="18"/>
  </cols>
  <sheetData>
    <row r="1" spans="2:11">
      <c r="B1" s="137" t="s">
        <v>329</v>
      </c>
      <c r="C1" s="137" t="str">
        <f>VLOOKUP(SelectedState,$B$3:$C$55,2,FALSE)</f>
        <v>XX</v>
      </c>
      <c r="D1" s="134">
        <f>VLOOKUP(SelectedState,$B$3:$D$55,3,FALSE)</f>
        <v>0</v>
      </c>
      <c r="E1" s="136"/>
      <c r="F1" s="135">
        <v>1</v>
      </c>
      <c r="G1" s="92"/>
      <c r="H1" s="137" t="str">
        <f>VLOOKUP($F$1,$F$3:$H$18,3,FALSE)</f>
        <v>Control</v>
      </c>
    </row>
    <row r="2" spans="2:11">
      <c r="B2" s="31" t="s">
        <v>218</v>
      </c>
      <c r="C2" s="31" t="s">
        <v>295</v>
      </c>
      <c r="D2" s="31" t="s">
        <v>296</v>
      </c>
      <c r="E2" s="31"/>
      <c r="F2" s="2"/>
      <c r="G2" s="31" t="s">
        <v>297</v>
      </c>
      <c r="H2" s="31" t="s">
        <v>298</v>
      </c>
      <c r="J2" s="18" t="s">
        <v>299</v>
      </c>
      <c r="K2" s="18">
        <v>0</v>
      </c>
    </row>
    <row r="3" spans="2:11">
      <c r="B3" s="2" t="s">
        <v>300</v>
      </c>
      <c r="C3" s="2" t="s">
        <v>301</v>
      </c>
      <c r="D3" s="18">
        <v>0</v>
      </c>
      <c r="F3" s="2">
        <v>1</v>
      </c>
      <c r="G3" s="2" t="s">
        <v>302</v>
      </c>
      <c r="H3" s="2" t="s">
        <v>303</v>
      </c>
      <c r="J3" s="18" t="s">
        <v>304</v>
      </c>
      <c r="K3" s="188">
        <v>45322</v>
      </c>
    </row>
    <row r="4" spans="2:11">
      <c r="B4" s="2" t="s">
        <v>219</v>
      </c>
      <c r="C4" s="2" t="s">
        <v>160</v>
      </c>
      <c r="D4" s="18">
        <v>1</v>
      </c>
      <c r="F4" s="2">
        <v>2</v>
      </c>
      <c r="G4" s="2" t="s">
        <v>305</v>
      </c>
      <c r="H4" s="2" t="s">
        <v>306</v>
      </c>
    </row>
    <row r="5" spans="2:11">
      <c r="B5" s="2" t="s">
        <v>272</v>
      </c>
      <c r="C5" s="2" t="s">
        <v>161</v>
      </c>
      <c r="D5" s="18">
        <v>2</v>
      </c>
      <c r="F5" s="2">
        <v>3</v>
      </c>
      <c r="G5" s="2" t="s">
        <v>307</v>
      </c>
      <c r="H5" s="2" t="s">
        <v>308</v>
      </c>
    </row>
    <row r="6" spans="2:11">
      <c r="B6" s="2" t="s">
        <v>220</v>
      </c>
      <c r="C6" s="2" t="s">
        <v>162</v>
      </c>
      <c r="D6" s="18">
        <v>3</v>
      </c>
      <c r="F6" s="2">
        <v>4</v>
      </c>
      <c r="G6" s="2" t="s">
        <v>309</v>
      </c>
      <c r="H6" s="2" t="s">
        <v>310</v>
      </c>
    </row>
    <row r="7" spans="2:11">
      <c r="B7" s="2" t="s">
        <v>221</v>
      </c>
      <c r="C7" s="2" t="s">
        <v>163</v>
      </c>
      <c r="D7" s="18">
        <v>4</v>
      </c>
      <c r="F7" s="2">
        <v>5</v>
      </c>
      <c r="G7" s="2" t="s">
        <v>311</v>
      </c>
      <c r="H7" s="2" t="s">
        <v>286</v>
      </c>
    </row>
    <row r="8" spans="2:11">
      <c r="B8" s="2" t="s">
        <v>222</v>
      </c>
      <c r="C8" s="2" t="s">
        <v>164</v>
      </c>
      <c r="D8" s="18">
        <v>5</v>
      </c>
      <c r="F8" s="2">
        <v>6</v>
      </c>
      <c r="G8" s="2" t="s">
        <v>312</v>
      </c>
      <c r="H8" s="2" t="s">
        <v>313</v>
      </c>
    </row>
    <row r="9" spans="2:11">
      <c r="B9" s="2" t="s">
        <v>223</v>
      </c>
      <c r="C9" s="2" t="s">
        <v>165</v>
      </c>
      <c r="D9" s="18">
        <v>6</v>
      </c>
      <c r="F9" s="2">
        <v>7</v>
      </c>
      <c r="G9" s="2" t="s">
        <v>314</v>
      </c>
      <c r="H9" s="2" t="s">
        <v>314</v>
      </c>
    </row>
    <row r="10" spans="2:11">
      <c r="B10" s="2" t="s">
        <v>224</v>
      </c>
      <c r="C10" s="2" t="s">
        <v>166</v>
      </c>
      <c r="D10" s="18">
        <v>7</v>
      </c>
      <c r="F10" s="2">
        <v>8</v>
      </c>
      <c r="G10" s="2"/>
      <c r="H10" s="2"/>
    </row>
    <row r="11" spans="2:11">
      <c r="B11" s="2" t="s">
        <v>225</v>
      </c>
      <c r="C11" s="2" t="s">
        <v>167</v>
      </c>
      <c r="D11" s="18">
        <v>8</v>
      </c>
      <c r="F11" s="2">
        <v>9</v>
      </c>
      <c r="G11" s="2"/>
      <c r="H11" s="2"/>
    </row>
    <row r="12" spans="2:11">
      <c r="B12" s="2" t="s">
        <v>315</v>
      </c>
      <c r="C12" s="2" t="s">
        <v>168</v>
      </c>
      <c r="D12" s="18">
        <v>9</v>
      </c>
      <c r="F12" s="2">
        <v>10</v>
      </c>
      <c r="G12" s="2"/>
      <c r="H12" s="2"/>
    </row>
    <row r="13" spans="2:11">
      <c r="B13" s="2" t="s">
        <v>226</v>
      </c>
      <c r="C13" s="2" t="s">
        <v>169</v>
      </c>
      <c r="D13" s="18">
        <v>10</v>
      </c>
      <c r="F13" s="2">
        <v>11</v>
      </c>
      <c r="G13" s="2"/>
      <c r="H13" s="2"/>
    </row>
    <row r="14" spans="2:11">
      <c r="B14" s="2" t="s">
        <v>227</v>
      </c>
      <c r="C14" s="2" t="s">
        <v>170</v>
      </c>
      <c r="D14" s="18">
        <v>11</v>
      </c>
      <c r="F14" s="2">
        <v>12</v>
      </c>
      <c r="G14" s="2"/>
      <c r="H14" s="2"/>
    </row>
    <row r="15" spans="2:11">
      <c r="B15" s="2" t="s">
        <v>228</v>
      </c>
      <c r="C15" s="2" t="s">
        <v>171</v>
      </c>
      <c r="D15" s="18">
        <v>12</v>
      </c>
      <c r="F15" s="2">
        <v>13</v>
      </c>
      <c r="G15" s="2"/>
      <c r="H15" s="2"/>
    </row>
    <row r="16" spans="2:11">
      <c r="B16" s="2" t="s">
        <v>229</v>
      </c>
      <c r="C16" s="2" t="s">
        <v>172</v>
      </c>
      <c r="D16" s="18">
        <v>13</v>
      </c>
      <c r="F16" s="2">
        <v>14</v>
      </c>
      <c r="G16" s="2"/>
      <c r="H16" s="2"/>
    </row>
    <row r="17" spans="2:8">
      <c r="B17" s="2" t="s">
        <v>230</v>
      </c>
      <c r="C17" s="2" t="s">
        <v>173</v>
      </c>
      <c r="D17" s="18">
        <v>14</v>
      </c>
      <c r="F17" s="2">
        <v>15</v>
      </c>
      <c r="G17" s="2"/>
      <c r="H17" s="2"/>
    </row>
    <row r="18" spans="2:8">
      <c r="B18" s="2" t="s">
        <v>231</v>
      </c>
      <c r="C18" s="2" t="s">
        <v>174</v>
      </c>
      <c r="D18" s="18">
        <v>15</v>
      </c>
      <c r="F18" s="2">
        <v>16</v>
      </c>
      <c r="G18" s="2"/>
      <c r="H18" s="2"/>
    </row>
    <row r="19" spans="2:8">
      <c r="B19" s="2" t="s">
        <v>265</v>
      </c>
      <c r="C19" s="2" t="s">
        <v>175</v>
      </c>
      <c r="D19" s="18">
        <v>16</v>
      </c>
    </row>
    <row r="20" spans="2:8">
      <c r="B20" s="2" t="s">
        <v>273</v>
      </c>
      <c r="C20" s="2" t="s">
        <v>176</v>
      </c>
      <c r="D20" s="18">
        <v>17</v>
      </c>
      <c r="F20" s="18" t="s">
        <v>316</v>
      </c>
    </row>
    <row r="21" spans="2:8">
      <c r="B21" s="2" t="s">
        <v>274</v>
      </c>
      <c r="C21" s="2" t="s">
        <v>177</v>
      </c>
      <c r="D21" s="18">
        <v>18</v>
      </c>
      <c r="F21" s="18" t="s">
        <v>317</v>
      </c>
      <c r="G21" s="176">
        <f>44/12</f>
        <v>3.6666666666666665</v>
      </c>
    </row>
    <row r="22" spans="2:8">
      <c r="B22" s="2" t="s">
        <v>232</v>
      </c>
      <c r="C22" s="2" t="s">
        <v>178</v>
      </c>
      <c r="D22" s="18">
        <v>19</v>
      </c>
    </row>
    <row r="23" spans="2:8">
      <c r="B23" s="2" t="s">
        <v>233</v>
      </c>
      <c r="C23" s="2" t="s">
        <v>179</v>
      </c>
      <c r="D23" s="18">
        <v>20</v>
      </c>
    </row>
    <row r="24" spans="2:8">
      <c r="B24" s="2" t="s">
        <v>234</v>
      </c>
      <c r="C24" s="2" t="s">
        <v>180</v>
      </c>
      <c r="D24" s="18">
        <v>21</v>
      </c>
    </row>
    <row r="25" spans="2:8">
      <c r="B25" s="2" t="s">
        <v>235</v>
      </c>
      <c r="C25" s="2" t="s">
        <v>181</v>
      </c>
      <c r="D25" s="18">
        <v>22</v>
      </c>
    </row>
    <row r="26" spans="2:8">
      <c r="B26" s="2" t="s">
        <v>236</v>
      </c>
      <c r="C26" s="2" t="s">
        <v>182</v>
      </c>
      <c r="D26" s="18">
        <v>23</v>
      </c>
    </row>
    <row r="27" spans="2:8">
      <c r="B27" s="2" t="s">
        <v>237</v>
      </c>
      <c r="C27" s="2" t="s">
        <v>183</v>
      </c>
      <c r="D27" s="18">
        <v>24</v>
      </c>
    </row>
    <row r="28" spans="2:8">
      <c r="B28" s="2" t="s">
        <v>238</v>
      </c>
      <c r="C28" s="2" t="s">
        <v>184</v>
      </c>
      <c r="D28" s="18">
        <v>25</v>
      </c>
    </row>
    <row r="29" spans="2:8">
      <c r="B29" s="2" t="s">
        <v>239</v>
      </c>
      <c r="C29" s="2" t="s">
        <v>185</v>
      </c>
      <c r="D29" s="18">
        <v>26</v>
      </c>
    </row>
    <row r="30" spans="2:8">
      <c r="B30" s="2" t="s">
        <v>275</v>
      </c>
      <c r="C30" s="2" t="s">
        <v>186</v>
      </c>
      <c r="D30" s="18">
        <v>27</v>
      </c>
    </row>
    <row r="31" spans="2:8">
      <c r="B31" s="2" t="s">
        <v>276</v>
      </c>
      <c r="C31" s="2" t="s">
        <v>187</v>
      </c>
      <c r="D31" s="18">
        <v>28</v>
      </c>
    </row>
    <row r="32" spans="2:8">
      <c r="B32" s="2" t="s">
        <v>240</v>
      </c>
      <c r="C32" s="2" t="s">
        <v>188</v>
      </c>
      <c r="D32" s="18">
        <v>29</v>
      </c>
    </row>
    <row r="33" spans="2:4">
      <c r="B33" s="2" t="s">
        <v>241</v>
      </c>
      <c r="C33" s="2" t="s">
        <v>189</v>
      </c>
      <c r="D33" s="18">
        <v>30</v>
      </c>
    </row>
    <row r="34" spans="2:4">
      <c r="B34" s="2" t="s">
        <v>242</v>
      </c>
      <c r="C34" s="2" t="s">
        <v>190</v>
      </c>
      <c r="D34" s="18">
        <v>31</v>
      </c>
    </row>
    <row r="35" spans="2:4">
      <c r="B35" s="2" t="s">
        <v>243</v>
      </c>
      <c r="C35" s="2" t="s">
        <v>191</v>
      </c>
      <c r="D35" s="18">
        <v>32</v>
      </c>
    </row>
    <row r="36" spans="2:4">
      <c r="B36" s="2" t="s">
        <v>244</v>
      </c>
      <c r="C36" s="2" t="s">
        <v>192</v>
      </c>
      <c r="D36" s="18">
        <v>33</v>
      </c>
    </row>
    <row r="37" spans="2:4">
      <c r="B37" s="2" t="s">
        <v>245</v>
      </c>
      <c r="C37" s="2" t="s">
        <v>193</v>
      </c>
      <c r="D37" s="18">
        <v>34</v>
      </c>
    </row>
    <row r="38" spans="2:4">
      <c r="B38" s="2" t="s">
        <v>277</v>
      </c>
      <c r="C38" s="2" t="s">
        <v>194</v>
      </c>
      <c r="D38" s="18">
        <v>35</v>
      </c>
    </row>
    <row r="39" spans="2:4">
      <c r="B39" s="2" t="s">
        <v>246</v>
      </c>
      <c r="C39" s="2" t="s">
        <v>195</v>
      </c>
      <c r="D39" s="18">
        <v>36</v>
      </c>
    </row>
    <row r="40" spans="2:4">
      <c r="B40" s="2" t="s">
        <v>247</v>
      </c>
      <c r="C40" s="2" t="s">
        <v>196</v>
      </c>
      <c r="D40" s="18">
        <v>37</v>
      </c>
    </row>
    <row r="41" spans="2:4">
      <c r="B41" s="2" t="s">
        <v>248</v>
      </c>
      <c r="C41" s="2" t="s">
        <v>197</v>
      </c>
      <c r="D41" s="18">
        <v>38</v>
      </c>
    </row>
    <row r="42" spans="2:4">
      <c r="B42" s="2" t="s">
        <v>250</v>
      </c>
      <c r="C42" s="2" t="s">
        <v>198</v>
      </c>
      <c r="D42" s="18">
        <v>39</v>
      </c>
    </row>
    <row r="43" spans="2:4">
      <c r="B43" s="2" t="s">
        <v>251</v>
      </c>
      <c r="C43" s="2" t="s">
        <v>199</v>
      </c>
      <c r="D43" s="18">
        <v>40</v>
      </c>
    </row>
    <row r="44" spans="2:4">
      <c r="B44" s="2" t="s">
        <v>252</v>
      </c>
      <c r="C44" s="2" t="s">
        <v>200</v>
      </c>
      <c r="D44" s="18">
        <v>41</v>
      </c>
    </row>
    <row r="45" spans="2:4">
      <c r="B45" s="2" t="s">
        <v>278</v>
      </c>
      <c r="C45" s="2" t="s">
        <v>201</v>
      </c>
      <c r="D45" s="18">
        <v>42</v>
      </c>
    </row>
    <row r="46" spans="2:4">
      <c r="B46" s="2" t="s">
        <v>253</v>
      </c>
      <c r="C46" s="2" t="s">
        <v>202</v>
      </c>
      <c r="D46" s="18">
        <v>43</v>
      </c>
    </row>
    <row r="47" spans="2:4">
      <c r="B47" s="2" t="s">
        <v>254</v>
      </c>
      <c r="C47" s="2" t="s">
        <v>203</v>
      </c>
      <c r="D47" s="18">
        <v>44</v>
      </c>
    </row>
    <row r="48" spans="2:4">
      <c r="B48" s="2" t="s">
        <v>255</v>
      </c>
      <c r="C48" s="2" t="s">
        <v>204</v>
      </c>
      <c r="D48" s="18">
        <v>45</v>
      </c>
    </row>
    <row r="49" spans="2:4">
      <c r="B49" s="2" t="s">
        <v>256</v>
      </c>
      <c r="C49" s="2" t="s">
        <v>205</v>
      </c>
      <c r="D49" s="18">
        <v>46</v>
      </c>
    </row>
    <row r="50" spans="2:4">
      <c r="B50" s="2" t="s">
        <v>257</v>
      </c>
      <c r="C50" s="2" t="s">
        <v>206</v>
      </c>
      <c r="D50" s="18">
        <v>47</v>
      </c>
    </row>
    <row r="51" spans="2:4">
      <c r="B51" s="2" t="s">
        <v>258</v>
      </c>
      <c r="C51" s="2" t="s">
        <v>207</v>
      </c>
      <c r="D51" s="18">
        <v>48</v>
      </c>
    </row>
    <row r="52" spans="2:4">
      <c r="B52" s="2" t="s">
        <v>280</v>
      </c>
      <c r="C52" s="2" t="s">
        <v>208</v>
      </c>
      <c r="D52" s="18">
        <v>49</v>
      </c>
    </row>
    <row r="53" spans="2:4">
      <c r="B53" s="2" t="s">
        <v>259</v>
      </c>
      <c r="C53" s="2" t="s">
        <v>209</v>
      </c>
      <c r="D53" s="18">
        <v>50</v>
      </c>
    </row>
    <row r="54" spans="2:4">
      <c r="B54" s="2" t="s">
        <v>281</v>
      </c>
      <c r="C54" s="2" t="s">
        <v>210</v>
      </c>
      <c r="D54" s="18">
        <v>51</v>
      </c>
    </row>
    <row r="55" spans="2:4">
      <c r="B55" s="18" t="s">
        <v>279</v>
      </c>
      <c r="C55" s="18" t="s">
        <v>211</v>
      </c>
      <c r="D55" s="18">
        <v>52</v>
      </c>
    </row>
  </sheetData>
  <sheetProtection algorithmName="SHA-512" hashValue="Bwh0h1o0qqorJhbJmQgQNEzrXU0c7kHpu1NPEwQ2xsOzOCW3Tz1cEkpq37XFAIYtzzjiB3vc21Rvlq83AoDhzA==" saltValue="4qv4kTHIt6pXk+icUeKdnQ==" spinCount="100000" sheet="1" objects="1" scenarios="1"/>
  <phoneticPr fontId="10" type="noConversion"/>
  <pageMargins left="0.75" right="0.75" top="1" bottom="1" header="0.5" footer="0.5"/>
  <pageSetup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dimension ref="A1:Z4"/>
  <sheetViews>
    <sheetView showGridLines="0" zoomScale="84" workbookViewId="0">
      <pane ySplit="4" topLeftCell="A5" activePane="bottomLeft" state="frozen"/>
      <selection pane="bottomLeft"/>
    </sheetView>
  </sheetViews>
  <sheetFormatPr baseColWidth="10" defaultColWidth="9.1640625" defaultRowHeight="13"/>
  <cols>
    <col min="1" max="16384" width="9.1640625" style="146"/>
  </cols>
  <sheetData>
    <row r="1" spans="1:26">
      <c r="Z1" s="131" t="s">
        <v>303</v>
      </c>
    </row>
    <row r="2" spans="1:26">
      <c r="Z2" s="131" t="s">
        <v>318</v>
      </c>
    </row>
    <row r="3" spans="1:26" ht="16">
      <c r="A3" s="147" t="s">
        <v>319</v>
      </c>
    </row>
    <row r="4" spans="1:26" ht="14">
      <c r="A4" s="148" t="s">
        <v>320</v>
      </c>
    </row>
  </sheetData>
  <sheetProtection algorithmName="SHA-512" hashValue="y6xO4a26PGq/uQs8r1pqhBkruwsnyoIDTmM+opMIe0gfYEXQahQaCCZ85to/d96TcuaomHzHbjnqgv6kqhK67A==" saltValue="AkCwsPz3b2EZaq2KMNTPRA==" spinCount="100000" sheet="1" objects="1" scenarios="1"/>
  <phoneticPr fontId="10" type="noConversion"/>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CE06-68EF-422D-99B6-BD86AAEF6F70}">
  <sheetPr codeName="Sheet12"/>
  <dimension ref="A1:AL8"/>
  <sheetViews>
    <sheetView workbookViewId="0">
      <selection activeCell="AK2" sqref="AK2"/>
    </sheetView>
  </sheetViews>
  <sheetFormatPr baseColWidth="10" defaultColWidth="8.83203125" defaultRowHeight="13"/>
  <cols>
    <col min="1" max="1" width="25.5" customWidth="1"/>
    <col min="2" max="2" width="49.83203125" customWidth="1"/>
  </cols>
  <sheetData>
    <row r="1" spans="1:38" ht="15">
      <c r="A1" t="s">
        <v>51</v>
      </c>
      <c r="C1" s="209">
        <v>1990</v>
      </c>
      <c r="D1" s="209">
        <v>1991</v>
      </c>
      <c r="E1" s="209">
        <v>1992</v>
      </c>
      <c r="F1" s="209">
        <v>1993</v>
      </c>
      <c r="G1" s="209">
        <v>1994</v>
      </c>
      <c r="H1" s="209">
        <v>1995</v>
      </c>
      <c r="I1" s="209">
        <v>1996</v>
      </c>
      <c r="J1" s="209">
        <v>1997</v>
      </c>
      <c r="K1" s="209">
        <v>1998</v>
      </c>
      <c r="L1" s="209">
        <v>1999</v>
      </c>
      <c r="M1" s="209">
        <v>2000</v>
      </c>
      <c r="N1" s="209">
        <v>2001</v>
      </c>
      <c r="O1" s="209">
        <v>2002</v>
      </c>
      <c r="P1" s="209">
        <v>2003</v>
      </c>
      <c r="Q1" s="209">
        <v>2004</v>
      </c>
      <c r="R1" s="209">
        <v>2005</v>
      </c>
      <c r="S1" s="209">
        <v>2006</v>
      </c>
      <c r="T1" s="209">
        <v>2007</v>
      </c>
      <c r="U1" s="209">
        <v>2008</v>
      </c>
      <c r="V1" s="209">
        <v>2009</v>
      </c>
      <c r="W1" s="209">
        <v>2010</v>
      </c>
      <c r="X1" s="209">
        <v>2011</v>
      </c>
      <c r="Y1" s="209">
        <v>2012</v>
      </c>
      <c r="Z1" s="209">
        <v>2013</v>
      </c>
      <c r="AA1" s="209">
        <v>2014</v>
      </c>
      <c r="AB1" s="209">
        <v>2015</v>
      </c>
      <c r="AC1" s="209">
        <v>2016</v>
      </c>
      <c r="AD1" s="209">
        <v>2017</v>
      </c>
      <c r="AE1" s="209">
        <v>2018</v>
      </c>
      <c r="AF1" s="209">
        <v>2019</v>
      </c>
      <c r="AG1" s="209">
        <v>2020</v>
      </c>
      <c r="AH1" s="209">
        <v>2021</v>
      </c>
      <c r="AI1" s="209">
        <v>2022</v>
      </c>
      <c r="AJ1" s="209">
        <v>2023</v>
      </c>
      <c r="AK1" s="209">
        <v>2024</v>
      </c>
      <c r="AL1" s="209">
        <v>2025</v>
      </c>
    </row>
    <row r="2" spans="1:38" ht="14">
      <c r="A2" t="s">
        <v>52</v>
      </c>
      <c r="B2" t="s">
        <v>53</v>
      </c>
      <c r="C2" s="208">
        <f>Summary!C6</f>
        <v>0</v>
      </c>
      <c r="D2" s="208">
        <f>Summary!D6</f>
        <v>0</v>
      </c>
      <c r="E2" s="208">
        <f>Summary!E6</f>
        <v>0</v>
      </c>
      <c r="F2" s="208">
        <f>Summary!F6</f>
        <v>0</v>
      </c>
      <c r="G2" s="208">
        <f>Summary!G6</f>
        <v>0</v>
      </c>
      <c r="H2" s="208">
        <f>Summary!H6</f>
        <v>0</v>
      </c>
      <c r="I2" s="208">
        <f>Summary!I6</f>
        <v>0</v>
      </c>
      <c r="J2" s="208">
        <f>Summary!J6</f>
        <v>0</v>
      </c>
      <c r="K2" s="208">
        <f>Summary!K6</f>
        <v>0</v>
      </c>
      <c r="L2" s="208">
        <f>Summary!L6</f>
        <v>0</v>
      </c>
      <c r="M2" s="208">
        <f>Summary!M6</f>
        <v>0</v>
      </c>
      <c r="N2" s="208">
        <f>Summary!N6</f>
        <v>0</v>
      </c>
      <c r="O2" s="208">
        <f>Summary!O6</f>
        <v>0</v>
      </c>
      <c r="P2" s="208">
        <f>Summary!P6</f>
        <v>0</v>
      </c>
      <c r="Q2" s="208">
        <f>Summary!Q6</f>
        <v>0</v>
      </c>
      <c r="R2" s="208">
        <f>Summary!R6</f>
        <v>0</v>
      </c>
      <c r="S2" s="208">
        <f>Summary!S6</f>
        <v>0</v>
      </c>
      <c r="T2" s="208">
        <f>Summary!T6</f>
        <v>0</v>
      </c>
      <c r="U2" s="208">
        <f>Summary!U6</f>
        <v>0</v>
      </c>
      <c r="V2" s="208">
        <f>Summary!V6</f>
        <v>0</v>
      </c>
      <c r="W2" s="208">
        <f>Summary!W6</f>
        <v>0</v>
      </c>
      <c r="X2" s="208">
        <f>Summary!X6</f>
        <v>0</v>
      </c>
      <c r="Y2" s="208">
        <f>Summary!Y6</f>
        <v>0</v>
      </c>
      <c r="Z2" s="208">
        <f>Summary!Z6</f>
        <v>0</v>
      </c>
      <c r="AA2" s="208">
        <f>Summary!AA6</f>
        <v>0</v>
      </c>
      <c r="AB2" s="208">
        <f>Summary!AB6</f>
        <v>0</v>
      </c>
      <c r="AC2" s="208">
        <f>Summary!AC6</f>
        <v>0</v>
      </c>
      <c r="AD2" s="208">
        <f>Summary!AD6</f>
        <v>0</v>
      </c>
      <c r="AE2" s="208">
        <f>Summary!AE6</f>
        <v>0</v>
      </c>
      <c r="AF2" s="208">
        <f>Summary!AF6</f>
        <v>0</v>
      </c>
      <c r="AG2" s="208">
        <f>Summary!AG6</f>
        <v>0</v>
      </c>
      <c r="AH2" s="208">
        <f>Summary!AH6</f>
        <v>0</v>
      </c>
      <c r="AI2" s="208">
        <f>Summary!AI6</f>
        <v>0</v>
      </c>
      <c r="AJ2" s="208">
        <f>Summary!AJ6</f>
        <v>0</v>
      </c>
      <c r="AK2" s="208">
        <f>Summary!AK6</f>
        <v>0</v>
      </c>
      <c r="AL2" s="208">
        <f>Summary!AL6</f>
        <v>0</v>
      </c>
    </row>
    <row r="3" spans="1:38" ht="14">
      <c r="A3" t="s">
        <v>54</v>
      </c>
      <c r="B3" t="s">
        <v>55</v>
      </c>
      <c r="C3" s="208">
        <f>Summary!C7</f>
        <v>0</v>
      </c>
      <c r="D3" s="208">
        <f>Summary!D7</f>
        <v>0</v>
      </c>
      <c r="E3" s="208">
        <f>Summary!E7</f>
        <v>0</v>
      </c>
      <c r="F3" s="208">
        <f>Summary!F7</f>
        <v>0</v>
      </c>
      <c r="G3" s="208">
        <f>Summary!G7</f>
        <v>0</v>
      </c>
      <c r="H3" s="208">
        <f>Summary!H7</f>
        <v>0</v>
      </c>
      <c r="I3" s="208">
        <f>Summary!I7</f>
        <v>0</v>
      </c>
      <c r="J3" s="208">
        <f>Summary!J7</f>
        <v>0</v>
      </c>
      <c r="K3" s="208">
        <f>Summary!K7</f>
        <v>0</v>
      </c>
      <c r="L3" s="208">
        <f>Summary!L7</f>
        <v>0</v>
      </c>
      <c r="M3" s="208">
        <f>Summary!M7</f>
        <v>0</v>
      </c>
      <c r="N3" s="208">
        <f>Summary!N7</f>
        <v>0</v>
      </c>
      <c r="O3" s="208">
        <f>Summary!O7</f>
        <v>0</v>
      </c>
      <c r="P3" s="208">
        <f>Summary!P7</f>
        <v>0</v>
      </c>
      <c r="Q3" s="208">
        <f>Summary!Q7</f>
        <v>0</v>
      </c>
      <c r="R3" s="208">
        <f>Summary!R7</f>
        <v>0</v>
      </c>
      <c r="S3" s="208">
        <f>Summary!S7</f>
        <v>0</v>
      </c>
      <c r="T3" s="208">
        <f>Summary!T7</f>
        <v>0</v>
      </c>
      <c r="U3" s="208">
        <f>Summary!U7</f>
        <v>0</v>
      </c>
      <c r="V3" s="208">
        <f>Summary!V7</f>
        <v>0</v>
      </c>
      <c r="W3" s="208">
        <f>Summary!W7</f>
        <v>0</v>
      </c>
      <c r="X3" s="208">
        <f>Summary!X7</f>
        <v>0</v>
      </c>
      <c r="Y3" s="208">
        <f>Summary!Y7</f>
        <v>0</v>
      </c>
      <c r="Z3" s="208">
        <f>Summary!Z7</f>
        <v>0</v>
      </c>
      <c r="AA3" s="208">
        <f>Summary!AA7</f>
        <v>0</v>
      </c>
      <c r="AB3" s="208">
        <f>Summary!AB7</f>
        <v>0</v>
      </c>
      <c r="AC3" s="208">
        <f>Summary!AC7</f>
        <v>0</v>
      </c>
      <c r="AD3" s="208">
        <f>Summary!AD7</f>
        <v>0</v>
      </c>
      <c r="AE3" s="208">
        <f>Summary!AE7</f>
        <v>0</v>
      </c>
      <c r="AF3" s="208">
        <f>Summary!AF7</f>
        <v>0</v>
      </c>
      <c r="AG3" s="208">
        <f>Summary!AG7</f>
        <v>0</v>
      </c>
      <c r="AH3" s="208">
        <f>Summary!AH7</f>
        <v>0</v>
      </c>
      <c r="AI3" s="208">
        <f>Summary!AI7</f>
        <v>0</v>
      </c>
      <c r="AJ3" s="208">
        <f>Summary!AJ7</f>
        <v>0</v>
      </c>
      <c r="AK3" s="208">
        <f>Summary!AK7</f>
        <v>0</v>
      </c>
      <c r="AL3" s="208">
        <f>Summary!AL7</f>
        <v>0</v>
      </c>
    </row>
    <row r="4" spans="1:38" ht="14">
      <c r="A4" t="s">
        <v>56</v>
      </c>
      <c r="B4" t="s">
        <v>57</v>
      </c>
      <c r="C4" s="208">
        <f>Summary!C8</f>
        <v>0</v>
      </c>
      <c r="D4" s="208">
        <f>Summary!D8</f>
        <v>0</v>
      </c>
      <c r="E4" s="208">
        <f>Summary!E8</f>
        <v>0</v>
      </c>
      <c r="F4" s="208">
        <f>Summary!F8</f>
        <v>0</v>
      </c>
      <c r="G4" s="208">
        <f>Summary!G8</f>
        <v>0</v>
      </c>
      <c r="H4" s="208">
        <f>Summary!H8</f>
        <v>0</v>
      </c>
      <c r="I4" s="208">
        <f>Summary!I8</f>
        <v>0</v>
      </c>
      <c r="J4" s="208">
        <f>Summary!J8</f>
        <v>0</v>
      </c>
      <c r="K4" s="208">
        <f>Summary!K8</f>
        <v>0</v>
      </c>
      <c r="L4" s="208">
        <f>Summary!L8</f>
        <v>0</v>
      </c>
      <c r="M4" s="208">
        <f>Summary!M8</f>
        <v>0</v>
      </c>
      <c r="N4" s="208">
        <f>Summary!N8</f>
        <v>0</v>
      </c>
      <c r="O4" s="208">
        <f>Summary!O8</f>
        <v>0</v>
      </c>
      <c r="P4" s="208">
        <f>Summary!P8</f>
        <v>0</v>
      </c>
      <c r="Q4" s="208">
        <f>Summary!Q8</f>
        <v>0</v>
      </c>
      <c r="R4" s="208">
        <f>Summary!R8</f>
        <v>0</v>
      </c>
      <c r="S4" s="208">
        <f>Summary!S8</f>
        <v>0</v>
      </c>
      <c r="T4" s="208">
        <f>Summary!T8</f>
        <v>0</v>
      </c>
      <c r="U4" s="208">
        <f>Summary!U8</f>
        <v>0</v>
      </c>
      <c r="V4" s="208">
        <f>Summary!V8</f>
        <v>0</v>
      </c>
      <c r="W4" s="208">
        <f>Summary!W8</f>
        <v>0</v>
      </c>
      <c r="X4" s="208">
        <f>Summary!X8</f>
        <v>0</v>
      </c>
      <c r="Y4" s="208">
        <f>Summary!Y8</f>
        <v>0</v>
      </c>
      <c r="Z4" s="208">
        <f>Summary!Z8</f>
        <v>0</v>
      </c>
      <c r="AA4" s="208">
        <f>Summary!AA8</f>
        <v>0</v>
      </c>
      <c r="AB4" s="208">
        <f>Summary!AB8</f>
        <v>0</v>
      </c>
      <c r="AC4" s="208">
        <f>Summary!AC8</f>
        <v>0</v>
      </c>
      <c r="AD4" s="208">
        <f>Summary!AD8</f>
        <v>0</v>
      </c>
      <c r="AE4" s="208">
        <f>Summary!AE8</f>
        <v>0</v>
      </c>
      <c r="AF4" s="208">
        <f>Summary!AF8</f>
        <v>0</v>
      </c>
      <c r="AG4" s="208">
        <f>Summary!AG8</f>
        <v>0</v>
      </c>
      <c r="AH4" s="208">
        <f>Summary!AH8</f>
        <v>0</v>
      </c>
      <c r="AI4" s="208">
        <f>Summary!AI8</f>
        <v>0</v>
      </c>
      <c r="AJ4" s="208">
        <f>Summary!AJ8</f>
        <v>0</v>
      </c>
      <c r="AK4" s="208">
        <f>Summary!AK8</f>
        <v>0</v>
      </c>
      <c r="AL4" s="208">
        <f>Summary!AL8</f>
        <v>0</v>
      </c>
    </row>
    <row r="5" spans="1:38">
      <c r="A5" t="s">
        <v>58</v>
      </c>
      <c r="B5" t="s">
        <v>59</v>
      </c>
      <c r="C5" s="208">
        <f>Summary!C9</f>
        <v>0</v>
      </c>
      <c r="D5" s="208">
        <f>Summary!D9</f>
        <v>0</v>
      </c>
      <c r="E5" s="208">
        <f>Summary!E9</f>
        <v>0</v>
      </c>
      <c r="F5" s="208">
        <f>Summary!F9</f>
        <v>0</v>
      </c>
      <c r="G5" s="208">
        <f>Summary!G9</f>
        <v>0</v>
      </c>
      <c r="H5" s="208">
        <f>Summary!H9</f>
        <v>0</v>
      </c>
      <c r="I5" s="208">
        <f>Summary!I9</f>
        <v>0</v>
      </c>
      <c r="J5" s="208">
        <f>Summary!J9</f>
        <v>0</v>
      </c>
      <c r="K5" s="208">
        <f>Summary!K9</f>
        <v>0</v>
      </c>
      <c r="L5" s="208">
        <f>Summary!L9</f>
        <v>0</v>
      </c>
      <c r="M5" s="208">
        <f>Summary!M9</f>
        <v>0</v>
      </c>
      <c r="N5" s="208">
        <f>Summary!N9</f>
        <v>0</v>
      </c>
      <c r="O5" s="208">
        <f>Summary!O9</f>
        <v>0</v>
      </c>
      <c r="P5" s="208">
        <f>Summary!P9</f>
        <v>0</v>
      </c>
      <c r="Q5" s="208">
        <f>Summary!Q9</f>
        <v>0</v>
      </c>
      <c r="R5" s="208">
        <f>Summary!R9</f>
        <v>0</v>
      </c>
      <c r="S5" s="208">
        <f>Summary!S9</f>
        <v>0</v>
      </c>
      <c r="T5" s="208">
        <f>Summary!T9</f>
        <v>0</v>
      </c>
      <c r="U5" s="208">
        <f>Summary!U9</f>
        <v>0</v>
      </c>
      <c r="V5" s="208">
        <f>Summary!V9</f>
        <v>0</v>
      </c>
      <c r="W5" s="208">
        <f>Summary!W9</f>
        <v>0</v>
      </c>
      <c r="X5" s="208">
        <f>Summary!X9</f>
        <v>0</v>
      </c>
      <c r="Y5" s="208">
        <f>Summary!Y9</f>
        <v>0</v>
      </c>
      <c r="Z5" s="208">
        <f>Summary!Z9</f>
        <v>0</v>
      </c>
      <c r="AA5" s="208">
        <f>Summary!AA9</f>
        <v>0</v>
      </c>
      <c r="AB5" s="208">
        <f>Summary!AB9</f>
        <v>0</v>
      </c>
      <c r="AC5" s="208">
        <f>Summary!AC9</f>
        <v>0</v>
      </c>
      <c r="AD5" s="208">
        <f>Summary!AD9</f>
        <v>0</v>
      </c>
      <c r="AE5" s="208">
        <f>Summary!AE9</f>
        <v>0</v>
      </c>
      <c r="AF5" s="208">
        <f>Summary!AF9</f>
        <v>0</v>
      </c>
      <c r="AG5" s="208">
        <f>Summary!AG9</f>
        <v>0</v>
      </c>
      <c r="AH5" s="208">
        <f>Summary!AH9</f>
        <v>0</v>
      </c>
      <c r="AI5" s="208">
        <f>Summary!AI9</f>
        <v>0</v>
      </c>
      <c r="AJ5" s="208">
        <f>Summary!AJ9</f>
        <v>0</v>
      </c>
      <c r="AK5" s="208">
        <f>Summary!AK9</f>
        <v>0</v>
      </c>
      <c r="AL5" s="208">
        <f>Summary!AL9</f>
        <v>0</v>
      </c>
    </row>
    <row r="6" spans="1:38">
      <c r="A6" t="s">
        <v>60</v>
      </c>
      <c r="B6" t="s">
        <v>61</v>
      </c>
      <c r="C6" s="208">
        <f>Summary!C10</f>
        <v>0</v>
      </c>
      <c r="D6" s="208">
        <f>Summary!D10</f>
        <v>0</v>
      </c>
      <c r="E6" s="208">
        <f>Summary!E10</f>
        <v>0</v>
      </c>
      <c r="F6" s="208">
        <f>Summary!F10</f>
        <v>0</v>
      </c>
      <c r="G6" s="208">
        <f>Summary!G10</f>
        <v>0</v>
      </c>
      <c r="H6" s="208">
        <f>Summary!H10</f>
        <v>0</v>
      </c>
      <c r="I6" s="208">
        <f>Summary!I10</f>
        <v>0</v>
      </c>
      <c r="J6" s="208">
        <f>Summary!J10</f>
        <v>0</v>
      </c>
      <c r="K6" s="208">
        <f>Summary!K10</f>
        <v>0</v>
      </c>
      <c r="L6" s="208">
        <f>Summary!L10</f>
        <v>0</v>
      </c>
      <c r="M6" s="208">
        <f>Summary!M10</f>
        <v>0</v>
      </c>
      <c r="N6" s="208">
        <f>Summary!N10</f>
        <v>0</v>
      </c>
      <c r="O6" s="208">
        <f>Summary!O10</f>
        <v>0</v>
      </c>
      <c r="P6" s="208">
        <f>Summary!P10</f>
        <v>0</v>
      </c>
      <c r="Q6" s="208">
        <f>Summary!Q10</f>
        <v>0</v>
      </c>
      <c r="R6" s="208">
        <f>Summary!R10</f>
        <v>0</v>
      </c>
      <c r="S6" s="208">
        <f>Summary!S10</f>
        <v>0</v>
      </c>
      <c r="T6" s="208">
        <f>Summary!T10</f>
        <v>0</v>
      </c>
      <c r="U6" s="208">
        <f>Summary!U10</f>
        <v>0</v>
      </c>
      <c r="V6" s="208">
        <f>Summary!V10</f>
        <v>0</v>
      </c>
      <c r="W6" s="208">
        <f>Summary!W10</f>
        <v>0</v>
      </c>
      <c r="X6" s="208">
        <f>Summary!X10</f>
        <v>0</v>
      </c>
      <c r="Y6" s="208">
        <f>Summary!Y10</f>
        <v>0</v>
      </c>
      <c r="Z6" s="208">
        <f>Summary!Z10</f>
        <v>0</v>
      </c>
      <c r="AA6" s="208">
        <f>Summary!AA10</f>
        <v>0</v>
      </c>
      <c r="AB6" s="208">
        <f>Summary!AB10</f>
        <v>0</v>
      </c>
      <c r="AC6" s="208">
        <f>Summary!AC10</f>
        <v>0</v>
      </c>
      <c r="AD6" s="208">
        <f>Summary!AD10</f>
        <v>0</v>
      </c>
      <c r="AE6" s="208">
        <f>Summary!AE10</f>
        <v>0</v>
      </c>
      <c r="AF6" s="208">
        <f>Summary!AF10</f>
        <v>0</v>
      </c>
      <c r="AG6" s="208">
        <f>Summary!AG10</f>
        <v>0</v>
      </c>
      <c r="AH6" s="208">
        <f>Summary!AH10</f>
        <v>0</v>
      </c>
      <c r="AI6" s="208">
        <f>Summary!AI10</f>
        <v>0</v>
      </c>
      <c r="AJ6" s="208">
        <f>Summary!AJ10</f>
        <v>0</v>
      </c>
      <c r="AK6" s="208">
        <f>Summary!AK10</f>
        <v>0</v>
      </c>
      <c r="AL6" s="208">
        <f>Summary!AL10</f>
        <v>0</v>
      </c>
    </row>
    <row r="7" spans="1:38">
      <c r="A7" t="s">
        <v>62</v>
      </c>
      <c r="B7" t="s">
        <v>63</v>
      </c>
      <c r="C7" s="208">
        <f>Summary!C11</f>
        <v>0</v>
      </c>
      <c r="D7" s="208">
        <f>Summary!D11</f>
        <v>0</v>
      </c>
      <c r="E7" s="208">
        <f>Summary!E11</f>
        <v>0</v>
      </c>
      <c r="F7" s="208">
        <f>Summary!F11</f>
        <v>0</v>
      </c>
      <c r="G7" s="208">
        <f>Summary!G11</f>
        <v>0</v>
      </c>
      <c r="H7" s="208">
        <f>Summary!H11</f>
        <v>0</v>
      </c>
      <c r="I7" s="208">
        <f>Summary!I11</f>
        <v>0</v>
      </c>
      <c r="J7" s="208">
        <f>Summary!J11</f>
        <v>0</v>
      </c>
      <c r="K7" s="208">
        <f>Summary!K11</f>
        <v>0</v>
      </c>
      <c r="L7" s="208">
        <f>Summary!L11</f>
        <v>0</v>
      </c>
      <c r="M7" s="208">
        <f>Summary!M11</f>
        <v>0</v>
      </c>
      <c r="N7" s="208">
        <f>Summary!N11</f>
        <v>0</v>
      </c>
      <c r="O7" s="208">
        <f>Summary!O11</f>
        <v>0</v>
      </c>
      <c r="P7" s="208">
        <f>Summary!P11</f>
        <v>0</v>
      </c>
      <c r="Q7" s="208">
        <f>Summary!Q11</f>
        <v>0</v>
      </c>
      <c r="R7" s="208">
        <f>Summary!R11</f>
        <v>0</v>
      </c>
      <c r="S7" s="208">
        <f>Summary!S11</f>
        <v>0</v>
      </c>
      <c r="T7" s="208">
        <f>Summary!T11</f>
        <v>0</v>
      </c>
      <c r="U7" s="208">
        <f>Summary!U11</f>
        <v>0</v>
      </c>
      <c r="V7" s="208">
        <f>Summary!V11</f>
        <v>0</v>
      </c>
      <c r="W7" s="208">
        <f>Summary!W11</f>
        <v>0</v>
      </c>
      <c r="X7" s="208">
        <f>Summary!X11</f>
        <v>0</v>
      </c>
      <c r="Y7" s="208">
        <f>Summary!Y11</f>
        <v>0</v>
      </c>
      <c r="Z7" s="208">
        <f>Summary!Z11</f>
        <v>0</v>
      </c>
      <c r="AA7" s="208">
        <f>Summary!AA11</f>
        <v>0</v>
      </c>
      <c r="AB7" s="208">
        <f>Summary!AB11</f>
        <v>0</v>
      </c>
      <c r="AC7" s="208">
        <f>Summary!AC11</f>
        <v>0</v>
      </c>
      <c r="AD7" s="208">
        <f>Summary!AD11</f>
        <v>0</v>
      </c>
      <c r="AE7" s="208">
        <f>Summary!AE11</f>
        <v>0</v>
      </c>
      <c r="AF7" s="208">
        <f>Summary!AF11</f>
        <v>0</v>
      </c>
      <c r="AG7" s="208">
        <f>Summary!AG11</f>
        <v>0</v>
      </c>
      <c r="AH7" s="208">
        <f>Summary!AH11</f>
        <v>0</v>
      </c>
      <c r="AI7" s="208">
        <f>Summary!AI11</f>
        <v>0</v>
      </c>
      <c r="AJ7" s="208">
        <f>Summary!AJ11</f>
        <v>0</v>
      </c>
      <c r="AK7" s="208">
        <f>Summary!AK11</f>
        <v>0</v>
      </c>
      <c r="AL7" s="208">
        <f>Summary!AL11</f>
        <v>0</v>
      </c>
    </row>
    <row r="8" spans="1:38">
      <c r="A8" t="s">
        <v>64</v>
      </c>
      <c r="B8" t="s">
        <v>65</v>
      </c>
      <c r="C8" s="208">
        <f>Summary!C12</f>
        <v>0</v>
      </c>
      <c r="D8" s="208">
        <f>Summary!D12</f>
        <v>0</v>
      </c>
      <c r="E8" s="208">
        <f>Summary!E12</f>
        <v>0</v>
      </c>
      <c r="F8" s="208">
        <f>Summary!F12</f>
        <v>0</v>
      </c>
      <c r="G8" s="208">
        <f>Summary!G12</f>
        <v>0</v>
      </c>
      <c r="H8" s="208">
        <f>Summary!H12</f>
        <v>0</v>
      </c>
      <c r="I8" s="208">
        <f>Summary!I12</f>
        <v>0</v>
      </c>
      <c r="J8" s="208">
        <f>Summary!J12</f>
        <v>0</v>
      </c>
      <c r="K8" s="208">
        <f>Summary!K12</f>
        <v>0</v>
      </c>
      <c r="L8" s="208">
        <f>Summary!L12</f>
        <v>0</v>
      </c>
      <c r="M8" s="208">
        <f>Summary!M12</f>
        <v>0</v>
      </c>
      <c r="N8" s="208">
        <f>Summary!N12</f>
        <v>0</v>
      </c>
      <c r="O8" s="208">
        <f>Summary!O12</f>
        <v>0</v>
      </c>
      <c r="P8" s="208">
        <f>Summary!P12</f>
        <v>0</v>
      </c>
      <c r="Q8" s="208">
        <f>Summary!Q12</f>
        <v>0</v>
      </c>
      <c r="R8" s="208">
        <f>Summary!R12</f>
        <v>0</v>
      </c>
      <c r="S8" s="208">
        <f>Summary!S12</f>
        <v>0</v>
      </c>
      <c r="T8" s="208">
        <f>Summary!T12</f>
        <v>0</v>
      </c>
      <c r="U8" s="208">
        <f>Summary!U12</f>
        <v>0</v>
      </c>
      <c r="V8" s="208">
        <f>Summary!V12</f>
        <v>0</v>
      </c>
      <c r="W8" s="208">
        <f>Summary!W12</f>
        <v>0</v>
      </c>
      <c r="X8" s="208">
        <f>Summary!X12</f>
        <v>0</v>
      </c>
      <c r="Y8" s="208">
        <f>Summary!Y12</f>
        <v>0</v>
      </c>
      <c r="Z8" s="208">
        <f>Summary!Z12</f>
        <v>0</v>
      </c>
      <c r="AA8" s="208">
        <f>Summary!AA12</f>
        <v>0</v>
      </c>
      <c r="AB8" s="208">
        <f>Summary!AB12</f>
        <v>0</v>
      </c>
      <c r="AC8" s="208">
        <f>Summary!AC12</f>
        <v>0</v>
      </c>
      <c r="AD8" s="208">
        <f>Summary!AD12</f>
        <v>0</v>
      </c>
      <c r="AE8" s="208">
        <f>Summary!AE12</f>
        <v>0</v>
      </c>
      <c r="AF8" s="208">
        <f>Summary!AF12</f>
        <v>0</v>
      </c>
      <c r="AG8" s="208">
        <f>Summary!AG12</f>
        <v>0</v>
      </c>
      <c r="AH8" s="208">
        <f>Summary!AH12</f>
        <v>0</v>
      </c>
      <c r="AI8" s="208">
        <f>Summary!AI12</f>
        <v>0</v>
      </c>
      <c r="AJ8" s="208">
        <f>Summary!AJ12</f>
        <v>0</v>
      </c>
      <c r="AK8" s="208">
        <f>Summary!AK12</f>
        <v>0</v>
      </c>
      <c r="AL8" s="208">
        <f>Summary!AL12</f>
        <v>0</v>
      </c>
    </row>
  </sheetData>
  <sheetProtection algorithmName="SHA-512" hashValue="2iU6IRsiZv3EWM4diKHA6EsXcBqifaccUCoutDLcFX+d/OncgK17+LnUgWEqR+VYP0VitmVgpc92g/J7zbl17w==" saltValue="uJUhgKgOnbxiquMmASd/1g=="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3699-0903-4C88-905C-564375696568}">
  <sheetPr codeName="Sheet13"/>
  <dimension ref="A1:AL2"/>
  <sheetViews>
    <sheetView topLeftCell="X1" workbookViewId="0">
      <selection activeCell="AK2" sqref="AK2"/>
    </sheetView>
  </sheetViews>
  <sheetFormatPr baseColWidth="10" defaultColWidth="8.83203125" defaultRowHeight="13"/>
  <sheetData>
    <row r="1" spans="1:38" ht="15">
      <c r="A1" t="s">
        <v>51</v>
      </c>
      <c r="C1" s="209">
        <v>1990</v>
      </c>
      <c r="D1" s="209">
        <v>1991</v>
      </c>
      <c r="E1" s="209">
        <v>1992</v>
      </c>
      <c r="F1" s="209">
        <v>1993</v>
      </c>
      <c r="G1" s="209">
        <v>1994</v>
      </c>
      <c r="H1" s="209">
        <v>1995</v>
      </c>
      <c r="I1" s="209">
        <v>1996</v>
      </c>
      <c r="J1" s="209">
        <v>1997</v>
      </c>
      <c r="K1" s="209">
        <v>1998</v>
      </c>
      <c r="L1" s="209">
        <v>1999</v>
      </c>
      <c r="M1" s="209">
        <v>2000</v>
      </c>
      <c r="N1" s="209">
        <v>2001</v>
      </c>
      <c r="O1" s="209">
        <v>2002</v>
      </c>
      <c r="P1" s="209">
        <v>2003</v>
      </c>
      <c r="Q1" s="209">
        <v>2004</v>
      </c>
      <c r="R1" s="209">
        <v>2005</v>
      </c>
      <c r="S1" s="209">
        <v>2006</v>
      </c>
      <c r="T1" s="209">
        <v>2007</v>
      </c>
      <c r="U1" s="209">
        <v>2008</v>
      </c>
      <c r="V1" s="209">
        <v>2009</v>
      </c>
      <c r="W1" s="209">
        <v>2010</v>
      </c>
      <c r="X1" s="209">
        <v>2011</v>
      </c>
      <c r="Y1" s="209">
        <v>2012</v>
      </c>
      <c r="Z1" s="209">
        <v>2013</v>
      </c>
      <c r="AA1" s="209">
        <v>2014</v>
      </c>
      <c r="AB1" s="209">
        <v>2015</v>
      </c>
      <c r="AC1" s="209">
        <v>2016</v>
      </c>
      <c r="AD1" s="209">
        <v>2017</v>
      </c>
      <c r="AE1" s="209">
        <v>2018</v>
      </c>
      <c r="AF1" s="209">
        <v>2019</v>
      </c>
      <c r="AG1" s="209">
        <v>2020</v>
      </c>
      <c r="AH1" s="209">
        <v>2021</v>
      </c>
      <c r="AI1" s="209">
        <v>2022</v>
      </c>
      <c r="AJ1" s="209">
        <v>2023</v>
      </c>
      <c r="AK1" s="209">
        <v>2024</v>
      </c>
      <c r="AL1" s="209">
        <v>2025</v>
      </c>
    </row>
    <row r="2" spans="1:38">
      <c r="A2" t="s">
        <v>66</v>
      </c>
      <c r="B2" t="s">
        <v>67</v>
      </c>
      <c r="C2" s="208">
        <f>Summary!C13</f>
        <v>0</v>
      </c>
      <c r="D2" s="208">
        <f>Summary!D13</f>
        <v>0</v>
      </c>
      <c r="E2" s="208">
        <f>Summary!E13</f>
        <v>0</v>
      </c>
      <c r="F2" s="208">
        <f>Summary!F13</f>
        <v>0</v>
      </c>
      <c r="G2" s="208">
        <f>Summary!G13</f>
        <v>0</v>
      </c>
      <c r="H2" s="208">
        <f>Summary!H13</f>
        <v>0</v>
      </c>
      <c r="I2" s="208">
        <f>Summary!I13</f>
        <v>0</v>
      </c>
      <c r="J2" s="208">
        <f>Summary!J13</f>
        <v>0</v>
      </c>
      <c r="K2" s="208">
        <f>Summary!K13</f>
        <v>0</v>
      </c>
      <c r="L2" s="208">
        <f>Summary!L13</f>
        <v>0</v>
      </c>
      <c r="M2" s="208">
        <f>Summary!M13</f>
        <v>0</v>
      </c>
      <c r="N2" s="208">
        <f>Summary!N13</f>
        <v>0</v>
      </c>
      <c r="O2" s="208">
        <f>Summary!O13</f>
        <v>0</v>
      </c>
      <c r="P2" s="208">
        <f>Summary!P13</f>
        <v>0</v>
      </c>
      <c r="Q2" s="208">
        <f>Summary!Q13</f>
        <v>0</v>
      </c>
      <c r="R2" s="208">
        <f>Summary!R13</f>
        <v>0</v>
      </c>
      <c r="S2" s="208">
        <f>Summary!S13</f>
        <v>0</v>
      </c>
      <c r="T2" s="208">
        <f>Summary!T13</f>
        <v>0</v>
      </c>
      <c r="U2" s="208">
        <f>Summary!U13</f>
        <v>0</v>
      </c>
      <c r="V2" s="208">
        <f>Summary!V13</f>
        <v>0</v>
      </c>
      <c r="W2" s="208">
        <f>Summary!W13</f>
        <v>0</v>
      </c>
      <c r="X2" s="208">
        <f>Summary!X13</f>
        <v>0</v>
      </c>
      <c r="Y2" s="208">
        <f>Summary!Y13</f>
        <v>0</v>
      </c>
      <c r="Z2" s="208">
        <f>Summary!Z13</f>
        <v>0</v>
      </c>
      <c r="AA2" s="208">
        <f>Summary!AA13</f>
        <v>0</v>
      </c>
      <c r="AB2" s="208">
        <f>Summary!AB13</f>
        <v>0</v>
      </c>
      <c r="AC2" s="208">
        <f>Summary!AC13</f>
        <v>0</v>
      </c>
      <c r="AD2" s="208">
        <f>Summary!AD13</f>
        <v>0</v>
      </c>
      <c r="AE2" s="208">
        <f>Summary!AE13</f>
        <v>0</v>
      </c>
      <c r="AF2" s="208">
        <f>Summary!AF13</f>
        <v>0</v>
      </c>
      <c r="AG2" s="208">
        <f>Summary!AG13</f>
        <v>0</v>
      </c>
      <c r="AH2" s="208">
        <f>Summary!AH13</f>
        <v>0</v>
      </c>
      <c r="AI2" s="208">
        <f>Summary!AI13</f>
        <v>0</v>
      </c>
      <c r="AJ2" s="208">
        <f>Summary!AJ13</f>
        <v>0</v>
      </c>
      <c r="AK2" s="208">
        <f>Summary!AK13</f>
        <v>0</v>
      </c>
      <c r="AL2" s="208">
        <f>Summary!AL13</f>
        <v>0</v>
      </c>
    </row>
  </sheetData>
  <sheetProtection algorithmName="SHA-512" hashValue="wEpQ3OvoBDPL7r+KWC8s9hN+YBhJZTBhsofCRsC4Q4KfwjswSiVK9+wzx1R32EmwE2BuW/g6cJr4x6kNViejlg==" saltValue="ch9LdssshaUZFPbdtSsS9g==" spinCount="100000" sheet="1" objects="1" scenarios="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C76"/>
  <sheetViews>
    <sheetView showGridLines="0" zoomScaleNormal="100" workbookViewId="0">
      <pane ySplit="4" topLeftCell="A5" activePane="bottomLeft" state="frozen"/>
      <selection pane="bottomLeft" activeCell="C6" sqref="C6"/>
    </sheetView>
  </sheetViews>
  <sheetFormatPr baseColWidth="10" defaultColWidth="8" defaultRowHeight="11.25" customHeight="1"/>
  <cols>
    <col min="1" max="1" width="2.83203125" style="2" customWidth="1"/>
    <col min="2" max="2" width="6.5" style="2" customWidth="1"/>
    <col min="3" max="3" width="11.5" style="2" customWidth="1"/>
    <col min="4" max="4" width="1.83203125" style="2" bestFit="1" customWidth="1"/>
    <col min="5" max="5" width="9.83203125" style="2" customWidth="1"/>
    <col min="6" max="6" width="1.83203125" style="2" bestFit="1" customWidth="1"/>
    <col min="7" max="7" width="10.83203125" style="2" customWidth="1"/>
    <col min="8" max="8" width="1.83203125" style="2" bestFit="1" customWidth="1"/>
    <col min="9" max="9" width="10.5" style="2" customWidth="1"/>
    <col min="10" max="10" width="1.83203125" style="2" bestFit="1" customWidth="1"/>
    <col min="11" max="11" width="13.83203125" style="2" bestFit="1" customWidth="1"/>
    <col min="12" max="12" width="1.83203125" style="2" bestFit="1" customWidth="1"/>
    <col min="13" max="13" width="11.1640625" style="2" bestFit="1" customWidth="1"/>
    <col min="14" max="14" width="1.83203125" style="2" bestFit="1" customWidth="1"/>
    <col min="15" max="15" width="9.83203125" style="2" bestFit="1" customWidth="1"/>
    <col min="16" max="16" width="1.83203125" style="2" bestFit="1" customWidth="1"/>
    <col min="17" max="17" width="8" style="2" customWidth="1"/>
    <col min="18" max="18" width="1.83203125" style="2" bestFit="1" customWidth="1"/>
    <col min="19" max="19" width="10.1640625" style="2" bestFit="1" customWidth="1"/>
    <col min="20" max="20" width="1.83203125" style="2" bestFit="1" customWidth="1"/>
    <col min="21" max="21" width="5.83203125" style="2" customWidth="1"/>
    <col min="22" max="22" width="1.83203125" style="2" bestFit="1" customWidth="1"/>
    <col min="23" max="23" width="9.1640625" style="2" bestFit="1" customWidth="1"/>
    <col min="24" max="24" width="1.83203125" style="2" customWidth="1"/>
    <col min="25" max="25" width="8.5" style="2" customWidth="1"/>
    <col min="26" max="28" width="8" style="2" customWidth="1"/>
    <col min="29" max="29" width="10.5" style="2" hidden="1" customWidth="1"/>
    <col min="30" max="34" width="8" style="2" customWidth="1"/>
    <col min="35" max="35" width="10" style="2" customWidth="1"/>
    <col min="36" max="16384" width="8" style="2"/>
  </cols>
  <sheetData>
    <row r="1" spans="1:29" s="119" customFormat="1" ht="22.75" customHeight="1">
      <c r="A1" s="117"/>
      <c r="B1" s="118" t="str">
        <f>"4. "&amp;SelectedState &amp; " Municipal Wastewater Methane Emissions"</f>
        <v>4. Select a state . . . Municipal Wastewater Methane Emissions</v>
      </c>
      <c r="C1" s="118"/>
      <c r="AC1" s="118"/>
    </row>
    <row r="2" spans="1:29" ht="47.25" customHeight="1"/>
    <row r="3" spans="1:29" ht="65.25" customHeight="1">
      <c r="A3" s="24"/>
      <c r="B3" s="33"/>
      <c r="C3" s="161" t="s">
        <v>68</v>
      </c>
      <c r="D3" s="55"/>
      <c r="E3" s="161" t="s">
        <v>69</v>
      </c>
      <c r="F3" s="162"/>
      <c r="G3" s="161" t="s">
        <v>70</v>
      </c>
      <c r="H3" s="162"/>
      <c r="I3" s="161" t="s">
        <v>71</v>
      </c>
      <c r="J3" s="162"/>
      <c r="K3" s="161" t="s">
        <v>72</v>
      </c>
      <c r="L3" s="162"/>
      <c r="M3" s="161" t="s">
        <v>73</v>
      </c>
      <c r="N3" s="162"/>
      <c r="O3" s="161" t="s">
        <v>74</v>
      </c>
      <c r="P3" s="162"/>
      <c r="Q3" s="161" t="s">
        <v>75</v>
      </c>
      <c r="R3" s="162"/>
      <c r="S3" s="161" t="s">
        <v>71</v>
      </c>
      <c r="T3" s="161"/>
      <c r="U3" s="161" t="s">
        <v>76</v>
      </c>
      <c r="V3" s="162"/>
      <c r="W3" s="161" t="s">
        <v>74</v>
      </c>
      <c r="Y3" s="161" t="s">
        <v>74</v>
      </c>
      <c r="Z3" s="163"/>
      <c r="AA3" s="163"/>
      <c r="AB3" s="163"/>
      <c r="AC3" s="161" t="s">
        <v>68</v>
      </c>
    </row>
    <row r="4" spans="1:29" ht="12">
      <c r="A4" s="18"/>
      <c r="B4" s="35"/>
      <c r="C4" s="51"/>
      <c r="D4" s="50"/>
      <c r="E4" s="36" t="s">
        <v>77</v>
      </c>
      <c r="F4" s="36"/>
      <c r="G4" s="36" t="s">
        <v>78</v>
      </c>
      <c r="H4" s="36"/>
      <c r="I4" s="36" t="s">
        <v>79</v>
      </c>
      <c r="J4" s="36"/>
      <c r="K4" s="36" t="s">
        <v>80</v>
      </c>
      <c r="L4" s="36"/>
      <c r="M4" s="36" t="s">
        <v>81</v>
      </c>
      <c r="N4" s="36"/>
      <c r="O4" s="36" t="s">
        <v>82</v>
      </c>
      <c r="P4" s="36"/>
      <c r="Q4" s="165" t="s">
        <v>83</v>
      </c>
      <c r="R4" s="36"/>
      <c r="S4" s="36" t="s">
        <v>84</v>
      </c>
      <c r="T4" s="36"/>
      <c r="U4" s="36"/>
      <c r="V4" s="36"/>
      <c r="W4" s="165" t="s">
        <v>85</v>
      </c>
      <c r="Y4" s="165" t="s">
        <v>86</v>
      </c>
      <c r="Z4" s="163"/>
      <c r="AA4" s="163"/>
      <c r="AB4" s="163"/>
      <c r="AC4" s="36"/>
    </row>
    <row r="5" spans="1:29" ht="5.25" customHeight="1">
      <c r="A5" s="18"/>
      <c r="B5" s="34"/>
      <c r="C5" s="54"/>
      <c r="D5" s="50"/>
      <c r="E5" s="54"/>
      <c r="F5" s="54"/>
      <c r="G5" s="54"/>
      <c r="H5" s="54"/>
      <c r="I5" s="54"/>
      <c r="J5" s="54"/>
      <c r="K5" s="54"/>
      <c r="L5" s="54"/>
      <c r="M5" s="54"/>
      <c r="N5" s="54"/>
      <c r="O5" s="54"/>
      <c r="P5" s="54"/>
      <c r="Q5" s="54"/>
      <c r="R5" s="54"/>
      <c r="S5" s="54"/>
      <c r="T5" s="54"/>
      <c r="U5" s="54"/>
      <c r="V5" s="54"/>
      <c r="W5" s="54"/>
      <c r="AC5" s="54"/>
    </row>
    <row r="6" spans="1:29" ht="13">
      <c r="A6" s="37">
        <v>2</v>
      </c>
      <c r="B6" s="39">
        <v>1990</v>
      </c>
      <c r="C6" s="120"/>
      <c r="D6" s="51" t="s">
        <v>87</v>
      </c>
      <c r="E6" s="43">
        <f>Control!$F$19</f>
        <v>0</v>
      </c>
      <c r="F6" s="51" t="s">
        <v>87</v>
      </c>
      <c r="G6" s="44">
        <f>Control!$D$103</f>
        <v>365</v>
      </c>
      <c r="H6" s="51" t="s">
        <v>87</v>
      </c>
      <c r="I6" s="58">
        <f>Control!$D$105</f>
        <v>1E-3</v>
      </c>
      <c r="J6" s="51" t="s">
        <v>87</v>
      </c>
      <c r="K6" s="46">
        <f>Control!$F$21</f>
        <v>0</v>
      </c>
      <c r="L6" s="51" t="s">
        <v>87</v>
      </c>
      <c r="M6" s="45">
        <f>Control!$F$20</f>
        <v>0</v>
      </c>
      <c r="N6" s="52" t="s">
        <v>88</v>
      </c>
      <c r="O6" s="66">
        <f>C6*$E$6*$G$6*$M$6*$K$6*$I$6</f>
        <v>0</v>
      </c>
      <c r="P6" s="51" t="s">
        <v>87</v>
      </c>
      <c r="Q6" s="70">
        <f>Control!$D$101</f>
        <v>28</v>
      </c>
      <c r="R6" s="51" t="s">
        <v>87</v>
      </c>
      <c r="S6" s="47">
        <f>Control!$D$104</f>
        <v>9.9999999999999995E-7</v>
      </c>
      <c r="T6" s="51" t="s">
        <v>87</v>
      </c>
      <c r="U6" s="46">
        <f>Control!$D$100</f>
        <v>0.27272727272727271</v>
      </c>
      <c r="V6" s="52" t="s">
        <v>88</v>
      </c>
      <c r="W6" s="48">
        <f>O6*Q$6*S$6*U$6</f>
        <v>0</v>
      </c>
      <c r="X6" s="52" t="s">
        <v>88</v>
      </c>
      <c r="Y6" s="48">
        <f>W6*C_CO2</f>
        <v>0</v>
      </c>
      <c r="AC6" s="42" t="e">
        <f>VLOOKUP(SelectedStateAbbr,Population!$A$6:$AF$57,$A6,FALSE)</f>
        <v>#N/A</v>
      </c>
    </row>
    <row r="7" spans="1:29" ht="11">
      <c r="A7" s="37"/>
      <c r="B7" s="40"/>
      <c r="C7" s="112"/>
      <c r="D7" s="50"/>
      <c r="E7" s="50"/>
      <c r="F7" s="50"/>
      <c r="G7" s="50"/>
      <c r="H7" s="50"/>
      <c r="I7" s="50"/>
      <c r="J7" s="50"/>
      <c r="K7" s="50"/>
      <c r="L7" s="50"/>
      <c r="M7" s="50"/>
      <c r="N7" s="50"/>
      <c r="O7" s="67"/>
      <c r="P7" s="50"/>
      <c r="Q7" s="50"/>
      <c r="R7" s="50"/>
      <c r="S7" s="50"/>
      <c r="T7" s="50"/>
      <c r="U7" s="82"/>
      <c r="V7" s="50"/>
      <c r="W7" s="50"/>
      <c r="X7" s="50"/>
      <c r="AC7" s="49" t="str">
        <f>""</f>
        <v/>
      </c>
    </row>
    <row r="8" spans="1:29" ht="13">
      <c r="A8" s="37">
        <v>3</v>
      </c>
      <c r="B8" s="39">
        <f>B6+1</f>
        <v>1991</v>
      </c>
      <c r="C8" s="120"/>
      <c r="D8" s="51" t="s">
        <v>87</v>
      </c>
      <c r="E8" s="43">
        <f>Control!$F$19</f>
        <v>0</v>
      </c>
      <c r="F8" s="51" t="s">
        <v>87</v>
      </c>
      <c r="G8" s="44">
        <f>Control!$D$103</f>
        <v>365</v>
      </c>
      <c r="H8" s="51" t="s">
        <v>87</v>
      </c>
      <c r="I8" s="58">
        <f>Control!$D$105</f>
        <v>1E-3</v>
      </c>
      <c r="J8" s="51" t="s">
        <v>87</v>
      </c>
      <c r="K8" s="46">
        <f>Control!$F$21</f>
        <v>0</v>
      </c>
      <c r="L8" s="51" t="s">
        <v>87</v>
      </c>
      <c r="M8" s="45">
        <f>Control!$F$20</f>
        <v>0</v>
      </c>
      <c r="N8" s="52" t="s">
        <v>88</v>
      </c>
      <c r="O8" s="66">
        <f>C8*$E$6*$G$6*$M$6*$K$6*$I$6</f>
        <v>0</v>
      </c>
      <c r="P8" s="51" t="s">
        <v>87</v>
      </c>
      <c r="Q8" s="70">
        <f>Control!$D$101</f>
        <v>28</v>
      </c>
      <c r="R8" s="51" t="s">
        <v>87</v>
      </c>
      <c r="S8" s="47">
        <f>Control!$D$104</f>
        <v>9.9999999999999995E-7</v>
      </c>
      <c r="T8" s="51" t="s">
        <v>87</v>
      </c>
      <c r="U8" s="46">
        <f>Control!$D$100</f>
        <v>0.27272727272727271</v>
      </c>
      <c r="V8" s="52" t="s">
        <v>88</v>
      </c>
      <c r="W8" s="48">
        <f>O8*Q$6*S$6*U$6</f>
        <v>0</v>
      </c>
      <c r="X8" s="52" t="s">
        <v>88</v>
      </c>
      <c r="Y8" s="48">
        <f>W8*C_CO2</f>
        <v>0</v>
      </c>
      <c r="AC8" s="42" t="e">
        <f>VLOOKUP(SelectedStateAbbr,Population!$A$6:$AF$57,$A8,FALSE)</f>
        <v>#N/A</v>
      </c>
    </row>
    <row r="9" spans="1:29" ht="11">
      <c r="A9" s="38"/>
      <c r="B9" s="41"/>
      <c r="C9" s="113"/>
      <c r="D9" s="50"/>
      <c r="E9" s="50"/>
      <c r="F9" s="50"/>
      <c r="G9" s="50"/>
      <c r="H9" s="50"/>
      <c r="I9" s="50"/>
      <c r="J9" s="50"/>
      <c r="K9" s="50"/>
      <c r="L9" s="50"/>
      <c r="M9" s="50"/>
      <c r="N9" s="50"/>
      <c r="O9" s="68"/>
      <c r="P9" s="50"/>
      <c r="Q9" s="50"/>
      <c r="R9" s="50"/>
      <c r="S9" s="50"/>
      <c r="T9" s="50"/>
      <c r="U9" s="82"/>
      <c r="V9" s="50"/>
      <c r="W9" s="50"/>
      <c r="X9" s="50"/>
      <c r="AC9" s="49" t="str">
        <f>""</f>
        <v/>
      </c>
    </row>
    <row r="10" spans="1:29" ht="13">
      <c r="A10" s="38">
        <v>4</v>
      </c>
      <c r="B10" s="39">
        <f>B8+1</f>
        <v>1992</v>
      </c>
      <c r="C10" s="120"/>
      <c r="D10" s="51" t="s">
        <v>87</v>
      </c>
      <c r="E10" s="43">
        <f>Control!$F$19</f>
        <v>0</v>
      </c>
      <c r="F10" s="51" t="s">
        <v>87</v>
      </c>
      <c r="G10" s="44">
        <f>Control!$D$103</f>
        <v>365</v>
      </c>
      <c r="H10" s="51" t="s">
        <v>87</v>
      </c>
      <c r="I10" s="58">
        <f>Control!$D$105</f>
        <v>1E-3</v>
      </c>
      <c r="J10" s="51" t="s">
        <v>87</v>
      </c>
      <c r="K10" s="46">
        <f>Control!$F$21</f>
        <v>0</v>
      </c>
      <c r="L10" s="51" t="s">
        <v>87</v>
      </c>
      <c r="M10" s="45">
        <f>Control!$F$20</f>
        <v>0</v>
      </c>
      <c r="N10" s="52" t="s">
        <v>88</v>
      </c>
      <c r="O10" s="66">
        <f>C10*$E$6*$G$6*$M$6*$K$6*$I$6</f>
        <v>0</v>
      </c>
      <c r="P10" s="51" t="s">
        <v>87</v>
      </c>
      <c r="Q10" s="70">
        <f>Control!$D$101</f>
        <v>28</v>
      </c>
      <c r="R10" s="51" t="s">
        <v>87</v>
      </c>
      <c r="S10" s="47">
        <f>Control!$D$104</f>
        <v>9.9999999999999995E-7</v>
      </c>
      <c r="T10" s="51" t="s">
        <v>87</v>
      </c>
      <c r="U10" s="46">
        <f>Control!$D$100</f>
        <v>0.27272727272727271</v>
      </c>
      <c r="V10" s="52" t="s">
        <v>88</v>
      </c>
      <c r="W10" s="48">
        <f>O10*Q$6*S$6*U$6</f>
        <v>0</v>
      </c>
      <c r="X10" s="52" t="s">
        <v>88</v>
      </c>
      <c r="Y10" s="48">
        <f>W10*C_CO2</f>
        <v>0</v>
      </c>
      <c r="AC10" s="42" t="e">
        <f>VLOOKUP(SelectedStateAbbr,Population!$A$6:$AF$57,$A10,FALSE)</f>
        <v>#N/A</v>
      </c>
    </row>
    <row r="11" spans="1:29" ht="11">
      <c r="A11" s="38"/>
      <c r="B11" s="40"/>
      <c r="C11" s="112"/>
      <c r="D11" s="50"/>
      <c r="E11" s="50"/>
      <c r="F11" s="50"/>
      <c r="G11" s="50"/>
      <c r="H11" s="50"/>
      <c r="I11" s="50"/>
      <c r="J11" s="50"/>
      <c r="K11" s="50"/>
      <c r="L11" s="50"/>
      <c r="M11" s="50"/>
      <c r="N11" s="50"/>
      <c r="O11" s="67"/>
      <c r="P11" s="50"/>
      <c r="Q11" s="50"/>
      <c r="R11" s="50"/>
      <c r="S11" s="50"/>
      <c r="T11" s="50"/>
      <c r="U11" s="82"/>
      <c r="V11" s="50"/>
      <c r="W11" s="50"/>
      <c r="X11" s="50"/>
      <c r="AC11" s="49" t="str">
        <f>""</f>
        <v/>
      </c>
    </row>
    <row r="12" spans="1:29" ht="13">
      <c r="A12" s="37">
        <v>5</v>
      </c>
      <c r="B12" s="39">
        <f>B10+1</f>
        <v>1993</v>
      </c>
      <c r="C12" s="120"/>
      <c r="D12" s="51" t="s">
        <v>87</v>
      </c>
      <c r="E12" s="43">
        <f>Control!$F$19</f>
        <v>0</v>
      </c>
      <c r="F12" s="51" t="s">
        <v>87</v>
      </c>
      <c r="G12" s="44">
        <f>Control!$D$103</f>
        <v>365</v>
      </c>
      <c r="H12" s="51" t="s">
        <v>87</v>
      </c>
      <c r="I12" s="58">
        <f>Control!$D$105</f>
        <v>1E-3</v>
      </c>
      <c r="J12" s="51" t="s">
        <v>87</v>
      </c>
      <c r="K12" s="46">
        <f>Control!$F$21</f>
        <v>0</v>
      </c>
      <c r="L12" s="51" t="s">
        <v>87</v>
      </c>
      <c r="M12" s="45">
        <f>Control!$F$20</f>
        <v>0</v>
      </c>
      <c r="N12" s="52" t="s">
        <v>88</v>
      </c>
      <c r="O12" s="66">
        <f>C12*$E$6*$G$6*$M$6*$K$6*$I$6</f>
        <v>0</v>
      </c>
      <c r="P12" s="51" t="s">
        <v>87</v>
      </c>
      <c r="Q12" s="70">
        <f>Control!$D$101</f>
        <v>28</v>
      </c>
      <c r="R12" s="51" t="s">
        <v>87</v>
      </c>
      <c r="S12" s="47">
        <f>Control!$D$104</f>
        <v>9.9999999999999995E-7</v>
      </c>
      <c r="T12" s="51" t="s">
        <v>87</v>
      </c>
      <c r="U12" s="46">
        <f>Control!$D$100</f>
        <v>0.27272727272727271</v>
      </c>
      <c r="V12" s="52" t="s">
        <v>88</v>
      </c>
      <c r="W12" s="48">
        <f>O12*Q$6*S$6*U$6</f>
        <v>0</v>
      </c>
      <c r="X12" s="52" t="s">
        <v>88</v>
      </c>
      <c r="Y12" s="48">
        <f>W12*C_CO2</f>
        <v>0</v>
      </c>
      <c r="AC12" s="42" t="e">
        <f>VLOOKUP(SelectedStateAbbr,Population!$A$6:$AF$57,$A12,FALSE)</f>
        <v>#N/A</v>
      </c>
    </row>
    <row r="13" spans="1:29" ht="11">
      <c r="A13" s="38"/>
      <c r="B13" s="40"/>
      <c r="C13" s="112"/>
      <c r="D13" s="50"/>
      <c r="E13" s="50"/>
      <c r="F13" s="50"/>
      <c r="G13" s="50"/>
      <c r="H13" s="50"/>
      <c r="I13" s="50"/>
      <c r="J13" s="50"/>
      <c r="K13" s="50"/>
      <c r="L13" s="50"/>
      <c r="M13" s="50"/>
      <c r="N13" s="50"/>
      <c r="O13" s="67"/>
      <c r="P13" s="50"/>
      <c r="Q13" s="50"/>
      <c r="R13" s="50"/>
      <c r="S13" s="50"/>
      <c r="T13" s="50"/>
      <c r="U13" s="82"/>
      <c r="V13" s="50"/>
      <c r="W13" s="50"/>
      <c r="X13" s="50"/>
      <c r="AC13" s="49" t="str">
        <f>""</f>
        <v/>
      </c>
    </row>
    <row r="14" spans="1:29" ht="13">
      <c r="A14" s="38">
        <v>6</v>
      </c>
      <c r="B14" s="39">
        <f>B12+1</f>
        <v>1994</v>
      </c>
      <c r="C14" s="120"/>
      <c r="D14" s="51" t="s">
        <v>87</v>
      </c>
      <c r="E14" s="43">
        <f>Control!$F$19</f>
        <v>0</v>
      </c>
      <c r="F14" s="51" t="s">
        <v>87</v>
      </c>
      <c r="G14" s="44">
        <f>Control!$D$103</f>
        <v>365</v>
      </c>
      <c r="H14" s="51" t="s">
        <v>87</v>
      </c>
      <c r="I14" s="58">
        <f>Control!$D$105</f>
        <v>1E-3</v>
      </c>
      <c r="J14" s="51" t="s">
        <v>87</v>
      </c>
      <c r="K14" s="46">
        <f>Control!$F$21</f>
        <v>0</v>
      </c>
      <c r="L14" s="51" t="s">
        <v>87</v>
      </c>
      <c r="M14" s="45">
        <f>Control!$F$20</f>
        <v>0</v>
      </c>
      <c r="N14" s="52" t="s">
        <v>88</v>
      </c>
      <c r="O14" s="66">
        <f>C14*$E$6*$G$6*$M$6*$K$6*$I$6</f>
        <v>0</v>
      </c>
      <c r="P14" s="51" t="s">
        <v>87</v>
      </c>
      <c r="Q14" s="70">
        <f>Control!$D$101</f>
        <v>28</v>
      </c>
      <c r="R14" s="51" t="s">
        <v>87</v>
      </c>
      <c r="S14" s="47">
        <f>Control!$D$104</f>
        <v>9.9999999999999995E-7</v>
      </c>
      <c r="T14" s="51" t="s">
        <v>87</v>
      </c>
      <c r="U14" s="46">
        <f>Control!$D$100</f>
        <v>0.27272727272727271</v>
      </c>
      <c r="V14" s="52" t="s">
        <v>88</v>
      </c>
      <c r="W14" s="48">
        <f>O14*Q$6*S$6*U$6</f>
        <v>0</v>
      </c>
      <c r="X14" s="52" t="s">
        <v>88</v>
      </c>
      <c r="Y14" s="48">
        <f>W14*C_CO2</f>
        <v>0</v>
      </c>
      <c r="AC14" s="42" t="e">
        <f>VLOOKUP(SelectedStateAbbr,Population!$A$6:$AF$57,$A14,FALSE)</f>
        <v>#N/A</v>
      </c>
    </row>
    <row r="15" spans="1:29" ht="11">
      <c r="A15" s="38"/>
      <c r="B15" s="40"/>
      <c r="C15" s="113"/>
      <c r="D15" s="50"/>
      <c r="E15" s="50"/>
      <c r="F15" s="50"/>
      <c r="G15" s="50"/>
      <c r="H15" s="50"/>
      <c r="I15" s="50"/>
      <c r="J15" s="50"/>
      <c r="K15" s="50"/>
      <c r="L15" s="50"/>
      <c r="M15" s="50"/>
      <c r="N15" s="50"/>
      <c r="O15" s="69"/>
      <c r="P15" s="50"/>
      <c r="Q15" s="50"/>
      <c r="R15" s="50"/>
      <c r="S15" s="50"/>
      <c r="T15" s="50"/>
      <c r="U15" s="82"/>
      <c r="V15" s="50"/>
      <c r="W15" s="50"/>
      <c r="X15" s="50"/>
      <c r="AC15" s="49" t="str">
        <f>""</f>
        <v/>
      </c>
    </row>
    <row r="16" spans="1:29" ht="13">
      <c r="A16" s="38">
        <v>7</v>
      </c>
      <c r="B16" s="39">
        <f>B14+1</f>
        <v>1995</v>
      </c>
      <c r="C16" s="120"/>
      <c r="D16" s="51" t="s">
        <v>87</v>
      </c>
      <c r="E16" s="43">
        <f>Control!$F$19</f>
        <v>0</v>
      </c>
      <c r="F16" s="51" t="s">
        <v>87</v>
      </c>
      <c r="G16" s="44">
        <f>Control!$D$103</f>
        <v>365</v>
      </c>
      <c r="H16" s="51" t="s">
        <v>87</v>
      </c>
      <c r="I16" s="58">
        <f>Control!$D$105</f>
        <v>1E-3</v>
      </c>
      <c r="J16" s="51" t="s">
        <v>87</v>
      </c>
      <c r="K16" s="46">
        <f>Control!$F$21</f>
        <v>0</v>
      </c>
      <c r="L16" s="51" t="s">
        <v>87</v>
      </c>
      <c r="M16" s="45">
        <f>Control!$F$20</f>
        <v>0</v>
      </c>
      <c r="N16" s="52" t="s">
        <v>88</v>
      </c>
      <c r="O16" s="66">
        <f>C16*$E$6*$G$6*$M$6*$K$6*$I$6</f>
        <v>0</v>
      </c>
      <c r="P16" s="51" t="s">
        <v>87</v>
      </c>
      <c r="Q16" s="70">
        <f>Control!$D$101</f>
        <v>28</v>
      </c>
      <c r="R16" s="51" t="s">
        <v>87</v>
      </c>
      <c r="S16" s="47">
        <f>Control!$D$104</f>
        <v>9.9999999999999995E-7</v>
      </c>
      <c r="T16" s="51" t="s">
        <v>87</v>
      </c>
      <c r="U16" s="46">
        <f>Control!$D$100</f>
        <v>0.27272727272727271</v>
      </c>
      <c r="V16" s="52" t="s">
        <v>88</v>
      </c>
      <c r="W16" s="48">
        <f>O16*Q$6*S$6*U$6</f>
        <v>0</v>
      </c>
      <c r="X16" s="52" t="s">
        <v>88</v>
      </c>
      <c r="Y16" s="48">
        <f>W16*C_CO2</f>
        <v>0</v>
      </c>
      <c r="AC16" s="42" t="e">
        <f>VLOOKUP(SelectedStateAbbr,Population!$A$6:$AF$57,$A16,FALSE)</f>
        <v>#N/A</v>
      </c>
    </row>
    <row r="17" spans="1:29" ht="11">
      <c r="A17" s="38"/>
      <c r="B17" s="40"/>
      <c r="C17" s="113"/>
      <c r="D17" s="50"/>
      <c r="E17" s="50"/>
      <c r="F17" s="50"/>
      <c r="G17" s="50"/>
      <c r="H17" s="50"/>
      <c r="I17" s="50"/>
      <c r="J17" s="50"/>
      <c r="K17" s="50"/>
      <c r="L17" s="50"/>
      <c r="M17" s="50"/>
      <c r="N17" s="50"/>
      <c r="O17" s="69"/>
      <c r="P17" s="50"/>
      <c r="Q17" s="50"/>
      <c r="R17" s="50"/>
      <c r="S17" s="50"/>
      <c r="T17" s="50"/>
      <c r="U17" s="82"/>
      <c r="V17" s="50"/>
      <c r="W17" s="50"/>
      <c r="X17" s="50"/>
      <c r="AC17" s="49" t="str">
        <f>""</f>
        <v/>
      </c>
    </row>
    <row r="18" spans="1:29" ht="13">
      <c r="A18" s="38">
        <v>8</v>
      </c>
      <c r="B18" s="39">
        <f>B16+1</f>
        <v>1996</v>
      </c>
      <c r="C18" s="120"/>
      <c r="D18" s="51" t="s">
        <v>87</v>
      </c>
      <c r="E18" s="43">
        <f>Control!$F$19</f>
        <v>0</v>
      </c>
      <c r="F18" s="51" t="s">
        <v>87</v>
      </c>
      <c r="G18" s="44">
        <f>Control!$D$103</f>
        <v>365</v>
      </c>
      <c r="H18" s="51" t="s">
        <v>87</v>
      </c>
      <c r="I18" s="58">
        <f>Control!$D$105</f>
        <v>1E-3</v>
      </c>
      <c r="J18" s="51" t="s">
        <v>87</v>
      </c>
      <c r="K18" s="46">
        <f>Control!$F$21</f>
        <v>0</v>
      </c>
      <c r="L18" s="51" t="s">
        <v>87</v>
      </c>
      <c r="M18" s="45">
        <f>Control!$F$20</f>
        <v>0</v>
      </c>
      <c r="N18" s="52" t="s">
        <v>88</v>
      </c>
      <c r="O18" s="66">
        <f>C18*$E$6*$G$6*$M$6*$K$6*$I$6</f>
        <v>0</v>
      </c>
      <c r="P18" s="51" t="s">
        <v>87</v>
      </c>
      <c r="Q18" s="70">
        <f>Control!$D$101</f>
        <v>28</v>
      </c>
      <c r="R18" s="51" t="s">
        <v>87</v>
      </c>
      <c r="S18" s="47">
        <f>Control!$D$104</f>
        <v>9.9999999999999995E-7</v>
      </c>
      <c r="T18" s="51" t="s">
        <v>87</v>
      </c>
      <c r="U18" s="46">
        <f>Control!$D$100</f>
        <v>0.27272727272727271</v>
      </c>
      <c r="V18" s="52" t="s">
        <v>88</v>
      </c>
      <c r="W18" s="48">
        <f>O18*Q$6*S$6*U$6</f>
        <v>0</v>
      </c>
      <c r="X18" s="52" t="s">
        <v>88</v>
      </c>
      <c r="Y18" s="48">
        <f>W18*C_CO2</f>
        <v>0</v>
      </c>
      <c r="AC18" s="42" t="e">
        <f>VLOOKUP(SelectedStateAbbr,Population!$A$6:$AF$57,$A18,FALSE)</f>
        <v>#N/A</v>
      </c>
    </row>
    <row r="19" spans="1:29" ht="11">
      <c r="A19" s="38"/>
      <c r="B19" s="40"/>
      <c r="C19" s="113"/>
      <c r="D19" s="50"/>
      <c r="E19" s="50"/>
      <c r="F19" s="50"/>
      <c r="G19" s="50"/>
      <c r="H19" s="50"/>
      <c r="I19" s="50"/>
      <c r="J19" s="50"/>
      <c r="K19" s="50"/>
      <c r="L19" s="50"/>
      <c r="M19" s="50"/>
      <c r="N19" s="50"/>
      <c r="O19" s="69"/>
      <c r="P19" s="50"/>
      <c r="Q19" s="50"/>
      <c r="R19" s="50"/>
      <c r="S19" s="50"/>
      <c r="T19" s="50"/>
      <c r="U19" s="82"/>
      <c r="V19" s="50"/>
      <c r="W19" s="50"/>
      <c r="X19" s="50"/>
      <c r="AC19" s="49" t="str">
        <f>""</f>
        <v/>
      </c>
    </row>
    <row r="20" spans="1:29" ht="13">
      <c r="A20" s="38">
        <v>9</v>
      </c>
      <c r="B20" s="39">
        <f>B18+1</f>
        <v>1997</v>
      </c>
      <c r="C20" s="120"/>
      <c r="D20" s="51" t="s">
        <v>87</v>
      </c>
      <c r="E20" s="43">
        <f>Control!$F$19</f>
        <v>0</v>
      </c>
      <c r="F20" s="51" t="s">
        <v>87</v>
      </c>
      <c r="G20" s="44">
        <f>Control!$D$103</f>
        <v>365</v>
      </c>
      <c r="H20" s="51" t="s">
        <v>87</v>
      </c>
      <c r="I20" s="58">
        <f>Control!$D$105</f>
        <v>1E-3</v>
      </c>
      <c r="J20" s="51" t="s">
        <v>87</v>
      </c>
      <c r="K20" s="46">
        <f>Control!$F$21</f>
        <v>0</v>
      </c>
      <c r="L20" s="51" t="s">
        <v>87</v>
      </c>
      <c r="M20" s="45">
        <f>Control!$F$20</f>
        <v>0</v>
      </c>
      <c r="N20" s="52" t="s">
        <v>88</v>
      </c>
      <c r="O20" s="66">
        <f>C20*$E$6*$G$6*$M$6*$K$6*$I$6</f>
        <v>0</v>
      </c>
      <c r="P20" s="51" t="s">
        <v>87</v>
      </c>
      <c r="Q20" s="70">
        <f>Control!$D$101</f>
        <v>28</v>
      </c>
      <c r="R20" s="51" t="s">
        <v>87</v>
      </c>
      <c r="S20" s="47">
        <f>Control!$D$104</f>
        <v>9.9999999999999995E-7</v>
      </c>
      <c r="T20" s="51" t="s">
        <v>87</v>
      </c>
      <c r="U20" s="46">
        <f>Control!$D$100</f>
        <v>0.27272727272727271</v>
      </c>
      <c r="V20" s="52" t="s">
        <v>88</v>
      </c>
      <c r="W20" s="48">
        <f>O20*Q$6*S$6*U$6</f>
        <v>0</v>
      </c>
      <c r="X20" s="52" t="s">
        <v>88</v>
      </c>
      <c r="Y20" s="48">
        <f>W20*C_CO2</f>
        <v>0</v>
      </c>
      <c r="AC20" s="42" t="e">
        <f>VLOOKUP(SelectedStateAbbr,Population!$A$6:$AF$57,$A20,FALSE)</f>
        <v>#N/A</v>
      </c>
    </row>
    <row r="21" spans="1:29" ht="11">
      <c r="A21" s="38"/>
      <c r="B21" s="40"/>
      <c r="C21" s="113"/>
      <c r="D21" s="50"/>
      <c r="E21" s="50"/>
      <c r="F21" s="50"/>
      <c r="G21" s="50"/>
      <c r="H21" s="50"/>
      <c r="I21" s="50"/>
      <c r="J21" s="50"/>
      <c r="K21" s="50"/>
      <c r="L21" s="50"/>
      <c r="M21" s="50"/>
      <c r="N21" s="50"/>
      <c r="O21" s="69"/>
      <c r="P21" s="50"/>
      <c r="Q21" s="50"/>
      <c r="R21" s="50"/>
      <c r="S21" s="50"/>
      <c r="T21" s="50"/>
      <c r="U21" s="82"/>
      <c r="V21" s="50"/>
      <c r="W21" s="50"/>
      <c r="X21" s="50"/>
      <c r="AC21" s="49" t="str">
        <f>""</f>
        <v/>
      </c>
    </row>
    <row r="22" spans="1:29" ht="13">
      <c r="A22" s="38">
        <v>10</v>
      </c>
      <c r="B22" s="39">
        <f>B20+1</f>
        <v>1998</v>
      </c>
      <c r="C22" s="120"/>
      <c r="D22" s="51" t="s">
        <v>87</v>
      </c>
      <c r="E22" s="43">
        <f>Control!$F$19</f>
        <v>0</v>
      </c>
      <c r="F22" s="51" t="s">
        <v>87</v>
      </c>
      <c r="G22" s="44">
        <f>Control!$D$103</f>
        <v>365</v>
      </c>
      <c r="H22" s="51" t="s">
        <v>87</v>
      </c>
      <c r="I22" s="58">
        <f>Control!$D$105</f>
        <v>1E-3</v>
      </c>
      <c r="J22" s="51" t="s">
        <v>87</v>
      </c>
      <c r="K22" s="46">
        <f>Control!$F$21</f>
        <v>0</v>
      </c>
      <c r="L22" s="51" t="s">
        <v>87</v>
      </c>
      <c r="M22" s="45">
        <f>Control!$F$20</f>
        <v>0</v>
      </c>
      <c r="N22" s="52" t="s">
        <v>88</v>
      </c>
      <c r="O22" s="66">
        <f>C22*$E$6*$G$6*$M$6*$K$6*$I$6</f>
        <v>0</v>
      </c>
      <c r="P22" s="51" t="s">
        <v>87</v>
      </c>
      <c r="Q22" s="70">
        <f>Control!$D$101</f>
        <v>28</v>
      </c>
      <c r="R22" s="51" t="s">
        <v>87</v>
      </c>
      <c r="S22" s="47">
        <f>Control!$D$104</f>
        <v>9.9999999999999995E-7</v>
      </c>
      <c r="T22" s="51" t="s">
        <v>87</v>
      </c>
      <c r="U22" s="46">
        <f>Control!$D$100</f>
        <v>0.27272727272727271</v>
      </c>
      <c r="V22" s="52" t="s">
        <v>88</v>
      </c>
      <c r="W22" s="48">
        <f>O22*Q$6*S$6*U$6</f>
        <v>0</v>
      </c>
      <c r="X22" s="52" t="s">
        <v>88</v>
      </c>
      <c r="Y22" s="48">
        <f>W22*C_CO2</f>
        <v>0</v>
      </c>
      <c r="AC22" s="42" t="e">
        <f>VLOOKUP(SelectedStateAbbr,Population!$A$6:$AF$57,$A22,FALSE)</f>
        <v>#N/A</v>
      </c>
    </row>
    <row r="23" spans="1:29" ht="11">
      <c r="A23" s="38"/>
      <c r="B23" s="40"/>
      <c r="C23" s="113"/>
      <c r="D23" s="50"/>
      <c r="E23" s="50"/>
      <c r="F23" s="50"/>
      <c r="G23" s="50"/>
      <c r="H23" s="50"/>
      <c r="I23" s="50"/>
      <c r="J23" s="50"/>
      <c r="K23" s="50"/>
      <c r="L23" s="50"/>
      <c r="M23" s="50"/>
      <c r="N23" s="50"/>
      <c r="O23" s="69"/>
      <c r="P23" s="50"/>
      <c r="Q23" s="50"/>
      <c r="R23" s="50"/>
      <c r="S23" s="50"/>
      <c r="T23" s="50"/>
      <c r="U23" s="82"/>
      <c r="V23" s="50"/>
      <c r="W23" s="50"/>
      <c r="X23" s="50"/>
      <c r="AC23" s="49" t="str">
        <f>""</f>
        <v/>
      </c>
    </row>
    <row r="24" spans="1:29" ht="13">
      <c r="A24" s="38">
        <v>11</v>
      </c>
      <c r="B24" s="39">
        <f>B22+1</f>
        <v>1999</v>
      </c>
      <c r="C24" s="120"/>
      <c r="D24" s="51" t="s">
        <v>87</v>
      </c>
      <c r="E24" s="43">
        <f>Control!$F$19</f>
        <v>0</v>
      </c>
      <c r="F24" s="51" t="s">
        <v>87</v>
      </c>
      <c r="G24" s="44">
        <f>Control!$D$103</f>
        <v>365</v>
      </c>
      <c r="H24" s="51" t="s">
        <v>87</v>
      </c>
      <c r="I24" s="58">
        <f>Control!$D$105</f>
        <v>1E-3</v>
      </c>
      <c r="J24" s="51" t="s">
        <v>87</v>
      </c>
      <c r="K24" s="46">
        <f>Control!$F$21</f>
        <v>0</v>
      </c>
      <c r="L24" s="51" t="s">
        <v>87</v>
      </c>
      <c r="M24" s="45">
        <f>Control!$F$20</f>
        <v>0</v>
      </c>
      <c r="N24" s="52" t="s">
        <v>88</v>
      </c>
      <c r="O24" s="66">
        <f>C24*$E$6*$G$6*$M$6*$K$6*$I$6</f>
        <v>0</v>
      </c>
      <c r="P24" s="51" t="s">
        <v>87</v>
      </c>
      <c r="Q24" s="70">
        <f>Control!$D$101</f>
        <v>28</v>
      </c>
      <c r="R24" s="51" t="s">
        <v>87</v>
      </c>
      <c r="S24" s="47">
        <f>Control!$D$104</f>
        <v>9.9999999999999995E-7</v>
      </c>
      <c r="T24" s="51" t="s">
        <v>87</v>
      </c>
      <c r="U24" s="46">
        <f>Control!$D$100</f>
        <v>0.27272727272727271</v>
      </c>
      <c r="V24" s="52" t="s">
        <v>88</v>
      </c>
      <c r="W24" s="48">
        <f>O24*Q$6*S$6*U$6</f>
        <v>0</v>
      </c>
      <c r="X24" s="52" t="s">
        <v>88</v>
      </c>
      <c r="Y24" s="48">
        <f>W24*C_CO2</f>
        <v>0</v>
      </c>
      <c r="AC24" s="42" t="e">
        <f>VLOOKUP(SelectedStateAbbr,Population!$A$6:$AF$57,$A24,FALSE)</f>
        <v>#N/A</v>
      </c>
    </row>
    <row r="25" spans="1:29" ht="11">
      <c r="A25" s="38"/>
      <c r="B25" s="40"/>
      <c r="C25" s="113"/>
      <c r="D25" s="50"/>
      <c r="E25" s="50"/>
      <c r="F25" s="50"/>
      <c r="G25" s="50"/>
      <c r="H25" s="50"/>
      <c r="I25" s="50"/>
      <c r="J25" s="50"/>
      <c r="K25" s="50"/>
      <c r="L25" s="50"/>
      <c r="M25" s="50"/>
      <c r="N25" s="50"/>
      <c r="O25" s="69"/>
      <c r="P25" s="50"/>
      <c r="Q25" s="50"/>
      <c r="R25" s="50"/>
      <c r="S25" s="50"/>
      <c r="T25" s="50"/>
      <c r="U25" s="82"/>
      <c r="V25" s="50"/>
      <c r="W25" s="50"/>
      <c r="X25" s="50"/>
      <c r="AC25" s="49" t="str">
        <f>""</f>
        <v/>
      </c>
    </row>
    <row r="26" spans="1:29" ht="13">
      <c r="A26" s="38">
        <v>12</v>
      </c>
      <c r="B26" s="39">
        <f>B24+1</f>
        <v>2000</v>
      </c>
      <c r="C26" s="120"/>
      <c r="D26" s="51" t="s">
        <v>87</v>
      </c>
      <c r="E26" s="43">
        <f>Control!$F$19</f>
        <v>0</v>
      </c>
      <c r="F26" s="51" t="s">
        <v>87</v>
      </c>
      <c r="G26" s="44">
        <f>Control!$D$103</f>
        <v>365</v>
      </c>
      <c r="H26" s="51" t="s">
        <v>87</v>
      </c>
      <c r="I26" s="58">
        <f>Control!$D$105</f>
        <v>1E-3</v>
      </c>
      <c r="J26" s="51" t="s">
        <v>87</v>
      </c>
      <c r="K26" s="46">
        <f>Control!$F$21</f>
        <v>0</v>
      </c>
      <c r="L26" s="51" t="s">
        <v>87</v>
      </c>
      <c r="M26" s="45">
        <f>Control!$F$20</f>
        <v>0</v>
      </c>
      <c r="N26" s="52" t="s">
        <v>88</v>
      </c>
      <c r="O26" s="66">
        <f>C26*$E$6*$G$6*$M$6*$K$6*$I$6</f>
        <v>0</v>
      </c>
      <c r="P26" s="51" t="s">
        <v>87</v>
      </c>
      <c r="Q26" s="70">
        <f>Control!$D$101</f>
        <v>28</v>
      </c>
      <c r="R26" s="51" t="s">
        <v>87</v>
      </c>
      <c r="S26" s="47">
        <f>Control!$D$104</f>
        <v>9.9999999999999995E-7</v>
      </c>
      <c r="T26" s="51" t="s">
        <v>87</v>
      </c>
      <c r="U26" s="46">
        <f>Control!$D$100</f>
        <v>0.27272727272727271</v>
      </c>
      <c r="V26" s="52" t="s">
        <v>88</v>
      </c>
      <c r="W26" s="48">
        <f>O26*Q$6*S$6*U$6</f>
        <v>0</v>
      </c>
      <c r="X26" s="52" t="s">
        <v>88</v>
      </c>
      <c r="Y26" s="48">
        <f>W26*C_CO2</f>
        <v>0</v>
      </c>
      <c r="AC26" s="42" t="e">
        <f>VLOOKUP(SelectedStateAbbr,Population!$A$6:$AF$57,$A26,FALSE)</f>
        <v>#N/A</v>
      </c>
    </row>
    <row r="27" spans="1:29" ht="11">
      <c r="A27" s="38"/>
      <c r="B27" s="40"/>
      <c r="C27" s="113"/>
      <c r="D27" s="50"/>
      <c r="E27" s="50"/>
      <c r="F27" s="50"/>
      <c r="G27" s="50"/>
      <c r="H27" s="50"/>
      <c r="I27" s="50"/>
      <c r="J27" s="50"/>
      <c r="K27" s="50"/>
      <c r="L27" s="50"/>
      <c r="M27" s="50"/>
      <c r="N27" s="50"/>
      <c r="O27" s="69"/>
      <c r="P27" s="50"/>
      <c r="Q27" s="50"/>
      <c r="R27" s="50"/>
      <c r="S27" s="50"/>
      <c r="T27" s="50"/>
      <c r="U27" s="82"/>
      <c r="V27" s="50"/>
      <c r="W27" s="50"/>
      <c r="X27" s="50"/>
      <c r="AC27" s="49" t="str">
        <f>""</f>
        <v/>
      </c>
    </row>
    <row r="28" spans="1:29" ht="13">
      <c r="A28" s="38">
        <v>13</v>
      </c>
      <c r="B28" s="39">
        <f>B26+1</f>
        <v>2001</v>
      </c>
      <c r="C28" s="120"/>
      <c r="D28" s="51" t="s">
        <v>87</v>
      </c>
      <c r="E28" s="43">
        <f>Control!$F$19</f>
        <v>0</v>
      </c>
      <c r="F28" s="51" t="s">
        <v>87</v>
      </c>
      <c r="G28" s="44">
        <f>Control!$D$103</f>
        <v>365</v>
      </c>
      <c r="H28" s="51" t="s">
        <v>87</v>
      </c>
      <c r="I28" s="58">
        <f>Control!$D$105</f>
        <v>1E-3</v>
      </c>
      <c r="J28" s="51" t="s">
        <v>87</v>
      </c>
      <c r="K28" s="46">
        <f>Control!$F$21</f>
        <v>0</v>
      </c>
      <c r="L28" s="51" t="s">
        <v>87</v>
      </c>
      <c r="M28" s="45">
        <f>Control!$F$20</f>
        <v>0</v>
      </c>
      <c r="N28" s="52" t="s">
        <v>88</v>
      </c>
      <c r="O28" s="66">
        <f>C28*$E$6*$G$6*$M$6*$K$6*$I$6</f>
        <v>0</v>
      </c>
      <c r="P28" s="51" t="s">
        <v>87</v>
      </c>
      <c r="Q28" s="70">
        <f>Control!$D$101</f>
        <v>28</v>
      </c>
      <c r="R28" s="51" t="s">
        <v>87</v>
      </c>
      <c r="S28" s="47">
        <f>Control!$D$104</f>
        <v>9.9999999999999995E-7</v>
      </c>
      <c r="T28" s="51" t="s">
        <v>87</v>
      </c>
      <c r="U28" s="46">
        <f>Control!$D$100</f>
        <v>0.27272727272727271</v>
      </c>
      <c r="V28" s="52" t="s">
        <v>88</v>
      </c>
      <c r="W28" s="48">
        <f>O28*Q$6*S$6*U$6</f>
        <v>0</v>
      </c>
      <c r="X28" s="52" t="s">
        <v>88</v>
      </c>
      <c r="Y28" s="48">
        <f>W28*C_CO2</f>
        <v>0</v>
      </c>
      <c r="AC28" s="42" t="e">
        <f>VLOOKUP(SelectedStateAbbr,Population!$A$6:$AF$57,$A28,FALSE)</f>
        <v>#N/A</v>
      </c>
    </row>
    <row r="29" spans="1:29" ht="11">
      <c r="A29" s="38"/>
      <c r="B29" s="40"/>
      <c r="C29" s="113"/>
      <c r="D29" s="50"/>
      <c r="E29" s="50"/>
      <c r="F29" s="50"/>
      <c r="G29" s="50"/>
      <c r="H29" s="50"/>
      <c r="I29" s="50"/>
      <c r="J29" s="50"/>
      <c r="K29" s="50"/>
      <c r="L29" s="50"/>
      <c r="M29" s="50"/>
      <c r="N29" s="50"/>
      <c r="O29" s="69"/>
      <c r="P29" s="50"/>
      <c r="Q29" s="50"/>
      <c r="R29" s="50"/>
      <c r="S29" s="50"/>
      <c r="T29" s="50"/>
      <c r="U29" s="82"/>
      <c r="V29" s="50"/>
      <c r="W29" s="50"/>
      <c r="X29" s="50"/>
      <c r="AC29" s="49" t="str">
        <f>""</f>
        <v/>
      </c>
    </row>
    <row r="30" spans="1:29" ht="13">
      <c r="A30" s="38">
        <v>14</v>
      </c>
      <c r="B30" s="39">
        <f>B28+1</f>
        <v>2002</v>
      </c>
      <c r="C30" s="120"/>
      <c r="D30" s="51" t="s">
        <v>87</v>
      </c>
      <c r="E30" s="43">
        <f>Control!$F$19</f>
        <v>0</v>
      </c>
      <c r="F30" s="51" t="s">
        <v>87</v>
      </c>
      <c r="G30" s="44">
        <f>Control!$D$103</f>
        <v>365</v>
      </c>
      <c r="H30" s="51" t="s">
        <v>87</v>
      </c>
      <c r="I30" s="58">
        <f>Control!$D$105</f>
        <v>1E-3</v>
      </c>
      <c r="J30" s="51" t="s">
        <v>87</v>
      </c>
      <c r="K30" s="46">
        <f>Control!$F$21</f>
        <v>0</v>
      </c>
      <c r="L30" s="51" t="s">
        <v>87</v>
      </c>
      <c r="M30" s="45">
        <f>Control!$F$20</f>
        <v>0</v>
      </c>
      <c r="N30" s="52" t="s">
        <v>88</v>
      </c>
      <c r="O30" s="66">
        <f>C30*$E$6*$G$6*$M$6*$K$6*$I$6</f>
        <v>0</v>
      </c>
      <c r="P30" s="51" t="s">
        <v>87</v>
      </c>
      <c r="Q30" s="70">
        <f>Control!$D$101</f>
        <v>28</v>
      </c>
      <c r="R30" s="51" t="s">
        <v>87</v>
      </c>
      <c r="S30" s="47">
        <f>Control!$D$104</f>
        <v>9.9999999999999995E-7</v>
      </c>
      <c r="T30" s="51" t="s">
        <v>87</v>
      </c>
      <c r="U30" s="46">
        <f>Control!$D$100</f>
        <v>0.27272727272727271</v>
      </c>
      <c r="V30" s="52" t="s">
        <v>88</v>
      </c>
      <c r="W30" s="48">
        <f>O30*Q$6*S$6*U$6</f>
        <v>0</v>
      </c>
      <c r="X30" s="52" t="s">
        <v>88</v>
      </c>
      <c r="Y30" s="48">
        <f>W30*C_CO2</f>
        <v>0</v>
      </c>
      <c r="AC30" s="42" t="e">
        <f>VLOOKUP(SelectedStateAbbr,Population!$A$6:$AF$57,$A30,FALSE)</f>
        <v>#N/A</v>
      </c>
    </row>
    <row r="31" spans="1:29" ht="11">
      <c r="A31" s="38"/>
      <c r="B31" s="40"/>
      <c r="C31" s="113"/>
      <c r="D31" s="50"/>
      <c r="E31" s="50"/>
      <c r="F31" s="50"/>
      <c r="G31" s="50"/>
      <c r="H31" s="50"/>
      <c r="I31" s="50"/>
      <c r="J31" s="50"/>
      <c r="K31" s="50"/>
      <c r="L31" s="50"/>
      <c r="M31" s="50"/>
      <c r="N31" s="50"/>
      <c r="O31" s="69"/>
      <c r="P31" s="50"/>
      <c r="Q31" s="50"/>
      <c r="R31" s="50"/>
      <c r="S31" s="50"/>
      <c r="T31" s="50"/>
      <c r="U31" s="82"/>
      <c r="V31" s="50"/>
      <c r="W31" s="50"/>
      <c r="X31" s="50"/>
      <c r="AC31" s="49" t="str">
        <f>""</f>
        <v/>
      </c>
    </row>
    <row r="32" spans="1:29" ht="13">
      <c r="A32" s="38">
        <v>15</v>
      </c>
      <c r="B32" s="39">
        <f>B30+1</f>
        <v>2003</v>
      </c>
      <c r="C32" s="120"/>
      <c r="D32" s="51" t="s">
        <v>87</v>
      </c>
      <c r="E32" s="43">
        <f>Control!$F$19</f>
        <v>0</v>
      </c>
      <c r="F32" s="51" t="s">
        <v>87</v>
      </c>
      <c r="G32" s="44">
        <f>Control!$D$103</f>
        <v>365</v>
      </c>
      <c r="H32" s="51" t="s">
        <v>87</v>
      </c>
      <c r="I32" s="58">
        <f>Control!$D$105</f>
        <v>1E-3</v>
      </c>
      <c r="J32" s="51" t="s">
        <v>87</v>
      </c>
      <c r="K32" s="46">
        <f>Control!$F$21</f>
        <v>0</v>
      </c>
      <c r="L32" s="51" t="s">
        <v>87</v>
      </c>
      <c r="M32" s="45">
        <f>Control!$F$20</f>
        <v>0</v>
      </c>
      <c r="N32" s="52" t="s">
        <v>88</v>
      </c>
      <c r="O32" s="66">
        <f>C32*$E$6*$G$6*$M$6*$K$6*$I$6</f>
        <v>0</v>
      </c>
      <c r="P32" s="51" t="s">
        <v>87</v>
      </c>
      <c r="Q32" s="70">
        <f>Control!$D$101</f>
        <v>28</v>
      </c>
      <c r="R32" s="51" t="s">
        <v>87</v>
      </c>
      <c r="S32" s="47">
        <f>Control!$D$104</f>
        <v>9.9999999999999995E-7</v>
      </c>
      <c r="T32" s="51" t="s">
        <v>87</v>
      </c>
      <c r="U32" s="46">
        <f>Control!$D$100</f>
        <v>0.27272727272727271</v>
      </c>
      <c r="V32" s="52" t="s">
        <v>88</v>
      </c>
      <c r="W32" s="48">
        <f>O32*Q$6*S$6*U$6</f>
        <v>0</v>
      </c>
      <c r="X32" s="52" t="s">
        <v>88</v>
      </c>
      <c r="Y32" s="48">
        <f>W32*C_CO2</f>
        <v>0</v>
      </c>
      <c r="AC32" s="42" t="e">
        <f>VLOOKUP(SelectedStateAbbr,Population!$A$6:$AF$57,$A32,FALSE)</f>
        <v>#N/A</v>
      </c>
    </row>
    <row r="33" spans="1:29" ht="11">
      <c r="A33" s="38"/>
      <c r="B33" s="40"/>
      <c r="C33" s="113"/>
      <c r="D33" s="50"/>
      <c r="E33" s="50"/>
      <c r="F33" s="50"/>
      <c r="G33" s="50"/>
      <c r="H33" s="50"/>
      <c r="I33" s="50"/>
      <c r="J33" s="50"/>
      <c r="K33" s="50"/>
      <c r="L33" s="50"/>
      <c r="M33" s="50"/>
      <c r="N33" s="50"/>
      <c r="O33" s="69"/>
      <c r="P33" s="50"/>
      <c r="Q33" s="50"/>
      <c r="R33" s="50"/>
      <c r="S33" s="50"/>
      <c r="T33" s="50"/>
      <c r="U33" s="82"/>
      <c r="V33" s="50"/>
      <c r="W33" s="50"/>
      <c r="X33" s="50"/>
      <c r="AC33" s="49" t="str">
        <f>""</f>
        <v/>
      </c>
    </row>
    <row r="34" spans="1:29" ht="13">
      <c r="A34" s="38">
        <v>16</v>
      </c>
      <c r="B34" s="39">
        <f>B32+1</f>
        <v>2004</v>
      </c>
      <c r="C34" s="120"/>
      <c r="D34" s="51" t="s">
        <v>87</v>
      </c>
      <c r="E34" s="43">
        <f>Control!$F$19</f>
        <v>0</v>
      </c>
      <c r="F34" s="51" t="s">
        <v>87</v>
      </c>
      <c r="G34" s="44">
        <f>Control!$D$103</f>
        <v>365</v>
      </c>
      <c r="H34" s="51" t="s">
        <v>87</v>
      </c>
      <c r="I34" s="58">
        <f>Control!$D$105</f>
        <v>1E-3</v>
      </c>
      <c r="J34" s="51" t="s">
        <v>87</v>
      </c>
      <c r="K34" s="46">
        <f>Control!$F$21</f>
        <v>0</v>
      </c>
      <c r="L34" s="51" t="s">
        <v>87</v>
      </c>
      <c r="M34" s="45">
        <f>Control!$F$20</f>
        <v>0</v>
      </c>
      <c r="N34" s="52" t="s">
        <v>88</v>
      </c>
      <c r="O34" s="66">
        <f>C34*$E$6*$G$6*$M$6*$K$6*$I$6</f>
        <v>0</v>
      </c>
      <c r="P34" s="51" t="s">
        <v>87</v>
      </c>
      <c r="Q34" s="70">
        <f>Control!$D$101</f>
        <v>28</v>
      </c>
      <c r="R34" s="51" t="s">
        <v>87</v>
      </c>
      <c r="S34" s="47">
        <f>Control!$D$104</f>
        <v>9.9999999999999995E-7</v>
      </c>
      <c r="T34" s="51" t="s">
        <v>87</v>
      </c>
      <c r="U34" s="46">
        <f>Control!$D$100</f>
        <v>0.27272727272727271</v>
      </c>
      <c r="V34" s="52" t="s">
        <v>88</v>
      </c>
      <c r="W34" s="48">
        <f>O34*Q$6*S$6*U$6</f>
        <v>0</v>
      </c>
      <c r="X34" s="52" t="s">
        <v>88</v>
      </c>
      <c r="Y34" s="48">
        <f>W34*C_CO2</f>
        <v>0</v>
      </c>
      <c r="AC34" s="42" t="e">
        <f>VLOOKUP(SelectedStateAbbr,Population!$A$6:$AF$57,$A34,FALSE)</f>
        <v>#N/A</v>
      </c>
    </row>
    <row r="35" spans="1:29" ht="11">
      <c r="A35" s="38"/>
      <c r="B35" s="40"/>
      <c r="C35" s="113"/>
      <c r="D35" s="50"/>
      <c r="E35" s="50"/>
      <c r="F35" s="50"/>
      <c r="G35" s="50"/>
      <c r="H35" s="50"/>
      <c r="I35" s="50"/>
      <c r="J35" s="50"/>
      <c r="K35" s="50"/>
      <c r="L35" s="50"/>
      <c r="M35" s="50"/>
      <c r="N35" s="50"/>
      <c r="O35" s="69"/>
      <c r="P35" s="50"/>
      <c r="Q35" s="50"/>
      <c r="R35" s="50"/>
      <c r="S35" s="50"/>
      <c r="T35" s="50"/>
      <c r="U35" s="82"/>
      <c r="V35" s="50"/>
      <c r="W35" s="50"/>
      <c r="X35" s="50"/>
      <c r="AC35" s="49" t="str">
        <f>""</f>
        <v/>
      </c>
    </row>
    <row r="36" spans="1:29" ht="13">
      <c r="A36" s="38">
        <v>17</v>
      </c>
      <c r="B36" s="39">
        <f>B34+1</f>
        <v>2005</v>
      </c>
      <c r="C36" s="120"/>
      <c r="D36" s="51" t="s">
        <v>87</v>
      </c>
      <c r="E36" s="43">
        <f>Control!$F$19</f>
        <v>0</v>
      </c>
      <c r="F36" s="51" t="s">
        <v>87</v>
      </c>
      <c r="G36" s="44">
        <f>Control!$D$103</f>
        <v>365</v>
      </c>
      <c r="H36" s="51" t="s">
        <v>87</v>
      </c>
      <c r="I36" s="58">
        <f>Control!$D$105</f>
        <v>1E-3</v>
      </c>
      <c r="J36" s="51" t="s">
        <v>87</v>
      </c>
      <c r="K36" s="46">
        <f>Control!$F$21</f>
        <v>0</v>
      </c>
      <c r="L36" s="51" t="s">
        <v>87</v>
      </c>
      <c r="M36" s="45">
        <f>Control!$F$20</f>
        <v>0</v>
      </c>
      <c r="N36" s="52" t="s">
        <v>88</v>
      </c>
      <c r="O36" s="66">
        <f>C36*$E$6*$G$6*$M$6*$K$6*$I$6</f>
        <v>0</v>
      </c>
      <c r="P36" s="51" t="s">
        <v>87</v>
      </c>
      <c r="Q36" s="70">
        <f>Control!$D$101</f>
        <v>28</v>
      </c>
      <c r="R36" s="51" t="s">
        <v>87</v>
      </c>
      <c r="S36" s="47">
        <f>Control!$D$104</f>
        <v>9.9999999999999995E-7</v>
      </c>
      <c r="T36" s="51" t="s">
        <v>87</v>
      </c>
      <c r="U36" s="46">
        <f>Control!$D$100</f>
        <v>0.27272727272727271</v>
      </c>
      <c r="V36" s="52" t="s">
        <v>88</v>
      </c>
      <c r="W36" s="48">
        <f>O36*Q$6*S$6*U$6</f>
        <v>0</v>
      </c>
      <c r="X36" s="52" t="s">
        <v>88</v>
      </c>
      <c r="Y36" s="48">
        <f>W36*C_CO2</f>
        <v>0</v>
      </c>
      <c r="AC36" s="42" t="e">
        <f>VLOOKUP(SelectedStateAbbr,Population!$A$6:$AF$57,$A36,FALSE)</f>
        <v>#N/A</v>
      </c>
    </row>
    <row r="37" spans="1:29" ht="11">
      <c r="A37" s="38"/>
      <c r="B37" s="40"/>
      <c r="C37" s="113"/>
      <c r="D37" s="50"/>
      <c r="E37" s="50"/>
      <c r="F37" s="50"/>
      <c r="G37" s="50"/>
      <c r="H37" s="50"/>
      <c r="I37" s="50"/>
      <c r="J37" s="50"/>
      <c r="K37" s="50"/>
      <c r="L37" s="50"/>
      <c r="M37" s="50"/>
      <c r="N37" s="50"/>
      <c r="O37" s="69"/>
      <c r="P37" s="50"/>
      <c r="Q37" s="50"/>
      <c r="R37" s="50"/>
      <c r="S37" s="50"/>
      <c r="T37" s="50"/>
      <c r="U37" s="82"/>
      <c r="V37" s="50"/>
      <c r="W37" s="50"/>
      <c r="X37" s="50"/>
      <c r="AC37" s="49" t="str">
        <f>""</f>
        <v/>
      </c>
    </row>
    <row r="38" spans="1:29" ht="13">
      <c r="A38" s="38">
        <v>18</v>
      </c>
      <c r="B38" s="39">
        <f>B36+1</f>
        <v>2006</v>
      </c>
      <c r="C38" s="120"/>
      <c r="D38" s="51" t="s">
        <v>87</v>
      </c>
      <c r="E38" s="43">
        <f>Control!$F$19</f>
        <v>0</v>
      </c>
      <c r="F38" s="51" t="s">
        <v>87</v>
      </c>
      <c r="G38" s="44">
        <f>Control!$D$103</f>
        <v>365</v>
      </c>
      <c r="H38" s="51" t="s">
        <v>87</v>
      </c>
      <c r="I38" s="58">
        <f>Control!$D$105</f>
        <v>1E-3</v>
      </c>
      <c r="J38" s="51" t="s">
        <v>87</v>
      </c>
      <c r="K38" s="46">
        <f>Control!$F$21</f>
        <v>0</v>
      </c>
      <c r="L38" s="51" t="s">
        <v>87</v>
      </c>
      <c r="M38" s="45">
        <f>Control!$F$20</f>
        <v>0</v>
      </c>
      <c r="N38" s="52" t="s">
        <v>88</v>
      </c>
      <c r="O38" s="66">
        <f>C38*$E$6*$G$6*$M$6*$K$6*$I$6</f>
        <v>0</v>
      </c>
      <c r="P38" s="51" t="s">
        <v>87</v>
      </c>
      <c r="Q38" s="70">
        <f>Control!$D$101</f>
        <v>28</v>
      </c>
      <c r="R38" s="51" t="s">
        <v>87</v>
      </c>
      <c r="S38" s="47">
        <f>Control!$D$104</f>
        <v>9.9999999999999995E-7</v>
      </c>
      <c r="T38" s="51" t="s">
        <v>87</v>
      </c>
      <c r="U38" s="46">
        <f>Control!$D$100</f>
        <v>0.27272727272727271</v>
      </c>
      <c r="V38" s="52" t="s">
        <v>88</v>
      </c>
      <c r="W38" s="48">
        <f>O38*Q$6*S$6*U$6</f>
        <v>0</v>
      </c>
      <c r="X38" s="52" t="s">
        <v>88</v>
      </c>
      <c r="Y38" s="48">
        <f>W38*C_CO2</f>
        <v>0</v>
      </c>
      <c r="AC38" s="42" t="e">
        <f>VLOOKUP(SelectedStateAbbr,Population!$A$6:$AF$57,$A38,FALSE)</f>
        <v>#N/A</v>
      </c>
    </row>
    <row r="39" spans="1:29" ht="11">
      <c r="A39" s="38"/>
      <c r="B39" s="40"/>
      <c r="C39" s="113"/>
      <c r="D39" s="50"/>
      <c r="E39" s="50"/>
      <c r="F39" s="50"/>
      <c r="G39" s="50"/>
      <c r="H39" s="50"/>
      <c r="I39" s="50"/>
      <c r="J39" s="50"/>
      <c r="K39" s="50"/>
      <c r="L39" s="50"/>
      <c r="M39" s="50"/>
      <c r="N39" s="50"/>
      <c r="O39" s="69"/>
      <c r="P39" s="50"/>
      <c r="Q39" s="50"/>
      <c r="R39" s="50"/>
      <c r="S39" s="50"/>
      <c r="T39" s="50"/>
      <c r="U39" s="82"/>
      <c r="V39" s="50"/>
      <c r="W39" s="50"/>
      <c r="X39" s="50"/>
      <c r="AC39" s="49" t="str">
        <f>""</f>
        <v/>
      </c>
    </row>
    <row r="40" spans="1:29" ht="13">
      <c r="A40" s="38">
        <v>19</v>
      </c>
      <c r="B40" s="39">
        <f>B38+1</f>
        <v>2007</v>
      </c>
      <c r="C40" s="120"/>
      <c r="D40" s="51" t="s">
        <v>87</v>
      </c>
      <c r="E40" s="43">
        <f>Control!$F$19</f>
        <v>0</v>
      </c>
      <c r="F40" s="51" t="s">
        <v>87</v>
      </c>
      <c r="G40" s="44">
        <f>Control!$D$103</f>
        <v>365</v>
      </c>
      <c r="H40" s="51" t="s">
        <v>87</v>
      </c>
      <c r="I40" s="58">
        <f>Control!$D$105</f>
        <v>1E-3</v>
      </c>
      <c r="J40" s="51" t="s">
        <v>87</v>
      </c>
      <c r="K40" s="46">
        <f>Control!$F$21</f>
        <v>0</v>
      </c>
      <c r="L40" s="51" t="s">
        <v>87</v>
      </c>
      <c r="M40" s="45">
        <f>Control!$F$20</f>
        <v>0</v>
      </c>
      <c r="N40" s="52" t="s">
        <v>88</v>
      </c>
      <c r="O40" s="66">
        <f>C40*$E$6*$G$6*$M$6*$K$6*$I$6</f>
        <v>0</v>
      </c>
      <c r="P40" s="51" t="s">
        <v>87</v>
      </c>
      <c r="Q40" s="70">
        <f>Control!$D$101</f>
        <v>28</v>
      </c>
      <c r="R40" s="51" t="s">
        <v>87</v>
      </c>
      <c r="S40" s="47">
        <f>Control!$D$104</f>
        <v>9.9999999999999995E-7</v>
      </c>
      <c r="T40" s="51" t="s">
        <v>87</v>
      </c>
      <c r="U40" s="46">
        <f>Control!$D$100</f>
        <v>0.27272727272727271</v>
      </c>
      <c r="V40" s="52" t="s">
        <v>88</v>
      </c>
      <c r="W40" s="48">
        <f>O40*Q$6*S$6*U$6</f>
        <v>0</v>
      </c>
      <c r="X40" s="52" t="s">
        <v>88</v>
      </c>
      <c r="Y40" s="48">
        <f>W40*C_CO2</f>
        <v>0</v>
      </c>
      <c r="AC40" s="42" t="e">
        <f>VLOOKUP(SelectedStateAbbr,Population!$A$6:$AF$57,$A40,FALSE)</f>
        <v>#N/A</v>
      </c>
    </row>
    <row r="41" spans="1:29" ht="11">
      <c r="A41" s="38"/>
      <c r="B41" s="40"/>
      <c r="C41" s="113"/>
      <c r="D41" s="50"/>
      <c r="E41" s="50"/>
      <c r="F41" s="50"/>
      <c r="G41" s="50"/>
      <c r="H41" s="50"/>
      <c r="I41" s="50"/>
      <c r="J41" s="50"/>
      <c r="K41" s="50"/>
      <c r="L41" s="50"/>
      <c r="M41" s="50"/>
      <c r="N41" s="50"/>
      <c r="O41" s="69"/>
      <c r="P41" s="50"/>
      <c r="Q41" s="50"/>
      <c r="R41" s="50"/>
      <c r="S41" s="50"/>
      <c r="T41" s="50"/>
      <c r="U41" s="82"/>
      <c r="V41" s="50"/>
      <c r="W41" s="50"/>
      <c r="X41" s="50"/>
      <c r="AC41" s="49" t="str">
        <f>""</f>
        <v/>
      </c>
    </row>
    <row r="42" spans="1:29" ht="13">
      <c r="A42" s="38">
        <v>20</v>
      </c>
      <c r="B42" s="39">
        <f>B40+1</f>
        <v>2008</v>
      </c>
      <c r="C42" s="120"/>
      <c r="D42" s="51" t="s">
        <v>87</v>
      </c>
      <c r="E42" s="43">
        <f>Control!$F$19</f>
        <v>0</v>
      </c>
      <c r="F42" s="51" t="s">
        <v>87</v>
      </c>
      <c r="G42" s="44">
        <f>Control!$D$103</f>
        <v>365</v>
      </c>
      <c r="H42" s="51" t="s">
        <v>87</v>
      </c>
      <c r="I42" s="58">
        <f>Control!$D$105</f>
        <v>1E-3</v>
      </c>
      <c r="J42" s="51" t="s">
        <v>87</v>
      </c>
      <c r="K42" s="46">
        <f>Control!$F$21</f>
        <v>0</v>
      </c>
      <c r="L42" s="51" t="s">
        <v>87</v>
      </c>
      <c r="M42" s="45">
        <f>Control!$F$20</f>
        <v>0</v>
      </c>
      <c r="N42" s="52" t="s">
        <v>88</v>
      </c>
      <c r="O42" s="66">
        <f>C42*$E$6*$G$6*$M$6*$K$6*$I$6</f>
        <v>0</v>
      </c>
      <c r="P42" s="51" t="s">
        <v>87</v>
      </c>
      <c r="Q42" s="70">
        <f>Control!$D$101</f>
        <v>28</v>
      </c>
      <c r="R42" s="51" t="s">
        <v>87</v>
      </c>
      <c r="S42" s="47">
        <f>Control!$D$104</f>
        <v>9.9999999999999995E-7</v>
      </c>
      <c r="T42" s="51" t="s">
        <v>87</v>
      </c>
      <c r="U42" s="46">
        <f>Control!$D$100</f>
        <v>0.27272727272727271</v>
      </c>
      <c r="V42" s="52" t="s">
        <v>88</v>
      </c>
      <c r="W42" s="48">
        <f>O42*Q$6*S$6*U$6</f>
        <v>0</v>
      </c>
      <c r="X42" s="52" t="s">
        <v>88</v>
      </c>
      <c r="Y42" s="48">
        <f>W42*C_CO2</f>
        <v>0</v>
      </c>
      <c r="AC42" s="42" t="e">
        <f>VLOOKUP(SelectedStateAbbr,Population!$A$6:$AF$57,$A42,FALSE)</f>
        <v>#N/A</v>
      </c>
    </row>
    <row r="43" spans="1:29" ht="11">
      <c r="A43" s="38"/>
      <c r="B43" s="40"/>
      <c r="C43" s="113"/>
      <c r="D43" s="50"/>
      <c r="E43" s="50"/>
      <c r="F43" s="50"/>
      <c r="G43" s="50"/>
      <c r="H43" s="50"/>
      <c r="I43" s="50"/>
      <c r="J43" s="50"/>
      <c r="K43" s="50"/>
      <c r="L43" s="50"/>
      <c r="M43" s="50"/>
      <c r="N43" s="50"/>
      <c r="O43" s="69"/>
      <c r="P43" s="50"/>
      <c r="Q43" s="50"/>
      <c r="R43" s="50"/>
      <c r="S43" s="50"/>
      <c r="T43" s="50"/>
      <c r="U43" s="82"/>
      <c r="V43" s="50"/>
      <c r="W43" s="50"/>
      <c r="X43" s="50"/>
      <c r="AC43" s="49" t="str">
        <f>""</f>
        <v/>
      </c>
    </row>
    <row r="44" spans="1:29" ht="13">
      <c r="A44" s="38">
        <v>21</v>
      </c>
      <c r="B44" s="39">
        <f>B42+1</f>
        <v>2009</v>
      </c>
      <c r="C44" s="120"/>
      <c r="D44" s="51" t="s">
        <v>87</v>
      </c>
      <c r="E44" s="43">
        <f>Control!$F$19</f>
        <v>0</v>
      </c>
      <c r="F44" s="51" t="s">
        <v>87</v>
      </c>
      <c r="G44" s="44">
        <f>Control!$D$103</f>
        <v>365</v>
      </c>
      <c r="H44" s="51" t="s">
        <v>87</v>
      </c>
      <c r="I44" s="58">
        <f>Control!$D$105</f>
        <v>1E-3</v>
      </c>
      <c r="J44" s="51" t="s">
        <v>87</v>
      </c>
      <c r="K44" s="46">
        <f>Control!$F$21</f>
        <v>0</v>
      </c>
      <c r="L44" s="51" t="s">
        <v>87</v>
      </c>
      <c r="M44" s="45">
        <f>Control!$F$20</f>
        <v>0</v>
      </c>
      <c r="N44" s="52" t="s">
        <v>88</v>
      </c>
      <c r="O44" s="66">
        <f>C44*$E$6*$G$6*$M$6*$K$6*$I$6</f>
        <v>0</v>
      </c>
      <c r="P44" s="51" t="s">
        <v>87</v>
      </c>
      <c r="Q44" s="70">
        <f>Control!$D$101</f>
        <v>28</v>
      </c>
      <c r="R44" s="51" t="s">
        <v>87</v>
      </c>
      <c r="S44" s="47">
        <f>Control!$D$104</f>
        <v>9.9999999999999995E-7</v>
      </c>
      <c r="T44" s="51" t="s">
        <v>87</v>
      </c>
      <c r="U44" s="46">
        <f>Control!$D$100</f>
        <v>0.27272727272727271</v>
      </c>
      <c r="V44" s="52" t="s">
        <v>88</v>
      </c>
      <c r="W44" s="48">
        <f>O44*Q$6*S$6*U$6</f>
        <v>0</v>
      </c>
      <c r="X44" s="52" t="s">
        <v>88</v>
      </c>
      <c r="Y44" s="48">
        <f>W44*C_CO2</f>
        <v>0</v>
      </c>
      <c r="AC44" s="42" t="e">
        <f>VLOOKUP(SelectedStateAbbr,Population!$A$6:$AF$57,$A44,FALSE)</f>
        <v>#N/A</v>
      </c>
    </row>
    <row r="45" spans="1:29" ht="11">
      <c r="A45" s="38"/>
      <c r="B45" s="40"/>
      <c r="C45" s="113"/>
      <c r="D45" s="50"/>
      <c r="E45" s="50"/>
      <c r="F45" s="50"/>
      <c r="G45" s="50"/>
      <c r="H45" s="50"/>
      <c r="I45" s="50"/>
      <c r="J45" s="50"/>
      <c r="K45" s="50"/>
      <c r="L45" s="50"/>
      <c r="M45" s="50"/>
      <c r="N45" s="50"/>
      <c r="O45" s="69"/>
      <c r="P45" s="50"/>
      <c r="Q45" s="50"/>
      <c r="R45" s="50"/>
      <c r="S45" s="50"/>
      <c r="T45" s="50"/>
      <c r="U45" s="82"/>
      <c r="V45" s="50"/>
      <c r="W45" s="50"/>
      <c r="X45" s="50"/>
      <c r="AC45" s="49" t="str">
        <f>""</f>
        <v/>
      </c>
    </row>
    <row r="46" spans="1:29" ht="13">
      <c r="A46" s="38">
        <v>22</v>
      </c>
      <c r="B46" s="39">
        <f>B44+1</f>
        <v>2010</v>
      </c>
      <c r="C46" s="120"/>
      <c r="D46" s="51" t="s">
        <v>87</v>
      </c>
      <c r="E46" s="43">
        <f>Control!$F$19</f>
        <v>0</v>
      </c>
      <c r="F46" s="51" t="s">
        <v>87</v>
      </c>
      <c r="G46" s="44">
        <f>Control!$D$103</f>
        <v>365</v>
      </c>
      <c r="H46" s="51" t="s">
        <v>87</v>
      </c>
      <c r="I46" s="58">
        <f>Control!$D$105</f>
        <v>1E-3</v>
      </c>
      <c r="J46" s="51" t="s">
        <v>87</v>
      </c>
      <c r="K46" s="46">
        <f>Control!$F$21</f>
        <v>0</v>
      </c>
      <c r="L46" s="51" t="s">
        <v>87</v>
      </c>
      <c r="M46" s="45">
        <f>Control!$F$20</f>
        <v>0</v>
      </c>
      <c r="N46" s="52" t="s">
        <v>88</v>
      </c>
      <c r="O46" s="66">
        <f>C46*$E$6*$G$6*$M$6*$K$6*$I$6</f>
        <v>0</v>
      </c>
      <c r="P46" s="51" t="s">
        <v>87</v>
      </c>
      <c r="Q46" s="70">
        <f>Control!$D$101</f>
        <v>28</v>
      </c>
      <c r="R46" s="51" t="s">
        <v>87</v>
      </c>
      <c r="S46" s="47">
        <f>Control!$D$104</f>
        <v>9.9999999999999995E-7</v>
      </c>
      <c r="T46" s="51" t="s">
        <v>87</v>
      </c>
      <c r="U46" s="46">
        <f>Control!$D$100</f>
        <v>0.27272727272727271</v>
      </c>
      <c r="V46" s="52" t="s">
        <v>88</v>
      </c>
      <c r="W46" s="48">
        <f>O46*Q$6*S$6*U$6</f>
        <v>0</v>
      </c>
      <c r="X46" s="52" t="s">
        <v>88</v>
      </c>
      <c r="Y46" s="48">
        <f>W46*C_CO2</f>
        <v>0</v>
      </c>
      <c r="AC46" s="42" t="e">
        <f>VLOOKUP(SelectedStateAbbr,Population!$A$6:$AF$57,$A46,FALSE)</f>
        <v>#N/A</v>
      </c>
    </row>
    <row r="47" spans="1:29" ht="11">
      <c r="A47" s="38"/>
      <c r="B47" s="40"/>
      <c r="C47" s="113"/>
      <c r="D47" s="50"/>
      <c r="E47" s="50"/>
      <c r="F47" s="50"/>
      <c r="G47" s="50"/>
      <c r="H47" s="50"/>
      <c r="I47" s="50"/>
      <c r="J47" s="50"/>
      <c r="K47" s="50"/>
      <c r="L47" s="50"/>
      <c r="M47" s="50"/>
      <c r="N47" s="50"/>
      <c r="O47" s="69"/>
      <c r="P47" s="50"/>
      <c r="Q47" s="50"/>
      <c r="R47" s="50"/>
      <c r="S47" s="50"/>
      <c r="T47" s="50"/>
      <c r="U47" s="82"/>
      <c r="V47" s="50"/>
      <c r="W47" s="50"/>
      <c r="X47" s="50"/>
      <c r="AC47" s="49" t="str">
        <f>""</f>
        <v/>
      </c>
    </row>
    <row r="48" spans="1:29" ht="13">
      <c r="A48" s="38">
        <v>23</v>
      </c>
      <c r="B48" s="39">
        <f>B46+1</f>
        <v>2011</v>
      </c>
      <c r="C48" s="120"/>
      <c r="D48" s="51" t="s">
        <v>87</v>
      </c>
      <c r="E48" s="43">
        <f>Control!$F$19</f>
        <v>0</v>
      </c>
      <c r="F48" s="51" t="s">
        <v>87</v>
      </c>
      <c r="G48" s="44">
        <f>Control!$D$103</f>
        <v>365</v>
      </c>
      <c r="H48" s="51" t="s">
        <v>87</v>
      </c>
      <c r="I48" s="58">
        <f>Control!$D$105</f>
        <v>1E-3</v>
      </c>
      <c r="J48" s="51" t="s">
        <v>87</v>
      </c>
      <c r="K48" s="46">
        <f>Control!$F$21</f>
        <v>0</v>
      </c>
      <c r="L48" s="51" t="s">
        <v>87</v>
      </c>
      <c r="M48" s="45">
        <f>Control!$F$20</f>
        <v>0</v>
      </c>
      <c r="N48" s="52" t="s">
        <v>88</v>
      </c>
      <c r="O48" s="66">
        <f>C48*$E$6*$G$6*$M$6*$K$6*$I$6</f>
        <v>0</v>
      </c>
      <c r="P48" s="51" t="s">
        <v>87</v>
      </c>
      <c r="Q48" s="70">
        <f>Control!$D$101</f>
        <v>28</v>
      </c>
      <c r="R48" s="51" t="s">
        <v>87</v>
      </c>
      <c r="S48" s="47">
        <f>Control!$D$104</f>
        <v>9.9999999999999995E-7</v>
      </c>
      <c r="T48" s="51" t="s">
        <v>87</v>
      </c>
      <c r="U48" s="46">
        <f>Control!$D$100</f>
        <v>0.27272727272727271</v>
      </c>
      <c r="V48" s="52" t="s">
        <v>88</v>
      </c>
      <c r="W48" s="48">
        <f>O48*Q$6*S$6*U$6</f>
        <v>0</v>
      </c>
      <c r="X48" s="52" t="s">
        <v>88</v>
      </c>
      <c r="Y48" s="48">
        <f>W48*C_CO2</f>
        <v>0</v>
      </c>
      <c r="AC48" s="42" t="e">
        <f>VLOOKUP(SelectedStateAbbr,Population!$A$6:$AF$57,$A48,FALSE)</f>
        <v>#N/A</v>
      </c>
    </row>
    <row r="49" spans="1:29" ht="11">
      <c r="A49" s="38"/>
      <c r="B49" s="40"/>
      <c r="C49" s="113"/>
      <c r="D49" s="50"/>
      <c r="E49" s="50"/>
      <c r="F49" s="50"/>
      <c r="G49" s="50"/>
      <c r="H49" s="50"/>
      <c r="I49" s="50"/>
      <c r="J49" s="50"/>
      <c r="K49" s="50"/>
      <c r="L49" s="50"/>
      <c r="M49" s="50"/>
      <c r="N49" s="50"/>
      <c r="O49" s="69"/>
      <c r="P49" s="50"/>
      <c r="Q49" s="50"/>
      <c r="R49" s="50"/>
      <c r="S49" s="50"/>
      <c r="T49" s="50"/>
      <c r="U49" s="82"/>
      <c r="V49" s="50"/>
      <c r="W49" s="50"/>
      <c r="X49" s="50"/>
      <c r="AC49" s="49" t="str">
        <f>""</f>
        <v/>
      </c>
    </row>
    <row r="50" spans="1:29" ht="13">
      <c r="A50" s="38">
        <v>24</v>
      </c>
      <c r="B50" s="39">
        <f>B48+1</f>
        <v>2012</v>
      </c>
      <c r="C50" s="120"/>
      <c r="D50" s="51" t="s">
        <v>87</v>
      </c>
      <c r="E50" s="43">
        <f>Control!$F$19</f>
        <v>0</v>
      </c>
      <c r="F50" s="51" t="s">
        <v>87</v>
      </c>
      <c r="G50" s="44">
        <f>Control!$D$103</f>
        <v>365</v>
      </c>
      <c r="H50" s="51" t="s">
        <v>87</v>
      </c>
      <c r="I50" s="58">
        <f>Control!$D$105</f>
        <v>1E-3</v>
      </c>
      <c r="J50" s="51" t="s">
        <v>87</v>
      </c>
      <c r="K50" s="46">
        <f>Control!$F$21</f>
        <v>0</v>
      </c>
      <c r="L50" s="51" t="s">
        <v>87</v>
      </c>
      <c r="M50" s="45">
        <f>Control!$F$20</f>
        <v>0</v>
      </c>
      <c r="N50" s="52" t="s">
        <v>88</v>
      </c>
      <c r="O50" s="66">
        <f>C50*$E$6*$G$6*$M$6*$K$6*$I$6</f>
        <v>0</v>
      </c>
      <c r="P50" s="51" t="s">
        <v>87</v>
      </c>
      <c r="Q50" s="70">
        <f>Control!$D$101</f>
        <v>28</v>
      </c>
      <c r="R50" s="51" t="s">
        <v>87</v>
      </c>
      <c r="S50" s="47">
        <f>Control!$D$104</f>
        <v>9.9999999999999995E-7</v>
      </c>
      <c r="T50" s="51" t="s">
        <v>87</v>
      </c>
      <c r="U50" s="46">
        <f>Control!$D$100</f>
        <v>0.27272727272727271</v>
      </c>
      <c r="V50" s="52" t="s">
        <v>88</v>
      </c>
      <c r="W50" s="48">
        <f>O50*Q$6*S$6*U$6</f>
        <v>0</v>
      </c>
      <c r="X50" s="52" t="s">
        <v>88</v>
      </c>
      <c r="Y50" s="48">
        <f>W50*C_CO2</f>
        <v>0</v>
      </c>
      <c r="AC50" s="42" t="e">
        <f>VLOOKUP(SelectedStateAbbr,Population!$A$6:$AF$57,$A50,FALSE)</f>
        <v>#N/A</v>
      </c>
    </row>
    <row r="51" spans="1:29" ht="11">
      <c r="A51" s="38"/>
      <c r="B51" s="40"/>
      <c r="C51" s="113"/>
      <c r="D51" s="50"/>
      <c r="E51" s="50"/>
      <c r="F51" s="50"/>
      <c r="G51" s="50"/>
      <c r="H51" s="50"/>
      <c r="I51" s="50"/>
      <c r="J51" s="50"/>
      <c r="K51" s="50"/>
      <c r="L51" s="50"/>
      <c r="M51" s="50"/>
      <c r="N51" s="50"/>
      <c r="O51" s="69"/>
      <c r="P51" s="50"/>
      <c r="Q51" s="50"/>
      <c r="R51" s="50"/>
      <c r="S51" s="50"/>
      <c r="T51" s="50"/>
      <c r="U51" s="82"/>
      <c r="V51" s="50"/>
      <c r="W51" s="50"/>
      <c r="X51" s="50"/>
      <c r="AC51" s="49" t="str">
        <f>""</f>
        <v/>
      </c>
    </row>
    <row r="52" spans="1:29" ht="13">
      <c r="A52" s="38">
        <v>25</v>
      </c>
      <c r="B52" s="39">
        <f>B50+1</f>
        <v>2013</v>
      </c>
      <c r="C52" s="120"/>
      <c r="D52" s="51" t="s">
        <v>87</v>
      </c>
      <c r="E52" s="43">
        <f>Control!$F$19</f>
        <v>0</v>
      </c>
      <c r="F52" s="51" t="s">
        <v>87</v>
      </c>
      <c r="G52" s="44">
        <f>Control!$D$103</f>
        <v>365</v>
      </c>
      <c r="H52" s="51" t="s">
        <v>87</v>
      </c>
      <c r="I52" s="58">
        <f>Control!$D$105</f>
        <v>1E-3</v>
      </c>
      <c r="J52" s="51" t="s">
        <v>87</v>
      </c>
      <c r="K52" s="46">
        <f>Control!$F$21</f>
        <v>0</v>
      </c>
      <c r="L52" s="51" t="s">
        <v>87</v>
      </c>
      <c r="M52" s="45">
        <f>Control!$F$20</f>
        <v>0</v>
      </c>
      <c r="N52" s="52" t="s">
        <v>88</v>
      </c>
      <c r="O52" s="66">
        <f>C52*$E$6*$G$6*$M$6*$K$6*$I$6</f>
        <v>0</v>
      </c>
      <c r="P52" s="51" t="s">
        <v>87</v>
      </c>
      <c r="Q52" s="70">
        <f>Control!$D$101</f>
        <v>28</v>
      </c>
      <c r="R52" s="51" t="s">
        <v>87</v>
      </c>
      <c r="S52" s="47">
        <f>Control!$D$104</f>
        <v>9.9999999999999995E-7</v>
      </c>
      <c r="T52" s="51" t="s">
        <v>87</v>
      </c>
      <c r="U52" s="46">
        <f>Control!$D$100</f>
        <v>0.27272727272727271</v>
      </c>
      <c r="V52" s="52" t="s">
        <v>88</v>
      </c>
      <c r="W52" s="48">
        <f>O52*Q$6*S$6*U$6</f>
        <v>0</v>
      </c>
      <c r="X52" s="52" t="s">
        <v>88</v>
      </c>
      <c r="Y52" s="48">
        <f>W52*C_CO2</f>
        <v>0</v>
      </c>
      <c r="AC52" s="42" t="e">
        <f>VLOOKUP(SelectedStateAbbr,Population!$A$6:$AF$57,$A52,FALSE)</f>
        <v>#N/A</v>
      </c>
    </row>
    <row r="53" spans="1:29" ht="11">
      <c r="A53" s="38"/>
      <c r="B53" s="40"/>
      <c r="C53" s="113"/>
      <c r="D53" s="50"/>
      <c r="E53" s="50"/>
      <c r="F53" s="50"/>
      <c r="G53" s="50"/>
      <c r="H53" s="50"/>
      <c r="I53" s="50"/>
      <c r="J53" s="50"/>
      <c r="K53" s="50"/>
      <c r="L53" s="50"/>
      <c r="M53" s="50"/>
      <c r="N53" s="50"/>
      <c r="O53" s="69"/>
      <c r="P53" s="50"/>
      <c r="Q53" s="50"/>
      <c r="R53" s="50"/>
      <c r="S53" s="50"/>
      <c r="T53" s="50"/>
      <c r="U53" s="82"/>
      <c r="V53" s="50"/>
      <c r="W53" s="50"/>
      <c r="X53" s="50"/>
      <c r="AC53" s="49" t="str">
        <f>""</f>
        <v/>
      </c>
    </row>
    <row r="54" spans="1:29" ht="13">
      <c r="A54" s="38">
        <v>26</v>
      </c>
      <c r="B54" s="39">
        <f>B52+1</f>
        <v>2014</v>
      </c>
      <c r="C54" s="120"/>
      <c r="D54" s="51" t="s">
        <v>87</v>
      </c>
      <c r="E54" s="43">
        <f>Control!$F$19</f>
        <v>0</v>
      </c>
      <c r="F54" s="51" t="s">
        <v>87</v>
      </c>
      <c r="G54" s="44">
        <f>Control!$D$103</f>
        <v>365</v>
      </c>
      <c r="H54" s="51" t="s">
        <v>87</v>
      </c>
      <c r="I54" s="58">
        <f>Control!$D$105</f>
        <v>1E-3</v>
      </c>
      <c r="J54" s="51" t="s">
        <v>87</v>
      </c>
      <c r="K54" s="46">
        <f>Control!$F$21</f>
        <v>0</v>
      </c>
      <c r="L54" s="51" t="s">
        <v>87</v>
      </c>
      <c r="M54" s="45">
        <f>Control!$F$20</f>
        <v>0</v>
      </c>
      <c r="N54" s="52" t="s">
        <v>88</v>
      </c>
      <c r="O54" s="66">
        <f>C54*$E$6*$G$6*$M$6*$K$6*$I$6</f>
        <v>0</v>
      </c>
      <c r="P54" s="51" t="s">
        <v>87</v>
      </c>
      <c r="Q54" s="70">
        <f>Control!$D$101</f>
        <v>28</v>
      </c>
      <c r="R54" s="51" t="s">
        <v>87</v>
      </c>
      <c r="S54" s="47">
        <f>Control!$D$104</f>
        <v>9.9999999999999995E-7</v>
      </c>
      <c r="T54" s="51" t="s">
        <v>87</v>
      </c>
      <c r="U54" s="46">
        <f>Control!$D$100</f>
        <v>0.27272727272727271</v>
      </c>
      <c r="V54" s="52" t="s">
        <v>88</v>
      </c>
      <c r="W54" s="48">
        <f>O54*Q$6*S$6*U$6</f>
        <v>0</v>
      </c>
      <c r="X54" s="52" t="s">
        <v>88</v>
      </c>
      <c r="Y54" s="48">
        <f>W54*C_CO2</f>
        <v>0</v>
      </c>
      <c r="AC54" s="42" t="e">
        <f>VLOOKUP(SelectedStateAbbr,Population!$A$6:$AF$57,$A54,FALSE)</f>
        <v>#N/A</v>
      </c>
    </row>
    <row r="55" spans="1:29" ht="11">
      <c r="A55" s="38"/>
      <c r="B55" s="40"/>
      <c r="C55" s="113"/>
      <c r="D55" s="50"/>
      <c r="E55" s="50"/>
      <c r="F55" s="50"/>
      <c r="G55" s="50"/>
      <c r="H55" s="50"/>
      <c r="I55" s="50"/>
      <c r="J55" s="50"/>
      <c r="K55" s="50"/>
      <c r="L55" s="50"/>
      <c r="M55" s="50"/>
      <c r="N55" s="50"/>
      <c r="O55" s="69"/>
      <c r="P55" s="50"/>
      <c r="Q55" s="50"/>
      <c r="R55" s="50"/>
      <c r="S55" s="50"/>
      <c r="T55" s="50"/>
      <c r="U55" s="82"/>
      <c r="V55" s="50"/>
      <c r="W55" s="50"/>
      <c r="X55" s="50"/>
      <c r="AC55" s="49" t="str">
        <f>""</f>
        <v/>
      </c>
    </row>
    <row r="56" spans="1:29" ht="13">
      <c r="A56" s="38">
        <v>27</v>
      </c>
      <c r="B56" s="39">
        <f>B54+1</f>
        <v>2015</v>
      </c>
      <c r="C56" s="120"/>
      <c r="D56" s="51" t="s">
        <v>87</v>
      </c>
      <c r="E56" s="43">
        <f>Control!$F$19</f>
        <v>0</v>
      </c>
      <c r="F56" s="51" t="s">
        <v>87</v>
      </c>
      <c r="G56" s="44">
        <f>Control!$D$103</f>
        <v>365</v>
      </c>
      <c r="H56" s="51" t="s">
        <v>87</v>
      </c>
      <c r="I56" s="58">
        <f>Control!$D$105</f>
        <v>1E-3</v>
      </c>
      <c r="J56" s="51" t="s">
        <v>87</v>
      </c>
      <c r="K56" s="46">
        <f>Control!$F$21</f>
        <v>0</v>
      </c>
      <c r="L56" s="51" t="s">
        <v>87</v>
      </c>
      <c r="M56" s="45">
        <f>Control!$F$20</f>
        <v>0</v>
      </c>
      <c r="N56" s="52" t="s">
        <v>88</v>
      </c>
      <c r="O56" s="66">
        <f>C56*$E$6*$G$6*$M$6*$K$6*$I$6</f>
        <v>0</v>
      </c>
      <c r="P56" s="51" t="s">
        <v>87</v>
      </c>
      <c r="Q56" s="70">
        <f>Control!$D$101</f>
        <v>28</v>
      </c>
      <c r="R56" s="51" t="s">
        <v>87</v>
      </c>
      <c r="S56" s="47">
        <f>Control!$D$104</f>
        <v>9.9999999999999995E-7</v>
      </c>
      <c r="T56" s="51" t="s">
        <v>87</v>
      </c>
      <c r="U56" s="46">
        <f>Control!$D$100</f>
        <v>0.27272727272727271</v>
      </c>
      <c r="V56" s="52" t="s">
        <v>88</v>
      </c>
      <c r="W56" s="48">
        <f>O56*Q$6*S$6*U$6</f>
        <v>0</v>
      </c>
      <c r="X56" s="52" t="s">
        <v>88</v>
      </c>
      <c r="Y56" s="48">
        <f>W56*C_CO2</f>
        <v>0</v>
      </c>
      <c r="AC56" s="42" t="e">
        <f>VLOOKUP(SelectedStateAbbr,Population!$A$6:$AF$57,$A56,FALSE)</f>
        <v>#N/A</v>
      </c>
    </row>
    <row r="57" spans="1:29" ht="11">
      <c r="A57" s="38"/>
      <c r="B57" s="40"/>
      <c r="C57" s="113"/>
      <c r="D57" s="50"/>
      <c r="E57" s="50"/>
      <c r="F57" s="50"/>
      <c r="G57" s="50"/>
      <c r="H57" s="50"/>
      <c r="I57" s="50"/>
      <c r="J57" s="50"/>
      <c r="K57" s="50"/>
      <c r="L57" s="50"/>
      <c r="M57" s="50"/>
      <c r="N57" s="50"/>
      <c r="O57" s="69"/>
      <c r="P57" s="50"/>
      <c r="Q57" s="50"/>
      <c r="R57" s="50"/>
      <c r="S57" s="50"/>
      <c r="T57" s="50"/>
      <c r="U57" s="82"/>
      <c r="V57" s="50"/>
      <c r="W57" s="50"/>
      <c r="X57" s="50"/>
      <c r="AC57" s="49" t="str">
        <f>""</f>
        <v/>
      </c>
    </row>
    <row r="58" spans="1:29" ht="13">
      <c r="A58" s="38">
        <v>28</v>
      </c>
      <c r="B58" s="39">
        <f>B56+1</f>
        <v>2016</v>
      </c>
      <c r="C58" s="120"/>
      <c r="D58" s="51" t="s">
        <v>87</v>
      </c>
      <c r="E58" s="43">
        <f>Control!$F$19</f>
        <v>0</v>
      </c>
      <c r="F58" s="51" t="s">
        <v>87</v>
      </c>
      <c r="G58" s="44">
        <f>Control!$D$103</f>
        <v>365</v>
      </c>
      <c r="H58" s="51" t="s">
        <v>87</v>
      </c>
      <c r="I58" s="58">
        <f>Control!$D$105</f>
        <v>1E-3</v>
      </c>
      <c r="J58" s="51" t="s">
        <v>87</v>
      </c>
      <c r="K58" s="46">
        <f>Control!$F$21</f>
        <v>0</v>
      </c>
      <c r="L58" s="51" t="s">
        <v>87</v>
      </c>
      <c r="M58" s="45">
        <f>Control!$F$20</f>
        <v>0</v>
      </c>
      <c r="N58" s="52" t="s">
        <v>88</v>
      </c>
      <c r="O58" s="66">
        <f>C58*$E$6*$G$6*$M$6*$K$6*$I$6</f>
        <v>0</v>
      </c>
      <c r="P58" s="51" t="s">
        <v>87</v>
      </c>
      <c r="Q58" s="70">
        <f>Control!$D$101</f>
        <v>28</v>
      </c>
      <c r="R58" s="51" t="s">
        <v>87</v>
      </c>
      <c r="S58" s="47">
        <f>Control!$D$104</f>
        <v>9.9999999999999995E-7</v>
      </c>
      <c r="T58" s="51" t="s">
        <v>87</v>
      </c>
      <c r="U58" s="46">
        <f>Control!$D$100</f>
        <v>0.27272727272727271</v>
      </c>
      <c r="V58" s="52" t="s">
        <v>88</v>
      </c>
      <c r="W58" s="48">
        <f>O58*Q$6*S$6*U$6</f>
        <v>0</v>
      </c>
      <c r="X58" s="52" t="s">
        <v>88</v>
      </c>
      <c r="Y58" s="48">
        <f>W58*C_CO2</f>
        <v>0</v>
      </c>
      <c r="AC58" s="42" t="e">
        <f>VLOOKUP(SelectedStateAbbr,Population!$A$6:$AF$57,$A58,FALSE)</f>
        <v>#N/A</v>
      </c>
    </row>
    <row r="59" spans="1:29" ht="11">
      <c r="A59" s="38"/>
      <c r="B59" s="40"/>
      <c r="C59" s="113"/>
      <c r="D59" s="50"/>
      <c r="E59" s="50"/>
      <c r="F59" s="50"/>
      <c r="G59" s="50"/>
      <c r="H59" s="50"/>
      <c r="I59" s="50"/>
      <c r="J59" s="50"/>
      <c r="K59" s="50"/>
      <c r="L59" s="50"/>
      <c r="M59" s="50"/>
      <c r="N59" s="50"/>
      <c r="O59" s="69"/>
      <c r="P59" s="50"/>
      <c r="Q59" s="50"/>
      <c r="R59" s="50"/>
      <c r="S59" s="50"/>
      <c r="T59" s="50"/>
      <c r="U59" s="82"/>
      <c r="V59" s="50"/>
      <c r="W59" s="50"/>
      <c r="X59" s="50"/>
      <c r="AC59" s="49" t="str">
        <f>""</f>
        <v/>
      </c>
    </row>
    <row r="60" spans="1:29" ht="13">
      <c r="A60" s="38">
        <v>29</v>
      </c>
      <c r="B60" s="39">
        <f>B58+1</f>
        <v>2017</v>
      </c>
      <c r="C60" s="120"/>
      <c r="D60" s="51" t="s">
        <v>87</v>
      </c>
      <c r="E60" s="43">
        <f>Control!$F$19</f>
        <v>0</v>
      </c>
      <c r="F60" s="51" t="s">
        <v>87</v>
      </c>
      <c r="G60" s="44">
        <f>Control!$D$103</f>
        <v>365</v>
      </c>
      <c r="H60" s="51" t="s">
        <v>87</v>
      </c>
      <c r="I60" s="58">
        <f>Control!$D$105</f>
        <v>1E-3</v>
      </c>
      <c r="J60" s="51" t="s">
        <v>87</v>
      </c>
      <c r="K60" s="46">
        <f>Control!$F$21</f>
        <v>0</v>
      </c>
      <c r="L60" s="51" t="s">
        <v>87</v>
      </c>
      <c r="M60" s="45">
        <f>Control!$F$20</f>
        <v>0</v>
      </c>
      <c r="N60" s="52" t="s">
        <v>88</v>
      </c>
      <c r="O60" s="66">
        <f>C60*$E$6*$G$6*$M$6*$K$6*$I$6</f>
        <v>0</v>
      </c>
      <c r="P60" s="51" t="s">
        <v>87</v>
      </c>
      <c r="Q60" s="70">
        <f>Control!$D$101</f>
        <v>28</v>
      </c>
      <c r="R60" s="51" t="s">
        <v>87</v>
      </c>
      <c r="S60" s="47">
        <f>Control!$D$104</f>
        <v>9.9999999999999995E-7</v>
      </c>
      <c r="T60" s="51" t="s">
        <v>87</v>
      </c>
      <c r="U60" s="46">
        <f>Control!$D$100</f>
        <v>0.27272727272727271</v>
      </c>
      <c r="V60" s="52" t="s">
        <v>88</v>
      </c>
      <c r="W60" s="48">
        <f>O60*Q$6*S$6*U$6</f>
        <v>0</v>
      </c>
      <c r="X60" s="52" t="s">
        <v>88</v>
      </c>
      <c r="Y60" s="48">
        <f>W60*C_CO2</f>
        <v>0</v>
      </c>
      <c r="AC60" s="42" t="e">
        <f>VLOOKUP(SelectedStateAbbr,Population!$A$6:$AF$57,$A60,FALSE)</f>
        <v>#N/A</v>
      </c>
    </row>
    <row r="61" spans="1:29" ht="11">
      <c r="A61" s="38"/>
      <c r="B61" s="40"/>
      <c r="C61" s="113"/>
      <c r="D61" s="50"/>
      <c r="E61" s="50"/>
      <c r="F61" s="50"/>
      <c r="G61" s="50"/>
      <c r="H61" s="50"/>
      <c r="I61" s="50"/>
      <c r="J61" s="50"/>
      <c r="K61" s="50"/>
      <c r="L61" s="50"/>
      <c r="M61" s="50"/>
      <c r="N61" s="50"/>
      <c r="O61" s="69"/>
      <c r="P61" s="50"/>
      <c r="Q61" s="50"/>
      <c r="R61" s="50"/>
      <c r="S61" s="50"/>
      <c r="T61" s="50"/>
      <c r="U61" s="82"/>
      <c r="V61" s="50"/>
      <c r="W61" s="50"/>
      <c r="X61" s="50"/>
      <c r="AC61" s="49" t="str">
        <f>""</f>
        <v/>
      </c>
    </row>
    <row r="62" spans="1:29" ht="13">
      <c r="A62" s="38">
        <v>30</v>
      </c>
      <c r="B62" s="39">
        <f>B60+1</f>
        <v>2018</v>
      </c>
      <c r="C62" s="120"/>
      <c r="D62" s="51" t="s">
        <v>87</v>
      </c>
      <c r="E62" s="43">
        <f>Control!$F$19</f>
        <v>0</v>
      </c>
      <c r="F62" s="51" t="s">
        <v>87</v>
      </c>
      <c r="G62" s="44">
        <f>Control!$D$103</f>
        <v>365</v>
      </c>
      <c r="H62" s="51" t="s">
        <v>87</v>
      </c>
      <c r="I62" s="58">
        <f>Control!$D$105</f>
        <v>1E-3</v>
      </c>
      <c r="J62" s="51" t="s">
        <v>87</v>
      </c>
      <c r="K62" s="46">
        <f>Control!$F$21</f>
        <v>0</v>
      </c>
      <c r="L62" s="51" t="s">
        <v>87</v>
      </c>
      <c r="M62" s="45">
        <f>Control!$F$20</f>
        <v>0</v>
      </c>
      <c r="N62" s="52" t="s">
        <v>88</v>
      </c>
      <c r="O62" s="66">
        <f>C62*$E$6*$G$6*$M$6*$K$6*$I$6</f>
        <v>0</v>
      </c>
      <c r="P62" s="51" t="s">
        <v>87</v>
      </c>
      <c r="Q62" s="70">
        <f>Control!$D$101</f>
        <v>28</v>
      </c>
      <c r="R62" s="51" t="s">
        <v>87</v>
      </c>
      <c r="S62" s="47">
        <f>Control!$D$104</f>
        <v>9.9999999999999995E-7</v>
      </c>
      <c r="T62" s="51" t="s">
        <v>87</v>
      </c>
      <c r="U62" s="46">
        <f>Control!$D$100</f>
        <v>0.27272727272727271</v>
      </c>
      <c r="V62" s="52" t="s">
        <v>88</v>
      </c>
      <c r="W62" s="48">
        <f>O62*Q$6*S$6*U$6</f>
        <v>0</v>
      </c>
      <c r="X62" s="52" t="s">
        <v>88</v>
      </c>
      <c r="Y62" s="48">
        <f>W62*C_CO2</f>
        <v>0</v>
      </c>
      <c r="AC62" s="42" t="e">
        <f>VLOOKUP(SelectedStateAbbr,Population!$A$6:$AF$57,$A62,FALSE)</f>
        <v>#N/A</v>
      </c>
    </row>
    <row r="63" spans="1:29" ht="11">
      <c r="A63" s="38"/>
      <c r="B63" s="40"/>
      <c r="C63" s="113"/>
      <c r="D63" s="50"/>
      <c r="E63" s="50"/>
      <c r="F63" s="50"/>
      <c r="G63" s="50"/>
      <c r="H63" s="50"/>
      <c r="I63" s="50"/>
      <c r="J63" s="50"/>
      <c r="K63" s="50"/>
      <c r="L63" s="50"/>
      <c r="M63" s="50"/>
      <c r="N63" s="50"/>
      <c r="O63" s="69"/>
      <c r="P63" s="50"/>
      <c r="Q63" s="50"/>
      <c r="R63" s="50"/>
      <c r="S63" s="50"/>
      <c r="T63" s="50"/>
      <c r="U63" s="82"/>
      <c r="V63" s="50"/>
      <c r="W63" s="50"/>
      <c r="X63" s="50"/>
      <c r="AC63" s="49" t="str">
        <f>""</f>
        <v/>
      </c>
    </row>
    <row r="64" spans="1:29" ht="13">
      <c r="A64" s="38">
        <v>31</v>
      </c>
      <c r="B64" s="39">
        <f>B62+1</f>
        <v>2019</v>
      </c>
      <c r="C64" s="120"/>
      <c r="D64" s="51" t="s">
        <v>87</v>
      </c>
      <c r="E64" s="43">
        <f>Control!$F$19</f>
        <v>0</v>
      </c>
      <c r="F64" s="51" t="s">
        <v>87</v>
      </c>
      <c r="G64" s="44">
        <f>Control!$D$103</f>
        <v>365</v>
      </c>
      <c r="H64" s="51" t="s">
        <v>87</v>
      </c>
      <c r="I64" s="58">
        <f>Control!$D$105</f>
        <v>1E-3</v>
      </c>
      <c r="J64" s="51" t="s">
        <v>87</v>
      </c>
      <c r="K64" s="46">
        <f>Control!$F$21</f>
        <v>0</v>
      </c>
      <c r="L64" s="51" t="s">
        <v>87</v>
      </c>
      <c r="M64" s="45">
        <f>Control!$F$20</f>
        <v>0</v>
      </c>
      <c r="N64" s="52" t="s">
        <v>88</v>
      </c>
      <c r="O64" s="66">
        <f>C64*$E$6*$G$6*$M$6*$K$6*$I$6</f>
        <v>0</v>
      </c>
      <c r="P64" s="51" t="s">
        <v>87</v>
      </c>
      <c r="Q64" s="70">
        <f>Control!$D$101</f>
        <v>28</v>
      </c>
      <c r="R64" s="51" t="s">
        <v>87</v>
      </c>
      <c r="S64" s="47">
        <f>Control!$D$104</f>
        <v>9.9999999999999995E-7</v>
      </c>
      <c r="T64" s="51" t="s">
        <v>87</v>
      </c>
      <c r="U64" s="46">
        <f>Control!$D$100</f>
        <v>0.27272727272727271</v>
      </c>
      <c r="V64" s="52" t="s">
        <v>88</v>
      </c>
      <c r="W64" s="48">
        <f>O64*Q$6*S$6*U$6</f>
        <v>0</v>
      </c>
      <c r="X64" s="52" t="s">
        <v>88</v>
      </c>
      <c r="Y64" s="48">
        <f>W64*C_CO2</f>
        <v>0</v>
      </c>
      <c r="AC64" s="42" t="e">
        <f>VLOOKUP(SelectedStateAbbr,Population!$A$6:$AF$57,$A64,FALSE)</f>
        <v>#N/A</v>
      </c>
    </row>
    <row r="65" spans="1:29" ht="11">
      <c r="A65" s="38"/>
      <c r="B65" s="40"/>
      <c r="C65" s="113"/>
      <c r="D65" s="50"/>
      <c r="E65" s="50"/>
      <c r="F65" s="50"/>
      <c r="G65" s="50"/>
      <c r="H65" s="50"/>
      <c r="I65" s="50"/>
      <c r="J65" s="50"/>
      <c r="K65" s="50"/>
      <c r="L65" s="50"/>
      <c r="M65" s="50"/>
      <c r="N65" s="50"/>
      <c r="O65" s="69"/>
      <c r="P65" s="50"/>
      <c r="Q65" s="50"/>
      <c r="R65" s="50"/>
      <c r="S65" s="50"/>
      <c r="T65" s="50"/>
      <c r="U65" s="82"/>
      <c r="V65" s="50"/>
      <c r="W65" s="50"/>
      <c r="X65" s="50"/>
      <c r="AC65" s="49" t="str">
        <f>""</f>
        <v/>
      </c>
    </row>
    <row r="66" spans="1:29" ht="13">
      <c r="A66" s="38">
        <v>32</v>
      </c>
      <c r="B66" s="39">
        <f>B64+1</f>
        <v>2020</v>
      </c>
      <c r="C66" s="120"/>
      <c r="D66" s="51" t="s">
        <v>87</v>
      </c>
      <c r="E66" s="43">
        <f>Control!$F$19</f>
        <v>0</v>
      </c>
      <c r="F66" s="51" t="s">
        <v>87</v>
      </c>
      <c r="G66" s="44">
        <f>Control!$D$103</f>
        <v>365</v>
      </c>
      <c r="H66" s="51" t="s">
        <v>87</v>
      </c>
      <c r="I66" s="58">
        <f>Control!$D$105</f>
        <v>1E-3</v>
      </c>
      <c r="J66" s="51" t="s">
        <v>87</v>
      </c>
      <c r="K66" s="46">
        <f>Control!$F$21</f>
        <v>0</v>
      </c>
      <c r="L66" s="51" t="s">
        <v>87</v>
      </c>
      <c r="M66" s="45">
        <f>Control!$F$20</f>
        <v>0</v>
      </c>
      <c r="N66" s="52" t="s">
        <v>88</v>
      </c>
      <c r="O66" s="66">
        <f>C66*$E$6*$G$6*$M$6*$K$6*$I$6</f>
        <v>0</v>
      </c>
      <c r="P66" s="51" t="s">
        <v>87</v>
      </c>
      <c r="Q66" s="70">
        <f>Control!$D$101</f>
        <v>28</v>
      </c>
      <c r="R66" s="51" t="s">
        <v>87</v>
      </c>
      <c r="S66" s="47">
        <f>Control!$D$104</f>
        <v>9.9999999999999995E-7</v>
      </c>
      <c r="T66" s="51" t="s">
        <v>87</v>
      </c>
      <c r="U66" s="46">
        <f>Control!$D$100</f>
        <v>0.27272727272727271</v>
      </c>
      <c r="V66" s="52" t="s">
        <v>88</v>
      </c>
      <c r="W66" s="48">
        <f>O66*Q$6*S$6*U$6</f>
        <v>0</v>
      </c>
      <c r="X66" s="52" t="s">
        <v>88</v>
      </c>
      <c r="Y66" s="48">
        <f>W66*C_CO2</f>
        <v>0</v>
      </c>
      <c r="AC66" s="42" t="e">
        <f>VLOOKUP(SelectedStateAbbr,Population!$A$6:$AF$57,$A66,FALSE)</f>
        <v>#N/A</v>
      </c>
    </row>
    <row r="67" spans="1:29" ht="11.25" customHeight="1">
      <c r="A67" s="110"/>
    </row>
    <row r="68" spans="1:29" ht="13">
      <c r="A68" s="38">
        <v>33</v>
      </c>
      <c r="B68" s="39">
        <f>B66+1</f>
        <v>2021</v>
      </c>
      <c r="C68" s="120"/>
      <c r="D68" s="51" t="s">
        <v>87</v>
      </c>
      <c r="E68" s="43">
        <f>Control!$F$19</f>
        <v>0</v>
      </c>
      <c r="F68" s="51" t="s">
        <v>87</v>
      </c>
      <c r="G68" s="44">
        <f>Control!$D$103</f>
        <v>365</v>
      </c>
      <c r="H68" s="51" t="s">
        <v>87</v>
      </c>
      <c r="I68" s="58">
        <f>Control!$D$105</f>
        <v>1E-3</v>
      </c>
      <c r="J68" s="51" t="s">
        <v>87</v>
      </c>
      <c r="K68" s="46">
        <f>Control!$F$21</f>
        <v>0</v>
      </c>
      <c r="L68" s="51" t="s">
        <v>87</v>
      </c>
      <c r="M68" s="45">
        <f>Control!$F$20</f>
        <v>0</v>
      </c>
      <c r="N68" s="52" t="s">
        <v>88</v>
      </c>
      <c r="O68" s="66">
        <f>C68*$E$6*$G$6*$M$6*$K$6*$I$6</f>
        <v>0</v>
      </c>
      <c r="P68" s="51" t="s">
        <v>87</v>
      </c>
      <c r="Q68" s="70">
        <f>Control!$D$101</f>
        <v>28</v>
      </c>
      <c r="R68" s="51" t="s">
        <v>87</v>
      </c>
      <c r="S68" s="47">
        <f>Control!$D$104</f>
        <v>9.9999999999999995E-7</v>
      </c>
      <c r="T68" s="51" t="s">
        <v>87</v>
      </c>
      <c r="U68" s="46">
        <f>Control!$D$100</f>
        <v>0.27272727272727271</v>
      </c>
      <c r="V68" s="52" t="s">
        <v>88</v>
      </c>
      <c r="W68" s="48">
        <f>O68*Q$6*S$6*U$6</f>
        <v>0</v>
      </c>
      <c r="X68" s="52" t="s">
        <v>88</v>
      </c>
      <c r="Y68" s="48">
        <f>W68*C_CO2</f>
        <v>0</v>
      </c>
      <c r="AC68" s="42" t="e">
        <f>VLOOKUP(SelectedStateAbbr,Population!$A$6:$AK$57,$A68,FALSE)</f>
        <v>#N/A</v>
      </c>
    </row>
    <row r="70" spans="1:29" ht="13">
      <c r="A70" s="38">
        <v>34</v>
      </c>
      <c r="B70" s="39">
        <f>B68+1</f>
        <v>2022</v>
      </c>
      <c r="C70" s="120"/>
      <c r="D70" s="51" t="s">
        <v>87</v>
      </c>
      <c r="E70" s="43">
        <f>Control!$F$19</f>
        <v>0</v>
      </c>
      <c r="F70" s="51" t="s">
        <v>87</v>
      </c>
      <c r="G70" s="44">
        <f>Control!$D$103</f>
        <v>365</v>
      </c>
      <c r="H70" s="51" t="s">
        <v>87</v>
      </c>
      <c r="I70" s="58">
        <f>Control!$D$105</f>
        <v>1E-3</v>
      </c>
      <c r="J70" s="51" t="s">
        <v>87</v>
      </c>
      <c r="K70" s="46">
        <f>Control!$F$21</f>
        <v>0</v>
      </c>
      <c r="L70" s="51" t="s">
        <v>87</v>
      </c>
      <c r="M70" s="45">
        <f>Control!$F$20</f>
        <v>0</v>
      </c>
      <c r="N70" s="52" t="s">
        <v>88</v>
      </c>
      <c r="O70" s="66">
        <f>C70*$E$6*$G$6*$M$6*$K$6*$I$6</f>
        <v>0</v>
      </c>
      <c r="P70" s="51" t="s">
        <v>87</v>
      </c>
      <c r="Q70" s="70">
        <f>Control!$D$101</f>
        <v>28</v>
      </c>
      <c r="R70" s="51" t="s">
        <v>87</v>
      </c>
      <c r="S70" s="47">
        <f>Control!$D$104</f>
        <v>9.9999999999999995E-7</v>
      </c>
      <c r="T70" s="51" t="s">
        <v>87</v>
      </c>
      <c r="U70" s="46">
        <f>Control!$D$100</f>
        <v>0.27272727272727271</v>
      </c>
      <c r="V70" s="52" t="s">
        <v>88</v>
      </c>
      <c r="W70" s="48">
        <f>O70*Q$6*S$6*U$6</f>
        <v>0</v>
      </c>
      <c r="X70" s="52" t="s">
        <v>88</v>
      </c>
      <c r="Y70" s="48">
        <f>W70*C_CO2</f>
        <v>0</v>
      </c>
      <c r="AC70" s="42" t="e">
        <f>VLOOKUP(SelectedStateAbbr,Population!$A$6:$AK$57,$A70,FALSE)</f>
        <v>#N/A</v>
      </c>
    </row>
    <row r="72" spans="1:29" ht="13">
      <c r="A72" s="38">
        <v>35</v>
      </c>
      <c r="B72" s="39">
        <f>B70+1</f>
        <v>2023</v>
      </c>
      <c r="C72" s="120"/>
      <c r="D72" s="51" t="s">
        <v>87</v>
      </c>
      <c r="E72" s="43">
        <f>Control!$F$19</f>
        <v>0</v>
      </c>
      <c r="F72" s="51" t="s">
        <v>87</v>
      </c>
      <c r="G72" s="44">
        <f>Control!$D$103</f>
        <v>365</v>
      </c>
      <c r="H72" s="51" t="s">
        <v>87</v>
      </c>
      <c r="I72" s="58">
        <f>Control!$D$105</f>
        <v>1E-3</v>
      </c>
      <c r="J72" s="51" t="s">
        <v>87</v>
      </c>
      <c r="K72" s="46">
        <f>Control!$F$21</f>
        <v>0</v>
      </c>
      <c r="L72" s="51" t="s">
        <v>87</v>
      </c>
      <c r="M72" s="45">
        <f>Control!$F$20</f>
        <v>0</v>
      </c>
      <c r="N72" s="52" t="s">
        <v>88</v>
      </c>
      <c r="O72" s="66">
        <f>C72*$E$6*$G$6*$M$6*$K$6*$I$6</f>
        <v>0</v>
      </c>
      <c r="P72" s="51" t="s">
        <v>87</v>
      </c>
      <c r="Q72" s="70">
        <f>Control!$D$101</f>
        <v>28</v>
      </c>
      <c r="R72" s="51" t="s">
        <v>87</v>
      </c>
      <c r="S72" s="47">
        <f>Control!$D$104</f>
        <v>9.9999999999999995E-7</v>
      </c>
      <c r="T72" s="51" t="s">
        <v>87</v>
      </c>
      <c r="U72" s="46">
        <f>Control!$D$100</f>
        <v>0.27272727272727271</v>
      </c>
      <c r="V72" s="52" t="s">
        <v>88</v>
      </c>
      <c r="W72" s="48">
        <f>O72*Q$6*S$6*U$6</f>
        <v>0</v>
      </c>
      <c r="X72" s="52" t="s">
        <v>88</v>
      </c>
      <c r="Y72" s="48">
        <f>W72*C_CO2</f>
        <v>0</v>
      </c>
      <c r="AC72" s="42" t="e">
        <f>VLOOKUP(SelectedStateAbbr,Population!$A$6:$AK$57,$A72,FALSE)</f>
        <v>#N/A</v>
      </c>
    </row>
    <row r="74" spans="1:29" ht="13">
      <c r="A74" s="38">
        <v>36</v>
      </c>
      <c r="B74" s="39">
        <f>B72+1</f>
        <v>2024</v>
      </c>
      <c r="C74" s="120"/>
      <c r="D74" s="51" t="s">
        <v>87</v>
      </c>
      <c r="E74" s="43">
        <f>Control!$F$19</f>
        <v>0</v>
      </c>
      <c r="F74" s="51" t="s">
        <v>87</v>
      </c>
      <c r="G74" s="44">
        <f>Control!$D$103</f>
        <v>365</v>
      </c>
      <c r="H74" s="51" t="s">
        <v>87</v>
      </c>
      <c r="I74" s="58">
        <f>Control!$D$105</f>
        <v>1E-3</v>
      </c>
      <c r="J74" s="51" t="s">
        <v>87</v>
      </c>
      <c r="K74" s="46">
        <f>Control!$F$21</f>
        <v>0</v>
      </c>
      <c r="L74" s="51" t="s">
        <v>87</v>
      </c>
      <c r="M74" s="45">
        <f>Control!$F$20</f>
        <v>0</v>
      </c>
      <c r="N74" s="52" t="s">
        <v>88</v>
      </c>
      <c r="O74" s="66">
        <f>C74*$E$6*$G$6*$M$6*$K$6*$I$6</f>
        <v>0</v>
      </c>
      <c r="P74" s="51" t="s">
        <v>87</v>
      </c>
      <c r="Q74" s="70">
        <f>Control!$D$101</f>
        <v>28</v>
      </c>
      <c r="R74" s="51" t="s">
        <v>87</v>
      </c>
      <c r="S74" s="47">
        <f>Control!$D$104</f>
        <v>9.9999999999999995E-7</v>
      </c>
      <c r="T74" s="51" t="s">
        <v>87</v>
      </c>
      <c r="U74" s="46">
        <f>Control!$D$100</f>
        <v>0.27272727272727271</v>
      </c>
      <c r="V74" s="52" t="s">
        <v>88</v>
      </c>
      <c r="W74" s="48">
        <f>O74*Q$6*S$6*U$6</f>
        <v>0</v>
      </c>
      <c r="X74" s="52" t="s">
        <v>88</v>
      </c>
      <c r="Y74" s="48">
        <f>W74*C_CO2</f>
        <v>0</v>
      </c>
      <c r="AC74" s="42" t="e">
        <f>VLOOKUP(SelectedStateAbbr,Population!$A$6:$AK$57,$A74,FALSE)</f>
        <v>#N/A</v>
      </c>
    </row>
    <row r="76" spans="1:29" ht="13">
      <c r="A76" s="38">
        <v>37</v>
      </c>
      <c r="B76" s="39">
        <f>B74+1</f>
        <v>2025</v>
      </c>
      <c r="C76" s="120"/>
      <c r="D76" s="51" t="s">
        <v>87</v>
      </c>
      <c r="E76" s="43">
        <f>Control!$F$19</f>
        <v>0</v>
      </c>
      <c r="F76" s="51" t="s">
        <v>87</v>
      </c>
      <c r="G76" s="44">
        <f>Control!$D$103</f>
        <v>365</v>
      </c>
      <c r="H76" s="51" t="s">
        <v>87</v>
      </c>
      <c r="I76" s="58">
        <f>Control!$D$105</f>
        <v>1E-3</v>
      </c>
      <c r="J76" s="51" t="s">
        <v>87</v>
      </c>
      <c r="K76" s="46">
        <f>Control!$F$21</f>
        <v>0</v>
      </c>
      <c r="L76" s="51" t="s">
        <v>87</v>
      </c>
      <c r="M76" s="45">
        <f>Control!$F$20</f>
        <v>0</v>
      </c>
      <c r="N76" s="52" t="s">
        <v>88</v>
      </c>
      <c r="O76" s="66">
        <f>C76*$E$6*$G$6*$M$6*$K$6*$I$6</f>
        <v>0</v>
      </c>
      <c r="P76" s="51" t="s">
        <v>87</v>
      </c>
      <c r="Q76" s="70">
        <f>Control!$D$101</f>
        <v>28</v>
      </c>
      <c r="R76" s="51" t="s">
        <v>87</v>
      </c>
      <c r="S76" s="47">
        <f>Control!$D$104</f>
        <v>9.9999999999999995E-7</v>
      </c>
      <c r="T76" s="51" t="s">
        <v>87</v>
      </c>
      <c r="U76" s="46">
        <f>Control!$D$100</f>
        <v>0.27272727272727271</v>
      </c>
      <c r="V76" s="52" t="s">
        <v>88</v>
      </c>
      <c r="W76" s="48">
        <f>O76*Q$6*S$6*U$6</f>
        <v>0</v>
      </c>
      <c r="X76" s="52" t="s">
        <v>88</v>
      </c>
      <c r="Y76" s="48">
        <f>W76*C_CO2</f>
        <v>0</v>
      </c>
      <c r="AC76" s="42" t="e">
        <f>VLOOKUP(SelectedStateAbbr,Population!$A$6:$AK$57,$A76,FALSE)</f>
        <v>#N/A</v>
      </c>
    </row>
  </sheetData>
  <sheetProtection algorithmName="SHA-512" hashValue="W9fcQ/Z9DTOg5egMNbgHaLru/jl5g+8/DSpCUYdl2TE3s58EIQm/mBC3xqTGSvVh+SG/BQ18vHst1uwrmwMUvA==" saltValue="z4vZ7E7S4z6SwYKG7QxzrQ==" spinCount="100000" sheet="1" objects="1" scenarios="1"/>
  <phoneticPr fontId="0" type="noConversion"/>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A76"/>
  <sheetViews>
    <sheetView showGridLines="0" zoomScaleNormal="100" workbookViewId="0">
      <pane ySplit="4" topLeftCell="A5" activePane="bottomLeft" state="frozen"/>
      <selection pane="bottomLeft" activeCell="K63" sqref="K63"/>
    </sheetView>
  </sheetViews>
  <sheetFormatPr baseColWidth="10" defaultColWidth="8" defaultRowHeight="11.25" customHeight="1"/>
  <cols>
    <col min="1" max="1" width="2.83203125" style="2" customWidth="1"/>
    <col min="2" max="2" width="5.1640625" style="2" customWidth="1"/>
    <col min="3" max="3" width="13.1640625" style="2" customWidth="1"/>
    <col min="4" max="4" width="1.83203125" style="2" bestFit="1" customWidth="1"/>
    <col min="5" max="5" width="13.5" style="7" customWidth="1"/>
    <col min="6" max="6" width="1.83203125" style="2" bestFit="1" customWidth="1"/>
    <col min="7" max="7" width="16.1640625" style="2" customWidth="1"/>
    <col min="8" max="8" width="1.83203125" style="2" bestFit="1" customWidth="1"/>
    <col min="9" max="9" width="9.83203125" style="2" customWidth="1"/>
    <col min="10" max="10" width="1.83203125" style="2" bestFit="1" customWidth="1"/>
    <col min="11" max="11" width="13.83203125" style="2" customWidth="1"/>
    <col min="12" max="12" width="1.83203125" style="2" bestFit="1" customWidth="1"/>
    <col min="13" max="13" width="6" style="2" bestFit="1" customWidth="1"/>
    <col min="14" max="14" width="1.83203125" style="2" bestFit="1" customWidth="1"/>
    <col min="15" max="15" width="10.1640625" style="2" bestFit="1" customWidth="1"/>
    <col min="16" max="16" width="1.83203125" style="2" bestFit="1" customWidth="1"/>
    <col min="17" max="17" width="8" style="2" customWidth="1"/>
    <col min="18" max="18" width="1.83203125" style="2" bestFit="1" customWidth="1"/>
    <col min="19" max="19" width="10.1640625" style="2" customWidth="1"/>
    <col min="20" max="20" width="1.83203125" style="2" bestFit="1" customWidth="1"/>
    <col min="21" max="21" width="10" style="2" customWidth="1"/>
    <col min="22" max="22" width="1.83203125" style="2" bestFit="1" customWidth="1"/>
    <col min="23" max="23" width="12.5" style="2" customWidth="1"/>
    <col min="24" max="24" width="13.5" style="2" customWidth="1"/>
    <col min="25" max="25" width="13.83203125" style="2" customWidth="1"/>
    <col min="26" max="26" width="5.5" style="2" customWidth="1"/>
    <col min="27" max="27" width="11.1640625" style="7" customWidth="1"/>
    <col min="28" max="28" width="10" style="2" customWidth="1"/>
    <col min="29" max="16384" width="8" style="2"/>
  </cols>
  <sheetData>
    <row r="1" spans="1:27" s="123" customFormat="1" ht="21">
      <c r="A1" s="121"/>
      <c r="B1" s="122" t="str">
        <f>"5. "&amp;SelectedState &amp; " Direct Nitrous Oxide Emissions from Municipal Wastewater Treatment"</f>
        <v>5. Select a state . . . Direct Nitrous Oxide Emissions from Municipal Wastewater Treatment</v>
      </c>
      <c r="C1" s="122"/>
      <c r="J1" s="122"/>
      <c r="Y1" s="122"/>
    </row>
    <row r="2" spans="1:27" ht="78" customHeight="1">
      <c r="E2" s="2"/>
      <c r="I2" s="110"/>
      <c r="AA2" s="2"/>
    </row>
    <row r="3" spans="1:27" ht="39">
      <c r="A3" s="24"/>
      <c r="B3" s="33"/>
      <c r="C3" s="161" t="s">
        <v>68</v>
      </c>
      <c r="D3" s="35"/>
      <c r="E3" s="166" t="s">
        <v>89</v>
      </c>
      <c r="F3" s="162"/>
      <c r="G3" s="161" t="s">
        <v>90</v>
      </c>
      <c r="H3" s="162"/>
      <c r="I3" s="161" t="s">
        <v>71</v>
      </c>
      <c r="J3" s="161"/>
      <c r="K3" s="161" t="s">
        <v>91</v>
      </c>
      <c r="L3" s="162"/>
      <c r="M3" s="161" t="s">
        <v>92</v>
      </c>
      <c r="N3" s="162"/>
      <c r="O3" s="161" t="s">
        <v>71</v>
      </c>
      <c r="P3" s="161"/>
      <c r="Q3" s="161" t="s">
        <v>76</v>
      </c>
      <c r="R3" s="162"/>
      <c r="S3" s="161" t="s">
        <v>74</v>
      </c>
      <c r="U3" s="161" t="s">
        <v>74</v>
      </c>
      <c r="W3" s="33"/>
      <c r="AA3" s="2"/>
    </row>
    <row r="4" spans="1:27" ht="13">
      <c r="A4" s="18"/>
      <c r="B4" s="35"/>
      <c r="C4" s="36"/>
      <c r="D4" s="36"/>
      <c r="E4" s="167"/>
      <c r="F4" s="168"/>
      <c r="G4" s="167" t="s">
        <v>93</v>
      </c>
      <c r="H4" s="168"/>
      <c r="I4" s="168" t="s">
        <v>94</v>
      </c>
      <c r="J4" s="168"/>
      <c r="K4" s="167" t="s">
        <v>95</v>
      </c>
      <c r="L4" s="168"/>
      <c r="M4" s="169" t="s">
        <v>83</v>
      </c>
      <c r="N4" s="168"/>
      <c r="O4" s="168" t="s">
        <v>84</v>
      </c>
      <c r="P4" s="36"/>
      <c r="Q4" s="36"/>
      <c r="R4" s="36"/>
      <c r="S4" s="169" t="s">
        <v>85</v>
      </c>
      <c r="U4" s="165" t="s">
        <v>86</v>
      </c>
      <c r="W4" s="36"/>
      <c r="AA4" s="2"/>
    </row>
    <row r="5" spans="1:27" ht="6.75" customHeight="1">
      <c r="A5" s="18"/>
      <c r="B5" s="34"/>
      <c r="C5" s="54"/>
      <c r="D5" s="34"/>
      <c r="E5" s="54"/>
      <c r="F5" s="54"/>
      <c r="G5" s="54"/>
      <c r="H5" s="54"/>
      <c r="I5" s="54"/>
      <c r="J5" s="54"/>
      <c r="K5" s="54"/>
      <c r="L5" s="54"/>
      <c r="M5" s="54"/>
      <c r="N5" s="54"/>
      <c r="O5" s="54"/>
      <c r="P5" s="54"/>
      <c r="Q5" s="54"/>
      <c r="R5" s="54"/>
      <c r="S5" s="54"/>
      <c r="W5" s="34"/>
      <c r="AA5" s="2"/>
    </row>
    <row r="6" spans="1:27" ht="13">
      <c r="A6" s="37">
        <v>2</v>
      </c>
      <c r="B6" s="39">
        <v>1990</v>
      </c>
      <c r="C6" s="108">
        <f>'Municipal WW, CH4'!C6</f>
        <v>0</v>
      </c>
      <c r="D6" s="51" t="s">
        <v>87</v>
      </c>
      <c r="E6" s="140">
        <f>Control!$F$26</f>
        <v>0</v>
      </c>
      <c r="F6" s="51" t="s">
        <v>87</v>
      </c>
      <c r="G6" s="66">
        <f>Control!$F$27</f>
        <v>0</v>
      </c>
      <c r="H6" s="51" t="s">
        <v>87</v>
      </c>
      <c r="I6" s="142">
        <f>0.000001</f>
        <v>9.9999999999999995E-7</v>
      </c>
      <c r="J6" s="52" t="s">
        <v>88</v>
      </c>
      <c r="K6" s="63">
        <f>C6*E6*G6*I6</f>
        <v>0</v>
      </c>
      <c r="L6" s="51" t="s">
        <v>87</v>
      </c>
      <c r="M6" s="70">
        <f>Control!$D$102</f>
        <v>265</v>
      </c>
      <c r="N6" s="51" t="s">
        <v>87</v>
      </c>
      <c r="O6" s="47">
        <f>Control!$D$104</f>
        <v>9.9999999999999995E-7</v>
      </c>
      <c r="P6" s="51" t="s">
        <v>87</v>
      </c>
      <c r="Q6" s="46">
        <f>Control!$D$100</f>
        <v>0.27272727272727271</v>
      </c>
      <c r="R6" s="52" t="s">
        <v>88</v>
      </c>
      <c r="S6" s="48">
        <f>K6*M6*O6*Q6</f>
        <v>0</v>
      </c>
      <c r="T6" s="52" t="s">
        <v>88</v>
      </c>
      <c r="U6" s="48">
        <f>S6*C_CO2</f>
        <v>0</v>
      </c>
      <c r="W6" s="51"/>
      <c r="AA6" s="2"/>
    </row>
    <row r="7" spans="1:27" ht="11">
      <c r="A7" s="37"/>
      <c r="B7" s="40"/>
      <c r="C7" s="109"/>
      <c r="D7" s="40"/>
      <c r="E7" s="109"/>
      <c r="F7" s="50"/>
      <c r="G7" s="50"/>
      <c r="H7" s="50"/>
      <c r="I7" s="50"/>
      <c r="J7" s="50"/>
      <c r="K7" s="139"/>
      <c r="L7" s="50"/>
      <c r="M7" s="50"/>
      <c r="N7" s="50"/>
      <c r="O7" s="50"/>
      <c r="P7" s="50"/>
      <c r="Q7" s="82"/>
      <c r="R7" s="50"/>
      <c r="S7" s="50"/>
      <c r="T7" s="50"/>
      <c r="W7" s="40"/>
      <c r="AA7" s="2"/>
    </row>
    <row r="8" spans="1:27" ht="13">
      <c r="A8" s="37">
        <v>3</v>
      </c>
      <c r="B8" s="39">
        <f>B6+1</f>
        <v>1991</v>
      </c>
      <c r="C8" s="108">
        <f>'Municipal WW, CH4'!C8</f>
        <v>0</v>
      </c>
      <c r="D8" s="51" t="s">
        <v>87</v>
      </c>
      <c r="E8" s="140">
        <f>Control!$F$26</f>
        <v>0</v>
      </c>
      <c r="F8" s="51" t="s">
        <v>87</v>
      </c>
      <c r="G8" s="66">
        <f>Control!$F$27</f>
        <v>0</v>
      </c>
      <c r="H8" s="51" t="s">
        <v>87</v>
      </c>
      <c r="I8" s="142">
        <f>0.000001</f>
        <v>9.9999999999999995E-7</v>
      </c>
      <c r="J8" s="52" t="s">
        <v>88</v>
      </c>
      <c r="K8" s="63">
        <f>C8*E8*G8*I8</f>
        <v>0</v>
      </c>
      <c r="L8" s="51" t="s">
        <v>87</v>
      </c>
      <c r="M8" s="70">
        <f>Control!$D$102</f>
        <v>265</v>
      </c>
      <c r="N8" s="51" t="s">
        <v>87</v>
      </c>
      <c r="O8" s="47">
        <f>Control!$D$104</f>
        <v>9.9999999999999995E-7</v>
      </c>
      <c r="P8" s="51" t="s">
        <v>87</v>
      </c>
      <c r="Q8" s="46">
        <f>Control!$D$100</f>
        <v>0.27272727272727271</v>
      </c>
      <c r="R8" s="52" t="s">
        <v>88</v>
      </c>
      <c r="S8" s="48">
        <f>K8*M8*O8*Q8</f>
        <v>0</v>
      </c>
      <c r="T8" s="52" t="s">
        <v>88</v>
      </c>
      <c r="U8" s="48">
        <f>S8*C_CO2</f>
        <v>0</v>
      </c>
      <c r="W8" s="51"/>
      <c r="AA8" s="2"/>
    </row>
    <row r="9" spans="1:27" ht="11">
      <c r="A9" s="38"/>
      <c r="B9" s="41"/>
      <c r="C9" s="50"/>
      <c r="D9" s="40"/>
      <c r="E9" s="50"/>
      <c r="F9" s="50"/>
      <c r="G9" s="50"/>
      <c r="H9" s="50"/>
      <c r="I9" s="50"/>
      <c r="J9" s="50"/>
      <c r="K9" s="139"/>
      <c r="L9" s="50"/>
      <c r="M9" s="50"/>
      <c r="N9" s="50"/>
      <c r="O9" s="50"/>
      <c r="P9" s="50"/>
      <c r="Q9" s="82"/>
      <c r="R9" s="50"/>
      <c r="S9" s="50"/>
      <c r="T9" s="50"/>
      <c r="W9" s="40"/>
      <c r="AA9" s="2"/>
    </row>
    <row r="10" spans="1:27" ht="13">
      <c r="A10" s="38">
        <v>4</v>
      </c>
      <c r="B10" s="39">
        <f>B8+1</f>
        <v>1992</v>
      </c>
      <c r="C10" s="108">
        <f>'Municipal WW, CH4'!C10</f>
        <v>0</v>
      </c>
      <c r="D10" s="51" t="s">
        <v>87</v>
      </c>
      <c r="E10" s="140">
        <f>Control!$F$26</f>
        <v>0</v>
      </c>
      <c r="F10" s="51" t="s">
        <v>87</v>
      </c>
      <c r="G10" s="66">
        <f>Control!$F$27</f>
        <v>0</v>
      </c>
      <c r="H10" s="51" t="s">
        <v>87</v>
      </c>
      <c r="I10" s="142">
        <f>0.000001</f>
        <v>9.9999999999999995E-7</v>
      </c>
      <c r="J10" s="52" t="s">
        <v>88</v>
      </c>
      <c r="K10" s="63">
        <f>C10*E10*G10*I10</f>
        <v>0</v>
      </c>
      <c r="L10" s="51" t="s">
        <v>87</v>
      </c>
      <c r="M10" s="70">
        <f>Control!$D$102</f>
        <v>265</v>
      </c>
      <c r="N10" s="51" t="s">
        <v>87</v>
      </c>
      <c r="O10" s="47">
        <f>Control!$D$104</f>
        <v>9.9999999999999995E-7</v>
      </c>
      <c r="P10" s="51" t="s">
        <v>87</v>
      </c>
      <c r="Q10" s="46">
        <f>Control!$D$100</f>
        <v>0.27272727272727271</v>
      </c>
      <c r="R10" s="52" t="s">
        <v>88</v>
      </c>
      <c r="S10" s="48">
        <f>K10*M10*O10*Q10</f>
        <v>0</v>
      </c>
      <c r="T10" s="52" t="s">
        <v>88</v>
      </c>
      <c r="U10" s="48">
        <f>S10*C_CO2</f>
        <v>0</v>
      </c>
      <c r="W10" s="51"/>
      <c r="AA10" s="2"/>
    </row>
    <row r="11" spans="1:27" ht="11">
      <c r="A11" s="38"/>
      <c r="B11" s="40"/>
      <c r="C11" s="109"/>
      <c r="D11" s="40"/>
      <c r="E11" s="109"/>
      <c r="F11" s="50"/>
      <c r="G11" s="50"/>
      <c r="H11" s="50"/>
      <c r="I11" s="50"/>
      <c r="J11" s="50"/>
      <c r="K11" s="139"/>
      <c r="L11" s="50"/>
      <c r="M11" s="50"/>
      <c r="N11" s="50"/>
      <c r="O11" s="50"/>
      <c r="P11" s="50"/>
      <c r="Q11" s="82"/>
      <c r="R11" s="50"/>
      <c r="S11" s="50"/>
      <c r="T11" s="50"/>
      <c r="W11" s="40"/>
      <c r="AA11" s="2"/>
    </row>
    <row r="12" spans="1:27" ht="13">
      <c r="A12" s="37">
        <v>5</v>
      </c>
      <c r="B12" s="39">
        <f>B10+1</f>
        <v>1993</v>
      </c>
      <c r="C12" s="108">
        <f>'Municipal WW, CH4'!C12</f>
        <v>0</v>
      </c>
      <c r="D12" s="51" t="s">
        <v>87</v>
      </c>
      <c r="E12" s="140">
        <f>Control!$F$26</f>
        <v>0</v>
      </c>
      <c r="F12" s="51" t="s">
        <v>87</v>
      </c>
      <c r="G12" s="66">
        <f>Control!$F$27</f>
        <v>0</v>
      </c>
      <c r="H12" s="51" t="s">
        <v>87</v>
      </c>
      <c r="I12" s="142">
        <f>0.000001</f>
        <v>9.9999999999999995E-7</v>
      </c>
      <c r="J12" s="52" t="s">
        <v>88</v>
      </c>
      <c r="K12" s="63">
        <f>C12*E12*G12*I12</f>
        <v>0</v>
      </c>
      <c r="L12" s="51" t="s">
        <v>87</v>
      </c>
      <c r="M12" s="70">
        <f>Control!$D$102</f>
        <v>265</v>
      </c>
      <c r="N12" s="51" t="s">
        <v>87</v>
      </c>
      <c r="O12" s="47">
        <f>Control!$D$104</f>
        <v>9.9999999999999995E-7</v>
      </c>
      <c r="P12" s="51" t="s">
        <v>87</v>
      </c>
      <c r="Q12" s="46">
        <f>Control!$D$100</f>
        <v>0.27272727272727271</v>
      </c>
      <c r="R12" s="52" t="s">
        <v>88</v>
      </c>
      <c r="S12" s="48">
        <f>K12*M12*O12*Q12</f>
        <v>0</v>
      </c>
      <c r="T12" s="52" t="s">
        <v>88</v>
      </c>
      <c r="U12" s="48">
        <f>S12*C_CO2</f>
        <v>0</v>
      </c>
      <c r="W12" s="51"/>
      <c r="AA12" s="2"/>
    </row>
    <row r="13" spans="1:27" ht="11">
      <c r="A13" s="38"/>
      <c r="B13" s="40"/>
      <c r="C13" s="109"/>
      <c r="D13" s="40"/>
      <c r="E13" s="109"/>
      <c r="F13" s="50"/>
      <c r="G13" s="50"/>
      <c r="H13" s="50"/>
      <c r="I13" s="50"/>
      <c r="J13" s="50"/>
      <c r="K13" s="139"/>
      <c r="L13" s="50"/>
      <c r="M13" s="50"/>
      <c r="N13" s="50"/>
      <c r="O13" s="50"/>
      <c r="P13" s="50"/>
      <c r="Q13" s="82"/>
      <c r="R13" s="50"/>
      <c r="S13" s="50"/>
      <c r="T13" s="50"/>
      <c r="W13" s="40"/>
      <c r="AA13" s="2"/>
    </row>
    <row r="14" spans="1:27" ht="13">
      <c r="A14" s="38">
        <v>6</v>
      </c>
      <c r="B14" s="39">
        <f>B12+1</f>
        <v>1994</v>
      </c>
      <c r="C14" s="108">
        <f>'Municipal WW, CH4'!C14</f>
        <v>0</v>
      </c>
      <c r="D14" s="51" t="s">
        <v>87</v>
      </c>
      <c r="E14" s="140">
        <f>Control!$F$26</f>
        <v>0</v>
      </c>
      <c r="F14" s="51" t="s">
        <v>87</v>
      </c>
      <c r="G14" s="66">
        <f>Control!$F$27</f>
        <v>0</v>
      </c>
      <c r="H14" s="51" t="s">
        <v>87</v>
      </c>
      <c r="I14" s="142">
        <f>0.000001</f>
        <v>9.9999999999999995E-7</v>
      </c>
      <c r="J14" s="52" t="s">
        <v>88</v>
      </c>
      <c r="K14" s="63">
        <f>C14*E14*G14*I14</f>
        <v>0</v>
      </c>
      <c r="L14" s="51" t="s">
        <v>87</v>
      </c>
      <c r="M14" s="70">
        <f>Control!$D$102</f>
        <v>265</v>
      </c>
      <c r="N14" s="51" t="s">
        <v>87</v>
      </c>
      <c r="O14" s="47">
        <f>Control!$D$104</f>
        <v>9.9999999999999995E-7</v>
      </c>
      <c r="P14" s="51" t="s">
        <v>87</v>
      </c>
      <c r="Q14" s="46">
        <f>Control!$D$100</f>
        <v>0.27272727272727271</v>
      </c>
      <c r="R14" s="52" t="s">
        <v>88</v>
      </c>
      <c r="S14" s="48">
        <f>K14*M14*O14*Q14</f>
        <v>0</v>
      </c>
      <c r="T14" s="52" t="s">
        <v>88</v>
      </c>
      <c r="U14" s="48">
        <f>S14*C_CO2</f>
        <v>0</v>
      </c>
      <c r="W14" s="51"/>
      <c r="AA14" s="2"/>
    </row>
    <row r="15" spans="1:27" ht="11">
      <c r="A15" s="38"/>
      <c r="B15" s="40"/>
      <c r="C15" s="50"/>
      <c r="D15" s="40"/>
      <c r="E15" s="50"/>
      <c r="F15" s="50"/>
      <c r="G15" s="50"/>
      <c r="H15" s="50"/>
      <c r="I15" s="50"/>
      <c r="J15" s="50"/>
      <c r="K15" s="139"/>
      <c r="L15" s="50"/>
      <c r="M15" s="50"/>
      <c r="N15" s="50"/>
      <c r="O15" s="50"/>
      <c r="P15" s="50"/>
      <c r="Q15" s="82"/>
      <c r="R15" s="50"/>
      <c r="S15" s="50"/>
      <c r="T15" s="50"/>
      <c r="W15" s="40"/>
      <c r="AA15" s="2"/>
    </row>
    <row r="16" spans="1:27" ht="13">
      <c r="A16" s="38">
        <v>7</v>
      </c>
      <c r="B16" s="39">
        <f>B14+1</f>
        <v>1995</v>
      </c>
      <c r="C16" s="108">
        <f>'Municipal WW, CH4'!C16</f>
        <v>0</v>
      </c>
      <c r="D16" s="51" t="s">
        <v>87</v>
      </c>
      <c r="E16" s="140">
        <f>Control!$F$26</f>
        <v>0</v>
      </c>
      <c r="F16" s="51" t="s">
        <v>87</v>
      </c>
      <c r="G16" s="66">
        <f>Control!$F$27</f>
        <v>0</v>
      </c>
      <c r="H16" s="51" t="s">
        <v>87</v>
      </c>
      <c r="I16" s="142">
        <f>0.000001</f>
        <v>9.9999999999999995E-7</v>
      </c>
      <c r="J16" s="52" t="s">
        <v>88</v>
      </c>
      <c r="K16" s="63">
        <f>C16*E16*G16*I16</f>
        <v>0</v>
      </c>
      <c r="L16" s="51" t="s">
        <v>87</v>
      </c>
      <c r="M16" s="70">
        <f>Control!$D$102</f>
        <v>265</v>
      </c>
      <c r="N16" s="51" t="s">
        <v>87</v>
      </c>
      <c r="O16" s="47">
        <f>Control!$D$104</f>
        <v>9.9999999999999995E-7</v>
      </c>
      <c r="P16" s="51" t="s">
        <v>87</v>
      </c>
      <c r="Q16" s="46">
        <f>Control!$D$100</f>
        <v>0.27272727272727271</v>
      </c>
      <c r="R16" s="52" t="s">
        <v>88</v>
      </c>
      <c r="S16" s="48">
        <f>K16*M16*O16*Q16</f>
        <v>0</v>
      </c>
      <c r="T16" s="52" t="s">
        <v>88</v>
      </c>
      <c r="U16" s="48">
        <f>S16*C_CO2</f>
        <v>0</v>
      </c>
      <c r="W16" s="51"/>
      <c r="AA16" s="2"/>
    </row>
    <row r="17" spans="1:27" ht="11">
      <c r="A17" s="38"/>
      <c r="B17" s="40"/>
      <c r="C17" s="50"/>
      <c r="D17" s="40"/>
      <c r="E17" s="50"/>
      <c r="F17" s="50"/>
      <c r="G17" s="50"/>
      <c r="H17" s="50"/>
      <c r="I17" s="50"/>
      <c r="J17" s="50"/>
      <c r="K17" s="139"/>
      <c r="L17" s="50"/>
      <c r="M17" s="50"/>
      <c r="N17" s="50"/>
      <c r="O17" s="50"/>
      <c r="P17" s="50"/>
      <c r="Q17" s="82"/>
      <c r="R17" s="50"/>
      <c r="S17" s="50"/>
      <c r="T17" s="50"/>
      <c r="W17" s="40"/>
      <c r="AA17" s="2"/>
    </row>
    <row r="18" spans="1:27" ht="13">
      <c r="A18" s="38">
        <v>8</v>
      </c>
      <c r="B18" s="39">
        <f>B16+1</f>
        <v>1996</v>
      </c>
      <c r="C18" s="108">
        <f>'Municipal WW, CH4'!C18</f>
        <v>0</v>
      </c>
      <c r="D18" s="51" t="s">
        <v>87</v>
      </c>
      <c r="E18" s="140">
        <f>Control!$F$26</f>
        <v>0</v>
      </c>
      <c r="F18" s="51" t="s">
        <v>87</v>
      </c>
      <c r="G18" s="66">
        <f>Control!$F$27</f>
        <v>0</v>
      </c>
      <c r="H18" s="51" t="s">
        <v>87</v>
      </c>
      <c r="I18" s="142">
        <f>0.000001</f>
        <v>9.9999999999999995E-7</v>
      </c>
      <c r="J18" s="52" t="s">
        <v>88</v>
      </c>
      <c r="K18" s="63">
        <f>C18*E18*G18*I18</f>
        <v>0</v>
      </c>
      <c r="L18" s="51" t="s">
        <v>87</v>
      </c>
      <c r="M18" s="70">
        <f>Control!$D$102</f>
        <v>265</v>
      </c>
      <c r="N18" s="51" t="s">
        <v>87</v>
      </c>
      <c r="O18" s="47">
        <f>Control!$D$104</f>
        <v>9.9999999999999995E-7</v>
      </c>
      <c r="P18" s="51" t="s">
        <v>87</v>
      </c>
      <c r="Q18" s="46">
        <f>Control!$D$100</f>
        <v>0.27272727272727271</v>
      </c>
      <c r="R18" s="52" t="s">
        <v>88</v>
      </c>
      <c r="S18" s="48">
        <f>K18*M18*O18*Q18</f>
        <v>0</v>
      </c>
      <c r="T18" s="52" t="s">
        <v>88</v>
      </c>
      <c r="U18" s="48">
        <f>S18*C_CO2</f>
        <v>0</v>
      </c>
      <c r="W18" s="51"/>
      <c r="X18" s="7"/>
      <c r="AA18" s="2"/>
    </row>
    <row r="19" spans="1:27" ht="11">
      <c r="A19" s="38"/>
      <c r="B19" s="40"/>
      <c r="C19" s="50"/>
      <c r="D19" s="40"/>
      <c r="E19" s="50"/>
      <c r="F19" s="50"/>
      <c r="G19" s="50"/>
      <c r="H19" s="50"/>
      <c r="I19" s="50"/>
      <c r="J19" s="50"/>
      <c r="K19" s="139"/>
      <c r="L19" s="50"/>
      <c r="M19" s="50"/>
      <c r="N19" s="50"/>
      <c r="O19" s="50"/>
      <c r="P19" s="50"/>
      <c r="Q19" s="82"/>
      <c r="R19" s="50"/>
      <c r="S19" s="50"/>
      <c r="T19" s="50"/>
      <c r="W19" s="40"/>
      <c r="AA19" s="2"/>
    </row>
    <row r="20" spans="1:27" ht="13">
      <c r="A20" s="38">
        <v>9</v>
      </c>
      <c r="B20" s="39">
        <f>B18+1</f>
        <v>1997</v>
      </c>
      <c r="C20" s="108">
        <f>'Municipal WW, CH4'!C20</f>
        <v>0</v>
      </c>
      <c r="D20" s="51" t="s">
        <v>87</v>
      </c>
      <c r="E20" s="140">
        <f>Control!$F$26</f>
        <v>0</v>
      </c>
      <c r="F20" s="51" t="s">
        <v>87</v>
      </c>
      <c r="G20" s="66">
        <f>Control!$F$27</f>
        <v>0</v>
      </c>
      <c r="H20" s="51" t="s">
        <v>87</v>
      </c>
      <c r="I20" s="142">
        <f>0.000001</f>
        <v>9.9999999999999995E-7</v>
      </c>
      <c r="J20" s="52" t="s">
        <v>88</v>
      </c>
      <c r="K20" s="63">
        <f>C20*E20*G20*I20</f>
        <v>0</v>
      </c>
      <c r="L20" s="51" t="s">
        <v>87</v>
      </c>
      <c r="M20" s="70">
        <f>Control!$D$102</f>
        <v>265</v>
      </c>
      <c r="N20" s="51" t="s">
        <v>87</v>
      </c>
      <c r="O20" s="47">
        <f>Control!$D$104</f>
        <v>9.9999999999999995E-7</v>
      </c>
      <c r="P20" s="51" t="s">
        <v>87</v>
      </c>
      <c r="Q20" s="46">
        <f>Control!$D$100</f>
        <v>0.27272727272727271</v>
      </c>
      <c r="R20" s="52" t="s">
        <v>88</v>
      </c>
      <c r="S20" s="48">
        <f>K20*M20*O20*Q20</f>
        <v>0</v>
      </c>
      <c r="T20" s="52" t="s">
        <v>88</v>
      </c>
      <c r="U20" s="48">
        <f>S20*C_CO2</f>
        <v>0</v>
      </c>
      <c r="W20" s="51"/>
      <c r="AA20" s="2"/>
    </row>
    <row r="21" spans="1:27" ht="13">
      <c r="A21" s="38"/>
      <c r="B21" s="40"/>
      <c r="C21" s="50"/>
      <c r="D21" s="40"/>
      <c r="E21" s="50"/>
      <c r="F21" s="50"/>
      <c r="G21" s="50"/>
      <c r="H21" s="50"/>
      <c r="I21" s="50"/>
      <c r="J21" s="50"/>
      <c r="K21" s="139"/>
      <c r="L21" s="50"/>
      <c r="M21" s="50"/>
      <c r="N21" s="50"/>
      <c r="O21" s="50"/>
      <c r="P21" s="50"/>
      <c r="Q21" s="82"/>
      <c r="R21" s="50"/>
      <c r="S21" s="50"/>
      <c r="T21" s="50"/>
      <c r="W21" s="40"/>
      <c r="X21" s="14"/>
      <c r="Y21" s="15"/>
      <c r="AA21" s="2"/>
    </row>
    <row r="22" spans="1:27" ht="13">
      <c r="A22" s="38">
        <v>10</v>
      </c>
      <c r="B22" s="39">
        <f>B20+1</f>
        <v>1998</v>
      </c>
      <c r="C22" s="108">
        <f>'Municipal WW, CH4'!C22</f>
        <v>0</v>
      </c>
      <c r="D22" s="51" t="s">
        <v>87</v>
      </c>
      <c r="E22" s="140">
        <f>Control!$F$26</f>
        <v>0</v>
      </c>
      <c r="F22" s="51" t="s">
        <v>87</v>
      </c>
      <c r="G22" s="66">
        <f>Control!$F$27</f>
        <v>0</v>
      </c>
      <c r="H22" s="51" t="s">
        <v>87</v>
      </c>
      <c r="I22" s="142">
        <f>0.000001</f>
        <v>9.9999999999999995E-7</v>
      </c>
      <c r="J22" s="52" t="s">
        <v>88</v>
      </c>
      <c r="K22" s="63">
        <f>C22*E22*G22*I22</f>
        <v>0</v>
      </c>
      <c r="L22" s="51" t="s">
        <v>87</v>
      </c>
      <c r="M22" s="70">
        <f>Control!$D$102</f>
        <v>265</v>
      </c>
      <c r="N22" s="51" t="s">
        <v>87</v>
      </c>
      <c r="O22" s="47">
        <f>Control!$D$104</f>
        <v>9.9999999999999995E-7</v>
      </c>
      <c r="P22" s="51" t="s">
        <v>87</v>
      </c>
      <c r="Q22" s="46">
        <f>Control!$D$100</f>
        <v>0.27272727272727271</v>
      </c>
      <c r="R22" s="52" t="s">
        <v>88</v>
      </c>
      <c r="S22" s="48">
        <f>K22*M22*O22*Q22</f>
        <v>0</v>
      </c>
      <c r="T22" s="52" t="s">
        <v>88</v>
      </c>
      <c r="U22" s="48">
        <f>S22*C_CO2</f>
        <v>0</v>
      </c>
      <c r="W22" s="51"/>
      <c r="AA22" s="2"/>
    </row>
    <row r="23" spans="1:27" ht="11">
      <c r="A23" s="38"/>
      <c r="B23" s="40"/>
      <c r="C23" s="50"/>
      <c r="D23" s="40"/>
      <c r="E23" s="50"/>
      <c r="F23" s="50"/>
      <c r="G23" s="50"/>
      <c r="H23" s="50"/>
      <c r="I23" s="50"/>
      <c r="J23" s="50"/>
      <c r="K23" s="139"/>
      <c r="L23" s="50"/>
      <c r="M23" s="50"/>
      <c r="N23" s="50"/>
      <c r="O23" s="50"/>
      <c r="P23" s="50"/>
      <c r="Q23" s="82"/>
      <c r="R23" s="50"/>
      <c r="S23" s="50"/>
      <c r="T23" s="50"/>
      <c r="W23" s="40"/>
      <c r="AA23" s="2"/>
    </row>
    <row r="24" spans="1:27" ht="13">
      <c r="A24" s="38">
        <v>11</v>
      </c>
      <c r="B24" s="39">
        <f>B22+1</f>
        <v>1999</v>
      </c>
      <c r="C24" s="108">
        <f>'Municipal WW, CH4'!C24</f>
        <v>0</v>
      </c>
      <c r="D24" s="51" t="s">
        <v>87</v>
      </c>
      <c r="E24" s="140">
        <f>Control!$F$26</f>
        <v>0</v>
      </c>
      <c r="F24" s="51" t="s">
        <v>87</v>
      </c>
      <c r="G24" s="66">
        <f>Control!$F$27</f>
        <v>0</v>
      </c>
      <c r="H24" s="51" t="s">
        <v>87</v>
      </c>
      <c r="I24" s="142">
        <f>0.000001</f>
        <v>9.9999999999999995E-7</v>
      </c>
      <c r="J24" s="52" t="s">
        <v>88</v>
      </c>
      <c r="K24" s="63">
        <f>C24*E24*G24*I24</f>
        <v>0</v>
      </c>
      <c r="L24" s="51" t="s">
        <v>87</v>
      </c>
      <c r="M24" s="70">
        <f>Control!$D$102</f>
        <v>265</v>
      </c>
      <c r="N24" s="51" t="s">
        <v>87</v>
      </c>
      <c r="O24" s="47">
        <f>Control!$D$104</f>
        <v>9.9999999999999995E-7</v>
      </c>
      <c r="P24" s="51" t="s">
        <v>87</v>
      </c>
      <c r="Q24" s="46">
        <f>Control!$D$100</f>
        <v>0.27272727272727271</v>
      </c>
      <c r="R24" s="52" t="s">
        <v>88</v>
      </c>
      <c r="S24" s="48">
        <f>K24*M24*O24*Q24</f>
        <v>0</v>
      </c>
      <c r="T24" s="52" t="s">
        <v>88</v>
      </c>
      <c r="U24" s="48">
        <f>S24*C_CO2</f>
        <v>0</v>
      </c>
      <c r="W24" s="51"/>
      <c r="AA24" s="2"/>
    </row>
    <row r="25" spans="1:27" ht="11">
      <c r="A25" s="38"/>
      <c r="B25" s="40"/>
      <c r="C25" s="50"/>
      <c r="D25" s="40"/>
      <c r="E25" s="50"/>
      <c r="F25" s="50"/>
      <c r="G25" s="50"/>
      <c r="H25" s="50"/>
      <c r="I25" s="50"/>
      <c r="J25" s="50"/>
      <c r="K25" s="139"/>
      <c r="L25" s="50"/>
      <c r="M25" s="50"/>
      <c r="N25" s="50"/>
      <c r="O25" s="50"/>
      <c r="P25" s="50"/>
      <c r="Q25" s="82"/>
      <c r="R25" s="50"/>
      <c r="S25" s="50"/>
      <c r="T25" s="50"/>
      <c r="W25" s="40"/>
      <c r="AA25" s="2"/>
    </row>
    <row r="26" spans="1:27" ht="13">
      <c r="A26" s="38">
        <v>12</v>
      </c>
      <c r="B26" s="39">
        <f>B24+1</f>
        <v>2000</v>
      </c>
      <c r="C26" s="108">
        <f>'Municipal WW, CH4'!C26</f>
        <v>0</v>
      </c>
      <c r="D26" s="51" t="s">
        <v>87</v>
      </c>
      <c r="E26" s="140">
        <f>Control!$F$26</f>
        <v>0</v>
      </c>
      <c r="F26" s="51" t="s">
        <v>87</v>
      </c>
      <c r="G26" s="66">
        <f>Control!$F$27</f>
        <v>0</v>
      </c>
      <c r="H26" s="51" t="s">
        <v>87</v>
      </c>
      <c r="I26" s="142">
        <f>0.000001</f>
        <v>9.9999999999999995E-7</v>
      </c>
      <c r="J26" s="52" t="s">
        <v>88</v>
      </c>
      <c r="K26" s="63">
        <f>C26*E26*G26*I26</f>
        <v>0</v>
      </c>
      <c r="L26" s="51" t="s">
        <v>87</v>
      </c>
      <c r="M26" s="70">
        <f>Control!$D$102</f>
        <v>265</v>
      </c>
      <c r="N26" s="51" t="s">
        <v>87</v>
      </c>
      <c r="O26" s="47">
        <f>Control!$D$104</f>
        <v>9.9999999999999995E-7</v>
      </c>
      <c r="P26" s="51" t="s">
        <v>87</v>
      </c>
      <c r="Q26" s="46">
        <f>Control!$D$100</f>
        <v>0.27272727272727271</v>
      </c>
      <c r="R26" s="52" t="s">
        <v>88</v>
      </c>
      <c r="S26" s="48">
        <f>K26*M26*O26*Q26</f>
        <v>0</v>
      </c>
      <c r="T26" s="52" t="s">
        <v>88</v>
      </c>
      <c r="U26" s="48">
        <f>S26*C_CO2</f>
        <v>0</v>
      </c>
      <c r="W26" s="51"/>
      <c r="AA26" s="2"/>
    </row>
    <row r="27" spans="1:27" ht="11">
      <c r="A27" s="38"/>
      <c r="B27" s="40"/>
      <c r="C27" s="50"/>
      <c r="D27" s="40"/>
      <c r="E27" s="50"/>
      <c r="F27" s="50"/>
      <c r="G27" s="50"/>
      <c r="H27" s="50"/>
      <c r="I27" s="50"/>
      <c r="J27" s="50"/>
      <c r="K27" s="139"/>
      <c r="L27" s="50"/>
      <c r="M27" s="50"/>
      <c r="N27" s="50"/>
      <c r="O27" s="50"/>
      <c r="P27" s="50"/>
      <c r="Q27" s="82"/>
      <c r="R27" s="50"/>
      <c r="S27" s="50"/>
      <c r="T27" s="50"/>
      <c r="W27" s="40"/>
      <c r="AA27" s="2"/>
    </row>
    <row r="28" spans="1:27" ht="13">
      <c r="A28" s="38">
        <v>11</v>
      </c>
      <c r="B28" s="39">
        <f>B26+1</f>
        <v>2001</v>
      </c>
      <c r="C28" s="108">
        <f>'Municipal WW, CH4'!C28</f>
        <v>0</v>
      </c>
      <c r="D28" s="51" t="s">
        <v>87</v>
      </c>
      <c r="E28" s="140">
        <f>Control!$F$26</f>
        <v>0</v>
      </c>
      <c r="F28" s="51" t="s">
        <v>87</v>
      </c>
      <c r="G28" s="66">
        <f>Control!$F$27</f>
        <v>0</v>
      </c>
      <c r="H28" s="51" t="s">
        <v>87</v>
      </c>
      <c r="I28" s="142">
        <f>0.000001</f>
        <v>9.9999999999999995E-7</v>
      </c>
      <c r="J28" s="52" t="s">
        <v>88</v>
      </c>
      <c r="K28" s="63">
        <f>C28*E28*G28*I28</f>
        <v>0</v>
      </c>
      <c r="L28" s="51" t="s">
        <v>87</v>
      </c>
      <c r="M28" s="70">
        <f>Control!$D$102</f>
        <v>265</v>
      </c>
      <c r="N28" s="51" t="s">
        <v>87</v>
      </c>
      <c r="O28" s="47">
        <f>Control!$D$104</f>
        <v>9.9999999999999995E-7</v>
      </c>
      <c r="P28" s="51" t="s">
        <v>87</v>
      </c>
      <c r="Q28" s="46">
        <f>Control!$D$100</f>
        <v>0.27272727272727271</v>
      </c>
      <c r="R28" s="52" t="s">
        <v>88</v>
      </c>
      <c r="S28" s="48">
        <f>K28*M28*O28*Q28</f>
        <v>0</v>
      </c>
      <c r="T28" s="52" t="s">
        <v>88</v>
      </c>
      <c r="U28" s="48">
        <f>S28*C_CO2</f>
        <v>0</v>
      </c>
      <c r="W28" s="51"/>
      <c r="AA28" s="2"/>
    </row>
    <row r="29" spans="1:27" ht="11">
      <c r="A29" s="38"/>
      <c r="B29" s="40"/>
      <c r="C29" s="50"/>
      <c r="D29" s="40"/>
      <c r="E29" s="50"/>
      <c r="F29" s="50"/>
      <c r="G29" s="50"/>
      <c r="H29" s="50"/>
      <c r="I29" s="50"/>
      <c r="J29" s="50"/>
      <c r="K29" s="139"/>
      <c r="L29" s="50"/>
      <c r="M29" s="50"/>
      <c r="N29" s="50"/>
      <c r="O29" s="50"/>
      <c r="P29" s="50"/>
      <c r="Q29" s="82"/>
      <c r="R29" s="50"/>
      <c r="S29" s="50"/>
      <c r="T29" s="50"/>
      <c r="W29" s="40"/>
      <c r="AA29" s="2"/>
    </row>
    <row r="30" spans="1:27" ht="13">
      <c r="A30" s="38">
        <v>12</v>
      </c>
      <c r="B30" s="39">
        <f>B28+1</f>
        <v>2002</v>
      </c>
      <c r="C30" s="108">
        <f>'Municipal WW, CH4'!C30</f>
        <v>0</v>
      </c>
      <c r="D30" s="51" t="s">
        <v>87</v>
      </c>
      <c r="E30" s="140">
        <f>Control!$F$26</f>
        <v>0</v>
      </c>
      <c r="F30" s="51" t="s">
        <v>87</v>
      </c>
      <c r="G30" s="66">
        <f>Control!$F$27</f>
        <v>0</v>
      </c>
      <c r="H30" s="51" t="s">
        <v>87</v>
      </c>
      <c r="I30" s="142">
        <f>0.000001</f>
        <v>9.9999999999999995E-7</v>
      </c>
      <c r="J30" s="52" t="s">
        <v>88</v>
      </c>
      <c r="K30" s="63">
        <f>C30*E30*G30*I30</f>
        <v>0</v>
      </c>
      <c r="L30" s="51" t="s">
        <v>87</v>
      </c>
      <c r="M30" s="70">
        <f>Control!$D$102</f>
        <v>265</v>
      </c>
      <c r="N30" s="51" t="s">
        <v>87</v>
      </c>
      <c r="O30" s="47">
        <f>Control!$D$104</f>
        <v>9.9999999999999995E-7</v>
      </c>
      <c r="P30" s="51" t="s">
        <v>87</v>
      </c>
      <c r="Q30" s="46">
        <f>Control!$D$100</f>
        <v>0.27272727272727271</v>
      </c>
      <c r="R30" s="52" t="s">
        <v>88</v>
      </c>
      <c r="S30" s="48">
        <f>K30*M30*O30*Q30</f>
        <v>0</v>
      </c>
      <c r="T30" s="52" t="s">
        <v>88</v>
      </c>
      <c r="U30" s="48">
        <f>S30*C_CO2</f>
        <v>0</v>
      </c>
      <c r="W30" s="51"/>
      <c r="AA30" s="2"/>
    </row>
    <row r="31" spans="1:27" ht="11">
      <c r="A31" s="38"/>
      <c r="B31" s="40"/>
      <c r="C31" s="50"/>
      <c r="D31" s="40"/>
      <c r="E31" s="50"/>
      <c r="F31" s="50"/>
      <c r="G31" s="50"/>
      <c r="H31" s="50"/>
      <c r="I31" s="50"/>
      <c r="J31" s="50"/>
      <c r="K31" s="139"/>
      <c r="L31" s="50"/>
      <c r="M31" s="50"/>
      <c r="N31" s="50"/>
      <c r="O31" s="50"/>
      <c r="P31" s="50"/>
      <c r="Q31" s="82"/>
      <c r="R31" s="50"/>
      <c r="S31" s="50"/>
      <c r="T31" s="50"/>
      <c r="W31" s="40"/>
      <c r="AA31" s="2"/>
    </row>
    <row r="32" spans="1:27" ht="13">
      <c r="A32" s="38">
        <v>11</v>
      </c>
      <c r="B32" s="39">
        <f>B30+1</f>
        <v>2003</v>
      </c>
      <c r="C32" s="108">
        <f>'Municipal WW, CH4'!C32</f>
        <v>0</v>
      </c>
      <c r="D32" s="51" t="s">
        <v>87</v>
      </c>
      <c r="E32" s="140">
        <f>Control!$F$26</f>
        <v>0</v>
      </c>
      <c r="F32" s="51" t="s">
        <v>87</v>
      </c>
      <c r="G32" s="66">
        <f>Control!$F$27</f>
        <v>0</v>
      </c>
      <c r="H32" s="51" t="s">
        <v>87</v>
      </c>
      <c r="I32" s="142">
        <f>0.000001</f>
        <v>9.9999999999999995E-7</v>
      </c>
      <c r="J32" s="52" t="s">
        <v>88</v>
      </c>
      <c r="K32" s="63">
        <f>C32*E32*G32*I32</f>
        <v>0</v>
      </c>
      <c r="L32" s="51" t="s">
        <v>87</v>
      </c>
      <c r="M32" s="70">
        <f>Control!$D$102</f>
        <v>265</v>
      </c>
      <c r="N32" s="51" t="s">
        <v>87</v>
      </c>
      <c r="O32" s="47">
        <f>Control!$D$104</f>
        <v>9.9999999999999995E-7</v>
      </c>
      <c r="P32" s="51" t="s">
        <v>87</v>
      </c>
      <c r="Q32" s="46">
        <f>Control!$D$100</f>
        <v>0.27272727272727271</v>
      </c>
      <c r="R32" s="52" t="s">
        <v>88</v>
      </c>
      <c r="S32" s="48">
        <f>K32*M32*O32*Q32</f>
        <v>0</v>
      </c>
      <c r="T32" s="52" t="s">
        <v>88</v>
      </c>
      <c r="U32" s="48">
        <f>S32*C_CO2</f>
        <v>0</v>
      </c>
      <c r="W32" s="51"/>
      <c r="AA32" s="2"/>
    </row>
    <row r="33" spans="1:27" ht="11">
      <c r="A33" s="38"/>
      <c r="B33" s="40"/>
      <c r="C33" s="50"/>
      <c r="D33" s="40"/>
      <c r="E33" s="50"/>
      <c r="F33" s="50"/>
      <c r="G33" s="50"/>
      <c r="H33" s="50"/>
      <c r="I33" s="50"/>
      <c r="J33" s="50"/>
      <c r="K33" s="139"/>
      <c r="L33" s="50"/>
      <c r="M33" s="50"/>
      <c r="N33" s="50"/>
      <c r="O33" s="50"/>
      <c r="P33" s="50"/>
      <c r="Q33" s="82"/>
      <c r="R33" s="50"/>
      <c r="S33" s="50"/>
      <c r="T33" s="50"/>
      <c r="W33" s="40"/>
      <c r="AA33" s="2"/>
    </row>
    <row r="34" spans="1:27" ht="13">
      <c r="A34" s="38">
        <v>12</v>
      </c>
      <c r="B34" s="39">
        <f>B32+1</f>
        <v>2004</v>
      </c>
      <c r="C34" s="108">
        <f>'Municipal WW, CH4'!C34</f>
        <v>0</v>
      </c>
      <c r="D34" s="51" t="s">
        <v>87</v>
      </c>
      <c r="E34" s="140">
        <f>Control!$F$26</f>
        <v>0</v>
      </c>
      <c r="F34" s="51" t="s">
        <v>87</v>
      </c>
      <c r="G34" s="66">
        <f>Control!$F$27</f>
        <v>0</v>
      </c>
      <c r="H34" s="51" t="s">
        <v>87</v>
      </c>
      <c r="I34" s="142">
        <f>0.000001</f>
        <v>9.9999999999999995E-7</v>
      </c>
      <c r="J34" s="52" t="s">
        <v>88</v>
      </c>
      <c r="K34" s="63">
        <f>C34*E34*G34*I34</f>
        <v>0</v>
      </c>
      <c r="L34" s="51" t="s">
        <v>87</v>
      </c>
      <c r="M34" s="70">
        <f>Control!$D$102</f>
        <v>265</v>
      </c>
      <c r="N34" s="51" t="s">
        <v>87</v>
      </c>
      <c r="O34" s="47">
        <f>Control!$D$104</f>
        <v>9.9999999999999995E-7</v>
      </c>
      <c r="P34" s="51" t="s">
        <v>87</v>
      </c>
      <c r="Q34" s="46">
        <f>Control!$D$100</f>
        <v>0.27272727272727271</v>
      </c>
      <c r="R34" s="52" t="s">
        <v>88</v>
      </c>
      <c r="S34" s="48">
        <f>K34*M34*O34*Q34</f>
        <v>0</v>
      </c>
      <c r="T34" s="52" t="s">
        <v>88</v>
      </c>
      <c r="U34" s="48">
        <f>S34*C_CO2</f>
        <v>0</v>
      </c>
      <c r="W34" s="51"/>
      <c r="AA34" s="2"/>
    </row>
    <row r="35" spans="1:27" ht="11">
      <c r="A35" s="38"/>
      <c r="B35" s="40"/>
      <c r="C35" s="50"/>
      <c r="D35" s="40"/>
      <c r="E35" s="50"/>
      <c r="F35" s="50"/>
      <c r="G35" s="50"/>
      <c r="H35" s="50"/>
      <c r="I35" s="50"/>
      <c r="J35" s="50"/>
      <c r="K35" s="139"/>
      <c r="L35" s="50"/>
      <c r="M35" s="50"/>
      <c r="N35" s="50"/>
      <c r="O35" s="50"/>
      <c r="P35" s="50"/>
      <c r="Q35" s="82"/>
      <c r="R35" s="50"/>
      <c r="S35" s="50"/>
      <c r="T35" s="50"/>
      <c r="W35" s="40"/>
      <c r="AA35" s="2"/>
    </row>
    <row r="36" spans="1:27" ht="13">
      <c r="A36" s="38">
        <v>12</v>
      </c>
      <c r="B36" s="39">
        <f>B34+1</f>
        <v>2005</v>
      </c>
      <c r="C36" s="108">
        <f>'Municipal WW, CH4'!C36</f>
        <v>0</v>
      </c>
      <c r="D36" s="51" t="s">
        <v>87</v>
      </c>
      <c r="E36" s="140">
        <f>Control!$F$26</f>
        <v>0</v>
      </c>
      <c r="F36" s="51" t="s">
        <v>87</v>
      </c>
      <c r="G36" s="66">
        <f>Control!$F$27</f>
        <v>0</v>
      </c>
      <c r="H36" s="51" t="s">
        <v>87</v>
      </c>
      <c r="I36" s="142">
        <f>0.000001</f>
        <v>9.9999999999999995E-7</v>
      </c>
      <c r="J36" s="52" t="s">
        <v>88</v>
      </c>
      <c r="K36" s="63">
        <f>C36*E36*G36*I36</f>
        <v>0</v>
      </c>
      <c r="L36" s="51" t="s">
        <v>87</v>
      </c>
      <c r="M36" s="70">
        <f>Control!$D$102</f>
        <v>265</v>
      </c>
      <c r="N36" s="51" t="s">
        <v>87</v>
      </c>
      <c r="O36" s="47">
        <f>Control!$D$104</f>
        <v>9.9999999999999995E-7</v>
      </c>
      <c r="P36" s="51" t="s">
        <v>87</v>
      </c>
      <c r="Q36" s="46">
        <f>Control!$D$100</f>
        <v>0.27272727272727271</v>
      </c>
      <c r="R36" s="52" t="s">
        <v>88</v>
      </c>
      <c r="S36" s="48">
        <f>K36*M36*O36*Q36</f>
        <v>0</v>
      </c>
      <c r="T36" s="52" t="s">
        <v>88</v>
      </c>
      <c r="U36" s="48">
        <f>S36*C_CO2</f>
        <v>0</v>
      </c>
      <c r="W36" s="51"/>
      <c r="AA36" s="2"/>
    </row>
    <row r="37" spans="1:27" ht="11">
      <c r="A37" s="38"/>
      <c r="B37" s="40"/>
      <c r="C37" s="50"/>
      <c r="D37" s="40"/>
      <c r="E37" s="50"/>
      <c r="F37" s="50"/>
      <c r="G37" s="50"/>
      <c r="H37" s="50"/>
      <c r="I37" s="50"/>
      <c r="J37" s="50"/>
      <c r="K37" s="139"/>
      <c r="L37" s="50"/>
      <c r="M37" s="50"/>
      <c r="N37" s="50"/>
      <c r="O37" s="50"/>
      <c r="P37" s="50"/>
      <c r="Q37" s="82"/>
      <c r="R37" s="50"/>
      <c r="S37" s="50"/>
      <c r="T37" s="50"/>
      <c r="W37" s="40"/>
      <c r="AA37" s="2"/>
    </row>
    <row r="38" spans="1:27" ht="13">
      <c r="A38" s="38">
        <v>12</v>
      </c>
      <c r="B38" s="39">
        <f>B36+1</f>
        <v>2006</v>
      </c>
      <c r="C38" s="108">
        <f>'Municipal WW, CH4'!C38</f>
        <v>0</v>
      </c>
      <c r="D38" s="51" t="s">
        <v>87</v>
      </c>
      <c r="E38" s="140">
        <f>Control!$F$26</f>
        <v>0</v>
      </c>
      <c r="F38" s="51" t="s">
        <v>87</v>
      </c>
      <c r="G38" s="66">
        <f>Control!$F$27</f>
        <v>0</v>
      </c>
      <c r="H38" s="51" t="s">
        <v>87</v>
      </c>
      <c r="I38" s="142">
        <f>0.000001</f>
        <v>9.9999999999999995E-7</v>
      </c>
      <c r="J38" s="52" t="s">
        <v>88</v>
      </c>
      <c r="K38" s="63">
        <f>C38*E38*G38*I38</f>
        <v>0</v>
      </c>
      <c r="L38" s="51" t="s">
        <v>87</v>
      </c>
      <c r="M38" s="70">
        <f>Control!$D$102</f>
        <v>265</v>
      </c>
      <c r="N38" s="51" t="s">
        <v>87</v>
      </c>
      <c r="O38" s="47">
        <f>Control!$D$104</f>
        <v>9.9999999999999995E-7</v>
      </c>
      <c r="P38" s="51" t="s">
        <v>87</v>
      </c>
      <c r="Q38" s="46">
        <f>Control!$D$100</f>
        <v>0.27272727272727271</v>
      </c>
      <c r="R38" s="52" t="s">
        <v>88</v>
      </c>
      <c r="S38" s="48">
        <f>K38*M38*O38*Q38</f>
        <v>0</v>
      </c>
      <c r="T38" s="52" t="s">
        <v>88</v>
      </c>
      <c r="U38" s="48">
        <f>S38*C_CO2</f>
        <v>0</v>
      </c>
      <c r="W38" s="51"/>
      <c r="AA38" s="2"/>
    </row>
    <row r="39" spans="1:27" ht="11">
      <c r="A39" s="38"/>
      <c r="B39" s="40"/>
      <c r="C39" s="50"/>
      <c r="D39" s="40"/>
      <c r="E39" s="50"/>
      <c r="F39" s="50"/>
      <c r="G39" s="50"/>
      <c r="H39" s="50"/>
      <c r="I39" s="50"/>
      <c r="J39" s="50"/>
      <c r="K39" s="139"/>
      <c r="L39" s="50"/>
      <c r="M39" s="50"/>
      <c r="N39" s="50"/>
      <c r="O39" s="50"/>
      <c r="P39" s="50"/>
      <c r="Q39" s="82"/>
      <c r="R39" s="50"/>
      <c r="S39" s="50"/>
      <c r="T39" s="50"/>
      <c r="W39" s="40"/>
      <c r="AA39" s="2"/>
    </row>
    <row r="40" spans="1:27" ht="13">
      <c r="A40" s="38">
        <v>12</v>
      </c>
      <c r="B40" s="39">
        <f>B38+1</f>
        <v>2007</v>
      </c>
      <c r="C40" s="108">
        <f>'Municipal WW, CH4'!C40</f>
        <v>0</v>
      </c>
      <c r="D40" s="51" t="s">
        <v>87</v>
      </c>
      <c r="E40" s="140">
        <f>Control!$F$26</f>
        <v>0</v>
      </c>
      <c r="F40" s="51" t="s">
        <v>87</v>
      </c>
      <c r="G40" s="66">
        <f>Control!$F$27</f>
        <v>0</v>
      </c>
      <c r="H40" s="51" t="s">
        <v>87</v>
      </c>
      <c r="I40" s="142">
        <f>0.000001</f>
        <v>9.9999999999999995E-7</v>
      </c>
      <c r="J40" s="52" t="s">
        <v>88</v>
      </c>
      <c r="K40" s="63">
        <f>C40*E40*G40*I40</f>
        <v>0</v>
      </c>
      <c r="L40" s="51" t="s">
        <v>87</v>
      </c>
      <c r="M40" s="70">
        <f>Control!$D$102</f>
        <v>265</v>
      </c>
      <c r="N40" s="51" t="s">
        <v>87</v>
      </c>
      <c r="O40" s="47">
        <f>Control!$D$104</f>
        <v>9.9999999999999995E-7</v>
      </c>
      <c r="P40" s="51" t="s">
        <v>87</v>
      </c>
      <c r="Q40" s="46">
        <f>Control!$D$100</f>
        <v>0.27272727272727271</v>
      </c>
      <c r="R40" s="52" t="s">
        <v>88</v>
      </c>
      <c r="S40" s="48">
        <f>K40*M40*O40*Q40</f>
        <v>0</v>
      </c>
      <c r="T40" s="52" t="s">
        <v>88</v>
      </c>
      <c r="U40" s="48">
        <f>S40*C_CO2</f>
        <v>0</v>
      </c>
      <c r="W40" s="51"/>
      <c r="AA40" s="2"/>
    </row>
    <row r="41" spans="1:27" ht="11">
      <c r="A41" s="38"/>
      <c r="B41" s="40"/>
      <c r="C41" s="50"/>
      <c r="D41" s="40"/>
      <c r="E41" s="50"/>
      <c r="F41" s="50"/>
      <c r="G41" s="50"/>
      <c r="H41" s="50"/>
      <c r="I41" s="50"/>
      <c r="J41" s="50"/>
      <c r="K41" s="139"/>
      <c r="L41" s="50"/>
      <c r="M41" s="50"/>
      <c r="N41" s="50"/>
      <c r="O41" s="50"/>
      <c r="P41" s="50"/>
      <c r="Q41" s="82"/>
      <c r="R41" s="50"/>
      <c r="S41" s="50"/>
      <c r="T41" s="50"/>
      <c r="W41" s="40"/>
      <c r="AA41" s="2"/>
    </row>
    <row r="42" spans="1:27" ht="13">
      <c r="A42" s="38">
        <v>12</v>
      </c>
      <c r="B42" s="39">
        <f>B40+1</f>
        <v>2008</v>
      </c>
      <c r="C42" s="108">
        <f>'Municipal WW, CH4'!C42</f>
        <v>0</v>
      </c>
      <c r="D42" s="51" t="s">
        <v>87</v>
      </c>
      <c r="E42" s="140">
        <f>Control!$F$26</f>
        <v>0</v>
      </c>
      <c r="F42" s="51" t="s">
        <v>87</v>
      </c>
      <c r="G42" s="66">
        <f>Control!$F$27</f>
        <v>0</v>
      </c>
      <c r="H42" s="51" t="s">
        <v>87</v>
      </c>
      <c r="I42" s="142">
        <f>0.000001</f>
        <v>9.9999999999999995E-7</v>
      </c>
      <c r="J42" s="52" t="s">
        <v>88</v>
      </c>
      <c r="K42" s="63">
        <f>C42*E42*G42*I42</f>
        <v>0</v>
      </c>
      <c r="L42" s="51" t="s">
        <v>87</v>
      </c>
      <c r="M42" s="70">
        <f>Control!$D$102</f>
        <v>265</v>
      </c>
      <c r="N42" s="51" t="s">
        <v>87</v>
      </c>
      <c r="O42" s="47">
        <f>Control!$D$104</f>
        <v>9.9999999999999995E-7</v>
      </c>
      <c r="P42" s="51" t="s">
        <v>87</v>
      </c>
      <c r="Q42" s="46">
        <f>Control!$D$100</f>
        <v>0.27272727272727271</v>
      </c>
      <c r="R42" s="52" t="s">
        <v>88</v>
      </c>
      <c r="S42" s="48">
        <f>K42*M42*O42*Q42</f>
        <v>0</v>
      </c>
      <c r="T42" s="52" t="s">
        <v>88</v>
      </c>
      <c r="U42" s="48">
        <f>S42*C_CO2</f>
        <v>0</v>
      </c>
      <c r="W42" s="51"/>
      <c r="AA42" s="2"/>
    </row>
    <row r="43" spans="1:27" ht="11">
      <c r="A43" s="38"/>
      <c r="B43" s="40"/>
      <c r="C43" s="50"/>
      <c r="D43" s="40"/>
      <c r="E43" s="50"/>
      <c r="F43" s="50"/>
      <c r="G43" s="50"/>
      <c r="H43" s="50"/>
      <c r="I43" s="50"/>
      <c r="J43" s="50"/>
      <c r="K43" s="139"/>
      <c r="L43" s="50"/>
      <c r="M43" s="50"/>
      <c r="N43" s="50"/>
      <c r="O43" s="50"/>
      <c r="P43" s="50"/>
      <c r="Q43" s="82"/>
      <c r="R43" s="50"/>
      <c r="S43" s="50"/>
      <c r="T43" s="50"/>
      <c r="W43" s="40"/>
      <c r="AA43" s="2"/>
    </row>
    <row r="44" spans="1:27" ht="13">
      <c r="A44" s="38">
        <v>12</v>
      </c>
      <c r="B44" s="39">
        <f>B42+1</f>
        <v>2009</v>
      </c>
      <c r="C44" s="108">
        <f>'Municipal WW, CH4'!C44</f>
        <v>0</v>
      </c>
      <c r="D44" s="51" t="s">
        <v>87</v>
      </c>
      <c r="E44" s="140">
        <f>Control!$F$26</f>
        <v>0</v>
      </c>
      <c r="F44" s="51" t="s">
        <v>87</v>
      </c>
      <c r="G44" s="66">
        <f>Control!$F$27</f>
        <v>0</v>
      </c>
      <c r="H44" s="51" t="s">
        <v>87</v>
      </c>
      <c r="I44" s="142">
        <f>0.000001</f>
        <v>9.9999999999999995E-7</v>
      </c>
      <c r="J44" s="52" t="s">
        <v>88</v>
      </c>
      <c r="K44" s="63">
        <f>C44*E44*G44*I44</f>
        <v>0</v>
      </c>
      <c r="L44" s="51" t="s">
        <v>87</v>
      </c>
      <c r="M44" s="70">
        <f>Control!$D$102</f>
        <v>265</v>
      </c>
      <c r="N44" s="51" t="s">
        <v>87</v>
      </c>
      <c r="O44" s="47">
        <f>Control!$D$104</f>
        <v>9.9999999999999995E-7</v>
      </c>
      <c r="P44" s="51" t="s">
        <v>87</v>
      </c>
      <c r="Q44" s="46">
        <f>Control!$D$100</f>
        <v>0.27272727272727271</v>
      </c>
      <c r="R44" s="52" t="s">
        <v>88</v>
      </c>
      <c r="S44" s="48">
        <f>K44*M44*O44*Q44</f>
        <v>0</v>
      </c>
      <c r="T44" s="52" t="s">
        <v>88</v>
      </c>
      <c r="U44" s="48">
        <f>S44*C_CO2</f>
        <v>0</v>
      </c>
      <c r="W44" s="51"/>
      <c r="AA44" s="2"/>
    </row>
    <row r="45" spans="1:27" ht="11">
      <c r="A45" s="38"/>
      <c r="B45" s="40"/>
      <c r="C45" s="50"/>
      <c r="D45" s="40"/>
      <c r="E45" s="50"/>
      <c r="F45" s="50"/>
      <c r="G45" s="50"/>
      <c r="H45" s="50"/>
      <c r="I45" s="50"/>
      <c r="J45" s="50"/>
      <c r="K45" s="139"/>
      <c r="L45" s="50"/>
      <c r="M45" s="50"/>
      <c r="N45" s="50"/>
      <c r="O45" s="50"/>
      <c r="P45" s="50"/>
      <c r="Q45" s="82"/>
      <c r="R45" s="50"/>
      <c r="S45" s="50"/>
      <c r="T45" s="50"/>
      <c r="W45" s="40"/>
      <c r="AA45" s="2"/>
    </row>
    <row r="46" spans="1:27" ht="13">
      <c r="A46" s="38">
        <v>12</v>
      </c>
      <c r="B46" s="39">
        <f>B44+1</f>
        <v>2010</v>
      </c>
      <c r="C46" s="108">
        <f>'Municipal WW, CH4'!C46</f>
        <v>0</v>
      </c>
      <c r="D46" s="51" t="s">
        <v>87</v>
      </c>
      <c r="E46" s="140">
        <f>Control!$F$26</f>
        <v>0</v>
      </c>
      <c r="F46" s="51" t="s">
        <v>87</v>
      </c>
      <c r="G46" s="66">
        <f>Control!$F$27</f>
        <v>0</v>
      </c>
      <c r="H46" s="51" t="s">
        <v>87</v>
      </c>
      <c r="I46" s="142">
        <f>0.000001</f>
        <v>9.9999999999999995E-7</v>
      </c>
      <c r="J46" s="52" t="s">
        <v>88</v>
      </c>
      <c r="K46" s="63">
        <f>C46*E46*G46*I46</f>
        <v>0</v>
      </c>
      <c r="L46" s="51" t="s">
        <v>87</v>
      </c>
      <c r="M46" s="70">
        <f>Control!$D$102</f>
        <v>265</v>
      </c>
      <c r="N46" s="51" t="s">
        <v>87</v>
      </c>
      <c r="O46" s="47">
        <f>Control!$D$104</f>
        <v>9.9999999999999995E-7</v>
      </c>
      <c r="P46" s="51" t="s">
        <v>87</v>
      </c>
      <c r="Q46" s="46">
        <f>Control!$D$100</f>
        <v>0.27272727272727271</v>
      </c>
      <c r="R46" s="52" t="s">
        <v>88</v>
      </c>
      <c r="S46" s="48">
        <f>K46*M46*O46*Q46</f>
        <v>0</v>
      </c>
      <c r="T46" s="52" t="s">
        <v>88</v>
      </c>
      <c r="U46" s="48">
        <f>S46*C_CO2</f>
        <v>0</v>
      </c>
      <c r="W46" s="51"/>
      <c r="AA46" s="2"/>
    </row>
    <row r="47" spans="1:27" ht="11">
      <c r="A47" s="38"/>
      <c r="B47" s="40"/>
      <c r="C47" s="50"/>
      <c r="D47" s="40"/>
      <c r="E47" s="50"/>
      <c r="F47" s="50"/>
      <c r="G47" s="50"/>
      <c r="H47" s="50"/>
      <c r="I47" s="50"/>
      <c r="J47" s="50"/>
      <c r="K47" s="139"/>
      <c r="L47" s="50"/>
      <c r="M47" s="50"/>
      <c r="N47" s="50"/>
      <c r="O47" s="50"/>
      <c r="P47" s="50"/>
      <c r="Q47" s="82"/>
      <c r="R47" s="50"/>
      <c r="S47" s="50"/>
      <c r="T47" s="50"/>
      <c r="W47" s="40"/>
      <c r="AA47" s="2"/>
    </row>
    <row r="48" spans="1:27" ht="13">
      <c r="A48" s="38">
        <v>12</v>
      </c>
      <c r="B48" s="39">
        <f>B46+1</f>
        <v>2011</v>
      </c>
      <c r="C48" s="108">
        <f>'Municipal WW, CH4'!C48</f>
        <v>0</v>
      </c>
      <c r="D48" s="51" t="s">
        <v>87</v>
      </c>
      <c r="E48" s="140">
        <f>Control!$F$26</f>
        <v>0</v>
      </c>
      <c r="F48" s="51" t="s">
        <v>87</v>
      </c>
      <c r="G48" s="66">
        <f>Control!$F$27</f>
        <v>0</v>
      </c>
      <c r="H48" s="51" t="s">
        <v>87</v>
      </c>
      <c r="I48" s="142">
        <f>0.000001</f>
        <v>9.9999999999999995E-7</v>
      </c>
      <c r="J48" s="52" t="s">
        <v>88</v>
      </c>
      <c r="K48" s="63">
        <f>C48*E48*G48*I48</f>
        <v>0</v>
      </c>
      <c r="L48" s="51" t="s">
        <v>87</v>
      </c>
      <c r="M48" s="70">
        <f>Control!$D$102</f>
        <v>265</v>
      </c>
      <c r="N48" s="51" t="s">
        <v>87</v>
      </c>
      <c r="O48" s="47">
        <f>Control!$D$104</f>
        <v>9.9999999999999995E-7</v>
      </c>
      <c r="P48" s="51" t="s">
        <v>87</v>
      </c>
      <c r="Q48" s="46">
        <f>Control!$D$100</f>
        <v>0.27272727272727271</v>
      </c>
      <c r="R48" s="52" t="s">
        <v>88</v>
      </c>
      <c r="S48" s="48">
        <f>K48*M48*O48*Q48</f>
        <v>0</v>
      </c>
      <c r="T48" s="52" t="s">
        <v>88</v>
      </c>
      <c r="U48" s="48">
        <f>S48*C_CO2</f>
        <v>0</v>
      </c>
      <c r="W48" s="51"/>
      <c r="AA48" s="2"/>
    </row>
    <row r="49" spans="1:27" ht="11">
      <c r="A49" s="38"/>
      <c r="B49" s="40"/>
      <c r="C49" s="50"/>
      <c r="D49" s="40"/>
      <c r="E49" s="50"/>
      <c r="F49" s="50"/>
      <c r="G49" s="50"/>
      <c r="H49" s="50"/>
      <c r="I49" s="50"/>
      <c r="J49" s="50"/>
      <c r="K49" s="139"/>
      <c r="L49" s="50"/>
      <c r="M49" s="50"/>
      <c r="N49" s="50"/>
      <c r="O49" s="50"/>
      <c r="P49" s="50"/>
      <c r="Q49" s="82"/>
      <c r="R49" s="50"/>
      <c r="S49" s="50"/>
      <c r="T49" s="50"/>
      <c r="W49" s="40"/>
      <c r="AA49" s="2"/>
    </row>
    <row r="50" spans="1:27" ht="13">
      <c r="A50" s="38">
        <v>12</v>
      </c>
      <c r="B50" s="39">
        <f>B48+1</f>
        <v>2012</v>
      </c>
      <c r="C50" s="108">
        <f>'Municipal WW, CH4'!C50</f>
        <v>0</v>
      </c>
      <c r="D50" s="51" t="s">
        <v>87</v>
      </c>
      <c r="E50" s="140">
        <f>Control!$F$26</f>
        <v>0</v>
      </c>
      <c r="F50" s="51" t="s">
        <v>87</v>
      </c>
      <c r="G50" s="66">
        <f>Control!$F$27</f>
        <v>0</v>
      </c>
      <c r="H50" s="51" t="s">
        <v>87</v>
      </c>
      <c r="I50" s="142">
        <f>0.000001</f>
        <v>9.9999999999999995E-7</v>
      </c>
      <c r="J50" s="52" t="s">
        <v>88</v>
      </c>
      <c r="K50" s="63">
        <f>C50*E50*G50*I50</f>
        <v>0</v>
      </c>
      <c r="L50" s="51" t="s">
        <v>87</v>
      </c>
      <c r="M50" s="70">
        <f>Control!$D$102</f>
        <v>265</v>
      </c>
      <c r="N50" s="51" t="s">
        <v>87</v>
      </c>
      <c r="O50" s="47">
        <f>Control!$D$104</f>
        <v>9.9999999999999995E-7</v>
      </c>
      <c r="P50" s="51" t="s">
        <v>87</v>
      </c>
      <c r="Q50" s="46">
        <f>Control!$D$100</f>
        <v>0.27272727272727271</v>
      </c>
      <c r="R50" s="52" t="s">
        <v>88</v>
      </c>
      <c r="S50" s="48">
        <f>K50*M50*O50*Q50</f>
        <v>0</v>
      </c>
      <c r="T50" s="52" t="s">
        <v>88</v>
      </c>
      <c r="U50" s="48">
        <f>S50*C_CO2</f>
        <v>0</v>
      </c>
      <c r="W50" s="51"/>
      <c r="AA50" s="2"/>
    </row>
    <row r="51" spans="1:27" ht="11">
      <c r="A51" s="38"/>
      <c r="B51" s="40"/>
      <c r="C51" s="50"/>
      <c r="D51" s="40"/>
      <c r="E51" s="50"/>
      <c r="F51" s="50"/>
      <c r="G51" s="50"/>
      <c r="H51" s="50"/>
      <c r="I51" s="50"/>
      <c r="J51" s="50"/>
      <c r="K51" s="139"/>
      <c r="L51" s="50"/>
      <c r="M51" s="50"/>
      <c r="N51" s="50"/>
      <c r="O51" s="50"/>
      <c r="P51" s="50"/>
      <c r="Q51" s="82"/>
      <c r="R51" s="50"/>
      <c r="S51" s="50"/>
      <c r="T51" s="50"/>
      <c r="W51" s="40"/>
      <c r="AA51" s="2"/>
    </row>
    <row r="52" spans="1:27" ht="13">
      <c r="A52" s="38">
        <v>12</v>
      </c>
      <c r="B52" s="39">
        <f>B50+1</f>
        <v>2013</v>
      </c>
      <c r="C52" s="108">
        <f>'Municipal WW, CH4'!C52</f>
        <v>0</v>
      </c>
      <c r="D52" s="51" t="s">
        <v>87</v>
      </c>
      <c r="E52" s="140">
        <f>Control!$F$26</f>
        <v>0</v>
      </c>
      <c r="F52" s="51" t="s">
        <v>87</v>
      </c>
      <c r="G52" s="66">
        <f>Control!$F$27</f>
        <v>0</v>
      </c>
      <c r="H52" s="51" t="s">
        <v>87</v>
      </c>
      <c r="I52" s="142">
        <f>0.000001</f>
        <v>9.9999999999999995E-7</v>
      </c>
      <c r="J52" s="52" t="s">
        <v>88</v>
      </c>
      <c r="K52" s="63">
        <f>C52*E52*G52*I52</f>
        <v>0</v>
      </c>
      <c r="L52" s="51" t="s">
        <v>87</v>
      </c>
      <c r="M52" s="70">
        <f>Control!$D$102</f>
        <v>265</v>
      </c>
      <c r="N52" s="51" t="s">
        <v>87</v>
      </c>
      <c r="O52" s="47">
        <f>Control!$D$104</f>
        <v>9.9999999999999995E-7</v>
      </c>
      <c r="P52" s="51" t="s">
        <v>87</v>
      </c>
      <c r="Q52" s="46">
        <f>Control!$D$100</f>
        <v>0.27272727272727271</v>
      </c>
      <c r="R52" s="52" t="s">
        <v>88</v>
      </c>
      <c r="S52" s="48">
        <f>K52*M52*O52*Q52</f>
        <v>0</v>
      </c>
      <c r="T52" s="52" t="s">
        <v>88</v>
      </c>
      <c r="U52" s="48">
        <f>S52*C_CO2</f>
        <v>0</v>
      </c>
      <c r="W52" s="51"/>
      <c r="AA52" s="2"/>
    </row>
    <row r="53" spans="1:27" ht="11">
      <c r="A53" s="38"/>
      <c r="B53" s="40"/>
      <c r="C53" s="50"/>
      <c r="D53" s="40"/>
      <c r="E53" s="50"/>
      <c r="F53" s="50"/>
      <c r="G53" s="50"/>
      <c r="H53" s="50"/>
      <c r="I53" s="50"/>
      <c r="J53" s="50"/>
      <c r="K53" s="139"/>
      <c r="L53" s="50"/>
      <c r="M53" s="50"/>
      <c r="N53" s="50"/>
      <c r="O53" s="50"/>
      <c r="P53" s="50"/>
      <c r="Q53" s="82"/>
      <c r="R53" s="50"/>
      <c r="S53" s="50"/>
      <c r="T53" s="50"/>
      <c r="W53" s="40"/>
      <c r="AA53" s="2"/>
    </row>
    <row r="54" spans="1:27" ht="13">
      <c r="A54" s="38">
        <v>12</v>
      </c>
      <c r="B54" s="39">
        <f>B52+1</f>
        <v>2014</v>
      </c>
      <c r="C54" s="108">
        <f>'Municipal WW, CH4'!C54</f>
        <v>0</v>
      </c>
      <c r="D54" s="51" t="s">
        <v>87</v>
      </c>
      <c r="E54" s="140">
        <f>Control!$F$26</f>
        <v>0</v>
      </c>
      <c r="F54" s="51" t="s">
        <v>87</v>
      </c>
      <c r="G54" s="66">
        <f>Control!$F$27</f>
        <v>0</v>
      </c>
      <c r="H54" s="51" t="s">
        <v>87</v>
      </c>
      <c r="I54" s="142">
        <f>0.000001</f>
        <v>9.9999999999999995E-7</v>
      </c>
      <c r="J54" s="52" t="s">
        <v>88</v>
      </c>
      <c r="K54" s="63">
        <f>C54*E54*G54*I54</f>
        <v>0</v>
      </c>
      <c r="L54" s="51" t="s">
        <v>87</v>
      </c>
      <c r="M54" s="70">
        <f>Control!$D$102</f>
        <v>265</v>
      </c>
      <c r="N54" s="51" t="s">
        <v>87</v>
      </c>
      <c r="O54" s="47">
        <f>Control!$D$104</f>
        <v>9.9999999999999995E-7</v>
      </c>
      <c r="P54" s="51" t="s">
        <v>87</v>
      </c>
      <c r="Q54" s="46">
        <f>Control!$D$100</f>
        <v>0.27272727272727271</v>
      </c>
      <c r="R54" s="52" t="s">
        <v>88</v>
      </c>
      <c r="S54" s="48">
        <f>K54*M54*O54*Q54</f>
        <v>0</v>
      </c>
      <c r="T54" s="52" t="s">
        <v>88</v>
      </c>
      <c r="U54" s="48">
        <f>S54*C_CO2</f>
        <v>0</v>
      </c>
      <c r="W54" s="51"/>
      <c r="AA54" s="2"/>
    </row>
    <row r="55" spans="1:27" ht="11">
      <c r="A55" s="38"/>
      <c r="B55" s="40"/>
      <c r="C55" s="50"/>
      <c r="D55" s="40"/>
      <c r="E55" s="50"/>
      <c r="F55" s="50"/>
      <c r="G55" s="50"/>
      <c r="H55" s="50"/>
      <c r="I55" s="50"/>
      <c r="J55" s="50"/>
      <c r="K55" s="139"/>
      <c r="L55" s="50"/>
      <c r="M55" s="50"/>
      <c r="N55" s="50"/>
      <c r="O55" s="50"/>
      <c r="P55" s="50"/>
      <c r="Q55" s="82"/>
      <c r="R55" s="50"/>
      <c r="S55" s="50"/>
      <c r="T55" s="50"/>
      <c r="W55" s="40"/>
      <c r="AA55" s="2"/>
    </row>
    <row r="56" spans="1:27" ht="13">
      <c r="A56" s="38">
        <v>12</v>
      </c>
      <c r="B56" s="39">
        <f>B54+1</f>
        <v>2015</v>
      </c>
      <c r="C56" s="108">
        <f>'Municipal WW, CH4'!C56</f>
        <v>0</v>
      </c>
      <c r="D56" s="51" t="s">
        <v>87</v>
      </c>
      <c r="E56" s="140">
        <f>Control!$F$26</f>
        <v>0</v>
      </c>
      <c r="F56" s="51" t="s">
        <v>87</v>
      </c>
      <c r="G56" s="66">
        <f>Control!$F$27</f>
        <v>0</v>
      </c>
      <c r="H56" s="51" t="s">
        <v>87</v>
      </c>
      <c r="I56" s="142">
        <f>0.000001</f>
        <v>9.9999999999999995E-7</v>
      </c>
      <c r="J56" s="52" t="s">
        <v>88</v>
      </c>
      <c r="K56" s="63">
        <f>C56*E56*G56*I56</f>
        <v>0</v>
      </c>
      <c r="L56" s="51" t="s">
        <v>87</v>
      </c>
      <c r="M56" s="70">
        <f>Control!$D$102</f>
        <v>265</v>
      </c>
      <c r="N56" s="51" t="s">
        <v>87</v>
      </c>
      <c r="O56" s="47">
        <f>Control!$D$104</f>
        <v>9.9999999999999995E-7</v>
      </c>
      <c r="P56" s="51" t="s">
        <v>87</v>
      </c>
      <c r="Q56" s="46">
        <f>Control!$D$100</f>
        <v>0.27272727272727271</v>
      </c>
      <c r="R56" s="52" t="s">
        <v>88</v>
      </c>
      <c r="S56" s="48">
        <f>K56*M56*O56*Q56</f>
        <v>0</v>
      </c>
      <c r="T56" s="52" t="s">
        <v>88</v>
      </c>
      <c r="U56" s="48">
        <f>S56*C_CO2</f>
        <v>0</v>
      </c>
      <c r="W56" s="51"/>
      <c r="AA56" s="2"/>
    </row>
    <row r="57" spans="1:27" ht="11">
      <c r="A57" s="38"/>
      <c r="B57" s="40"/>
      <c r="C57" s="50"/>
      <c r="D57" s="40"/>
      <c r="E57" s="50"/>
      <c r="F57" s="50"/>
      <c r="G57" s="50"/>
      <c r="H57" s="50"/>
      <c r="I57" s="50"/>
      <c r="J57" s="50"/>
      <c r="K57" s="139"/>
      <c r="L57" s="50"/>
      <c r="M57" s="50"/>
      <c r="N57" s="50"/>
      <c r="O57" s="50"/>
      <c r="P57" s="50"/>
      <c r="Q57" s="82"/>
      <c r="R57" s="50"/>
      <c r="S57" s="50"/>
      <c r="T57" s="50"/>
      <c r="W57" s="40"/>
      <c r="AA57" s="2"/>
    </row>
    <row r="58" spans="1:27" ht="13">
      <c r="A58" s="38">
        <v>12</v>
      </c>
      <c r="B58" s="39">
        <f>B56+1</f>
        <v>2016</v>
      </c>
      <c r="C58" s="108">
        <f>'Municipal WW, CH4'!C58</f>
        <v>0</v>
      </c>
      <c r="D58" s="51" t="s">
        <v>87</v>
      </c>
      <c r="E58" s="140">
        <f>Control!$F$26</f>
        <v>0</v>
      </c>
      <c r="F58" s="51" t="s">
        <v>87</v>
      </c>
      <c r="G58" s="66">
        <f>Control!$F$27</f>
        <v>0</v>
      </c>
      <c r="H58" s="51" t="s">
        <v>87</v>
      </c>
      <c r="I58" s="142">
        <f>0.000001</f>
        <v>9.9999999999999995E-7</v>
      </c>
      <c r="J58" s="52" t="s">
        <v>88</v>
      </c>
      <c r="K58" s="63">
        <f>C58*E58*G58*I58</f>
        <v>0</v>
      </c>
      <c r="L58" s="51" t="s">
        <v>87</v>
      </c>
      <c r="M58" s="70">
        <f>Control!$D$102</f>
        <v>265</v>
      </c>
      <c r="N58" s="51" t="s">
        <v>87</v>
      </c>
      <c r="O58" s="47">
        <f>Control!$D$104</f>
        <v>9.9999999999999995E-7</v>
      </c>
      <c r="P58" s="51" t="s">
        <v>87</v>
      </c>
      <c r="Q58" s="46">
        <f>Control!$D$100</f>
        <v>0.27272727272727271</v>
      </c>
      <c r="R58" s="52" t="s">
        <v>88</v>
      </c>
      <c r="S58" s="48">
        <f>K58*M58*O58*Q58</f>
        <v>0</v>
      </c>
      <c r="T58" s="52" t="s">
        <v>88</v>
      </c>
      <c r="U58" s="48">
        <f>S58*C_CO2</f>
        <v>0</v>
      </c>
      <c r="W58" s="51"/>
      <c r="AA58" s="2"/>
    </row>
    <row r="59" spans="1:27" ht="11">
      <c r="A59" s="38"/>
      <c r="B59" s="40"/>
      <c r="C59" s="50"/>
      <c r="D59" s="40"/>
      <c r="E59" s="50"/>
      <c r="F59" s="50"/>
      <c r="G59" s="50"/>
      <c r="H59" s="50"/>
      <c r="I59" s="50"/>
      <c r="J59" s="50"/>
      <c r="K59" s="139"/>
      <c r="L59" s="50"/>
      <c r="M59" s="50"/>
      <c r="N59" s="50"/>
      <c r="O59" s="50"/>
      <c r="P59" s="50"/>
      <c r="Q59" s="82"/>
      <c r="R59" s="50"/>
      <c r="S59" s="50"/>
      <c r="T59" s="50"/>
      <c r="W59" s="40"/>
      <c r="AA59" s="2"/>
    </row>
    <row r="60" spans="1:27" ht="13">
      <c r="A60" s="38">
        <v>12</v>
      </c>
      <c r="B60" s="39">
        <f>B58+1</f>
        <v>2017</v>
      </c>
      <c r="C60" s="108">
        <f>'Municipal WW, CH4'!C60</f>
        <v>0</v>
      </c>
      <c r="D60" s="51" t="s">
        <v>87</v>
      </c>
      <c r="E60" s="140">
        <f>Control!$F$26</f>
        <v>0</v>
      </c>
      <c r="F60" s="51" t="s">
        <v>87</v>
      </c>
      <c r="G60" s="66">
        <f>Control!$F$27</f>
        <v>0</v>
      </c>
      <c r="H60" s="51" t="s">
        <v>87</v>
      </c>
      <c r="I60" s="142">
        <f>0.000001</f>
        <v>9.9999999999999995E-7</v>
      </c>
      <c r="J60" s="52" t="s">
        <v>88</v>
      </c>
      <c r="K60" s="63">
        <f>C60*E60*G60*I60</f>
        <v>0</v>
      </c>
      <c r="L60" s="51" t="s">
        <v>87</v>
      </c>
      <c r="M60" s="70">
        <f>Control!$D$102</f>
        <v>265</v>
      </c>
      <c r="N60" s="51" t="s">
        <v>87</v>
      </c>
      <c r="O60" s="47">
        <f>Control!$D$104</f>
        <v>9.9999999999999995E-7</v>
      </c>
      <c r="P60" s="51" t="s">
        <v>87</v>
      </c>
      <c r="Q60" s="46">
        <f>Control!$D$100</f>
        <v>0.27272727272727271</v>
      </c>
      <c r="R60" s="52" t="s">
        <v>88</v>
      </c>
      <c r="S60" s="48">
        <f>K60*M60*O60*Q60</f>
        <v>0</v>
      </c>
      <c r="T60" s="52" t="s">
        <v>88</v>
      </c>
      <c r="U60" s="48">
        <f>S60*C_CO2</f>
        <v>0</v>
      </c>
      <c r="W60" s="51"/>
      <c r="AA60" s="2"/>
    </row>
    <row r="61" spans="1:27" ht="11">
      <c r="A61" s="38"/>
      <c r="B61" s="40"/>
      <c r="C61" s="50"/>
      <c r="D61" s="40"/>
      <c r="E61" s="50"/>
      <c r="F61" s="50"/>
      <c r="G61" s="50"/>
      <c r="H61" s="50"/>
      <c r="I61" s="50"/>
      <c r="J61" s="50"/>
      <c r="K61" s="139"/>
      <c r="L61" s="50"/>
      <c r="M61" s="50"/>
      <c r="N61" s="50"/>
      <c r="O61" s="50"/>
      <c r="P61" s="50"/>
      <c r="Q61" s="82"/>
      <c r="R61" s="50"/>
      <c r="S61" s="50"/>
      <c r="T61" s="50"/>
      <c r="W61" s="40"/>
      <c r="AA61" s="2"/>
    </row>
    <row r="62" spans="1:27" ht="13">
      <c r="A62" s="38">
        <v>12</v>
      </c>
      <c r="B62" s="39">
        <f>B60+1</f>
        <v>2018</v>
      </c>
      <c r="C62" s="108">
        <f>'Municipal WW, CH4'!C62</f>
        <v>0</v>
      </c>
      <c r="D62" s="51" t="s">
        <v>87</v>
      </c>
      <c r="E62" s="140">
        <f>Control!$F$26</f>
        <v>0</v>
      </c>
      <c r="F62" s="51" t="s">
        <v>87</v>
      </c>
      <c r="G62" s="66">
        <f>Control!$F$27</f>
        <v>0</v>
      </c>
      <c r="H62" s="51" t="s">
        <v>87</v>
      </c>
      <c r="I62" s="142">
        <f>0.000001</f>
        <v>9.9999999999999995E-7</v>
      </c>
      <c r="J62" s="52" t="s">
        <v>88</v>
      </c>
      <c r="K62" s="63">
        <f>C62*E62*G62*I62</f>
        <v>0</v>
      </c>
      <c r="L62" s="51" t="s">
        <v>87</v>
      </c>
      <c r="M62" s="70">
        <f>Control!$D$102</f>
        <v>265</v>
      </c>
      <c r="N62" s="51" t="s">
        <v>87</v>
      </c>
      <c r="O62" s="47">
        <f>Control!$D$104</f>
        <v>9.9999999999999995E-7</v>
      </c>
      <c r="P62" s="51" t="s">
        <v>87</v>
      </c>
      <c r="Q62" s="46">
        <f>Control!$D$100</f>
        <v>0.27272727272727271</v>
      </c>
      <c r="R62" s="52" t="s">
        <v>88</v>
      </c>
      <c r="S62" s="48">
        <f>K62*M62*O62*Q62</f>
        <v>0</v>
      </c>
      <c r="T62" s="52" t="s">
        <v>88</v>
      </c>
      <c r="U62" s="48">
        <f>S62*C_CO2</f>
        <v>0</v>
      </c>
      <c r="W62" s="51"/>
      <c r="AA62" s="2"/>
    </row>
    <row r="63" spans="1:27" ht="11">
      <c r="A63" s="38"/>
      <c r="B63" s="40"/>
      <c r="C63" s="50"/>
      <c r="D63" s="40"/>
      <c r="E63" s="50"/>
      <c r="F63" s="50"/>
      <c r="G63" s="50"/>
      <c r="H63" s="50"/>
      <c r="I63" s="50"/>
      <c r="J63" s="50"/>
      <c r="K63" s="139"/>
      <c r="L63" s="50"/>
      <c r="M63" s="50"/>
      <c r="N63" s="50"/>
      <c r="O63" s="50"/>
      <c r="P63" s="50"/>
      <c r="Q63" s="82"/>
      <c r="R63" s="50"/>
      <c r="S63" s="50"/>
      <c r="T63" s="50"/>
      <c r="W63" s="40"/>
      <c r="AA63" s="2"/>
    </row>
    <row r="64" spans="1:27" ht="13">
      <c r="A64" s="38">
        <v>12</v>
      </c>
      <c r="B64" s="39">
        <f>B62+1</f>
        <v>2019</v>
      </c>
      <c r="C64" s="108">
        <f>'Municipal WW, CH4'!C64</f>
        <v>0</v>
      </c>
      <c r="D64" s="51" t="s">
        <v>87</v>
      </c>
      <c r="E64" s="140">
        <f>Control!$F$26</f>
        <v>0</v>
      </c>
      <c r="F64" s="51" t="s">
        <v>87</v>
      </c>
      <c r="G64" s="66">
        <f>Control!$F$27</f>
        <v>0</v>
      </c>
      <c r="H64" s="51" t="s">
        <v>87</v>
      </c>
      <c r="I64" s="142">
        <f>0.000001</f>
        <v>9.9999999999999995E-7</v>
      </c>
      <c r="J64" s="52" t="s">
        <v>88</v>
      </c>
      <c r="K64" s="63">
        <f>C64*E64*G64*I64</f>
        <v>0</v>
      </c>
      <c r="L64" s="51" t="s">
        <v>87</v>
      </c>
      <c r="M64" s="70">
        <f>Control!$D$102</f>
        <v>265</v>
      </c>
      <c r="N64" s="51" t="s">
        <v>87</v>
      </c>
      <c r="O64" s="47">
        <f>Control!$D$104</f>
        <v>9.9999999999999995E-7</v>
      </c>
      <c r="P64" s="51" t="s">
        <v>87</v>
      </c>
      <c r="Q64" s="46">
        <f>Control!$D$100</f>
        <v>0.27272727272727271</v>
      </c>
      <c r="R64" s="52" t="s">
        <v>88</v>
      </c>
      <c r="S64" s="48">
        <f>K64*M64*O64*Q64</f>
        <v>0</v>
      </c>
      <c r="T64" s="52" t="s">
        <v>88</v>
      </c>
      <c r="U64" s="48">
        <f>S64*C_CO2</f>
        <v>0</v>
      </c>
      <c r="W64" s="51"/>
      <c r="AA64" s="2"/>
    </row>
    <row r="65" spans="1:27" ht="11">
      <c r="A65" s="38"/>
      <c r="B65" s="40"/>
      <c r="C65" s="50"/>
      <c r="D65" s="40"/>
      <c r="E65" s="50"/>
      <c r="F65" s="50"/>
      <c r="G65" s="50"/>
      <c r="H65" s="50"/>
      <c r="I65" s="50"/>
      <c r="J65" s="50"/>
      <c r="K65" s="139"/>
      <c r="L65" s="50"/>
      <c r="M65" s="50"/>
      <c r="N65" s="50"/>
      <c r="O65" s="50"/>
      <c r="P65" s="50"/>
      <c r="Q65" s="82"/>
      <c r="R65" s="50"/>
      <c r="S65" s="50"/>
      <c r="T65" s="50"/>
      <c r="W65" s="40"/>
      <c r="AA65" s="2"/>
    </row>
    <row r="66" spans="1:27" ht="13">
      <c r="A66" s="38">
        <v>12</v>
      </c>
      <c r="B66" s="39">
        <f>B64+1</f>
        <v>2020</v>
      </c>
      <c r="C66" s="108">
        <f>'Municipal WW, CH4'!C66</f>
        <v>0</v>
      </c>
      <c r="D66" s="51" t="s">
        <v>87</v>
      </c>
      <c r="E66" s="140">
        <f>Control!$F$26</f>
        <v>0</v>
      </c>
      <c r="F66" s="51" t="s">
        <v>87</v>
      </c>
      <c r="G66" s="66">
        <f>Control!$F$27</f>
        <v>0</v>
      </c>
      <c r="H66" s="51" t="s">
        <v>87</v>
      </c>
      <c r="I66" s="142">
        <f>0.000001</f>
        <v>9.9999999999999995E-7</v>
      </c>
      <c r="J66" s="52" t="s">
        <v>88</v>
      </c>
      <c r="K66" s="63">
        <f>C66*E66*G66*I66</f>
        <v>0</v>
      </c>
      <c r="L66" s="51" t="s">
        <v>87</v>
      </c>
      <c r="M66" s="70">
        <f>Control!$D$102</f>
        <v>265</v>
      </c>
      <c r="N66" s="51" t="s">
        <v>87</v>
      </c>
      <c r="O66" s="47">
        <f>Control!$D$104</f>
        <v>9.9999999999999995E-7</v>
      </c>
      <c r="P66" s="51" t="s">
        <v>87</v>
      </c>
      <c r="Q66" s="46">
        <f>Control!$D$100</f>
        <v>0.27272727272727271</v>
      </c>
      <c r="R66" s="52" t="s">
        <v>88</v>
      </c>
      <c r="S66" s="48">
        <f>K66*M66*O66*Q66</f>
        <v>0</v>
      </c>
      <c r="T66" s="52" t="s">
        <v>88</v>
      </c>
      <c r="U66" s="48">
        <f>S66*C_CO2</f>
        <v>0</v>
      </c>
      <c r="W66" s="51"/>
      <c r="AA66" s="2"/>
    </row>
    <row r="68" spans="1:27" ht="13">
      <c r="A68" s="38">
        <v>12</v>
      </c>
      <c r="B68" s="39">
        <f>B66+1</f>
        <v>2021</v>
      </c>
      <c r="C68" s="108">
        <f>'Municipal WW, CH4'!C68</f>
        <v>0</v>
      </c>
      <c r="D68" s="51" t="s">
        <v>87</v>
      </c>
      <c r="E68" s="140">
        <f>Control!$F$26</f>
        <v>0</v>
      </c>
      <c r="F68" s="51" t="s">
        <v>87</v>
      </c>
      <c r="G68" s="66">
        <f>Control!$F$27</f>
        <v>0</v>
      </c>
      <c r="H68" s="51" t="s">
        <v>87</v>
      </c>
      <c r="I68" s="142">
        <f>0.000001</f>
        <v>9.9999999999999995E-7</v>
      </c>
      <c r="J68" s="52" t="s">
        <v>88</v>
      </c>
      <c r="K68" s="63">
        <f>C68*E68*G68*I68</f>
        <v>0</v>
      </c>
      <c r="L68" s="51" t="s">
        <v>87</v>
      </c>
      <c r="M68" s="70">
        <f>Control!$D$102</f>
        <v>265</v>
      </c>
      <c r="N68" s="51" t="s">
        <v>87</v>
      </c>
      <c r="O68" s="47">
        <f>Control!$D$104</f>
        <v>9.9999999999999995E-7</v>
      </c>
      <c r="P68" s="51" t="s">
        <v>87</v>
      </c>
      <c r="Q68" s="46">
        <f>Control!$D$100</f>
        <v>0.27272727272727271</v>
      </c>
      <c r="R68" s="52" t="s">
        <v>88</v>
      </c>
      <c r="S68" s="48">
        <f>K68*M68*O68*Q68</f>
        <v>0</v>
      </c>
      <c r="T68" s="52" t="s">
        <v>88</v>
      </c>
      <c r="U68" s="48">
        <f>S68*C_CO2</f>
        <v>0</v>
      </c>
      <c r="W68" s="51"/>
      <c r="AA68" s="2"/>
    </row>
    <row r="70" spans="1:27" ht="13">
      <c r="A70" s="38">
        <v>12</v>
      </c>
      <c r="B70" s="39">
        <f>B68+1</f>
        <v>2022</v>
      </c>
      <c r="C70" s="108">
        <f>'Municipal WW, CH4'!C70</f>
        <v>0</v>
      </c>
      <c r="D70" s="51" t="s">
        <v>87</v>
      </c>
      <c r="E70" s="140">
        <f>Control!$F$26</f>
        <v>0</v>
      </c>
      <c r="F70" s="51" t="s">
        <v>87</v>
      </c>
      <c r="G70" s="66">
        <f>Control!$F$27</f>
        <v>0</v>
      </c>
      <c r="H70" s="51" t="s">
        <v>87</v>
      </c>
      <c r="I70" s="142">
        <f>0.000001</f>
        <v>9.9999999999999995E-7</v>
      </c>
      <c r="J70" s="52" t="s">
        <v>88</v>
      </c>
      <c r="K70" s="63">
        <f>C70*E70*G70*I70</f>
        <v>0</v>
      </c>
      <c r="L70" s="51" t="s">
        <v>87</v>
      </c>
      <c r="M70" s="70">
        <f>Control!$D$102</f>
        <v>265</v>
      </c>
      <c r="N70" s="51" t="s">
        <v>87</v>
      </c>
      <c r="O70" s="47">
        <f>Control!$D$104</f>
        <v>9.9999999999999995E-7</v>
      </c>
      <c r="P70" s="51" t="s">
        <v>87</v>
      </c>
      <c r="Q70" s="46">
        <f>Control!$D$100</f>
        <v>0.27272727272727271</v>
      </c>
      <c r="R70" s="52" t="s">
        <v>88</v>
      </c>
      <c r="S70" s="48">
        <f>K70*M70*O70*Q70</f>
        <v>0</v>
      </c>
      <c r="T70" s="52" t="s">
        <v>88</v>
      </c>
      <c r="U70" s="48">
        <f>S70*C_CO2</f>
        <v>0</v>
      </c>
      <c r="W70" s="51"/>
      <c r="AA70" s="2"/>
    </row>
    <row r="72" spans="1:27" ht="13">
      <c r="A72" s="38">
        <v>12</v>
      </c>
      <c r="B72" s="39">
        <f>B70+1</f>
        <v>2023</v>
      </c>
      <c r="C72" s="108">
        <f>'Municipal WW, CH4'!C72</f>
        <v>0</v>
      </c>
      <c r="D72" s="51" t="s">
        <v>87</v>
      </c>
      <c r="E72" s="140">
        <f>Control!$F$26</f>
        <v>0</v>
      </c>
      <c r="F72" s="51" t="s">
        <v>87</v>
      </c>
      <c r="G72" s="66">
        <f>Control!$F$27</f>
        <v>0</v>
      </c>
      <c r="H72" s="51" t="s">
        <v>87</v>
      </c>
      <c r="I72" s="142">
        <f>0.000001</f>
        <v>9.9999999999999995E-7</v>
      </c>
      <c r="J72" s="52" t="s">
        <v>88</v>
      </c>
      <c r="K72" s="63">
        <f>C72*E72*G72*I72</f>
        <v>0</v>
      </c>
      <c r="L72" s="51" t="s">
        <v>87</v>
      </c>
      <c r="M72" s="70">
        <f>Control!$D$102</f>
        <v>265</v>
      </c>
      <c r="N72" s="51" t="s">
        <v>87</v>
      </c>
      <c r="O72" s="47">
        <f>Control!$D$104</f>
        <v>9.9999999999999995E-7</v>
      </c>
      <c r="P72" s="51" t="s">
        <v>87</v>
      </c>
      <c r="Q72" s="46">
        <f>Control!$D$100</f>
        <v>0.27272727272727271</v>
      </c>
      <c r="R72" s="52" t="s">
        <v>88</v>
      </c>
      <c r="S72" s="48">
        <f>K72*M72*O72*Q72</f>
        <v>0</v>
      </c>
      <c r="T72" s="52" t="s">
        <v>88</v>
      </c>
      <c r="U72" s="48">
        <f>S72*C_CO2</f>
        <v>0</v>
      </c>
      <c r="W72" s="51"/>
      <c r="AA72" s="2"/>
    </row>
    <row r="74" spans="1:27" ht="13">
      <c r="A74" s="38">
        <v>12</v>
      </c>
      <c r="B74" s="39">
        <f>B72+1</f>
        <v>2024</v>
      </c>
      <c r="C74" s="108">
        <f>'Municipal WW, CH4'!C74</f>
        <v>0</v>
      </c>
      <c r="D74" s="51" t="s">
        <v>87</v>
      </c>
      <c r="E74" s="140">
        <f>Control!$F$26</f>
        <v>0</v>
      </c>
      <c r="F74" s="51" t="s">
        <v>87</v>
      </c>
      <c r="G74" s="66">
        <f>Control!$F$27</f>
        <v>0</v>
      </c>
      <c r="H74" s="51" t="s">
        <v>87</v>
      </c>
      <c r="I74" s="142">
        <f>0.000001</f>
        <v>9.9999999999999995E-7</v>
      </c>
      <c r="J74" s="52" t="s">
        <v>88</v>
      </c>
      <c r="K74" s="63">
        <f>C74*E74*G74*I74</f>
        <v>0</v>
      </c>
      <c r="L74" s="51" t="s">
        <v>87</v>
      </c>
      <c r="M74" s="70">
        <f>Control!$D$102</f>
        <v>265</v>
      </c>
      <c r="N74" s="51" t="s">
        <v>87</v>
      </c>
      <c r="O74" s="47">
        <f>Control!$D$104</f>
        <v>9.9999999999999995E-7</v>
      </c>
      <c r="P74" s="51" t="s">
        <v>87</v>
      </c>
      <c r="Q74" s="46">
        <f>Control!$D$100</f>
        <v>0.27272727272727271</v>
      </c>
      <c r="R74" s="52" t="s">
        <v>88</v>
      </c>
      <c r="S74" s="48">
        <f>K74*M74*O74*Q74</f>
        <v>0</v>
      </c>
      <c r="T74" s="52" t="s">
        <v>88</v>
      </c>
      <c r="U74" s="48">
        <f>S74*C_CO2</f>
        <v>0</v>
      </c>
      <c r="W74" s="51"/>
      <c r="AA74" s="2"/>
    </row>
    <row r="76" spans="1:27" ht="13">
      <c r="A76" s="38">
        <v>12</v>
      </c>
      <c r="B76" s="39">
        <f>B74+1</f>
        <v>2025</v>
      </c>
      <c r="C76" s="108">
        <f>'Municipal WW, CH4'!C76</f>
        <v>0</v>
      </c>
      <c r="D76" s="51" t="s">
        <v>87</v>
      </c>
      <c r="E76" s="140">
        <f>Control!$F$26</f>
        <v>0</v>
      </c>
      <c r="F76" s="51" t="s">
        <v>87</v>
      </c>
      <c r="G76" s="66">
        <f>Control!$F$27</f>
        <v>0</v>
      </c>
      <c r="H76" s="51" t="s">
        <v>87</v>
      </c>
      <c r="I76" s="142">
        <f>0.000001</f>
        <v>9.9999999999999995E-7</v>
      </c>
      <c r="J76" s="52" t="s">
        <v>88</v>
      </c>
      <c r="K76" s="63">
        <f>C76*E76*G76*I76</f>
        <v>0</v>
      </c>
      <c r="L76" s="51" t="s">
        <v>87</v>
      </c>
      <c r="M76" s="70">
        <f>Control!$D$102</f>
        <v>265</v>
      </c>
      <c r="N76" s="51" t="s">
        <v>87</v>
      </c>
      <c r="O76" s="47">
        <f>Control!$D$104</f>
        <v>9.9999999999999995E-7</v>
      </c>
      <c r="P76" s="51" t="s">
        <v>87</v>
      </c>
      <c r="Q76" s="46">
        <f>Control!$D$100</f>
        <v>0.27272727272727271</v>
      </c>
      <c r="R76" s="52" t="s">
        <v>88</v>
      </c>
      <c r="S76" s="48">
        <f>K76*M76*O76*Q76</f>
        <v>0</v>
      </c>
      <c r="T76" s="52" t="s">
        <v>88</v>
      </c>
      <c r="U76" s="48">
        <f>S76*C_CO2</f>
        <v>0</v>
      </c>
      <c r="W76" s="51"/>
      <c r="AA76" s="2"/>
    </row>
  </sheetData>
  <sheetProtection algorithmName="SHA-512" hashValue="aicDM+ijjiZSmBfZBNuH4CXdlOMH/5ZK+Ih1nhlIDZ3IZ2kHRb7HwkNyZkd91gC1EdrzxibfHtV2F5NlGpGEoQ==" saltValue="d9c/7+pcyc6MDohihZm0Zg==" spinCount="100000" sheet="1" objects="1" scenarios="1"/>
  <phoneticPr fontId="10" type="noConversion"/>
  <dataValidations count="1">
    <dataValidation allowBlank="1" showInputMessage="1" showErrorMessage="1" promptTitle="State Population" prompt="Population data are entered on the domestic wastewater methane sheet." sqref="C6" xr:uid="{00000000-0002-0000-0200-000000000000}"/>
  </dataValidations>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7"/>
  <dimension ref="A1:AU76"/>
  <sheetViews>
    <sheetView showGridLines="0" zoomScaleNormal="100" workbookViewId="0">
      <pane ySplit="4" topLeftCell="A5" activePane="bottomLeft" state="frozen"/>
      <selection pane="bottomLeft" activeCell="E6" sqref="E6"/>
    </sheetView>
  </sheetViews>
  <sheetFormatPr baseColWidth="10" defaultColWidth="8" defaultRowHeight="11.25" customHeight="1"/>
  <cols>
    <col min="1" max="1" width="2.83203125" style="2" customWidth="1"/>
    <col min="2" max="2" width="5.1640625" style="2" customWidth="1"/>
    <col min="3" max="3" width="13.1640625" style="2" customWidth="1"/>
    <col min="4" max="4" width="1.83203125" style="2" bestFit="1" customWidth="1"/>
    <col min="5" max="5" width="9.1640625" style="7" customWidth="1"/>
    <col min="6" max="6" width="1.83203125" style="2" bestFit="1" customWidth="1"/>
    <col min="7" max="7" width="9" style="2" bestFit="1" customWidth="1"/>
    <col min="8" max="8" width="1.83203125" style="2" bestFit="1" customWidth="1"/>
    <col min="9" max="9" width="11.83203125" style="2" customWidth="1"/>
    <col min="10" max="10" width="1.83203125" style="2" bestFit="1" customWidth="1"/>
    <col min="11" max="11" width="10" style="2" customWidth="1"/>
    <col min="12" max="12" width="2.1640625" style="2" customWidth="1"/>
    <col min="13" max="13" width="10.83203125" style="2" customWidth="1"/>
    <col min="14" max="14" width="1.5" style="2" customWidth="1"/>
    <col min="15" max="15" width="13.5" style="2" customWidth="1"/>
    <col min="16" max="16" width="2.1640625" style="2" customWidth="1"/>
    <col min="17" max="17" width="10" style="2" customWidth="1"/>
    <col min="18" max="18" width="5.5" style="2" customWidth="1"/>
    <col min="19" max="19" width="10" style="2" customWidth="1"/>
    <col min="20" max="20" width="3.1640625" style="2" customWidth="1"/>
    <col min="21" max="21" width="14.1640625" style="2" customWidth="1"/>
    <col min="22" max="22" width="1.83203125" style="2" bestFit="1" customWidth="1"/>
    <col min="23" max="23" width="7.83203125" style="2" customWidth="1"/>
    <col min="24" max="24" width="1.83203125" style="2" bestFit="1" customWidth="1"/>
    <col min="25" max="25" width="10.83203125" style="2" customWidth="1"/>
    <col min="26" max="26" width="1.83203125" style="2" bestFit="1" customWidth="1"/>
    <col min="27" max="27" width="10.1640625" style="2" customWidth="1"/>
    <col min="28" max="28" width="1.83203125" style="2" bestFit="1" customWidth="1"/>
    <col min="29" max="29" width="10" style="2" customWidth="1"/>
    <col min="30" max="30" width="1.83203125" style="2" bestFit="1" customWidth="1"/>
    <col min="31" max="31" width="9" style="2" customWidth="1"/>
    <col min="32" max="32" width="1.1640625" style="2" customWidth="1"/>
    <col min="33" max="33" width="9.83203125" style="2" customWidth="1"/>
    <col min="34" max="34" width="1.83203125" style="95" customWidth="1"/>
    <col min="35" max="35" width="10" style="2" customWidth="1"/>
    <col min="36" max="36" width="1.83203125" style="2" customWidth="1"/>
    <col min="37" max="37" width="10" style="2" customWidth="1"/>
    <col min="38" max="38" width="3" style="2" customWidth="1"/>
    <col min="39" max="44" width="10" style="2" customWidth="1"/>
    <col min="45" max="45" width="9.5" style="2" hidden="1" customWidth="1"/>
    <col min="46" max="46" width="8" style="2" customWidth="1"/>
    <col min="47" max="16384" width="8" style="2"/>
  </cols>
  <sheetData>
    <row r="1" spans="1:47" s="123" customFormat="1" ht="21">
      <c r="A1" s="121"/>
      <c r="B1" s="122" t="str">
        <f>"6. "&amp;SelectedState &amp; " Municipal Wastewater Nitrous Oxide Emissions (formerly Human Sewage)"</f>
        <v>6. Select a state . . . Municipal Wastewater Nitrous Oxide Emissions (formerly Human Sewage)</v>
      </c>
      <c r="C1" s="122"/>
      <c r="J1" s="122"/>
      <c r="AH1" s="144"/>
    </row>
    <row r="2" spans="1:47" ht="112.75" customHeight="1">
      <c r="E2" s="2"/>
      <c r="I2" s="110"/>
    </row>
    <row r="3" spans="1:47" s="163" customFormat="1" ht="39">
      <c r="A3" s="170"/>
      <c r="B3" s="35"/>
      <c r="C3" s="161" t="s">
        <v>68</v>
      </c>
      <c r="D3" s="35"/>
      <c r="E3" s="166" t="s">
        <v>96</v>
      </c>
      <c r="F3" s="162"/>
      <c r="G3" s="161" t="s">
        <v>97</v>
      </c>
      <c r="H3" s="162"/>
      <c r="I3" s="161" t="s">
        <v>98</v>
      </c>
      <c r="J3" s="162"/>
      <c r="K3" s="161" t="s">
        <v>71</v>
      </c>
      <c r="L3" s="161"/>
      <c r="M3" s="161" t="s">
        <v>99</v>
      </c>
      <c r="N3" s="161"/>
      <c r="O3" s="161" t="s">
        <v>100</v>
      </c>
      <c r="Q3" s="161" t="s">
        <v>101</v>
      </c>
      <c r="R3" s="161"/>
      <c r="S3" s="161" t="s">
        <v>102</v>
      </c>
      <c r="T3" s="161"/>
      <c r="U3" s="161" t="s">
        <v>72</v>
      </c>
      <c r="V3" s="162"/>
      <c r="W3" s="161" t="s">
        <v>103</v>
      </c>
      <c r="X3" s="162"/>
      <c r="Y3" s="161" t="s">
        <v>74</v>
      </c>
      <c r="Z3" s="162"/>
      <c r="AA3" s="161" t="s">
        <v>92</v>
      </c>
      <c r="AB3" s="162"/>
      <c r="AC3" s="161" t="s">
        <v>71</v>
      </c>
      <c r="AD3" s="161"/>
      <c r="AE3" s="161" t="s">
        <v>76</v>
      </c>
      <c r="AF3" s="162"/>
      <c r="AG3" s="161" t="s">
        <v>104</v>
      </c>
      <c r="AH3" s="161"/>
      <c r="AI3" s="161" t="s">
        <v>105</v>
      </c>
      <c r="AJ3" s="161"/>
      <c r="AK3" s="161" t="s">
        <v>66</v>
      </c>
      <c r="AL3" s="35"/>
      <c r="AM3" s="161" t="s">
        <v>74</v>
      </c>
      <c r="AN3" s="35"/>
      <c r="AO3" s="35"/>
      <c r="AP3" s="35"/>
      <c r="AQ3" s="35"/>
      <c r="AR3" s="35"/>
      <c r="AS3" s="166" t="s">
        <v>96</v>
      </c>
      <c r="AU3" s="171"/>
    </row>
    <row r="4" spans="1:47" s="163" customFormat="1" ht="26">
      <c r="A4" s="172"/>
      <c r="B4" s="35"/>
      <c r="C4" s="36"/>
      <c r="D4" s="36"/>
      <c r="E4" s="167" t="s">
        <v>106</v>
      </c>
      <c r="F4" s="168"/>
      <c r="G4" s="167" t="s">
        <v>107</v>
      </c>
      <c r="H4" s="168"/>
      <c r="I4" s="168"/>
      <c r="J4" s="168"/>
      <c r="K4" s="168" t="s">
        <v>79</v>
      </c>
      <c r="L4" s="168"/>
      <c r="M4" s="168" t="s">
        <v>108</v>
      </c>
      <c r="N4" s="168"/>
      <c r="O4" s="168" t="s">
        <v>108</v>
      </c>
      <c r="P4" s="168"/>
      <c r="Q4" s="168" t="s">
        <v>108</v>
      </c>
      <c r="R4" s="168"/>
      <c r="S4" s="168"/>
      <c r="T4" s="168"/>
      <c r="U4" s="167" t="s">
        <v>109</v>
      </c>
      <c r="V4" s="168"/>
      <c r="W4" s="168"/>
      <c r="X4" s="168"/>
      <c r="Y4" s="168" t="s">
        <v>110</v>
      </c>
      <c r="Z4" s="168"/>
      <c r="AA4" s="169" t="s">
        <v>83</v>
      </c>
      <c r="AB4" s="168"/>
      <c r="AC4" s="168" t="s">
        <v>84</v>
      </c>
      <c r="AD4" s="36"/>
      <c r="AE4" s="36"/>
      <c r="AF4" s="36"/>
      <c r="AG4" s="169" t="s">
        <v>85</v>
      </c>
      <c r="AH4" s="169"/>
      <c r="AI4" s="169" t="s">
        <v>85</v>
      </c>
      <c r="AJ4" s="169"/>
      <c r="AK4" s="169" t="s">
        <v>85</v>
      </c>
      <c r="AL4" s="36"/>
      <c r="AM4" s="169" t="s">
        <v>86</v>
      </c>
      <c r="AN4" s="36"/>
      <c r="AO4" s="36"/>
      <c r="AP4" s="36"/>
      <c r="AQ4" s="36"/>
      <c r="AR4" s="36"/>
      <c r="AS4" s="36" t="s">
        <v>111</v>
      </c>
      <c r="AU4" s="173"/>
    </row>
    <row r="5" spans="1:47" ht="6.75" customHeight="1">
      <c r="A5" s="18"/>
      <c r="B5" s="34"/>
      <c r="C5" s="54"/>
      <c r="D5" s="3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34"/>
      <c r="AJ5" s="34"/>
      <c r="AK5" s="34"/>
      <c r="AL5" s="34"/>
      <c r="AM5" s="34"/>
      <c r="AN5" s="34"/>
      <c r="AO5" s="34"/>
      <c r="AP5" s="34"/>
      <c r="AQ5" s="34"/>
      <c r="AR5" s="34"/>
      <c r="AS5" s="54"/>
    </row>
    <row r="6" spans="1:47" ht="14">
      <c r="A6" s="37">
        <v>2</v>
      </c>
      <c r="B6" s="39">
        <v>1990</v>
      </c>
      <c r="C6" s="108">
        <f>'Municipal WW, CH4'!C6</f>
        <v>0</v>
      </c>
      <c r="D6" s="51" t="s">
        <v>87</v>
      </c>
      <c r="E6" s="202"/>
      <c r="F6" s="51" t="s">
        <v>87</v>
      </c>
      <c r="G6" s="57">
        <f>Control!$F$33</f>
        <v>0</v>
      </c>
      <c r="H6" s="51" t="s">
        <v>87</v>
      </c>
      <c r="I6" s="143">
        <f>Control!$F$25</f>
        <v>0</v>
      </c>
      <c r="J6" s="51" t="s">
        <v>87</v>
      </c>
      <c r="K6" s="58">
        <f>Control!$D$105</f>
        <v>1E-3</v>
      </c>
      <c r="L6" s="52" t="s">
        <v>88</v>
      </c>
      <c r="M6" s="70">
        <f>C6*E6*G6*I6*K6</f>
        <v>0</v>
      </c>
      <c r="N6" s="160" t="s">
        <v>112</v>
      </c>
      <c r="O6" s="70">
        <f>'Municipal WW, N2O, direct'!K6*(1/Control!$D$99)</f>
        <v>0</v>
      </c>
      <c r="P6" s="52" t="s">
        <v>88</v>
      </c>
      <c r="Q6" s="70">
        <f>M6-O6</f>
        <v>0</v>
      </c>
      <c r="R6" s="149" t="s">
        <v>113</v>
      </c>
      <c r="S6" s="150"/>
      <c r="T6" s="51" t="s">
        <v>114</v>
      </c>
      <c r="U6" s="63">
        <f>Control!$F$32</f>
        <v>0</v>
      </c>
      <c r="V6" s="51" t="s">
        <v>87</v>
      </c>
      <c r="W6" s="87">
        <f>Control!$D$99</f>
        <v>1.5714285714285714</v>
      </c>
      <c r="X6" s="52" t="s">
        <v>88</v>
      </c>
      <c r="Y6" s="46">
        <f>Q6*(1-S6)*U6*W6</f>
        <v>0</v>
      </c>
      <c r="Z6" s="51" t="s">
        <v>87</v>
      </c>
      <c r="AA6" s="70">
        <f>Control!$D$102</f>
        <v>265</v>
      </c>
      <c r="AB6" s="51" t="s">
        <v>87</v>
      </c>
      <c r="AC6" s="47">
        <f>Control!$D$104</f>
        <v>9.9999999999999995E-7</v>
      </c>
      <c r="AD6" s="51" t="s">
        <v>87</v>
      </c>
      <c r="AE6" s="46">
        <f>Control!$D$100</f>
        <v>0.27272727272727271</v>
      </c>
      <c r="AF6" s="52" t="s">
        <v>88</v>
      </c>
      <c r="AG6" s="48">
        <f>Y6*AA$6*AC$6*AE$6</f>
        <v>0</v>
      </c>
      <c r="AH6" s="145" t="s">
        <v>115</v>
      </c>
      <c r="AI6" s="48">
        <f>'Municipal WW, N2O, direct'!S6</f>
        <v>0</v>
      </c>
      <c r="AJ6" s="177" t="s">
        <v>88</v>
      </c>
      <c r="AK6" s="48">
        <f>AG6+AI6</f>
        <v>0</v>
      </c>
      <c r="AL6" s="177" t="s">
        <v>88</v>
      </c>
      <c r="AM6" s="48">
        <f>AK6*C_CO2</f>
        <v>0</v>
      </c>
      <c r="AN6" s="51"/>
      <c r="AO6" s="51"/>
      <c r="AP6" s="51"/>
      <c r="AQ6" s="51"/>
      <c r="AS6" s="205">
        <v>43.099499999999999</v>
      </c>
      <c r="AT6"/>
      <c r="AU6"/>
    </row>
    <row r="7" spans="1:47" ht="13">
      <c r="A7" s="37"/>
      <c r="B7" s="40"/>
      <c r="C7" s="109"/>
      <c r="D7" s="40"/>
      <c r="E7" s="203"/>
      <c r="F7" s="50"/>
      <c r="G7" s="50"/>
      <c r="H7" s="50"/>
      <c r="I7" s="50"/>
      <c r="J7" s="50"/>
      <c r="K7" s="50"/>
      <c r="L7" s="50"/>
      <c r="M7" s="50"/>
      <c r="N7" s="51"/>
      <c r="O7" s="50"/>
      <c r="P7" s="50"/>
      <c r="Q7" s="50"/>
      <c r="R7" s="50"/>
      <c r="S7" s="53"/>
      <c r="T7" s="50"/>
      <c r="U7" s="50"/>
      <c r="V7" s="50"/>
      <c r="W7" s="88"/>
      <c r="X7" s="50"/>
      <c r="Y7" s="82"/>
      <c r="Z7" s="50"/>
      <c r="AA7" s="50"/>
      <c r="AB7" s="50"/>
      <c r="AC7" s="50"/>
      <c r="AD7" s="50"/>
      <c r="AE7" s="82"/>
      <c r="AF7" s="50"/>
      <c r="AG7" s="50"/>
      <c r="AH7" s="51"/>
      <c r="AI7" s="40"/>
      <c r="AJ7" s="40"/>
      <c r="AK7" s="40"/>
      <c r="AL7" s="40"/>
      <c r="AM7" s="40"/>
      <c r="AN7" s="40"/>
      <c r="AO7" s="40"/>
      <c r="AP7" s="40"/>
      <c r="AQ7" s="40"/>
      <c r="AS7" s="215"/>
      <c r="AT7"/>
      <c r="AU7"/>
    </row>
    <row r="8" spans="1:47" ht="14">
      <c r="A8" s="37">
        <v>3</v>
      </c>
      <c r="B8" s="39">
        <f>B6+1</f>
        <v>1991</v>
      </c>
      <c r="C8" s="108">
        <f>'Municipal WW, CH4'!C8</f>
        <v>0</v>
      </c>
      <c r="D8" s="51" t="s">
        <v>87</v>
      </c>
      <c r="E8" s="202"/>
      <c r="F8" s="51" t="s">
        <v>87</v>
      </c>
      <c r="G8" s="57">
        <f>Control!$F$33</f>
        <v>0</v>
      </c>
      <c r="H8" s="51" t="s">
        <v>87</v>
      </c>
      <c r="I8" s="143">
        <f>Control!$F$25</f>
        <v>0</v>
      </c>
      <c r="J8" s="51" t="s">
        <v>87</v>
      </c>
      <c r="K8" s="58">
        <f>Control!$D$105</f>
        <v>1E-3</v>
      </c>
      <c r="L8" s="52" t="s">
        <v>88</v>
      </c>
      <c r="M8" s="70">
        <f>C8*E8*G8*I8*K8</f>
        <v>0</v>
      </c>
      <c r="N8" s="160" t="s">
        <v>112</v>
      </c>
      <c r="O8" s="70">
        <f>'Municipal WW, N2O, direct'!K8*(1/Control!$D$99)</f>
        <v>0</v>
      </c>
      <c r="P8" s="52" t="s">
        <v>88</v>
      </c>
      <c r="Q8" s="70">
        <f>M8-O8</f>
        <v>0</v>
      </c>
      <c r="R8" s="149" t="s">
        <v>113</v>
      </c>
      <c r="S8" s="150"/>
      <c r="T8" s="51" t="s">
        <v>114</v>
      </c>
      <c r="U8" s="63">
        <f>Control!$F$32</f>
        <v>0</v>
      </c>
      <c r="V8" s="51" t="s">
        <v>87</v>
      </c>
      <c r="W8" s="87">
        <f>Control!$D$99</f>
        <v>1.5714285714285714</v>
      </c>
      <c r="X8" s="52" t="s">
        <v>88</v>
      </c>
      <c r="Y8" s="46">
        <f>Q8*(1-S8)*U8*W8</f>
        <v>0</v>
      </c>
      <c r="Z8" s="51" t="s">
        <v>87</v>
      </c>
      <c r="AA8" s="70">
        <f>Control!$D$102</f>
        <v>265</v>
      </c>
      <c r="AB8" s="51" t="s">
        <v>87</v>
      </c>
      <c r="AC8" s="47">
        <f>Control!$D$104</f>
        <v>9.9999999999999995E-7</v>
      </c>
      <c r="AD8" s="51" t="s">
        <v>87</v>
      </c>
      <c r="AE8" s="46">
        <f>Control!$D$100</f>
        <v>0.27272727272727271</v>
      </c>
      <c r="AF8" s="52" t="s">
        <v>88</v>
      </c>
      <c r="AG8" s="48">
        <f>Y8*AA$6*AC$6*AE$6</f>
        <v>0</v>
      </c>
      <c r="AH8" s="145" t="s">
        <v>115</v>
      </c>
      <c r="AI8" s="48">
        <f>'Municipal WW, N2O, direct'!S8</f>
        <v>0</v>
      </c>
      <c r="AJ8" s="177" t="s">
        <v>88</v>
      </c>
      <c r="AK8" s="48">
        <f>AG8+AI8</f>
        <v>0</v>
      </c>
      <c r="AL8" s="177" t="s">
        <v>88</v>
      </c>
      <c r="AM8" s="48">
        <f>AK8*C_CO2</f>
        <v>0</v>
      </c>
      <c r="AN8" s="51"/>
      <c r="AO8" s="51"/>
      <c r="AP8" s="51"/>
      <c r="AQ8" s="51"/>
      <c r="AS8" s="205">
        <v>43.464750000000002</v>
      </c>
      <c r="AT8"/>
      <c r="AU8"/>
    </row>
    <row r="9" spans="1:47" ht="13">
      <c r="A9" s="38"/>
      <c r="B9" s="41"/>
      <c r="C9" s="50"/>
      <c r="D9" s="40"/>
      <c r="E9" s="204"/>
      <c r="F9" s="50"/>
      <c r="G9" s="50"/>
      <c r="H9" s="50"/>
      <c r="I9" s="50"/>
      <c r="J9" s="50"/>
      <c r="K9" s="50"/>
      <c r="L9" s="50"/>
      <c r="M9" s="50"/>
      <c r="N9" s="51"/>
      <c r="O9" s="50"/>
      <c r="P9" s="50"/>
      <c r="Q9" s="50"/>
      <c r="R9" s="50"/>
      <c r="S9" s="53"/>
      <c r="T9" s="50"/>
      <c r="U9" s="50"/>
      <c r="V9" s="50"/>
      <c r="W9" s="88"/>
      <c r="X9" s="50"/>
      <c r="Y9" s="82"/>
      <c r="Z9" s="50"/>
      <c r="AA9" s="50"/>
      <c r="AB9" s="50"/>
      <c r="AC9" s="50"/>
      <c r="AD9" s="50"/>
      <c r="AE9" s="82"/>
      <c r="AF9" s="50"/>
      <c r="AG9" s="50"/>
      <c r="AH9" s="51"/>
      <c r="AI9" s="40"/>
      <c r="AJ9" s="40"/>
      <c r="AK9" s="40"/>
      <c r="AL9" s="40"/>
      <c r="AM9" s="40"/>
      <c r="AN9" s="40"/>
      <c r="AO9" s="40"/>
      <c r="AP9" s="40"/>
      <c r="AQ9" s="40"/>
      <c r="AS9" s="215"/>
      <c r="AT9"/>
      <c r="AU9"/>
    </row>
    <row r="10" spans="1:47" ht="14">
      <c r="A10" s="38">
        <v>4</v>
      </c>
      <c r="B10" s="39">
        <f>B8+1</f>
        <v>1992</v>
      </c>
      <c r="C10" s="108">
        <f>'Municipal WW, CH4'!C10</f>
        <v>0</v>
      </c>
      <c r="D10" s="51" t="s">
        <v>87</v>
      </c>
      <c r="E10" s="202"/>
      <c r="F10" s="51" t="s">
        <v>87</v>
      </c>
      <c r="G10" s="57">
        <f>Control!$F$33</f>
        <v>0</v>
      </c>
      <c r="H10" s="51" t="s">
        <v>87</v>
      </c>
      <c r="I10" s="143">
        <f>Control!$F$25</f>
        <v>0</v>
      </c>
      <c r="J10" s="51" t="s">
        <v>87</v>
      </c>
      <c r="K10" s="58">
        <f>Control!$D$105</f>
        <v>1E-3</v>
      </c>
      <c r="L10" s="52" t="s">
        <v>88</v>
      </c>
      <c r="M10" s="70">
        <f>C10*E10*G10*I10*K10</f>
        <v>0</v>
      </c>
      <c r="N10" s="160" t="s">
        <v>112</v>
      </c>
      <c r="O10" s="70">
        <f>'Municipal WW, N2O, direct'!K10*(1/Control!$D$99)</f>
        <v>0</v>
      </c>
      <c r="P10" s="52" t="s">
        <v>88</v>
      </c>
      <c r="Q10" s="70">
        <f>M10-O10</f>
        <v>0</v>
      </c>
      <c r="R10" s="149" t="s">
        <v>113</v>
      </c>
      <c r="S10" s="150"/>
      <c r="T10" s="51" t="s">
        <v>114</v>
      </c>
      <c r="U10" s="63">
        <f>Control!$F$32</f>
        <v>0</v>
      </c>
      <c r="V10" s="51" t="s">
        <v>87</v>
      </c>
      <c r="W10" s="87">
        <f>Control!$D$99</f>
        <v>1.5714285714285714</v>
      </c>
      <c r="X10" s="52" t="s">
        <v>88</v>
      </c>
      <c r="Y10" s="46">
        <f>Q10*(1-S10)*U10*W10</f>
        <v>0</v>
      </c>
      <c r="Z10" s="51" t="s">
        <v>87</v>
      </c>
      <c r="AA10" s="70">
        <f>Control!$D$102</f>
        <v>265</v>
      </c>
      <c r="AB10" s="51" t="s">
        <v>87</v>
      </c>
      <c r="AC10" s="47">
        <f>Control!$D$104</f>
        <v>9.9999999999999995E-7</v>
      </c>
      <c r="AD10" s="51" t="s">
        <v>87</v>
      </c>
      <c r="AE10" s="46">
        <f>Control!$D$100</f>
        <v>0.27272727272727271</v>
      </c>
      <c r="AF10" s="52" t="s">
        <v>88</v>
      </c>
      <c r="AG10" s="48">
        <f>Y10*AA$6*AC$6*AE$6</f>
        <v>0</v>
      </c>
      <c r="AH10" s="145" t="s">
        <v>115</v>
      </c>
      <c r="AI10" s="48">
        <f>'Municipal WW, N2O, direct'!S10</f>
        <v>0</v>
      </c>
      <c r="AJ10" s="177" t="s">
        <v>88</v>
      </c>
      <c r="AK10" s="48">
        <f>AG10+AI10</f>
        <v>0</v>
      </c>
      <c r="AL10" s="177" t="s">
        <v>88</v>
      </c>
      <c r="AM10" s="48">
        <f>AK10*C_CO2</f>
        <v>0</v>
      </c>
      <c r="AN10" s="51"/>
      <c r="AO10" s="51"/>
      <c r="AP10" s="51"/>
      <c r="AQ10" s="51"/>
      <c r="AS10" s="205">
        <v>43.83</v>
      </c>
      <c r="AT10"/>
      <c r="AU10"/>
    </row>
    <row r="11" spans="1:47" ht="13">
      <c r="A11" s="38"/>
      <c r="B11" s="40"/>
      <c r="C11" s="109"/>
      <c r="D11" s="40"/>
      <c r="E11" s="203"/>
      <c r="F11" s="50"/>
      <c r="G11" s="50"/>
      <c r="H11" s="50"/>
      <c r="I11" s="50"/>
      <c r="J11" s="50"/>
      <c r="K11" s="50"/>
      <c r="L11" s="50"/>
      <c r="M11" s="50"/>
      <c r="N11" s="51"/>
      <c r="O11" s="50"/>
      <c r="P11" s="50"/>
      <c r="Q11" s="50"/>
      <c r="R11" s="50"/>
      <c r="S11" s="53"/>
      <c r="T11" s="50"/>
      <c r="U11" s="50"/>
      <c r="V11" s="50"/>
      <c r="W11" s="88"/>
      <c r="X11" s="50"/>
      <c r="Y11" s="82"/>
      <c r="Z11" s="50"/>
      <c r="AA11" s="50"/>
      <c r="AB11" s="50"/>
      <c r="AC11" s="50"/>
      <c r="AD11" s="50"/>
      <c r="AE11" s="82"/>
      <c r="AF11" s="50"/>
      <c r="AG11" s="50"/>
      <c r="AH11" s="51"/>
      <c r="AI11" s="40"/>
      <c r="AJ11" s="40"/>
      <c r="AK11" s="40"/>
      <c r="AL11" s="40"/>
      <c r="AM11" s="40"/>
      <c r="AN11" s="40"/>
      <c r="AO11" s="40"/>
      <c r="AP11" s="40"/>
      <c r="AQ11" s="40"/>
      <c r="AS11" s="215"/>
      <c r="AT11"/>
      <c r="AU11"/>
    </row>
    <row r="12" spans="1:47" ht="14">
      <c r="A12" s="37">
        <v>5</v>
      </c>
      <c r="B12" s="39">
        <f>B10+1</f>
        <v>1993</v>
      </c>
      <c r="C12" s="108">
        <f>'Municipal WW, CH4'!C12</f>
        <v>0</v>
      </c>
      <c r="D12" s="51" t="s">
        <v>87</v>
      </c>
      <c r="E12" s="202"/>
      <c r="F12" s="51" t="s">
        <v>87</v>
      </c>
      <c r="G12" s="57">
        <f>Control!$F$33</f>
        <v>0</v>
      </c>
      <c r="H12" s="51" t="s">
        <v>87</v>
      </c>
      <c r="I12" s="143">
        <f>Control!$F$25</f>
        <v>0</v>
      </c>
      <c r="J12" s="51" t="s">
        <v>87</v>
      </c>
      <c r="K12" s="58">
        <f>Control!$D$105</f>
        <v>1E-3</v>
      </c>
      <c r="L12" s="52" t="s">
        <v>88</v>
      </c>
      <c r="M12" s="70">
        <f>C12*E12*G12*I12*K12</f>
        <v>0</v>
      </c>
      <c r="N12" s="160" t="s">
        <v>112</v>
      </c>
      <c r="O12" s="70">
        <f>'Municipal WW, N2O, direct'!K12*(1/Control!$D$99)</f>
        <v>0</v>
      </c>
      <c r="P12" s="52" t="s">
        <v>88</v>
      </c>
      <c r="Q12" s="70">
        <f>M12-O12</f>
        <v>0</v>
      </c>
      <c r="R12" s="149" t="s">
        <v>113</v>
      </c>
      <c r="S12" s="150"/>
      <c r="T12" s="51" t="s">
        <v>114</v>
      </c>
      <c r="U12" s="63">
        <f>Control!$F$32</f>
        <v>0</v>
      </c>
      <c r="V12" s="51" t="s">
        <v>87</v>
      </c>
      <c r="W12" s="87">
        <f>Control!$D$99</f>
        <v>1.5714285714285714</v>
      </c>
      <c r="X12" s="52" t="s">
        <v>88</v>
      </c>
      <c r="Y12" s="46">
        <f>Q12*(1-S12)*U12*W12</f>
        <v>0</v>
      </c>
      <c r="Z12" s="51" t="s">
        <v>87</v>
      </c>
      <c r="AA12" s="70">
        <f>Control!$D$102</f>
        <v>265</v>
      </c>
      <c r="AB12" s="51" t="s">
        <v>87</v>
      </c>
      <c r="AC12" s="47">
        <f>Control!$D$104</f>
        <v>9.9999999999999995E-7</v>
      </c>
      <c r="AD12" s="51" t="s">
        <v>87</v>
      </c>
      <c r="AE12" s="46">
        <f>Control!$D$100</f>
        <v>0.27272727272727271</v>
      </c>
      <c r="AF12" s="52" t="s">
        <v>88</v>
      </c>
      <c r="AG12" s="48">
        <f>Y12*AA$6*AC$6*AE$6</f>
        <v>0</v>
      </c>
      <c r="AH12" s="145" t="s">
        <v>115</v>
      </c>
      <c r="AI12" s="48">
        <f>'Municipal WW, N2O, direct'!S12</f>
        <v>0</v>
      </c>
      <c r="AJ12" s="177" t="s">
        <v>88</v>
      </c>
      <c r="AK12" s="48">
        <f>AG12+AI12</f>
        <v>0</v>
      </c>
      <c r="AL12" s="177" t="s">
        <v>88</v>
      </c>
      <c r="AM12" s="48">
        <f>AK12*C_CO2</f>
        <v>0</v>
      </c>
      <c r="AN12" s="51"/>
      <c r="AO12" s="51"/>
      <c r="AP12" s="51"/>
      <c r="AQ12" s="51"/>
      <c r="AS12" s="205">
        <v>43.83</v>
      </c>
      <c r="AT12"/>
      <c r="AU12"/>
    </row>
    <row r="13" spans="1:47" ht="13">
      <c r="A13" s="38"/>
      <c r="B13" s="40"/>
      <c r="C13" s="109"/>
      <c r="D13" s="40"/>
      <c r="E13" s="203"/>
      <c r="F13" s="50"/>
      <c r="G13" s="50"/>
      <c r="H13" s="50"/>
      <c r="I13" s="50"/>
      <c r="J13" s="50"/>
      <c r="K13" s="50"/>
      <c r="L13" s="50"/>
      <c r="M13" s="50"/>
      <c r="N13" s="51"/>
      <c r="O13" s="50"/>
      <c r="P13" s="50"/>
      <c r="Q13" s="50"/>
      <c r="R13" s="50"/>
      <c r="S13" s="53"/>
      <c r="T13" s="50"/>
      <c r="U13" s="50"/>
      <c r="V13" s="50"/>
      <c r="W13" s="88"/>
      <c r="X13" s="50"/>
      <c r="Y13" s="82"/>
      <c r="Z13" s="50"/>
      <c r="AA13" s="50"/>
      <c r="AB13" s="50"/>
      <c r="AC13" s="50"/>
      <c r="AD13" s="50"/>
      <c r="AE13" s="82"/>
      <c r="AF13" s="50"/>
      <c r="AG13" s="50"/>
      <c r="AH13" s="51"/>
      <c r="AI13" s="40"/>
      <c r="AJ13" s="40"/>
      <c r="AK13" s="40"/>
      <c r="AL13" s="40"/>
      <c r="AM13" s="40"/>
      <c r="AN13" s="40"/>
      <c r="AO13" s="40"/>
      <c r="AP13" s="40"/>
      <c r="AQ13" s="40"/>
      <c r="AS13" s="215"/>
      <c r="AT13"/>
      <c r="AU13"/>
    </row>
    <row r="14" spans="1:47" ht="14">
      <c r="A14" s="38">
        <v>6</v>
      </c>
      <c r="B14" s="39">
        <f>B12+1</f>
        <v>1994</v>
      </c>
      <c r="C14" s="108">
        <f>'Municipal WW, CH4'!C14</f>
        <v>0</v>
      </c>
      <c r="D14" s="51" t="s">
        <v>87</v>
      </c>
      <c r="E14" s="202"/>
      <c r="F14" s="51" t="s">
        <v>87</v>
      </c>
      <c r="G14" s="57">
        <f>Control!$F$33</f>
        <v>0</v>
      </c>
      <c r="H14" s="51" t="s">
        <v>87</v>
      </c>
      <c r="I14" s="143">
        <f>Control!$F$25</f>
        <v>0</v>
      </c>
      <c r="J14" s="51" t="s">
        <v>87</v>
      </c>
      <c r="K14" s="58">
        <f>Control!$D$105</f>
        <v>1E-3</v>
      </c>
      <c r="L14" s="52" t="s">
        <v>88</v>
      </c>
      <c r="M14" s="70">
        <f>C14*E14*G14*I14*K14</f>
        <v>0</v>
      </c>
      <c r="N14" s="160" t="s">
        <v>112</v>
      </c>
      <c r="O14" s="70">
        <f>'Municipal WW, N2O, direct'!K14*(1/Control!$D$99)</f>
        <v>0</v>
      </c>
      <c r="P14" s="52" t="s">
        <v>88</v>
      </c>
      <c r="Q14" s="70">
        <f>M14-O14</f>
        <v>0</v>
      </c>
      <c r="R14" s="149" t="s">
        <v>113</v>
      </c>
      <c r="S14" s="150"/>
      <c r="T14" s="51" t="s">
        <v>114</v>
      </c>
      <c r="U14" s="63">
        <f>Control!$F$32</f>
        <v>0</v>
      </c>
      <c r="V14" s="51" t="s">
        <v>87</v>
      </c>
      <c r="W14" s="87">
        <f>Control!$D$99</f>
        <v>1.5714285714285714</v>
      </c>
      <c r="X14" s="52" t="s">
        <v>88</v>
      </c>
      <c r="Y14" s="46">
        <f>Q14*(1-S14)*U14*W14</f>
        <v>0</v>
      </c>
      <c r="Z14" s="51" t="s">
        <v>87</v>
      </c>
      <c r="AA14" s="70">
        <f>Control!$D$102</f>
        <v>265</v>
      </c>
      <c r="AB14" s="51" t="s">
        <v>87</v>
      </c>
      <c r="AC14" s="47">
        <f>Control!$D$104</f>
        <v>9.9999999999999995E-7</v>
      </c>
      <c r="AD14" s="51" t="s">
        <v>87</v>
      </c>
      <c r="AE14" s="46">
        <f>Control!$D$100</f>
        <v>0.27272727272727271</v>
      </c>
      <c r="AF14" s="52" t="s">
        <v>88</v>
      </c>
      <c r="AG14" s="48">
        <f>Y14*AA$6*AC$6*AE$6</f>
        <v>0</v>
      </c>
      <c r="AH14" s="145" t="s">
        <v>115</v>
      </c>
      <c r="AI14" s="48">
        <f>'Municipal WW, N2O, direct'!S14</f>
        <v>0</v>
      </c>
      <c r="AJ14" s="177" t="s">
        <v>88</v>
      </c>
      <c r="AK14" s="48">
        <f>AG14+AI14</f>
        <v>0</v>
      </c>
      <c r="AL14" s="177" t="s">
        <v>88</v>
      </c>
      <c r="AM14" s="48">
        <f>AK14*C_CO2</f>
        <v>0</v>
      </c>
      <c r="AN14" s="51"/>
      <c r="AO14" s="51"/>
      <c r="AP14" s="51"/>
      <c r="AQ14" s="51"/>
      <c r="AS14" s="205">
        <v>44.560499999999998</v>
      </c>
      <c r="AT14"/>
      <c r="AU14"/>
    </row>
    <row r="15" spans="1:47" ht="13">
      <c r="A15" s="38"/>
      <c r="B15" s="40"/>
      <c r="C15" s="50"/>
      <c r="D15" s="40"/>
      <c r="E15" s="204"/>
      <c r="F15" s="50"/>
      <c r="G15" s="50"/>
      <c r="H15" s="50"/>
      <c r="I15" s="50"/>
      <c r="J15" s="50"/>
      <c r="K15" s="50"/>
      <c r="L15" s="50"/>
      <c r="M15" s="50"/>
      <c r="N15" s="51"/>
      <c r="O15" s="50"/>
      <c r="P15" s="50"/>
      <c r="Q15" s="50"/>
      <c r="R15" s="50"/>
      <c r="S15" s="53"/>
      <c r="T15" s="50"/>
      <c r="U15" s="50"/>
      <c r="V15" s="50"/>
      <c r="W15" s="88"/>
      <c r="X15" s="50"/>
      <c r="Y15" s="82"/>
      <c r="Z15" s="50"/>
      <c r="AA15" s="50"/>
      <c r="AB15" s="50"/>
      <c r="AC15" s="50"/>
      <c r="AD15" s="50"/>
      <c r="AE15" s="82"/>
      <c r="AF15" s="50"/>
      <c r="AG15" s="50"/>
      <c r="AH15" s="51"/>
      <c r="AI15" s="40"/>
      <c r="AJ15" s="40"/>
      <c r="AK15" s="40"/>
      <c r="AL15" s="40"/>
      <c r="AM15" s="40"/>
      <c r="AN15" s="40"/>
      <c r="AO15" s="40"/>
      <c r="AP15" s="40"/>
      <c r="AQ15" s="40"/>
      <c r="AS15" s="215"/>
      <c r="AT15"/>
      <c r="AU15"/>
    </row>
    <row r="16" spans="1:47" ht="14">
      <c r="A16" s="38">
        <v>7</v>
      </c>
      <c r="B16" s="39">
        <f>B14+1</f>
        <v>1995</v>
      </c>
      <c r="C16" s="108">
        <f>'Municipal WW, CH4'!C16</f>
        <v>0</v>
      </c>
      <c r="D16" s="51" t="s">
        <v>87</v>
      </c>
      <c r="E16" s="202"/>
      <c r="F16" s="51" t="s">
        <v>87</v>
      </c>
      <c r="G16" s="57">
        <f>Control!$F$33</f>
        <v>0</v>
      </c>
      <c r="H16" s="51" t="s">
        <v>87</v>
      </c>
      <c r="I16" s="143">
        <f>Control!$F$25</f>
        <v>0</v>
      </c>
      <c r="J16" s="51" t="s">
        <v>87</v>
      </c>
      <c r="K16" s="58">
        <f>Control!$D$105</f>
        <v>1E-3</v>
      </c>
      <c r="L16" s="52" t="s">
        <v>88</v>
      </c>
      <c r="M16" s="70">
        <f>C16*E16*G16*I16*K16</f>
        <v>0</v>
      </c>
      <c r="N16" s="160" t="s">
        <v>112</v>
      </c>
      <c r="O16" s="70">
        <f>'Municipal WW, N2O, direct'!K16*(1/Control!$D$99)</f>
        <v>0</v>
      </c>
      <c r="P16" s="52" t="s">
        <v>88</v>
      </c>
      <c r="Q16" s="70">
        <f>M16-O16</f>
        <v>0</v>
      </c>
      <c r="R16" s="149" t="s">
        <v>113</v>
      </c>
      <c r="S16" s="150"/>
      <c r="T16" s="51" t="s">
        <v>114</v>
      </c>
      <c r="U16" s="63">
        <f>Control!$F$32</f>
        <v>0</v>
      </c>
      <c r="V16" s="51" t="s">
        <v>87</v>
      </c>
      <c r="W16" s="87">
        <f>Control!$D$99</f>
        <v>1.5714285714285714</v>
      </c>
      <c r="X16" s="52" t="s">
        <v>88</v>
      </c>
      <c r="Y16" s="46">
        <f>Q16*(1-S16)*U16*W16</f>
        <v>0</v>
      </c>
      <c r="Z16" s="51" t="s">
        <v>87</v>
      </c>
      <c r="AA16" s="70">
        <f>Control!$D$102</f>
        <v>265</v>
      </c>
      <c r="AB16" s="51" t="s">
        <v>87</v>
      </c>
      <c r="AC16" s="47">
        <f>Control!$D$104</f>
        <v>9.9999999999999995E-7</v>
      </c>
      <c r="AD16" s="51" t="s">
        <v>87</v>
      </c>
      <c r="AE16" s="46">
        <f>Control!$D$100</f>
        <v>0.27272727272727271</v>
      </c>
      <c r="AF16" s="52" t="s">
        <v>88</v>
      </c>
      <c r="AG16" s="48">
        <f>Y16*AA$6*AC$6*AE$6</f>
        <v>0</v>
      </c>
      <c r="AH16" s="145" t="s">
        <v>115</v>
      </c>
      <c r="AI16" s="48">
        <f>'Municipal WW, N2O, direct'!S16</f>
        <v>0</v>
      </c>
      <c r="AJ16" s="177" t="s">
        <v>88</v>
      </c>
      <c r="AK16" s="48">
        <f>AG16+AI16</f>
        <v>0</v>
      </c>
      <c r="AL16" s="177" t="s">
        <v>88</v>
      </c>
      <c r="AM16" s="48">
        <f>AK16*C_CO2</f>
        <v>0</v>
      </c>
      <c r="AN16" s="51"/>
      <c r="AO16" s="51"/>
      <c r="AP16" s="51"/>
      <c r="AQ16" s="51"/>
      <c r="AS16" s="205">
        <v>44.195250000000001</v>
      </c>
      <c r="AT16"/>
      <c r="AU16"/>
    </row>
    <row r="17" spans="1:47" ht="13">
      <c r="A17" s="38"/>
      <c r="B17" s="40"/>
      <c r="C17" s="50"/>
      <c r="D17" s="40"/>
      <c r="E17" s="204"/>
      <c r="F17" s="50"/>
      <c r="G17" s="50"/>
      <c r="H17" s="50"/>
      <c r="I17" s="50"/>
      <c r="J17" s="50"/>
      <c r="K17" s="50"/>
      <c r="L17" s="50"/>
      <c r="M17" s="50"/>
      <c r="N17" s="51"/>
      <c r="O17" s="50"/>
      <c r="P17" s="50"/>
      <c r="Q17" s="50"/>
      <c r="R17" s="50"/>
      <c r="S17" s="53"/>
      <c r="T17" s="50"/>
      <c r="U17" s="50"/>
      <c r="V17" s="50"/>
      <c r="W17" s="88"/>
      <c r="X17" s="50"/>
      <c r="Y17" s="82"/>
      <c r="Z17" s="50"/>
      <c r="AA17" s="50"/>
      <c r="AB17" s="50"/>
      <c r="AC17" s="50"/>
      <c r="AD17" s="50"/>
      <c r="AE17" s="82"/>
      <c r="AF17" s="50"/>
      <c r="AG17" s="50"/>
      <c r="AH17" s="51"/>
      <c r="AI17" s="40"/>
      <c r="AJ17" s="40"/>
      <c r="AK17" s="40"/>
      <c r="AL17" s="40"/>
      <c r="AM17" s="40"/>
      <c r="AN17" s="40"/>
      <c r="AO17" s="40"/>
      <c r="AP17" s="40"/>
      <c r="AQ17" s="40"/>
      <c r="AS17" s="215"/>
      <c r="AT17"/>
      <c r="AU17"/>
    </row>
    <row r="18" spans="1:47" ht="14">
      <c r="A18" s="38">
        <v>8</v>
      </c>
      <c r="B18" s="39">
        <f>B16+1</f>
        <v>1996</v>
      </c>
      <c r="C18" s="108">
        <f>'Municipal WW, CH4'!C18</f>
        <v>0</v>
      </c>
      <c r="D18" s="51" t="s">
        <v>87</v>
      </c>
      <c r="E18" s="202"/>
      <c r="F18" s="51" t="s">
        <v>87</v>
      </c>
      <c r="G18" s="57">
        <f>Control!$F$33</f>
        <v>0</v>
      </c>
      <c r="H18" s="51" t="s">
        <v>87</v>
      </c>
      <c r="I18" s="143">
        <f>Control!$F$25</f>
        <v>0</v>
      </c>
      <c r="J18" s="51" t="s">
        <v>87</v>
      </c>
      <c r="K18" s="58">
        <f>Control!$D$105</f>
        <v>1E-3</v>
      </c>
      <c r="L18" s="52" t="s">
        <v>88</v>
      </c>
      <c r="M18" s="70">
        <f>C18*E18*G18*I18*K18</f>
        <v>0</v>
      </c>
      <c r="N18" s="160" t="s">
        <v>112</v>
      </c>
      <c r="O18" s="70">
        <f>'Municipal WW, N2O, direct'!K18*(1/Control!$D$99)</f>
        <v>0</v>
      </c>
      <c r="P18" s="52" t="s">
        <v>88</v>
      </c>
      <c r="Q18" s="70">
        <f>M18-O18</f>
        <v>0</v>
      </c>
      <c r="R18" s="149" t="s">
        <v>113</v>
      </c>
      <c r="S18" s="150"/>
      <c r="T18" s="51" t="s">
        <v>114</v>
      </c>
      <c r="U18" s="63">
        <f>Control!$F$32</f>
        <v>0</v>
      </c>
      <c r="V18" s="51" t="s">
        <v>87</v>
      </c>
      <c r="W18" s="87">
        <f>Control!$D$99</f>
        <v>1.5714285714285714</v>
      </c>
      <c r="X18" s="52" t="s">
        <v>88</v>
      </c>
      <c r="Y18" s="46">
        <f>Q18*(1-S18)*U18*W18</f>
        <v>0</v>
      </c>
      <c r="Z18" s="51" t="s">
        <v>87</v>
      </c>
      <c r="AA18" s="70">
        <f>Control!$D$102</f>
        <v>265</v>
      </c>
      <c r="AB18" s="51" t="s">
        <v>87</v>
      </c>
      <c r="AC18" s="47">
        <f>Control!$D$104</f>
        <v>9.9999999999999995E-7</v>
      </c>
      <c r="AD18" s="51" t="s">
        <v>87</v>
      </c>
      <c r="AE18" s="46">
        <f>Control!$D$100</f>
        <v>0.27272727272727271</v>
      </c>
      <c r="AF18" s="52" t="s">
        <v>88</v>
      </c>
      <c r="AG18" s="48">
        <f>Y18*AA$6*AC$6*AE$6</f>
        <v>0</v>
      </c>
      <c r="AH18" s="145" t="s">
        <v>115</v>
      </c>
      <c r="AI18" s="48">
        <f>'Municipal WW, N2O, direct'!S18</f>
        <v>0</v>
      </c>
      <c r="AJ18" s="177" t="s">
        <v>88</v>
      </c>
      <c r="AK18" s="48">
        <f>AG18+AI18</f>
        <v>0</v>
      </c>
      <c r="AL18" s="177" t="s">
        <v>88</v>
      </c>
      <c r="AM18" s="48">
        <f>AK18*C_CO2</f>
        <v>0</v>
      </c>
      <c r="AN18" s="51"/>
      <c r="AO18" s="51"/>
      <c r="AP18" s="51"/>
      <c r="AQ18" s="51"/>
      <c r="AS18" s="205">
        <v>44.560499999999998</v>
      </c>
      <c r="AT18"/>
      <c r="AU18"/>
    </row>
    <row r="19" spans="1:47" ht="13">
      <c r="A19" s="38"/>
      <c r="B19" s="40"/>
      <c r="C19" s="50"/>
      <c r="D19" s="40"/>
      <c r="E19" s="204"/>
      <c r="F19" s="50"/>
      <c r="G19" s="50"/>
      <c r="H19" s="50"/>
      <c r="I19" s="50"/>
      <c r="J19" s="50"/>
      <c r="K19" s="50"/>
      <c r="L19" s="50"/>
      <c r="M19" s="50"/>
      <c r="N19" s="51"/>
      <c r="O19" s="50"/>
      <c r="P19" s="50"/>
      <c r="Q19" s="50"/>
      <c r="R19" s="50"/>
      <c r="S19" s="53"/>
      <c r="T19" s="50"/>
      <c r="U19" s="50"/>
      <c r="V19" s="50"/>
      <c r="W19" s="88"/>
      <c r="X19" s="50"/>
      <c r="Y19" s="82"/>
      <c r="Z19" s="50"/>
      <c r="AA19" s="50"/>
      <c r="AB19" s="50"/>
      <c r="AC19" s="50"/>
      <c r="AD19" s="50"/>
      <c r="AE19" s="82"/>
      <c r="AF19" s="50"/>
      <c r="AG19" s="50"/>
      <c r="AH19" s="51"/>
      <c r="AI19" s="40"/>
      <c r="AJ19" s="40"/>
      <c r="AK19" s="40"/>
      <c r="AL19" s="40"/>
      <c r="AM19" s="40"/>
      <c r="AN19" s="40"/>
      <c r="AO19" s="40"/>
      <c r="AP19" s="40"/>
      <c r="AQ19" s="40"/>
      <c r="AS19" s="215"/>
      <c r="AT19"/>
      <c r="AU19"/>
    </row>
    <row r="20" spans="1:47" ht="14">
      <c r="A20" s="38">
        <v>9</v>
      </c>
      <c r="B20" s="39">
        <f>B18+1</f>
        <v>1997</v>
      </c>
      <c r="C20" s="108">
        <f>'Municipal WW, CH4'!C20</f>
        <v>0</v>
      </c>
      <c r="D20" s="51" t="s">
        <v>87</v>
      </c>
      <c r="E20" s="202"/>
      <c r="F20" s="51" t="s">
        <v>87</v>
      </c>
      <c r="G20" s="57">
        <f>Control!$F$33</f>
        <v>0</v>
      </c>
      <c r="H20" s="51" t="s">
        <v>87</v>
      </c>
      <c r="I20" s="143">
        <f>Control!$F$25</f>
        <v>0</v>
      </c>
      <c r="J20" s="51" t="s">
        <v>87</v>
      </c>
      <c r="K20" s="58">
        <f>Control!$D$105</f>
        <v>1E-3</v>
      </c>
      <c r="L20" s="52" t="s">
        <v>88</v>
      </c>
      <c r="M20" s="70">
        <f>C20*E20*G20*I20*K20</f>
        <v>0</v>
      </c>
      <c r="N20" s="160" t="s">
        <v>112</v>
      </c>
      <c r="O20" s="70">
        <f>'Municipal WW, N2O, direct'!K20*(1/Control!$D$99)</f>
        <v>0</v>
      </c>
      <c r="P20" s="52" t="s">
        <v>88</v>
      </c>
      <c r="Q20" s="70">
        <f>M20-O20</f>
        <v>0</v>
      </c>
      <c r="R20" s="149" t="s">
        <v>113</v>
      </c>
      <c r="S20" s="150"/>
      <c r="T20" s="51" t="s">
        <v>114</v>
      </c>
      <c r="U20" s="63">
        <f>Control!$F$32</f>
        <v>0</v>
      </c>
      <c r="V20" s="51" t="s">
        <v>87</v>
      </c>
      <c r="W20" s="87">
        <f>Control!$D$99</f>
        <v>1.5714285714285714</v>
      </c>
      <c r="X20" s="52" t="s">
        <v>88</v>
      </c>
      <c r="Y20" s="46">
        <f>Q20*U20*W20</f>
        <v>0</v>
      </c>
      <c r="Z20" s="51" t="s">
        <v>87</v>
      </c>
      <c r="AA20" s="70">
        <f>Control!$D$102</f>
        <v>265</v>
      </c>
      <c r="AB20" s="51" t="s">
        <v>87</v>
      </c>
      <c r="AC20" s="47">
        <f>Control!$D$104</f>
        <v>9.9999999999999995E-7</v>
      </c>
      <c r="AD20" s="51" t="s">
        <v>87</v>
      </c>
      <c r="AE20" s="46">
        <f>Control!$D$100</f>
        <v>0.27272727272727271</v>
      </c>
      <c r="AF20" s="52" t="s">
        <v>88</v>
      </c>
      <c r="AG20" s="48">
        <f>Y20*AA$6*AC$6*AE$6</f>
        <v>0</v>
      </c>
      <c r="AH20" s="145" t="s">
        <v>115</v>
      </c>
      <c r="AI20" s="48">
        <f>'Municipal WW, N2O, direct'!S20</f>
        <v>0</v>
      </c>
      <c r="AJ20" s="177" t="s">
        <v>88</v>
      </c>
      <c r="AK20" s="48">
        <f>AG20+AI20</f>
        <v>0</v>
      </c>
      <c r="AL20" s="177" t="s">
        <v>88</v>
      </c>
      <c r="AM20" s="48">
        <f>AK20*C_CO2</f>
        <v>0</v>
      </c>
      <c r="AN20" s="51"/>
      <c r="AO20" s="51"/>
      <c r="AP20" s="51"/>
      <c r="AQ20" s="51"/>
      <c r="AS20" s="205">
        <v>44.195250000000001</v>
      </c>
      <c r="AT20"/>
      <c r="AU20"/>
    </row>
    <row r="21" spans="1:47" ht="13">
      <c r="A21" s="38"/>
      <c r="B21" s="40"/>
      <c r="C21" s="50"/>
      <c r="D21" s="40"/>
      <c r="E21" s="204"/>
      <c r="F21" s="50"/>
      <c r="G21" s="50"/>
      <c r="H21" s="50"/>
      <c r="I21" s="50"/>
      <c r="J21" s="50"/>
      <c r="K21" s="50"/>
      <c r="L21" s="50"/>
      <c r="M21" s="50"/>
      <c r="N21" s="51"/>
      <c r="O21" s="50"/>
      <c r="P21" s="50"/>
      <c r="Q21" s="50"/>
      <c r="R21" s="50"/>
      <c r="S21" s="53"/>
      <c r="T21" s="50"/>
      <c r="U21" s="50"/>
      <c r="V21" s="50"/>
      <c r="W21" s="88"/>
      <c r="X21" s="50"/>
      <c r="Y21" s="50"/>
      <c r="Z21" s="50"/>
      <c r="AA21" s="50"/>
      <c r="AB21" s="50"/>
      <c r="AC21" s="50"/>
      <c r="AD21" s="50"/>
      <c r="AE21" s="82"/>
      <c r="AF21" s="50"/>
      <c r="AG21" s="50"/>
      <c r="AH21" s="51"/>
      <c r="AI21" s="40"/>
      <c r="AJ21" s="40"/>
      <c r="AK21" s="40"/>
      <c r="AL21" s="40"/>
      <c r="AM21" s="40"/>
      <c r="AN21" s="40"/>
      <c r="AO21" s="40"/>
      <c r="AP21" s="40"/>
      <c r="AQ21" s="40"/>
      <c r="AS21" s="215"/>
      <c r="AT21"/>
      <c r="AU21"/>
    </row>
    <row r="22" spans="1:47" ht="14">
      <c r="A22" s="38">
        <v>10</v>
      </c>
      <c r="B22" s="39">
        <f>B20+1</f>
        <v>1998</v>
      </c>
      <c r="C22" s="108">
        <f>'Municipal WW, CH4'!C22</f>
        <v>0</v>
      </c>
      <c r="D22" s="51" t="s">
        <v>87</v>
      </c>
      <c r="E22" s="202"/>
      <c r="F22" s="51" t="s">
        <v>87</v>
      </c>
      <c r="G22" s="57">
        <f>Control!$F$33</f>
        <v>0</v>
      </c>
      <c r="H22" s="51" t="s">
        <v>87</v>
      </c>
      <c r="I22" s="143">
        <f>Control!$F$25</f>
        <v>0</v>
      </c>
      <c r="J22" s="51" t="s">
        <v>87</v>
      </c>
      <c r="K22" s="58">
        <f>Control!$D$105</f>
        <v>1E-3</v>
      </c>
      <c r="L22" s="52" t="s">
        <v>88</v>
      </c>
      <c r="M22" s="70">
        <f>C22*E22*G22*I22*K22</f>
        <v>0</v>
      </c>
      <c r="N22" s="160" t="s">
        <v>112</v>
      </c>
      <c r="O22" s="70">
        <f>'Municipal WW, N2O, direct'!K22*(1/Control!$D$99)</f>
        <v>0</v>
      </c>
      <c r="P22" s="52" t="s">
        <v>88</v>
      </c>
      <c r="Q22" s="70">
        <f>M22-O22</f>
        <v>0</v>
      </c>
      <c r="R22" s="149" t="s">
        <v>113</v>
      </c>
      <c r="S22" s="150"/>
      <c r="T22" s="51" t="s">
        <v>114</v>
      </c>
      <c r="U22" s="63">
        <f>Control!$F$32</f>
        <v>0</v>
      </c>
      <c r="V22" s="51" t="s">
        <v>87</v>
      </c>
      <c r="W22" s="87">
        <f>Control!$D$99</f>
        <v>1.5714285714285714</v>
      </c>
      <c r="X22" s="52" t="s">
        <v>88</v>
      </c>
      <c r="Y22" s="46">
        <f>Q22*(1-S22)*U22*W22</f>
        <v>0</v>
      </c>
      <c r="Z22" s="51" t="s">
        <v>87</v>
      </c>
      <c r="AA22" s="70">
        <f>Control!$D$102</f>
        <v>265</v>
      </c>
      <c r="AB22" s="51" t="s">
        <v>87</v>
      </c>
      <c r="AC22" s="47">
        <f>Control!$D$104</f>
        <v>9.9999999999999995E-7</v>
      </c>
      <c r="AD22" s="51" t="s">
        <v>87</v>
      </c>
      <c r="AE22" s="46">
        <f>Control!$D$100</f>
        <v>0.27272727272727271</v>
      </c>
      <c r="AF22" s="52" t="s">
        <v>88</v>
      </c>
      <c r="AG22" s="48">
        <f>Y22*AA$6*AC$6*AE$6</f>
        <v>0</v>
      </c>
      <c r="AH22" s="145" t="s">
        <v>115</v>
      </c>
      <c r="AI22" s="48">
        <f>'Municipal WW, N2O, direct'!S22</f>
        <v>0</v>
      </c>
      <c r="AJ22" s="177" t="s">
        <v>88</v>
      </c>
      <c r="AK22" s="48">
        <f>AG22+AI22</f>
        <v>0</v>
      </c>
      <c r="AL22" s="177" t="s">
        <v>88</v>
      </c>
      <c r="AM22" s="48">
        <f>AK22*C_CO2</f>
        <v>0</v>
      </c>
      <c r="AN22" s="51"/>
      <c r="AO22" s="51"/>
      <c r="AP22" s="51"/>
      <c r="AQ22" s="51"/>
      <c r="AS22" s="205">
        <v>44.560499999999998</v>
      </c>
      <c r="AT22"/>
      <c r="AU22"/>
    </row>
    <row r="23" spans="1:47" ht="13">
      <c r="A23" s="38"/>
      <c r="B23" s="40"/>
      <c r="C23" s="50"/>
      <c r="D23" s="40"/>
      <c r="E23" s="204"/>
      <c r="F23" s="50"/>
      <c r="G23" s="50"/>
      <c r="H23" s="50"/>
      <c r="I23" s="50"/>
      <c r="J23" s="50"/>
      <c r="K23" s="50"/>
      <c r="L23" s="50"/>
      <c r="M23" s="50"/>
      <c r="N23" s="51"/>
      <c r="O23" s="50"/>
      <c r="P23" s="50"/>
      <c r="Q23" s="50"/>
      <c r="R23" s="50"/>
      <c r="S23" s="53"/>
      <c r="T23" s="50"/>
      <c r="U23" s="50"/>
      <c r="V23" s="50"/>
      <c r="W23" s="88"/>
      <c r="X23" s="50"/>
      <c r="Y23" s="82"/>
      <c r="Z23" s="50"/>
      <c r="AA23" s="50"/>
      <c r="AB23" s="50"/>
      <c r="AC23" s="50"/>
      <c r="AD23" s="50"/>
      <c r="AE23" s="82"/>
      <c r="AF23" s="50"/>
      <c r="AG23" s="50"/>
      <c r="AH23" s="51"/>
      <c r="AI23" s="40"/>
      <c r="AJ23" s="40"/>
      <c r="AK23" s="40"/>
      <c r="AL23" s="40"/>
      <c r="AM23" s="40"/>
      <c r="AN23" s="40"/>
      <c r="AO23" s="40"/>
      <c r="AP23" s="40"/>
      <c r="AQ23" s="40"/>
      <c r="AS23" s="215"/>
      <c r="AT23"/>
      <c r="AU23"/>
    </row>
    <row r="24" spans="1:47" ht="14">
      <c r="A24" s="38">
        <v>11</v>
      </c>
      <c r="B24" s="39">
        <f>B22+1</f>
        <v>1999</v>
      </c>
      <c r="C24" s="108">
        <f>'Municipal WW, CH4'!C24</f>
        <v>0</v>
      </c>
      <c r="D24" s="51" t="s">
        <v>87</v>
      </c>
      <c r="E24" s="202"/>
      <c r="F24" s="51" t="s">
        <v>87</v>
      </c>
      <c r="G24" s="57">
        <f>Control!$F$33</f>
        <v>0</v>
      </c>
      <c r="H24" s="51" t="s">
        <v>87</v>
      </c>
      <c r="I24" s="143">
        <f>Control!$F$25</f>
        <v>0</v>
      </c>
      <c r="J24" s="51" t="s">
        <v>87</v>
      </c>
      <c r="K24" s="58">
        <f>Control!$D$105</f>
        <v>1E-3</v>
      </c>
      <c r="L24" s="52" t="s">
        <v>88</v>
      </c>
      <c r="M24" s="70">
        <f>C24*E24*G24*I24*K24</f>
        <v>0</v>
      </c>
      <c r="N24" s="160" t="s">
        <v>112</v>
      </c>
      <c r="O24" s="70">
        <f>'Municipal WW, N2O, direct'!K24*(1/Control!$D$99)</f>
        <v>0</v>
      </c>
      <c r="P24" s="52" t="s">
        <v>88</v>
      </c>
      <c r="Q24" s="70">
        <f>M24-O24</f>
        <v>0</v>
      </c>
      <c r="R24" s="149" t="s">
        <v>113</v>
      </c>
      <c r="S24" s="150"/>
      <c r="T24" s="51" t="s">
        <v>114</v>
      </c>
      <c r="U24" s="63">
        <f>Control!$F$32</f>
        <v>0</v>
      </c>
      <c r="V24" s="51" t="s">
        <v>87</v>
      </c>
      <c r="W24" s="87">
        <f>Control!$D$99</f>
        <v>1.5714285714285714</v>
      </c>
      <c r="X24" s="52" t="s">
        <v>88</v>
      </c>
      <c r="Y24" s="46">
        <f>Q24*(1-S24)*U24*W24</f>
        <v>0</v>
      </c>
      <c r="Z24" s="51" t="s">
        <v>87</v>
      </c>
      <c r="AA24" s="70">
        <f>Control!$D$102</f>
        <v>265</v>
      </c>
      <c r="AB24" s="51" t="s">
        <v>87</v>
      </c>
      <c r="AC24" s="47">
        <f>Control!$D$104</f>
        <v>9.9999999999999995E-7</v>
      </c>
      <c r="AD24" s="51" t="s">
        <v>87</v>
      </c>
      <c r="AE24" s="46">
        <f>Control!$D$100</f>
        <v>0.27272727272727271</v>
      </c>
      <c r="AF24" s="52" t="s">
        <v>88</v>
      </c>
      <c r="AG24" s="48">
        <f>Y24*AA$6*AC$6*AE$6</f>
        <v>0</v>
      </c>
      <c r="AH24" s="145" t="s">
        <v>115</v>
      </c>
      <c r="AI24" s="48">
        <f>'Municipal WW, N2O, direct'!S24</f>
        <v>0</v>
      </c>
      <c r="AJ24" s="177" t="s">
        <v>88</v>
      </c>
      <c r="AK24" s="48">
        <f>AG24+AI24</f>
        <v>0</v>
      </c>
      <c r="AL24" s="177" t="s">
        <v>88</v>
      </c>
      <c r="AM24" s="48">
        <f>AK24*C_CO2</f>
        <v>0</v>
      </c>
      <c r="AN24" s="51"/>
      <c r="AO24" s="51"/>
      <c r="AP24" s="51"/>
      <c r="AQ24" s="51"/>
      <c r="AS24" s="205">
        <v>45.291000000000004</v>
      </c>
      <c r="AT24"/>
      <c r="AU24"/>
    </row>
    <row r="25" spans="1:47" ht="13">
      <c r="A25" s="38"/>
      <c r="B25" s="40"/>
      <c r="C25" s="50"/>
      <c r="D25" s="40"/>
      <c r="E25" s="204"/>
      <c r="F25" s="50"/>
      <c r="G25" s="50"/>
      <c r="H25" s="50"/>
      <c r="I25" s="50"/>
      <c r="J25" s="50"/>
      <c r="K25" s="50"/>
      <c r="L25" s="50"/>
      <c r="M25" s="50"/>
      <c r="N25" s="51"/>
      <c r="O25" s="50"/>
      <c r="P25" s="50"/>
      <c r="Q25" s="50"/>
      <c r="R25" s="50"/>
      <c r="S25" s="53"/>
      <c r="T25" s="50"/>
      <c r="U25" s="50"/>
      <c r="V25" s="50"/>
      <c r="W25" s="88"/>
      <c r="X25" s="50"/>
      <c r="Y25" s="82"/>
      <c r="Z25" s="50"/>
      <c r="AA25" s="50"/>
      <c r="AB25" s="50"/>
      <c r="AC25" s="50"/>
      <c r="AD25" s="50"/>
      <c r="AE25" s="82"/>
      <c r="AF25" s="50"/>
      <c r="AG25" s="50"/>
      <c r="AH25" s="51"/>
      <c r="AI25" s="40"/>
      <c r="AJ25" s="40"/>
      <c r="AK25" s="40"/>
      <c r="AL25" s="40"/>
      <c r="AM25" s="40"/>
      <c r="AN25" s="40"/>
      <c r="AO25" s="40"/>
      <c r="AP25" s="40"/>
      <c r="AQ25" s="40"/>
      <c r="AS25" s="215"/>
      <c r="AT25"/>
      <c r="AU25"/>
    </row>
    <row r="26" spans="1:47" ht="14">
      <c r="A26" s="38">
        <v>12</v>
      </c>
      <c r="B26" s="39">
        <f>B24+1</f>
        <v>2000</v>
      </c>
      <c r="C26" s="108">
        <f>'Municipal WW, CH4'!C26</f>
        <v>0</v>
      </c>
      <c r="D26" s="51" t="s">
        <v>87</v>
      </c>
      <c r="E26" s="202"/>
      <c r="F26" s="51" t="s">
        <v>87</v>
      </c>
      <c r="G26" s="57">
        <f>Control!$F$33</f>
        <v>0</v>
      </c>
      <c r="H26" s="51" t="s">
        <v>87</v>
      </c>
      <c r="I26" s="143">
        <f>Control!$F$25</f>
        <v>0</v>
      </c>
      <c r="J26" s="51" t="s">
        <v>87</v>
      </c>
      <c r="K26" s="58">
        <f>Control!$D$105</f>
        <v>1E-3</v>
      </c>
      <c r="L26" s="52" t="s">
        <v>88</v>
      </c>
      <c r="M26" s="70">
        <f>C26*E26*G26*I26*K26</f>
        <v>0</v>
      </c>
      <c r="N26" s="160" t="s">
        <v>112</v>
      </c>
      <c r="O26" s="70">
        <f>'Municipal WW, N2O, direct'!K26*(1/Control!$D$99)</f>
        <v>0</v>
      </c>
      <c r="P26" s="52" t="s">
        <v>88</v>
      </c>
      <c r="Q26" s="70">
        <f>M26-O26</f>
        <v>0</v>
      </c>
      <c r="R26" s="149" t="s">
        <v>113</v>
      </c>
      <c r="S26" s="150"/>
      <c r="T26" s="51" t="s">
        <v>114</v>
      </c>
      <c r="U26" s="63">
        <f>Control!$F$32</f>
        <v>0</v>
      </c>
      <c r="V26" s="51" t="s">
        <v>87</v>
      </c>
      <c r="W26" s="87">
        <f>Control!$D$99</f>
        <v>1.5714285714285714</v>
      </c>
      <c r="X26" s="52" t="s">
        <v>88</v>
      </c>
      <c r="Y26" s="46">
        <f>Q26*(1-S26)*U26*W26</f>
        <v>0</v>
      </c>
      <c r="Z26" s="51" t="s">
        <v>87</v>
      </c>
      <c r="AA26" s="70">
        <f>Control!$D$102</f>
        <v>265</v>
      </c>
      <c r="AB26" s="51" t="s">
        <v>87</v>
      </c>
      <c r="AC26" s="47">
        <f>Control!$D$104</f>
        <v>9.9999999999999995E-7</v>
      </c>
      <c r="AD26" s="51" t="s">
        <v>87</v>
      </c>
      <c r="AE26" s="46">
        <f>Control!$D$100</f>
        <v>0.27272727272727271</v>
      </c>
      <c r="AF26" s="52" t="s">
        <v>88</v>
      </c>
      <c r="AG26" s="48">
        <f>Y26*AA$6*AC$6*AE$6</f>
        <v>0</v>
      </c>
      <c r="AH26" s="145" t="s">
        <v>115</v>
      </c>
      <c r="AI26" s="48">
        <f>'Municipal WW, N2O, direct'!S26</f>
        <v>0</v>
      </c>
      <c r="AJ26" s="177" t="s">
        <v>88</v>
      </c>
      <c r="AK26" s="48">
        <f>AG26+AI26</f>
        <v>0</v>
      </c>
      <c r="AL26" s="177" t="s">
        <v>88</v>
      </c>
      <c r="AM26" s="48">
        <f>AK26*C_CO2</f>
        <v>0</v>
      </c>
      <c r="AN26" s="51"/>
      <c r="AO26" s="51"/>
      <c r="AP26" s="51"/>
      <c r="AQ26" s="51"/>
      <c r="AS26" s="205">
        <v>45.291000000000004</v>
      </c>
      <c r="AT26"/>
      <c r="AU26"/>
    </row>
    <row r="27" spans="1:47" ht="13">
      <c r="A27" s="38"/>
      <c r="B27" s="40"/>
      <c r="C27" s="50"/>
      <c r="D27" s="40"/>
      <c r="E27" s="204"/>
      <c r="F27" s="50"/>
      <c r="G27" s="50"/>
      <c r="H27" s="50"/>
      <c r="I27" s="50"/>
      <c r="J27" s="50"/>
      <c r="K27" s="50"/>
      <c r="L27" s="50"/>
      <c r="M27" s="50"/>
      <c r="N27" s="51"/>
      <c r="O27" s="50"/>
      <c r="P27" s="50"/>
      <c r="Q27" s="50"/>
      <c r="R27" s="50"/>
      <c r="S27" s="53"/>
      <c r="T27" s="50"/>
      <c r="U27" s="50"/>
      <c r="V27" s="50"/>
      <c r="W27" s="88"/>
      <c r="X27" s="50"/>
      <c r="Y27" s="82"/>
      <c r="Z27" s="50"/>
      <c r="AA27" s="50"/>
      <c r="AB27" s="50"/>
      <c r="AC27" s="50"/>
      <c r="AD27" s="50"/>
      <c r="AE27" s="82"/>
      <c r="AF27" s="50"/>
      <c r="AG27" s="50"/>
      <c r="AH27" s="51"/>
      <c r="AI27" s="40"/>
      <c r="AJ27" s="40"/>
      <c r="AK27" s="40"/>
      <c r="AL27" s="40"/>
      <c r="AM27" s="40"/>
      <c r="AN27" s="40"/>
      <c r="AO27" s="40"/>
      <c r="AP27" s="40"/>
      <c r="AQ27" s="40"/>
      <c r="AS27" s="215"/>
      <c r="AT27"/>
      <c r="AU27"/>
    </row>
    <row r="28" spans="1:47" ht="14">
      <c r="A28" s="38">
        <v>12</v>
      </c>
      <c r="B28" s="39">
        <f>B26+1</f>
        <v>2001</v>
      </c>
      <c r="C28" s="108">
        <f>'Municipal WW, CH4'!C28</f>
        <v>0</v>
      </c>
      <c r="D28" s="51" t="s">
        <v>87</v>
      </c>
      <c r="E28" s="202"/>
      <c r="F28" s="51" t="s">
        <v>87</v>
      </c>
      <c r="G28" s="57">
        <f>Control!$F$33</f>
        <v>0</v>
      </c>
      <c r="H28" s="51" t="s">
        <v>87</v>
      </c>
      <c r="I28" s="143">
        <f>Control!$F$25</f>
        <v>0</v>
      </c>
      <c r="J28" s="51" t="s">
        <v>87</v>
      </c>
      <c r="K28" s="58">
        <f>Control!$D$105</f>
        <v>1E-3</v>
      </c>
      <c r="L28" s="52" t="s">
        <v>88</v>
      </c>
      <c r="M28" s="70">
        <f>C28*E28*G28*I28*K28</f>
        <v>0</v>
      </c>
      <c r="N28" s="160" t="s">
        <v>112</v>
      </c>
      <c r="O28" s="70">
        <f>'Municipal WW, N2O, direct'!K28*(1/Control!$D$99)</f>
        <v>0</v>
      </c>
      <c r="P28" s="52" t="s">
        <v>88</v>
      </c>
      <c r="Q28" s="70">
        <f>M28-O28</f>
        <v>0</v>
      </c>
      <c r="R28" s="149" t="s">
        <v>113</v>
      </c>
      <c r="S28" s="150"/>
      <c r="T28" s="51" t="s">
        <v>114</v>
      </c>
      <c r="U28" s="63">
        <f>Control!$F$32</f>
        <v>0</v>
      </c>
      <c r="V28" s="51" t="s">
        <v>87</v>
      </c>
      <c r="W28" s="87">
        <f>Control!$D$99</f>
        <v>1.5714285714285714</v>
      </c>
      <c r="X28" s="52" t="s">
        <v>88</v>
      </c>
      <c r="Y28" s="46">
        <f>Q28*(1-S28)*U28*W28</f>
        <v>0</v>
      </c>
      <c r="Z28" s="51" t="s">
        <v>87</v>
      </c>
      <c r="AA28" s="70">
        <f>Control!$D$102</f>
        <v>265</v>
      </c>
      <c r="AB28" s="51" t="s">
        <v>87</v>
      </c>
      <c r="AC28" s="47">
        <f>Control!$D$104</f>
        <v>9.9999999999999995E-7</v>
      </c>
      <c r="AD28" s="51" t="s">
        <v>87</v>
      </c>
      <c r="AE28" s="46">
        <f>Control!$D$100</f>
        <v>0.27272727272727271</v>
      </c>
      <c r="AF28" s="52" t="s">
        <v>88</v>
      </c>
      <c r="AG28" s="48">
        <f>Y28*AA$6*AC$6*AE$6</f>
        <v>0</v>
      </c>
      <c r="AH28" s="145" t="s">
        <v>115</v>
      </c>
      <c r="AI28" s="48">
        <f>'Municipal WW, N2O, direct'!S28</f>
        <v>0</v>
      </c>
      <c r="AJ28" s="177" t="s">
        <v>88</v>
      </c>
      <c r="AK28" s="48">
        <f>AG28+AI28</f>
        <v>0</v>
      </c>
      <c r="AL28" s="177" t="s">
        <v>88</v>
      </c>
      <c r="AM28" s="48">
        <f>AK28*C_CO2</f>
        <v>0</v>
      </c>
      <c r="AN28" s="51"/>
      <c r="AO28" s="51"/>
      <c r="AP28" s="51"/>
      <c r="AQ28" s="51"/>
      <c r="AS28" s="205">
        <v>44.560499999999998</v>
      </c>
      <c r="AT28"/>
      <c r="AU28"/>
    </row>
    <row r="29" spans="1:47" ht="13">
      <c r="A29" s="38"/>
      <c r="B29" s="40"/>
      <c r="C29" s="50"/>
      <c r="D29" s="40"/>
      <c r="E29" s="204"/>
      <c r="F29" s="50"/>
      <c r="G29" s="50"/>
      <c r="H29" s="50"/>
      <c r="I29" s="50"/>
      <c r="J29" s="50"/>
      <c r="K29" s="50"/>
      <c r="L29" s="50"/>
      <c r="M29" s="50"/>
      <c r="N29" s="51"/>
      <c r="O29" s="50"/>
      <c r="P29" s="50"/>
      <c r="Q29" s="50"/>
      <c r="R29" s="50"/>
      <c r="S29" s="53"/>
      <c r="T29" s="50"/>
      <c r="U29" s="50"/>
      <c r="V29" s="50"/>
      <c r="W29" s="88"/>
      <c r="X29" s="50"/>
      <c r="Y29" s="82"/>
      <c r="Z29" s="50"/>
      <c r="AA29" s="50"/>
      <c r="AB29" s="50"/>
      <c r="AC29" s="50"/>
      <c r="AD29" s="50"/>
      <c r="AE29" s="82"/>
      <c r="AF29" s="50"/>
      <c r="AG29" s="50"/>
      <c r="AH29" s="51"/>
      <c r="AI29" s="40"/>
      <c r="AJ29" s="40"/>
      <c r="AK29" s="40"/>
      <c r="AL29" s="40"/>
      <c r="AM29" s="40"/>
      <c r="AN29" s="40"/>
      <c r="AO29" s="40"/>
      <c r="AP29" s="40"/>
      <c r="AQ29" s="40"/>
      <c r="AS29" s="215"/>
      <c r="AT29"/>
      <c r="AU29"/>
    </row>
    <row r="30" spans="1:47" ht="14">
      <c r="A30" s="38">
        <v>12</v>
      </c>
      <c r="B30" s="39">
        <f>B28+1</f>
        <v>2002</v>
      </c>
      <c r="C30" s="108">
        <f>'Municipal WW, CH4'!C30</f>
        <v>0</v>
      </c>
      <c r="D30" s="51" t="s">
        <v>87</v>
      </c>
      <c r="E30" s="202"/>
      <c r="F30" s="51" t="s">
        <v>87</v>
      </c>
      <c r="G30" s="57">
        <f>Control!$F$33</f>
        <v>0</v>
      </c>
      <c r="H30" s="51" t="s">
        <v>87</v>
      </c>
      <c r="I30" s="143">
        <f>Control!$F$25</f>
        <v>0</v>
      </c>
      <c r="J30" s="51" t="s">
        <v>87</v>
      </c>
      <c r="K30" s="58">
        <f>Control!$D$105</f>
        <v>1E-3</v>
      </c>
      <c r="L30" s="52" t="s">
        <v>88</v>
      </c>
      <c r="M30" s="70">
        <f>C30*E30*G30*I30*K30</f>
        <v>0</v>
      </c>
      <c r="N30" s="160" t="s">
        <v>112</v>
      </c>
      <c r="O30" s="70">
        <f>'Municipal WW, N2O, direct'!K30*(1/Control!$D$99)</f>
        <v>0</v>
      </c>
      <c r="P30" s="52" t="s">
        <v>88</v>
      </c>
      <c r="Q30" s="70">
        <f>M30-O30</f>
        <v>0</v>
      </c>
      <c r="R30" s="149" t="s">
        <v>113</v>
      </c>
      <c r="S30" s="150"/>
      <c r="T30" s="51" t="s">
        <v>114</v>
      </c>
      <c r="U30" s="63">
        <f>Control!$F$32</f>
        <v>0</v>
      </c>
      <c r="V30" s="51" t="s">
        <v>87</v>
      </c>
      <c r="W30" s="87">
        <f>Control!$D$99</f>
        <v>1.5714285714285714</v>
      </c>
      <c r="X30" s="52" t="s">
        <v>88</v>
      </c>
      <c r="Y30" s="46">
        <f>Q30*(1-S30)*U30*W30</f>
        <v>0</v>
      </c>
      <c r="Z30" s="51" t="s">
        <v>87</v>
      </c>
      <c r="AA30" s="70">
        <f>Control!$D$102</f>
        <v>265</v>
      </c>
      <c r="AB30" s="51" t="s">
        <v>87</v>
      </c>
      <c r="AC30" s="47">
        <f>Control!$D$104</f>
        <v>9.9999999999999995E-7</v>
      </c>
      <c r="AD30" s="51" t="s">
        <v>87</v>
      </c>
      <c r="AE30" s="46">
        <f>Control!$D$100</f>
        <v>0.27272727272727271</v>
      </c>
      <c r="AF30" s="52" t="s">
        <v>88</v>
      </c>
      <c r="AG30" s="48">
        <f>Y30*AA$6*AC$6*AE$6</f>
        <v>0</v>
      </c>
      <c r="AH30" s="145" t="s">
        <v>115</v>
      </c>
      <c r="AI30" s="48">
        <f>'Municipal WW, N2O, direct'!S30</f>
        <v>0</v>
      </c>
      <c r="AJ30" s="177" t="s">
        <v>88</v>
      </c>
      <c r="AK30" s="48">
        <f>AG30+AI30</f>
        <v>0</v>
      </c>
      <c r="AL30" s="177" t="s">
        <v>88</v>
      </c>
      <c r="AM30" s="48">
        <f>AK30*C_CO2</f>
        <v>0</v>
      </c>
      <c r="AN30" s="51"/>
      <c r="AO30" s="51"/>
      <c r="AP30" s="51"/>
      <c r="AQ30" s="51"/>
      <c r="AS30" s="205">
        <v>44.925750000000001</v>
      </c>
      <c r="AT30"/>
      <c r="AU30"/>
    </row>
    <row r="31" spans="1:47" ht="13">
      <c r="A31" s="38"/>
      <c r="B31" s="40"/>
      <c r="C31" s="50"/>
      <c r="D31" s="40"/>
      <c r="E31" s="204"/>
      <c r="F31" s="50"/>
      <c r="G31" s="50"/>
      <c r="H31" s="50"/>
      <c r="I31" s="50"/>
      <c r="J31" s="50"/>
      <c r="K31" s="50"/>
      <c r="L31" s="50"/>
      <c r="M31" s="50"/>
      <c r="N31" s="51"/>
      <c r="O31" s="50"/>
      <c r="P31" s="50"/>
      <c r="Q31" s="50"/>
      <c r="R31" s="50"/>
      <c r="S31" s="53"/>
      <c r="T31" s="50"/>
      <c r="U31" s="50"/>
      <c r="V31" s="50"/>
      <c r="W31" s="88"/>
      <c r="X31" s="50"/>
      <c r="Y31" s="82"/>
      <c r="Z31" s="50"/>
      <c r="AA31" s="50"/>
      <c r="AB31" s="50"/>
      <c r="AC31" s="50"/>
      <c r="AD31" s="50"/>
      <c r="AE31" s="82"/>
      <c r="AF31" s="50"/>
      <c r="AG31" s="50"/>
      <c r="AH31" s="51"/>
      <c r="AI31" s="40"/>
      <c r="AJ31" s="40"/>
      <c r="AK31" s="40"/>
      <c r="AL31" s="40"/>
      <c r="AM31" s="40"/>
      <c r="AN31" s="40"/>
      <c r="AO31" s="40"/>
      <c r="AP31" s="40"/>
      <c r="AQ31" s="40"/>
      <c r="AS31" s="215"/>
      <c r="AT31"/>
      <c r="AU31"/>
    </row>
    <row r="32" spans="1:47" ht="14">
      <c r="A32" s="38">
        <v>12</v>
      </c>
      <c r="B32" s="39">
        <f>B30+1</f>
        <v>2003</v>
      </c>
      <c r="C32" s="108">
        <f>'Municipal WW, CH4'!C32</f>
        <v>0</v>
      </c>
      <c r="D32" s="51" t="s">
        <v>87</v>
      </c>
      <c r="E32" s="202"/>
      <c r="F32" s="51" t="s">
        <v>87</v>
      </c>
      <c r="G32" s="57">
        <f>Control!$F$33</f>
        <v>0</v>
      </c>
      <c r="H32" s="51" t="s">
        <v>87</v>
      </c>
      <c r="I32" s="143">
        <f>Control!$F$25</f>
        <v>0</v>
      </c>
      <c r="J32" s="51" t="s">
        <v>87</v>
      </c>
      <c r="K32" s="58">
        <f>Control!$D$105</f>
        <v>1E-3</v>
      </c>
      <c r="L32" s="52" t="s">
        <v>88</v>
      </c>
      <c r="M32" s="70">
        <f>C32*E32*G32*I32*K32</f>
        <v>0</v>
      </c>
      <c r="N32" s="160" t="s">
        <v>112</v>
      </c>
      <c r="O32" s="70">
        <f>'Municipal WW, N2O, direct'!K32*(1/Control!$D$99)</f>
        <v>0</v>
      </c>
      <c r="P32" s="52" t="s">
        <v>88</v>
      </c>
      <c r="Q32" s="70">
        <f>M32-O32</f>
        <v>0</v>
      </c>
      <c r="R32" s="149" t="s">
        <v>113</v>
      </c>
      <c r="S32" s="150"/>
      <c r="T32" s="51" t="s">
        <v>114</v>
      </c>
      <c r="U32" s="63">
        <f>Control!$F$32</f>
        <v>0</v>
      </c>
      <c r="V32" s="51" t="s">
        <v>87</v>
      </c>
      <c r="W32" s="87">
        <f>Control!$D$99</f>
        <v>1.5714285714285714</v>
      </c>
      <c r="X32" s="52" t="s">
        <v>88</v>
      </c>
      <c r="Y32" s="46">
        <f>Q32*(1-S32)*U32*W32</f>
        <v>0</v>
      </c>
      <c r="Z32" s="51" t="s">
        <v>87</v>
      </c>
      <c r="AA32" s="70">
        <f>Control!$D$102</f>
        <v>265</v>
      </c>
      <c r="AB32" s="51" t="s">
        <v>87</v>
      </c>
      <c r="AC32" s="47">
        <f>Control!$D$104</f>
        <v>9.9999999999999995E-7</v>
      </c>
      <c r="AD32" s="51" t="s">
        <v>87</v>
      </c>
      <c r="AE32" s="46">
        <f>Control!$D$100</f>
        <v>0.27272727272727271</v>
      </c>
      <c r="AF32" s="52" t="s">
        <v>88</v>
      </c>
      <c r="AG32" s="48">
        <f>Y32*AA$6*AC$6*AE$6</f>
        <v>0</v>
      </c>
      <c r="AH32" s="145" t="s">
        <v>115</v>
      </c>
      <c r="AI32" s="48">
        <f>'Municipal WW, N2O, direct'!S32</f>
        <v>0</v>
      </c>
      <c r="AJ32" s="177" t="s">
        <v>88</v>
      </c>
      <c r="AK32" s="48">
        <f>AG32+AI32</f>
        <v>0</v>
      </c>
      <c r="AL32" s="177" t="s">
        <v>88</v>
      </c>
      <c r="AM32" s="48">
        <f>AK32*C_CO2</f>
        <v>0</v>
      </c>
      <c r="AN32" s="51"/>
      <c r="AO32" s="51"/>
      <c r="AP32" s="51"/>
      <c r="AQ32" s="51"/>
      <c r="AS32" s="205">
        <v>45.291000000000004</v>
      </c>
      <c r="AT32"/>
      <c r="AU32"/>
    </row>
    <row r="33" spans="1:47" ht="13">
      <c r="A33" s="38"/>
      <c r="B33" s="40"/>
      <c r="C33" s="50"/>
      <c r="D33" s="40"/>
      <c r="E33" s="204"/>
      <c r="F33" s="50"/>
      <c r="G33" s="50"/>
      <c r="H33" s="50"/>
      <c r="I33" s="50"/>
      <c r="J33" s="50"/>
      <c r="K33" s="50"/>
      <c r="L33" s="50"/>
      <c r="M33" s="50"/>
      <c r="N33" s="51"/>
      <c r="O33" s="50"/>
      <c r="P33" s="50"/>
      <c r="Q33" s="50"/>
      <c r="R33" s="50"/>
      <c r="S33" s="53"/>
      <c r="T33" s="50"/>
      <c r="U33" s="50"/>
      <c r="V33" s="50"/>
      <c r="W33" s="88"/>
      <c r="X33" s="50"/>
      <c r="Y33" s="82"/>
      <c r="Z33" s="50"/>
      <c r="AA33" s="50"/>
      <c r="AB33" s="50"/>
      <c r="AC33" s="50"/>
      <c r="AD33" s="50"/>
      <c r="AE33" s="82"/>
      <c r="AF33" s="50"/>
      <c r="AG33" s="50"/>
      <c r="AH33" s="51"/>
      <c r="AI33" s="40"/>
      <c r="AJ33" s="40"/>
      <c r="AK33" s="40"/>
      <c r="AL33" s="40"/>
      <c r="AM33" s="40"/>
      <c r="AN33" s="40"/>
      <c r="AO33" s="40"/>
      <c r="AP33" s="40"/>
      <c r="AQ33" s="40"/>
      <c r="AS33" s="215"/>
      <c r="AT33"/>
      <c r="AU33"/>
    </row>
    <row r="34" spans="1:47" ht="14">
      <c r="A34" s="38">
        <v>12</v>
      </c>
      <c r="B34" s="39">
        <f>B32+1</f>
        <v>2004</v>
      </c>
      <c r="C34" s="108">
        <f>'Municipal WW, CH4'!C34</f>
        <v>0</v>
      </c>
      <c r="D34" s="51" t="s">
        <v>87</v>
      </c>
      <c r="E34" s="202"/>
      <c r="F34" s="51" t="s">
        <v>87</v>
      </c>
      <c r="G34" s="57">
        <f>Control!$F$33</f>
        <v>0</v>
      </c>
      <c r="H34" s="51" t="s">
        <v>87</v>
      </c>
      <c r="I34" s="143">
        <f>Control!$F$25</f>
        <v>0</v>
      </c>
      <c r="J34" s="51" t="s">
        <v>87</v>
      </c>
      <c r="K34" s="58">
        <f>Control!$D$105</f>
        <v>1E-3</v>
      </c>
      <c r="L34" s="52" t="s">
        <v>88</v>
      </c>
      <c r="M34" s="70">
        <f>C34*E34*G34*I34*K34</f>
        <v>0</v>
      </c>
      <c r="N34" s="160" t="s">
        <v>112</v>
      </c>
      <c r="O34" s="70">
        <f>'Municipal WW, N2O, direct'!K34*(1/Control!$D$99)</f>
        <v>0</v>
      </c>
      <c r="P34" s="52" t="s">
        <v>88</v>
      </c>
      <c r="Q34" s="70">
        <f>M34-O34</f>
        <v>0</v>
      </c>
      <c r="R34" s="149" t="s">
        <v>113</v>
      </c>
      <c r="S34" s="150"/>
      <c r="T34" s="51" t="s">
        <v>114</v>
      </c>
      <c r="U34" s="63">
        <f>Control!$F$32</f>
        <v>0</v>
      </c>
      <c r="V34" s="51" t="s">
        <v>87</v>
      </c>
      <c r="W34" s="87">
        <f>Control!$D$99</f>
        <v>1.5714285714285714</v>
      </c>
      <c r="X34" s="52" t="s">
        <v>88</v>
      </c>
      <c r="Y34" s="46">
        <f>Q34*(1-S34)*U34*W34</f>
        <v>0</v>
      </c>
      <c r="Z34" s="51" t="s">
        <v>87</v>
      </c>
      <c r="AA34" s="70">
        <f>Control!$D$102</f>
        <v>265</v>
      </c>
      <c r="AB34" s="51" t="s">
        <v>87</v>
      </c>
      <c r="AC34" s="47">
        <f>Control!$D$104</f>
        <v>9.9999999999999995E-7</v>
      </c>
      <c r="AD34" s="51" t="s">
        <v>87</v>
      </c>
      <c r="AE34" s="46">
        <f>Control!$D$100</f>
        <v>0.27272727272727271</v>
      </c>
      <c r="AF34" s="52" t="s">
        <v>88</v>
      </c>
      <c r="AG34" s="48">
        <f>Y34*AA$6*AC$6*AE$6</f>
        <v>0</v>
      </c>
      <c r="AH34" s="145" t="s">
        <v>115</v>
      </c>
      <c r="AI34" s="48">
        <f>'Municipal WW, N2O, direct'!S34</f>
        <v>0</v>
      </c>
      <c r="AJ34" s="177" t="s">
        <v>88</v>
      </c>
      <c r="AK34" s="48">
        <f>AG34+AI34</f>
        <v>0</v>
      </c>
      <c r="AL34" s="177" t="s">
        <v>88</v>
      </c>
      <c r="AM34" s="48">
        <f>AK34*C_CO2</f>
        <v>0</v>
      </c>
      <c r="AN34" s="51"/>
      <c r="AO34" s="51"/>
      <c r="AP34" s="51"/>
      <c r="AQ34" s="51"/>
      <c r="AS34" s="205">
        <v>45.65625</v>
      </c>
      <c r="AT34"/>
      <c r="AU34"/>
    </row>
    <row r="35" spans="1:47" ht="13">
      <c r="A35" s="38"/>
      <c r="B35" s="40"/>
      <c r="C35" s="50"/>
      <c r="D35" s="40"/>
      <c r="E35" s="204"/>
      <c r="F35" s="50"/>
      <c r="G35" s="50"/>
      <c r="H35" s="50"/>
      <c r="I35" s="50"/>
      <c r="J35" s="50"/>
      <c r="K35" s="50"/>
      <c r="L35" s="50"/>
      <c r="M35" s="50"/>
      <c r="N35" s="51"/>
      <c r="O35" s="50"/>
      <c r="P35" s="50"/>
      <c r="Q35" s="50"/>
      <c r="R35" s="50"/>
      <c r="S35" s="53"/>
      <c r="T35" s="50"/>
      <c r="U35" s="50"/>
      <c r="V35" s="50"/>
      <c r="W35" s="88"/>
      <c r="X35" s="50"/>
      <c r="Y35" s="82"/>
      <c r="Z35" s="50"/>
      <c r="AA35" s="50"/>
      <c r="AB35" s="50"/>
      <c r="AC35" s="50"/>
      <c r="AD35" s="50"/>
      <c r="AE35" s="82"/>
      <c r="AF35" s="50"/>
      <c r="AG35" s="50"/>
      <c r="AH35" s="51"/>
      <c r="AI35" s="40"/>
      <c r="AJ35" s="40"/>
      <c r="AK35" s="40"/>
      <c r="AL35" s="40"/>
      <c r="AM35" s="40"/>
      <c r="AN35" s="40"/>
      <c r="AO35" s="40"/>
      <c r="AP35" s="40"/>
      <c r="AQ35" s="40"/>
      <c r="AR35" s="40"/>
      <c r="AS35" s="206"/>
      <c r="AT35"/>
      <c r="AU35"/>
    </row>
    <row r="36" spans="1:47" ht="14">
      <c r="A36" s="38">
        <v>12</v>
      </c>
      <c r="B36" s="39">
        <f>B34+1</f>
        <v>2005</v>
      </c>
      <c r="C36" s="108">
        <f>'Municipal WW, CH4'!C36</f>
        <v>0</v>
      </c>
      <c r="D36" s="51" t="s">
        <v>87</v>
      </c>
      <c r="E36" s="202"/>
      <c r="F36" s="51" t="s">
        <v>87</v>
      </c>
      <c r="G36" s="57">
        <f>Control!$F$33</f>
        <v>0</v>
      </c>
      <c r="H36" s="51" t="s">
        <v>87</v>
      </c>
      <c r="I36" s="143">
        <f>Control!$F$25</f>
        <v>0</v>
      </c>
      <c r="J36" s="51" t="s">
        <v>87</v>
      </c>
      <c r="K36" s="58">
        <f>Control!$D$105</f>
        <v>1E-3</v>
      </c>
      <c r="L36" s="52" t="s">
        <v>88</v>
      </c>
      <c r="M36" s="70">
        <f>C36*E36*G36*I36*K36</f>
        <v>0</v>
      </c>
      <c r="N36" s="160" t="s">
        <v>112</v>
      </c>
      <c r="O36" s="70">
        <f>'Municipal WW, N2O, direct'!K36*(1/Control!$D$99)</f>
        <v>0</v>
      </c>
      <c r="P36" s="52" t="s">
        <v>88</v>
      </c>
      <c r="Q36" s="70">
        <f>M36-O36</f>
        <v>0</v>
      </c>
      <c r="R36" s="149" t="s">
        <v>113</v>
      </c>
      <c r="S36" s="150"/>
      <c r="T36" s="51" t="s">
        <v>114</v>
      </c>
      <c r="U36" s="63">
        <f>Control!$F$32</f>
        <v>0</v>
      </c>
      <c r="V36" s="51" t="s">
        <v>87</v>
      </c>
      <c r="W36" s="87">
        <f>Control!$D$99</f>
        <v>1.5714285714285714</v>
      </c>
      <c r="X36" s="52" t="s">
        <v>88</v>
      </c>
      <c r="Y36" s="46">
        <f>Q36*(1-S36)*U36*W36</f>
        <v>0</v>
      </c>
      <c r="Z36" s="51" t="s">
        <v>87</v>
      </c>
      <c r="AA36" s="70">
        <f>Control!$D$102</f>
        <v>265</v>
      </c>
      <c r="AB36" s="51" t="s">
        <v>87</v>
      </c>
      <c r="AC36" s="47">
        <f>Control!$D$104</f>
        <v>9.9999999999999995E-7</v>
      </c>
      <c r="AD36" s="51" t="s">
        <v>87</v>
      </c>
      <c r="AE36" s="46">
        <f>Control!$D$100</f>
        <v>0.27272727272727271</v>
      </c>
      <c r="AF36" s="52" t="s">
        <v>88</v>
      </c>
      <c r="AG36" s="48">
        <f>Y36*AA$6*AC$6*AE$6</f>
        <v>0</v>
      </c>
      <c r="AH36" s="145" t="s">
        <v>115</v>
      </c>
      <c r="AI36" s="48">
        <f>'Municipal WW, N2O, direct'!S36</f>
        <v>0</v>
      </c>
      <c r="AJ36" s="177" t="s">
        <v>88</v>
      </c>
      <c r="AK36" s="48">
        <f>AG36+AI36</f>
        <v>0</v>
      </c>
      <c r="AL36" s="177" t="s">
        <v>88</v>
      </c>
      <c r="AM36" s="48">
        <f>AK36*C_CO2</f>
        <v>0</v>
      </c>
      <c r="AN36" s="51"/>
      <c r="AO36" s="51"/>
      <c r="AP36" s="51"/>
      <c r="AQ36" s="51"/>
      <c r="AR36" s="51"/>
      <c r="AS36" s="205">
        <v>44.925750000000001</v>
      </c>
      <c r="AT36"/>
      <c r="AU36"/>
    </row>
    <row r="37" spans="1:47" ht="13">
      <c r="A37" s="38"/>
      <c r="B37" s="40"/>
      <c r="C37" s="50"/>
      <c r="D37" s="40"/>
      <c r="E37" s="204"/>
      <c r="F37" s="50"/>
      <c r="G37" s="50"/>
      <c r="H37" s="50"/>
      <c r="I37" s="50"/>
      <c r="J37" s="50"/>
      <c r="K37" s="50"/>
      <c r="L37" s="50"/>
      <c r="M37" s="50"/>
      <c r="N37" s="51"/>
      <c r="O37" s="50"/>
      <c r="P37" s="50"/>
      <c r="Q37" s="50"/>
      <c r="R37" s="50"/>
      <c r="S37" s="53"/>
      <c r="T37" s="50"/>
      <c r="U37" s="50"/>
      <c r="V37" s="50"/>
      <c r="W37" s="88"/>
      <c r="X37" s="50"/>
      <c r="Y37" s="82"/>
      <c r="Z37" s="50"/>
      <c r="AA37" s="50"/>
      <c r="AB37" s="50"/>
      <c r="AC37" s="50"/>
      <c r="AD37" s="50"/>
      <c r="AE37" s="82"/>
      <c r="AF37" s="50"/>
      <c r="AG37" s="50"/>
      <c r="AH37" s="51"/>
      <c r="AI37" s="40"/>
      <c r="AJ37" s="40"/>
      <c r="AK37" s="40"/>
      <c r="AL37" s="40"/>
      <c r="AM37" s="40"/>
      <c r="AN37" s="40"/>
      <c r="AO37" s="40"/>
      <c r="AP37" s="40"/>
      <c r="AQ37" s="40"/>
      <c r="AR37" s="40"/>
      <c r="AS37" s="206"/>
      <c r="AT37"/>
      <c r="AU37"/>
    </row>
    <row r="38" spans="1:47" ht="14">
      <c r="A38" s="38">
        <v>12</v>
      </c>
      <c r="B38" s="39">
        <f>B36+1</f>
        <v>2006</v>
      </c>
      <c r="C38" s="108">
        <f>'Municipal WW, CH4'!C38</f>
        <v>0</v>
      </c>
      <c r="D38" s="51" t="s">
        <v>87</v>
      </c>
      <c r="E38" s="202"/>
      <c r="F38" s="51" t="s">
        <v>87</v>
      </c>
      <c r="G38" s="57">
        <f>Control!$F$33</f>
        <v>0</v>
      </c>
      <c r="H38" s="51" t="s">
        <v>87</v>
      </c>
      <c r="I38" s="143">
        <f>Control!$F$25</f>
        <v>0</v>
      </c>
      <c r="J38" s="51" t="s">
        <v>87</v>
      </c>
      <c r="K38" s="58">
        <f>Control!$D$105</f>
        <v>1E-3</v>
      </c>
      <c r="L38" s="52" t="s">
        <v>88</v>
      </c>
      <c r="M38" s="70">
        <f>C38*E38*G38*I38*K38</f>
        <v>0</v>
      </c>
      <c r="N38" s="160" t="s">
        <v>112</v>
      </c>
      <c r="O38" s="70">
        <f>'Municipal WW, N2O, direct'!K38*(1/Control!$D$99)</f>
        <v>0</v>
      </c>
      <c r="P38" s="52" t="s">
        <v>88</v>
      </c>
      <c r="Q38" s="70">
        <f>M38-O38</f>
        <v>0</v>
      </c>
      <c r="R38" s="149" t="s">
        <v>113</v>
      </c>
      <c r="S38" s="150"/>
      <c r="T38" s="51" t="s">
        <v>114</v>
      </c>
      <c r="U38" s="63">
        <f>Control!$F$32</f>
        <v>0</v>
      </c>
      <c r="V38" s="51" t="s">
        <v>87</v>
      </c>
      <c r="W38" s="87">
        <f>Control!$D$99</f>
        <v>1.5714285714285714</v>
      </c>
      <c r="X38" s="52" t="s">
        <v>88</v>
      </c>
      <c r="Y38" s="46">
        <f>Q38*(1-S38)*U38*W38</f>
        <v>0</v>
      </c>
      <c r="Z38" s="51" t="s">
        <v>87</v>
      </c>
      <c r="AA38" s="70">
        <f>Control!$D$102</f>
        <v>265</v>
      </c>
      <c r="AB38" s="51" t="s">
        <v>87</v>
      </c>
      <c r="AC38" s="47">
        <f>Control!$D$104</f>
        <v>9.9999999999999995E-7</v>
      </c>
      <c r="AD38" s="51" t="s">
        <v>87</v>
      </c>
      <c r="AE38" s="46">
        <f>Control!$D$100</f>
        <v>0.27272727272727271</v>
      </c>
      <c r="AF38" s="52" t="s">
        <v>88</v>
      </c>
      <c r="AG38" s="48">
        <f>Y38*AA$6*AC$6*AE$6</f>
        <v>0</v>
      </c>
      <c r="AH38" s="145" t="s">
        <v>115</v>
      </c>
      <c r="AI38" s="48">
        <f>'Municipal WW, N2O, direct'!S38</f>
        <v>0</v>
      </c>
      <c r="AJ38" s="177" t="s">
        <v>88</v>
      </c>
      <c r="AK38" s="48">
        <f>AG38+AI38</f>
        <v>0</v>
      </c>
      <c r="AL38" s="177" t="s">
        <v>88</v>
      </c>
      <c r="AM38" s="48">
        <f>AK38*C_CO2</f>
        <v>0</v>
      </c>
      <c r="AN38" s="51"/>
      <c r="AO38" s="51"/>
      <c r="AP38" s="51"/>
      <c r="AQ38" s="51"/>
      <c r="AR38" s="51"/>
      <c r="AS38" s="205">
        <v>45.291000000000004</v>
      </c>
      <c r="AT38"/>
      <c r="AU38"/>
    </row>
    <row r="39" spans="1:47" ht="13">
      <c r="A39" s="38"/>
      <c r="B39" s="40"/>
      <c r="C39" s="50"/>
      <c r="D39" s="40"/>
      <c r="E39" s="204"/>
      <c r="F39" s="50"/>
      <c r="G39" s="50"/>
      <c r="H39" s="50"/>
      <c r="I39" s="50"/>
      <c r="J39" s="50"/>
      <c r="K39" s="50"/>
      <c r="L39" s="50"/>
      <c r="M39" s="50"/>
      <c r="N39" s="51"/>
      <c r="O39" s="50"/>
      <c r="P39" s="50"/>
      <c r="Q39" s="50"/>
      <c r="R39" s="50"/>
      <c r="S39" s="53"/>
      <c r="T39" s="50"/>
      <c r="U39" s="50"/>
      <c r="V39" s="50"/>
      <c r="W39" s="88"/>
      <c r="X39" s="50"/>
      <c r="Y39" s="82"/>
      <c r="Z39" s="50"/>
      <c r="AA39" s="50"/>
      <c r="AB39" s="50"/>
      <c r="AC39" s="50"/>
      <c r="AD39" s="50"/>
      <c r="AE39" s="82"/>
      <c r="AF39" s="50"/>
      <c r="AG39" s="50"/>
      <c r="AH39" s="51"/>
      <c r="AI39" s="40"/>
      <c r="AJ39" s="40"/>
      <c r="AK39" s="40"/>
      <c r="AL39" s="40"/>
      <c r="AM39" s="40"/>
      <c r="AN39" s="40"/>
      <c r="AO39" s="40"/>
      <c r="AP39" s="40"/>
      <c r="AQ39" s="40"/>
      <c r="AR39" s="40"/>
      <c r="AS39" s="206"/>
      <c r="AT39"/>
      <c r="AU39"/>
    </row>
    <row r="40" spans="1:47" ht="14">
      <c r="A40" s="38">
        <v>12</v>
      </c>
      <c r="B40" s="39">
        <f>B38+1</f>
        <v>2007</v>
      </c>
      <c r="C40" s="108">
        <f>'Municipal WW, CH4'!C40</f>
        <v>0</v>
      </c>
      <c r="D40" s="51" t="s">
        <v>87</v>
      </c>
      <c r="E40" s="202"/>
      <c r="F40" s="51" t="s">
        <v>87</v>
      </c>
      <c r="G40" s="57">
        <f>Control!$F$33</f>
        <v>0</v>
      </c>
      <c r="H40" s="51" t="s">
        <v>87</v>
      </c>
      <c r="I40" s="143">
        <f>Control!$F$25</f>
        <v>0</v>
      </c>
      <c r="J40" s="51" t="s">
        <v>87</v>
      </c>
      <c r="K40" s="58">
        <f>Control!$D$105</f>
        <v>1E-3</v>
      </c>
      <c r="L40" s="52" t="s">
        <v>88</v>
      </c>
      <c r="M40" s="70">
        <f>C40*E40*G40*I40*K40</f>
        <v>0</v>
      </c>
      <c r="N40" s="160" t="s">
        <v>112</v>
      </c>
      <c r="O40" s="70">
        <f>'Municipal WW, N2O, direct'!K40*(1/Control!$D$99)</f>
        <v>0</v>
      </c>
      <c r="P40" s="52" t="s">
        <v>88</v>
      </c>
      <c r="Q40" s="70">
        <f>M40-O40</f>
        <v>0</v>
      </c>
      <c r="R40" s="149" t="s">
        <v>113</v>
      </c>
      <c r="S40" s="150"/>
      <c r="T40" s="51" t="s">
        <v>114</v>
      </c>
      <c r="U40" s="63">
        <f>Control!$F$32</f>
        <v>0</v>
      </c>
      <c r="V40" s="51" t="s">
        <v>87</v>
      </c>
      <c r="W40" s="87">
        <f>Control!$D$99</f>
        <v>1.5714285714285714</v>
      </c>
      <c r="X40" s="52" t="s">
        <v>88</v>
      </c>
      <c r="Y40" s="46">
        <f>Q40*(1-S40)*U40*W40</f>
        <v>0</v>
      </c>
      <c r="Z40" s="51" t="s">
        <v>87</v>
      </c>
      <c r="AA40" s="70">
        <f>Control!$D$102</f>
        <v>265</v>
      </c>
      <c r="AB40" s="51" t="s">
        <v>87</v>
      </c>
      <c r="AC40" s="47">
        <f>Control!$D$104</f>
        <v>9.9999999999999995E-7</v>
      </c>
      <c r="AD40" s="51" t="s">
        <v>87</v>
      </c>
      <c r="AE40" s="46">
        <f>Control!$D$100</f>
        <v>0.27272727272727271</v>
      </c>
      <c r="AF40" s="52" t="s">
        <v>88</v>
      </c>
      <c r="AG40" s="48">
        <f>Y40*AA$6*AC$6*AE$6</f>
        <v>0</v>
      </c>
      <c r="AH40" s="145" t="s">
        <v>115</v>
      </c>
      <c r="AI40" s="48">
        <f>'Municipal WW, N2O, direct'!S40</f>
        <v>0</v>
      </c>
      <c r="AJ40" s="177" t="s">
        <v>88</v>
      </c>
      <c r="AK40" s="48">
        <f>AG40+AI40</f>
        <v>0</v>
      </c>
      <c r="AL40" s="177" t="s">
        <v>88</v>
      </c>
      <c r="AM40" s="48">
        <f>AK40*C_CO2</f>
        <v>0</v>
      </c>
      <c r="AN40" s="51"/>
      <c r="AO40" s="51"/>
      <c r="AP40" s="51"/>
      <c r="AQ40" s="51"/>
      <c r="AR40" s="51"/>
      <c r="AS40" s="205">
        <v>44.925750000000001</v>
      </c>
      <c r="AT40"/>
      <c r="AU40"/>
    </row>
    <row r="41" spans="1:47" ht="13">
      <c r="A41" s="38"/>
      <c r="B41" s="40"/>
      <c r="C41" s="50"/>
      <c r="D41" s="40"/>
      <c r="E41" s="204"/>
      <c r="F41" s="50"/>
      <c r="G41" s="50"/>
      <c r="H41" s="50"/>
      <c r="I41" s="50"/>
      <c r="J41" s="50"/>
      <c r="K41" s="50"/>
      <c r="L41" s="50"/>
      <c r="M41" s="50"/>
      <c r="N41" s="51"/>
      <c r="O41" s="50"/>
      <c r="P41" s="50"/>
      <c r="Q41" s="50"/>
      <c r="R41" s="50"/>
      <c r="S41" s="53"/>
      <c r="T41" s="50"/>
      <c r="U41" s="50"/>
      <c r="V41" s="50"/>
      <c r="W41" s="88"/>
      <c r="X41" s="50"/>
      <c r="Y41" s="82"/>
      <c r="Z41" s="50"/>
      <c r="AA41" s="50"/>
      <c r="AB41" s="50"/>
      <c r="AC41" s="50"/>
      <c r="AD41" s="50"/>
      <c r="AE41" s="82"/>
      <c r="AF41" s="50"/>
      <c r="AG41" s="50"/>
      <c r="AH41" s="51"/>
      <c r="AI41" s="40"/>
      <c r="AJ41" s="40"/>
      <c r="AK41" s="40"/>
      <c r="AL41" s="40"/>
      <c r="AM41" s="40"/>
      <c r="AN41" s="40"/>
      <c r="AO41" s="40"/>
      <c r="AP41" s="40"/>
      <c r="AQ41" s="40"/>
      <c r="AR41" s="40"/>
      <c r="AS41" s="206"/>
      <c r="AT41"/>
      <c r="AU41"/>
    </row>
    <row r="42" spans="1:47" ht="14">
      <c r="A42" s="38">
        <v>12</v>
      </c>
      <c r="B42" s="39">
        <f>B40+1</f>
        <v>2008</v>
      </c>
      <c r="C42" s="108">
        <f>'Municipal WW, CH4'!C42</f>
        <v>0</v>
      </c>
      <c r="D42" s="51" t="s">
        <v>87</v>
      </c>
      <c r="E42" s="202"/>
      <c r="F42" s="51" t="s">
        <v>87</v>
      </c>
      <c r="G42" s="57">
        <f>Control!$F$33</f>
        <v>0</v>
      </c>
      <c r="H42" s="51" t="s">
        <v>87</v>
      </c>
      <c r="I42" s="143">
        <f>Control!$F$25</f>
        <v>0</v>
      </c>
      <c r="J42" s="51" t="s">
        <v>87</v>
      </c>
      <c r="K42" s="58">
        <f>Control!$D$105</f>
        <v>1E-3</v>
      </c>
      <c r="L42" s="52" t="s">
        <v>88</v>
      </c>
      <c r="M42" s="70">
        <f>C42*E42*G42*I42*K42</f>
        <v>0</v>
      </c>
      <c r="N42" s="160" t="s">
        <v>112</v>
      </c>
      <c r="O42" s="70">
        <f>'Municipal WW, N2O, direct'!K42*(1/Control!$D$99)</f>
        <v>0</v>
      </c>
      <c r="P42" s="52" t="s">
        <v>88</v>
      </c>
      <c r="Q42" s="70">
        <f>M42-O42</f>
        <v>0</v>
      </c>
      <c r="R42" s="149" t="s">
        <v>113</v>
      </c>
      <c r="S42" s="150"/>
      <c r="T42" s="51" t="s">
        <v>114</v>
      </c>
      <c r="U42" s="63">
        <f>Control!$F$32</f>
        <v>0</v>
      </c>
      <c r="V42" s="51" t="s">
        <v>87</v>
      </c>
      <c r="W42" s="87">
        <f>Control!$D$99</f>
        <v>1.5714285714285714</v>
      </c>
      <c r="X42" s="52" t="s">
        <v>88</v>
      </c>
      <c r="Y42" s="46">
        <f>Q42*(1-S42)*U42*W42</f>
        <v>0</v>
      </c>
      <c r="Z42" s="51" t="s">
        <v>87</v>
      </c>
      <c r="AA42" s="70">
        <f>Control!$D$102</f>
        <v>265</v>
      </c>
      <c r="AB42" s="51" t="s">
        <v>87</v>
      </c>
      <c r="AC42" s="47">
        <f>Control!$D$104</f>
        <v>9.9999999999999995E-7</v>
      </c>
      <c r="AD42" s="51" t="s">
        <v>87</v>
      </c>
      <c r="AE42" s="46">
        <f>Control!$D$100</f>
        <v>0.27272727272727271</v>
      </c>
      <c r="AF42" s="52" t="s">
        <v>88</v>
      </c>
      <c r="AG42" s="48">
        <f>Y42*AA$6*AC$6*AE$6</f>
        <v>0</v>
      </c>
      <c r="AH42" s="145" t="s">
        <v>115</v>
      </c>
      <c r="AI42" s="48">
        <f>'Municipal WW, N2O, direct'!S42</f>
        <v>0</v>
      </c>
      <c r="AJ42" s="177" t="s">
        <v>88</v>
      </c>
      <c r="AK42" s="48">
        <f>AG42+AI42</f>
        <v>0</v>
      </c>
      <c r="AL42" s="177" t="s">
        <v>88</v>
      </c>
      <c r="AM42" s="48">
        <f>AK42*C_CO2</f>
        <v>0</v>
      </c>
      <c r="AN42" s="51"/>
      <c r="AO42" s="51"/>
      <c r="AP42" s="51"/>
      <c r="AQ42" s="51"/>
      <c r="AR42" s="51"/>
      <c r="AS42" s="205">
        <v>44.195250000000001</v>
      </c>
      <c r="AT42"/>
      <c r="AU42"/>
    </row>
    <row r="43" spans="1:47" ht="13">
      <c r="A43" s="38"/>
      <c r="B43" s="40"/>
      <c r="C43" s="50"/>
      <c r="D43" s="40"/>
      <c r="E43" s="204"/>
      <c r="F43" s="50"/>
      <c r="G43" s="50"/>
      <c r="H43" s="50"/>
      <c r="I43" s="50"/>
      <c r="J43" s="50"/>
      <c r="K43" s="50"/>
      <c r="L43" s="50"/>
      <c r="M43" s="50"/>
      <c r="N43" s="51"/>
      <c r="O43" s="50"/>
      <c r="P43" s="50"/>
      <c r="Q43" s="50"/>
      <c r="R43" s="50"/>
      <c r="S43" s="53"/>
      <c r="T43" s="50"/>
      <c r="U43" s="50"/>
      <c r="V43" s="50"/>
      <c r="W43" s="88"/>
      <c r="X43" s="50"/>
      <c r="Y43" s="82"/>
      <c r="Z43" s="50"/>
      <c r="AA43" s="50"/>
      <c r="AB43" s="50"/>
      <c r="AC43" s="50"/>
      <c r="AD43" s="50"/>
      <c r="AE43" s="82"/>
      <c r="AF43" s="50"/>
      <c r="AG43" s="50"/>
      <c r="AH43" s="51"/>
      <c r="AI43" s="40"/>
      <c r="AJ43" s="40"/>
      <c r="AK43" s="40"/>
      <c r="AL43" s="40"/>
      <c r="AM43" s="40"/>
      <c r="AN43" s="40"/>
      <c r="AO43" s="40"/>
      <c r="AP43" s="40"/>
      <c r="AQ43" s="40"/>
      <c r="AR43" s="40"/>
      <c r="AS43" s="206"/>
      <c r="AT43"/>
      <c r="AU43"/>
    </row>
    <row r="44" spans="1:47" ht="14">
      <c r="A44" s="38">
        <v>12</v>
      </c>
      <c r="B44" s="39">
        <f>B42+1</f>
        <v>2009</v>
      </c>
      <c r="C44" s="108">
        <f>'Municipal WW, CH4'!C44</f>
        <v>0</v>
      </c>
      <c r="D44" s="51" t="s">
        <v>87</v>
      </c>
      <c r="E44" s="202"/>
      <c r="F44" s="51" t="s">
        <v>87</v>
      </c>
      <c r="G44" s="57">
        <f>Control!$F$33</f>
        <v>0</v>
      </c>
      <c r="H44" s="51" t="s">
        <v>87</v>
      </c>
      <c r="I44" s="143">
        <f>Control!$F$25</f>
        <v>0</v>
      </c>
      <c r="J44" s="51" t="s">
        <v>87</v>
      </c>
      <c r="K44" s="58">
        <f>Control!$D$105</f>
        <v>1E-3</v>
      </c>
      <c r="L44" s="52" t="s">
        <v>88</v>
      </c>
      <c r="M44" s="70">
        <f>C44*E44*G44*I44*K44</f>
        <v>0</v>
      </c>
      <c r="N44" s="160" t="s">
        <v>112</v>
      </c>
      <c r="O44" s="70">
        <f>'Municipal WW, N2O, direct'!K44*(1/Control!$D$99)</f>
        <v>0</v>
      </c>
      <c r="P44" s="52" t="s">
        <v>88</v>
      </c>
      <c r="Q44" s="70">
        <f>M44-O44</f>
        <v>0</v>
      </c>
      <c r="R44" s="149" t="s">
        <v>113</v>
      </c>
      <c r="S44" s="150"/>
      <c r="T44" s="51" t="s">
        <v>114</v>
      </c>
      <c r="U44" s="63">
        <f>Control!$F$32</f>
        <v>0</v>
      </c>
      <c r="V44" s="51" t="s">
        <v>87</v>
      </c>
      <c r="W44" s="87">
        <f>Control!$D$99</f>
        <v>1.5714285714285714</v>
      </c>
      <c r="X44" s="52" t="s">
        <v>88</v>
      </c>
      <c r="Y44" s="46">
        <f>Q44*(1-S44)*U44*W44</f>
        <v>0</v>
      </c>
      <c r="Z44" s="51" t="s">
        <v>87</v>
      </c>
      <c r="AA44" s="70">
        <f>Control!$D$102</f>
        <v>265</v>
      </c>
      <c r="AB44" s="51" t="s">
        <v>87</v>
      </c>
      <c r="AC44" s="47">
        <f>Control!$D$104</f>
        <v>9.9999999999999995E-7</v>
      </c>
      <c r="AD44" s="51" t="s">
        <v>87</v>
      </c>
      <c r="AE44" s="46">
        <f>Control!$D$100</f>
        <v>0.27272727272727271</v>
      </c>
      <c r="AF44" s="52" t="s">
        <v>88</v>
      </c>
      <c r="AG44" s="48">
        <f>Y44*AA$6*AC$6*AE$6</f>
        <v>0</v>
      </c>
      <c r="AH44" s="145" t="s">
        <v>115</v>
      </c>
      <c r="AI44" s="48">
        <f>'Municipal WW, N2O, direct'!S44</f>
        <v>0</v>
      </c>
      <c r="AJ44" s="177" t="s">
        <v>88</v>
      </c>
      <c r="AK44" s="48">
        <f>AG44+AI44</f>
        <v>0</v>
      </c>
      <c r="AL44" s="177" t="s">
        <v>88</v>
      </c>
      <c r="AM44" s="48">
        <f>AK44*C_CO2</f>
        <v>0</v>
      </c>
      <c r="AN44" s="51"/>
      <c r="AO44" s="51"/>
      <c r="AP44" s="51"/>
      <c r="AQ44" s="51"/>
      <c r="AR44" s="51"/>
      <c r="AS44" s="205">
        <v>43.83</v>
      </c>
      <c r="AT44"/>
      <c r="AU44"/>
    </row>
    <row r="45" spans="1:47" ht="13">
      <c r="A45" s="38"/>
      <c r="B45" s="40"/>
      <c r="C45" s="50"/>
      <c r="D45" s="40"/>
      <c r="E45" s="204"/>
      <c r="F45" s="50"/>
      <c r="G45" s="50"/>
      <c r="H45" s="50"/>
      <c r="I45" s="50"/>
      <c r="J45" s="50"/>
      <c r="K45" s="50"/>
      <c r="L45" s="50"/>
      <c r="M45" s="50"/>
      <c r="N45" s="51"/>
      <c r="O45" s="50"/>
      <c r="P45" s="50"/>
      <c r="Q45" s="50"/>
      <c r="R45" s="50"/>
      <c r="S45" s="53"/>
      <c r="T45" s="50"/>
      <c r="U45" s="50"/>
      <c r="V45" s="50"/>
      <c r="W45" s="88"/>
      <c r="X45" s="50"/>
      <c r="Y45" s="82"/>
      <c r="Z45" s="50"/>
      <c r="AA45" s="50"/>
      <c r="AB45" s="50"/>
      <c r="AC45" s="50"/>
      <c r="AD45" s="50"/>
      <c r="AE45" s="82"/>
      <c r="AF45" s="50"/>
      <c r="AG45" s="50"/>
      <c r="AH45" s="51"/>
      <c r="AI45" s="40"/>
      <c r="AJ45" s="40"/>
      <c r="AK45" s="40"/>
      <c r="AL45" s="40"/>
      <c r="AM45" s="40"/>
      <c r="AN45" s="40"/>
      <c r="AO45" s="40"/>
      <c r="AP45" s="40"/>
      <c r="AQ45" s="40"/>
      <c r="AR45" s="40"/>
      <c r="AS45" s="206"/>
      <c r="AT45"/>
      <c r="AU45"/>
    </row>
    <row r="46" spans="1:47" ht="14">
      <c r="A46" s="38">
        <v>12</v>
      </c>
      <c r="B46" s="39">
        <f>B44+1</f>
        <v>2010</v>
      </c>
      <c r="C46" s="108">
        <f>'Municipal WW, CH4'!C46</f>
        <v>0</v>
      </c>
      <c r="D46" s="51" t="s">
        <v>87</v>
      </c>
      <c r="E46" s="202"/>
      <c r="F46" s="51" t="s">
        <v>87</v>
      </c>
      <c r="G46" s="57">
        <f>Control!$F$33</f>
        <v>0</v>
      </c>
      <c r="H46" s="51" t="s">
        <v>87</v>
      </c>
      <c r="I46" s="143">
        <f>Control!$F$25</f>
        <v>0</v>
      </c>
      <c r="J46" s="51" t="s">
        <v>87</v>
      </c>
      <c r="K46" s="58">
        <f>Control!$D$105</f>
        <v>1E-3</v>
      </c>
      <c r="L46" s="52" t="s">
        <v>88</v>
      </c>
      <c r="M46" s="70">
        <f>C46*E46*G46*I46*K46</f>
        <v>0</v>
      </c>
      <c r="N46" s="160" t="s">
        <v>112</v>
      </c>
      <c r="O46" s="70">
        <f>'Municipal WW, N2O, direct'!K46*(1/Control!$D$99)</f>
        <v>0</v>
      </c>
      <c r="P46" s="52" t="s">
        <v>88</v>
      </c>
      <c r="Q46" s="70">
        <f>M46-O46</f>
        <v>0</v>
      </c>
      <c r="R46" s="149" t="s">
        <v>113</v>
      </c>
      <c r="S46" s="150"/>
      <c r="T46" s="51" t="s">
        <v>114</v>
      </c>
      <c r="U46" s="63">
        <f>Control!$F$32</f>
        <v>0</v>
      </c>
      <c r="V46" s="51" t="s">
        <v>87</v>
      </c>
      <c r="W46" s="87">
        <f>Control!$D$99</f>
        <v>1.5714285714285714</v>
      </c>
      <c r="X46" s="52" t="s">
        <v>88</v>
      </c>
      <c r="Y46" s="46">
        <f>Q46*(1-S46)*U46*W46</f>
        <v>0</v>
      </c>
      <c r="Z46" s="51" t="s">
        <v>87</v>
      </c>
      <c r="AA46" s="70">
        <f>Control!$D$102</f>
        <v>265</v>
      </c>
      <c r="AB46" s="51" t="s">
        <v>87</v>
      </c>
      <c r="AC46" s="47">
        <f>Control!$D$104</f>
        <v>9.9999999999999995E-7</v>
      </c>
      <c r="AD46" s="51" t="s">
        <v>87</v>
      </c>
      <c r="AE46" s="46">
        <f>Control!$D$100</f>
        <v>0.27272727272727271</v>
      </c>
      <c r="AF46" s="52" t="s">
        <v>88</v>
      </c>
      <c r="AG46" s="48">
        <f>Y46*AA$6*AC$6*AE$6</f>
        <v>0</v>
      </c>
      <c r="AH46" s="145" t="s">
        <v>115</v>
      </c>
      <c r="AI46" s="48">
        <f>'Municipal WW, N2O, direct'!S46</f>
        <v>0</v>
      </c>
      <c r="AJ46" s="177" t="s">
        <v>88</v>
      </c>
      <c r="AK46" s="48">
        <f>AG46+AI46</f>
        <v>0</v>
      </c>
      <c r="AL46" s="177" t="s">
        <v>88</v>
      </c>
      <c r="AM46" s="48">
        <f>AK46*C_CO2</f>
        <v>0</v>
      </c>
      <c r="AN46" s="51"/>
      <c r="AO46" s="51"/>
      <c r="AP46" s="51"/>
      <c r="AQ46" s="51"/>
      <c r="AR46" s="51"/>
      <c r="AS46" s="205">
        <v>43.83</v>
      </c>
      <c r="AT46"/>
      <c r="AU46"/>
    </row>
    <row r="47" spans="1:47" ht="13">
      <c r="A47" s="38"/>
      <c r="B47" s="40"/>
      <c r="C47" s="50"/>
      <c r="D47" s="40"/>
      <c r="E47" s="204"/>
      <c r="F47" s="50"/>
      <c r="G47" s="50"/>
      <c r="H47" s="50"/>
      <c r="I47" s="50"/>
      <c r="J47" s="50"/>
      <c r="K47" s="50"/>
      <c r="L47" s="50"/>
      <c r="M47" s="50"/>
      <c r="N47" s="51"/>
      <c r="O47" s="50"/>
      <c r="P47" s="50"/>
      <c r="Q47" s="50"/>
      <c r="R47" s="50"/>
      <c r="S47" s="53"/>
      <c r="T47" s="50"/>
      <c r="U47" s="50"/>
      <c r="V47" s="50"/>
      <c r="W47" s="88"/>
      <c r="X47" s="50"/>
      <c r="Y47" s="82"/>
      <c r="Z47" s="50"/>
      <c r="AA47" s="50"/>
      <c r="AB47" s="50"/>
      <c r="AC47" s="50"/>
      <c r="AD47" s="50"/>
      <c r="AE47" s="82"/>
      <c r="AF47" s="50"/>
      <c r="AG47" s="50"/>
      <c r="AH47" s="51"/>
      <c r="AI47" s="40"/>
      <c r="AJ47" s="40"/>
      <c r="AK47" s="40"/>
      <c r="AL47" s="40"/>
      <c r="AM47" s="40"/>
      <c r="AN47" s="40"/>
      <c r="AO47" s="40"/>
      <c r="AP47" s="40"/>
      <c r="AQ47" s="40"/>
      <c r="AR47" s="40"/>
      <c r="AS47" s="206"/>
      <c r="AT47"/>
      <c r="AU47"/>
    </row>
    <row r="48" spans="1:47" ht="14">
      <c r="A48" s="38">
        <v>12</v>
      </c>
      <c r="B48" s="39">
        <f>B46+1</f>
        <v>2011</v>
      </c>
      <c r="C48" s="108">
        <f>'Municipal WW, CH4'!C48</f>
        <v>0</v>
      </c>
      <c r="D48" s="51" t="s">
        <v>87</v>
      </c>
      <c r="E48" s="202"/>
      <c r="F48" s="51" t="s">
        <v>87</v>
      </c>
      <c r="G48" s="57">
        <f>Control!$F$33</f>
        <v>0</v>
      </c>
      <c r="H48" s="51" t="s">
        <v>87</v>
      </c>
      <c r="I48" s="143">
        <f>Control!$F$25</f>
        <v>0</v>
      </c>
      <c r="J48" s="51" t="s">
        <v>87</v>
      </c>
      <c r="K48" s="58">
        <f>Control!$D$105</f>
        <v>1E-3</v>
      </c>
      <c r="L48" s="52" t="s">
        <v>88</v>
      </c>
      <c r="M48" s="70">
        <f>C48*E48*G48*I48*K48</f>
        <v>0</v>
      </c>
      <c r="N48" s="160" t="s">
        <v>112</v>
      </c>
      <c r="O48" s="70">
        <f>'Municipal WW, N2O, direct'!K48*(1/Control!$D$99)</f>
        <v>0</v>
      </c>
      <c r="P48" s="52" t="s">
        <v>88</v>
      </c>
      <c r="Q48" s="70">
        <f>M48-O48</f>
        <v>0</v>
      </c>
      <c r="R48" s="149" t="s">
        <v>113</v>
      </c>
      <c r="S48" s="150"/>
      <c r="T48" s="51" t="s">
        <v>114</v>
      </c>
      <c r="U48" s="63">
        <f>Control!$F$32</f>
        <v>0</v>
      </c>
      <c r="V48" s="51" t="s">
        <v>87</v>
      </c>
      <c r="W48" s="87">
        <f>Control!$D$99</f>
        <v>1.5714285714285714</v>
      </c>
      <c r="X48" s="52" t="s">
        <v>88</v>
      </c>
      <c r="Y48" s="46">
        <f>Q48*(1-S48)*U48*W48</f>
        <v>0</v>
      </c>
      <c r="Z48" s="51" t="s">
        <v>87</v>
      </c>
      <c r="AA48" s="70">
        <f>Control!$D$102</f>
        <v>265</v>
      </c>
      <c r="AB48" s="51" t="s">
        <v>87</v>
      </c>
      <c r="AC48" s="47">
        <f>Control!$D$104</f>
        <v>9.9999999999999995E-7</v>
      </c>
      <c r="AD48" s="51" t="s">
        <v>87</v>
      </c>
      <c r="AE48" s="46">
        <f>Control!$D$100</f>
        <v>0.27272727272727271</v>
      </c>
      <c r="AF48" s="52" t="s">
        <v>88</v>
      </c>
      <c r="AG48" s="48">
        <f>Y48*AA$6*AC$6*AE$6</f>
        <v>0</v>
      </c>
      <c r="AH48" s="145" t="s">
        <v>115</v>
      </c>
      <c r="AI48" s="48">
        <f>'Municipal WW, N2O, direct'!S48</f>
        <v>0</v>
      </c>
      <c r="AJ48" s="177" t="s">
        <v>88</v>
      </c>
      <c r="AK48" s="48">
        <f>AG48+AI48</f>
        <v>0</v>
      </c>
      <c r="AL48" s="177" t="s">
        <v>88</v>
      </c>
      <c r="AM48" s="48">
        <f>AK48*C_CO2</f>
        <v>0</v>
      </c>
      <c r="AN48" s="51"/>
      <c r="AO48" s="51"/>
      <c r="AP48" s="51"/>
      <c r="AQ48" s="51"/>
      <c r="AR48" s="51"/>
      <c r="AS48" s="205">
        <v>42.919371082348363</v>
      </c>
      <c r="AT48"/>
      <c r="AU48"/>
    </row>
    <row r="49" spans="1:47" ht="13">
      <c r="A49" s="38"/>
      <c r="B49" s="40"/>
      <c r="C49" s="50"/>
      <c r="D49" s="40"/>
      <c r="E49" s="204"/>
      <c r="F49" s="50"/>
      <c r="G49" s="50"/>
      <c r="H49" s="50"/>
      <c r="I49" s="50"/>
      <c r="J49" s="50"/>
      <c r="K49" s="50"/>
      <c r="L49" s="50"/>
      <c r="M49" s="50"/>
      <c r="N49" s="51"/>
      <c r="O49" s="50"/>
      <c r="P49" s="50"/>
      <c r="Q49" s="50"/>
      <c r="R49" s="50"/>
      <c r="S49" s="53"/>
      <c r="T49" s="50"/>
      <c r="U49" s="50"/>
      <c r="V49" s="50"/>
      <c r="W49" s="88"/>
      <c r="X49" s="50"/>
      <c r="Y49" s="82"/>
      <c r="Z49" s="50"/>
      <c r="AA49" s="50"/>
      <c r="AB49" s="50"/>
      <c r="AC49" s="50"/>
      <c r="AD49" s="50"/>
      <c r="AE49" s="82"/>
      <c r="AF49" s="50"/>
      <c r="AG49" s="50"/>
      <c r="AH49" s="51"/>
      <c r="AI49" s="40"/>
      <c r="AJ49" s="40"/>
      <c r="AK49" s="40"/>
      <c r="AL49" s="40"/>
      <c r="AM49" s="40"/>
      <c r="AN49" s="40"/>
      <c r="AO49" s="40"/>
      <c r="AP49" s="40"/>
      <c r="AQ49" s="40"/>
      <c r="AR49" s="40"/>
      <c r="AS49" s="206"/>
      <c r="AT49"/>
      <c r="AU49"/>
    </row>
    <row r="50" spans="1:47" ht="14">
      <c r="A50" s="38">
        <v>12</v>
      </c>
      <c r="B50" s="39">
        <f>B48+1</f>
        <v>2012</v>
      </c>
      <c r="C50" s="108">
        <f>'Municipal WW, CH4'!C50</f>
        <v>0</v>
      </c>
      <c r="D50" s="51" t="s">
        <v>87</v>
      </c>
      <c r="E50" s="202"/>
      <c r="F50" s="51" t="s">
        <v>87</v>
      </c>
      <c r="G50" s="57">
        <f>Control!$F$33</f>
        <v>0</v>
      </c>
      <c r="H50" s="51" t="s">
        <v>87</v>
      </c>
      <c r="I50" s="143">
        <f>Control!$F$25</f>
        <v>0</v>
      </c>
      <c r="J50" s="51" t="s">
        <v>87</v>
      </c>
      <c r="K50" s="58">
        <f>Control!$D$105</f>
        <v>1E-3</v>
      </c>
      <c r="L50" s="52" t="s">
        <v>88</v>
      </c>
      <c r="M50" s="70">
        <f>C50*E50*G50*I50*K50</f>
        <v>0</v>
      </c>
      <c r="N50" s="160" t="s">
        <v>112</v>
      </c>
      <c r="O50" s="70">
        <f>'Municipal WW, N2O, direct'!K50*(1/Control!$D$99)</f>
        <v>0</v>
      </c>
      <c r="P50" s="52" t="s">
        <v>88</v>
      </c>
      <c r="Q50" s="70">
        <f>M50-O50</f>
        <v>0</v>
      </c>
      <c r="R50" s="149" t="s">
        <v>113</v>
      </c>
      <c r="S50" s="150"/>
      <c r="T50" s="51" t="s">
        <v>114</v>
      </c>
      <c r="U50" s="63">
        <f>Control!$F$32</f>
        <v>0</v>
      </c>
      <c r="V50" s="51" t="s">
        <v>87</v>
      </c>
      <c r="W50" s="87">
        <f>Control!$D$99</f>
        <v>1.5714285714285714</v>
      </c>
      <c r="X50" s="52" t="s">
        <v>88</v>
      </c>
      <c r="Y50" s="46">
        <f>Q50*(1-S50)*U50*W50</f>
        <v>0</v>
      </c>
      <c r="Z50" s="51" t="s">
        <v>87</v>
      </c>
      <c r="AA50" s="70">
        <f>Control!$D$102</f>
        <v>265</v>
      </c>
      <c r="AB50" s="51" t="s">
        <v>87</v>
      </c>
      <c r="AC50" s="47">
        <f>Control!$D$104</f>
        <v>9.9999999999999995E-7</v>
      </c>
      <c r="AD50" s="51" t="s">
        <v>87</v>
      </c>
      <c r="AE50" s="46">
        <f>Control!$D$100</f>
        <v>0.27272727272727271</v>
      </c>
      <c r="AF50" s="52" t="s">
        <v>88</v>
      </c>
      <c r="AG50" s="48">
        <f>Y50*AA$6*AC$6*AE$6</f>
        <v>0</v>
      </c>
      <c r="AH50" s="145" t="s">
        <v>115</v>
      </c>
      <c r="AI50" s="48">
        <f>'Municipal WW, N2O, direct'!S50</f>
        <v>0</v>
      </c>
      <c r="AJ50" s="177" t="s">
        <v>88</v>
      </c>
      <c r="AK50" s="48">
        <f>AG50+AI50</f>
        <v>0</v>
      </c>
      <c r="AL50" s="177" t="s">
        <v>88</v>
      </c>
      <c r="AM50" s="48">
        <f>AK50*C_CO2</f>
        <v>0</v>
      </c>
      <c r="AN50" s="51"/>
      <c r="AO50" s="51"/>
      <c r="AP50" s="51"/>
      <c r="AQ50" s="51"/>
      <c r="AR50" s="51"/>
      <c r="AS50" s="205">
        <v>43.338212302632748</v>
      </c>
      <c r="AT50"/>
      <c r="AU50"/>
    </row>
    <row r="51" spans="1:47" ht="11">
      <c r="A51" s="38"/>
      <c r="B51" s="40"/>
      <c r="C51" s="50"/>
      <c r="D51" s="40"/>
      <c r="E51" s="204"/>
      <c r="F51" s="50"/>
      <c r="G51" s="50"/>
      <c r="H51" s="50"/>
      <c r="I51" s="50"/>
      <c r="J51" s="50"/>
      <c r="K51" s="50"/>
      <c r="L51" s="50"/>
      <c r="M51" s="50"/>
      <c r="N51" s="51"/>
      <c r="O51" s="50"/>
      <c r="P51" s="50"/>
      <c r="Q51" s="50"/>
      <c r="R51" s="50"/>
      <c r="S51" s="53"/>
      <c r="T51" s="50"/>
      <c r="U51" s="50"/>
      <c r="V51" s="50"/>
      <c r="W51" s="88"/>
      <c r="X51" s="50"/>
      <c r="Y51" s="82"/>
      <c r="Z51" s="50"/>
      <c r="AA51" s="50"/>
      <c r="AB51" s="50"/>
      <c r="AC51" s="50"/>
      <c r="AD51" s="50"/>
      <c r="AE51" s="82"/>
      <c r="AF51" s="50"/>
      <c r="AG51" s="50"/>
      <c r="AH51" s="51"/>
      <c r="AI51" s="40"/>
      <c r="AJ51" s="40"/>
      <c r="AK51" s="40"/>
      <c r="AL51" s="40"/>
      <c r="AM51" s="40"/>
      <c r="AN51" s="40"/>
      <c r="AO51" s="40"/>
      <c r="AP51" s="40"/>
      <c r="AQ51" s="40"/>
      <c r="AR51" s="40"/>
      <c r="AS51" s="206"/>
    </row>
    <row r="52" spans="1:47" ht="13">
      <c r="A52" s="38">
        <v>12</v>
      </c>
      <c r="B52" s="39">
        <f>B50+1</f>
        <v>2013</v>
      </c>
      <c r="C52" s="108">
        <f>'Municipal WW, CH4'!C52</f>
        <v>0</v>
      </c>
      <c r="D52" s="51" t="s">
        <v>87</v>
      </c>
      <c r="E52" s="202"/>
      <c r="F52" s="51" t="s">
        <v>87</v>
      </c>
      <c r="G52" s="57">
        <f>Control!$F$33</f>
        <v>0</v>
      </c>
      <c r="H52" s="51" t="s">
        <v>87</v>
      </c>
      <c r="I52" s="143">
        <f>Control!$F$25</f>
        <v>0</v>
      </c>
      <c r="J52" s="51" t="s">
        <v>87</v>
      </c>
      <c r="K52" s="58">
        <f>Control!$D$105</f>
        <v>1E-3</v>
      </c>
      <c r="L52" s="52" t="s">
        <v>88</v>
      </c>
      <c r="M52" s="70">
        <f>C52*E52*G52*I52*K52</f>
        <v>0</v>
      </c>
      <c r="N52" s="160" t="s">
        <v>112</v>
      </c>
      <c r="O52" s="70">
        <f>'Municipal WW, N2O, direct'!K52*(1/Control!$D$99)</f>
        <v>0</v>
      </c>
      <c r="P52" s="52" t="s">
        <v>88</v>
      </c>
      <c r="Q52" s="70">
        <f>M52-O52</f>
        <v>0</v>
      </c>
      <c r="R52" s="149" t="s">
        <v>113</v>
      </c>
      <c r="S52" s="150"/>
      <c r="T52" s="51" t="s">
        <v>114</v>
      </c>
      <c r="U52" s="63">
        <f>Control!$F$32</f>
        <v>0</v>
      </c>
      <c r="V52" s="51" t="s">
        <v>87</v>
      </c>
      <c r="W52" s="87">
        <f>Control!$D$99</f>
        <v>1.5714285714285714</v>
      </c>
      <c r="X52" s="52" t="s">
        <v>88</v>
      </c>
      <c r="Y52" s="46">
        <f>Q52*(1-S52)*U52*W52</f>
        <v>0</v>
      </c>
      <c r="Z52" s="51" t="s">
        <v>87</v>
      </c>
      <c r="AA52" s="70">
        <f>Control!$D$102</f>
        <v>265</v>
      </c>
      <c r="AB52" s="51" t="s">
        <v>87</v>
      </c>
      <c r="AC52" s="47">
        <f>Control!$D$104</f>
        <v>9.9999999999999995E-7</v>
      </c>
      <c r="AD52" s="51" t="s">
        <v>87</v>
      </c>
      <c r="AE52" s="46">
        <f>Control!$D$100</f>
        <v>0.27272727272727271</v>
      </c>
      <c r="AF52" s="52" t="s">
        <v>88</v>
      </c>
      <c r="AG52" s="48">
        <f>Y52*AA$6*AC$6*AE$6</f>
        <v>0</v>
      </c>
      <c r="AH52" s="145" t="s">
        <v>115</v>
      </c>
      <c r="AI52" s="48">
        <f>'Municipal WW, N2O, direct'!S52</f>
        <v>0</v>
      </c>
      <c r="AJ52" s="177" t="s">
        <v>88</v>
      </c>
      <c r="AK52" s="48">
        <f>AG52+AI52</f>
        <v>0</v>
      </c>
      <c r="AL52" s="177" t="s">
        <v>88</v>
      </c>
      <c r="AM52" s="48">
        <f>AK52*C_CO2</f>
        <v>0</v>
      </c>
      <c r="AN52" s="51"/>
      <c r="AO52" s="51"/>
      <c r="AP52" s="51"/>
      <c r="AQ52" s="51"/>
      <c r="AR52" s="51"/>
      <c r="AS52" s="205">
        <v>43.306601644498073</v>
      </c>
    </row>
    <row r="53" spans="1:47" ht="11">
      <c r="A53" s="38"/>
      <c r="B53" s="40"/>
      <c r="C53" s="50"/>
      <c r="D53" s="40"/>
      <c r="E53" s="204"/>
      <c r="F53" s="50"/>
      <c r="G53" s="50"/>
      <c r="H53" s="50"/>
      <c r="I53" s="50"/>
      <c r="J53" s="50"/>
      <c r="K53" s="50"/>
      <c r="L53" s="50"/>
      <c r="M53" s="50"/>
      <c r="N53" s="51"/>
      <c r="O53" s="50"/>
      <c r="P53" s="50"/>
      <c r="Q53" s="50"/>
      <c r="R53" s="50"/>
      <c r="S53" s="53"/>
      <c r="T53" s="50"/>
      <c r="U53" s="50"/>
      <c r="V53" s="50"/>
      <c r="W53" s="88"/>
      <c r="X53" s="50"/>
      <c r="Y53" s="82"/>
      <c r="Z53" s="50"/>
      <c r="AA53" s="50"/>
      <c r="AB53" s="50"/>
      <c r="AC53" s="50"/>
      <c r="AD53" s="50"/>
      <c r="AE53" s="82"/>
      <c r="AF53" s="50"/>
      <c r="AG53" s="50"/>
      <c r="AH53" s="51"/>
      <c r="AI53" s="40"/>
      <c r="AJ53" s="40"/>
      <c r="AK53" s="40"/>
      <c r="AL53" s="40"/>
      <c r="AM53" s="40"/>
      <c r="AN53" s="40"/>
      <c r="AO53" s="40"/>
      <c r="AP53" s="40"/>
      <c r="AQ53" s="40"/>
      <c r="AR53" s="40"/>
      <c r="AS53" s="206"/>
    </row>
    <row r="54" spans="1:47" ht="13">
      <c r="A54" s="38">
        <v>12</v>
      </c>
      <c r="B54" s="39">
        <f>B52+1</f>
        <v>2014</v>
      </c>
      <c r="C54" s="108">
        <f>'Municipal WW, CH4'!C54</f>
        <v>0</v>
      </c>
      <c r="D54" s="51" t="s">
        <v>87</v>
      </c>
      <c r="E54" s="202"/>
      <c r="F54" s="51" t="s">
        <v>87</v>
      </c>
      <c r="G54" s="57">
        <f>Control!$F$33</f>
        <v>0</v>
      </c>
      <c r="H54" s="51" t="s">
        <v>87</v>
      </c>
      <c r="I54" s="143">
        <f>Control!$F$25</f>
        <v>0</v>
      </c>
      <c r="J54" s="51" t="s">
        <v>87</v>
      </c>
      <c r="K54" s="58">
        <f>Control!$D$105</f>
        <v>1E-3</v>
      </c>
      <c r="L54" s="52" t="s">
        <v>88</v>
      </c>
      <c r="M54" s="70">
        <f>C54*E54*G54*I54*K54</f>
        <v>0</v>
      </c>
      <c r="N54" s="160" t="s">
        <v>112</v>
      </c>
      <c r="O54" s="70">
        <f>'Municipal WW, N2O, direct'!K54*(1/Control!$D$99)</f>
        <v>0</v>
      </c>
      <c r="P54" s="52" t="s">
        <v>88</v>
      </c>
      <c r="Q54" s="70">
        <f>M54-O54</f>
        <v>0</v>
      </c>
      <c r="R54" s="149" t="s">
        <v>113</v>
      </c>
      <c r="S54" s="150"/>
      <c r="T54" s="51" t="s">
        <v>114</v>
      </c>
      <c r="U54" s="63">
        <f>Control!$F$32</f>
        <v>0</v>
      </c>
      <c r="V54" s="51" t="s">
        <v>87</v>
      </c>
      <c r="W54" s="87">
        <f>Control!$D$99</f>
        <v>1.5714285714285714</v>
      </c>
      <c r="X54" s="52" t="s">
        <v>88</v>
      </c>
      <c r="Y54" s="46">
        <f>Q54*(1-S54)*U54*W54</f>
        <v>0</v>
      </c>
      <c r="Z54" s="51" t="s">
        <v>87</v>
      </c>
      <c r="AA54" s="70">
        <f>Control!$D$102</f>
        <v>265</v>
      </c>
      <c r="AB54" s="51" t="s">
        <v>87</v>
      </c>
      <c r="AC54" s="47">
        <f>Control!$D$104</f>
        <v>9.9999999999999995E-7</v>
      </c>
      <c r="AD54" s="51" t="s">
        <v>87</v>
      </c>
      <c r="AE54" s="46">
        <f>Control!$D$100</f>
        <v>0.27272727272727271</v>
      </c>
      <c r="AF54" s="52" t="s">
        <v>88</v>
      </c>
      <c r="AG54" s="48">
        <f>Y54*AA$6*AC$6*AE$6</f>
        <v>0</v>
      </c>
      <c r="AH54" s="145" t="s">
        <v>115</v>
      </c>
      <c r="AI54" s="48">
        <f>'Municipal WW, N2O, direct'!S54</f>
        <v>0</v>
      </c>
      <c r="AJ54" s="177" t="s">
        <v>88</v>
      </c>
      <c r="AK54" s="48">
        <f>AG54+AI54</f>
        <v>0</v>
      </c>
      <c r="AL54" s="177" t="s">
        <v>88</v>
      </c>
      <c r="AM54" s="48">
        <f>AK54*C_CO2</f>
        <v>0</v>
      </c>
      <c r="AN54" s="51"/>
      <c r="AO54" s="51"/>
      <c r="AP54" s="51"/>
      <c r="AQ54" s="51"/>
      <c r="AR54" s="51"/>
      <c r="AS54" s="205">
        <v>43.875593490922135</v>
      </c>
    </row>
    <row r="55" spans="1:47" ht="11">
      <c r="A55" s="38"/>
      <c r="B55" s="40"/>
      <c r="C55" s="50"/>
      <c r="D55" s="40"/>
      <c r="E55" s="204"/>
      <c r="F55" s="50"/>
      <c r="G55" s="50"/>
      <c r="H55" s="50"/>
      <c r="I55" s="50"/>
      <c r="J55" s="50"/>
      <c r="K55" s="50"/>
      <c r="L55" s="50"/>
      <c r="M55" s="50"/>
      <c r="N55" s="51"/>
      <c r="O55" s="50"/>
      <c r="P55" s="50"/>
      <c r="Q55" s="50"/>
      <c r="R55" s="50"/>
      <c r="S55" s="53"/>
      <c r="T55" s="50"/>
      <c r="U55" s="50"/>
      <c r="V55" s="50"/>
      <c r="W55" s="88"/>
      <c r="X55" s="50"/>
      <c r="Y55" s="82"/>
      <c r="Z55" s="50"/>
      <c r="AA55" s="50"/>
      <c r="AB55" s="50"/>
      <c r="AC55" s="50"/>
      <c r="AD55" s="50"/>
      <c r="AE55" s="82"/>
      <c r="AF55" s="50"/>
      <c r="AG55" s="50"/>
      <c r="AH55" s="51"/>
      <c r="AI55" s="40"/>
      <c r="AJ55" s="40"/>
      <c r="AK55" s="40"/>
      <c r="AL55" s="40"/>
      <c r="AM55" s="40"/>
      <c r="AN55" s="40"/>
      <c r="AO55" s="40"/>
      <c r="AP55" s="40"/>
      <c r="AQ55" s="40"/>
      <c r="AR55" s="40"/>
      <c r="AS55" s="206"/>
    </row>
    <row r="56" spans="1:47" ht="13">
      <c r="A56" s="38">
        <v>12</v>
      </c>
      <c r="B56" s="39">
        <f>B54+1</f>
        <v>2015</v>
      </c>
      <c r="C56" s="108">
        <f>'Municipal WW, CH4'!C56</f>
        <v>0</v>
      </c>
      <c r="D56" s="51" t="s">
        <v>87</v>
      </c>
      <c r="E56" s="202"/>
      <c r="F56" s="51" t="s">
        <v>87</v>
      </c>
      <c r="G56" s="57">
        <f>Control!$F$33</f>
        <v>0</v>
      </c>
      <c r="H56" s="51" t="s">
        <v>87</v>
      </c>
      <c r="I56" s="143">
        <f>Control!$F$25</f>
        <v>0</v>
      </c>
      <c r="J56" s="51" t="s">
        <v>87</v>
      </c>
      <c r="K56" s="58">
        <f>Control!$D$105</f>
        <v>1E-3</v>
      </c>
      <c r="L56" s="52" t="s">
        <v>88</v>
      </c>
      <c r="M56" s="70">
        <f>C56*E56*G56*I56*K56</f>
        <v>0</v>
      </c>
      <c r="N56" s="160" t="s">
        <v>112</v>
      </c>
      <c r="O56" s="70">
        <f>'Municipal WW, N2O, direct'!K56*(1/Control!$D$99)</f>
        <v>0</v>
      </c>
      <c r="P56" s="52" t="s">
        <v>88</v>
      </c>
      <c r="Q56" s="70">
        <f>M56-O56</f>
        <v>0</v>
      </c>
      <c r="R56" s="149" t="s">
        <v>113</v>
      </c>
      <c r="S56" s="150"/>
      <c r="T56" s="51" t="s">
        <v>114</v>
      </c>
      <c r="U56" s="63">
        <f>Control!$F$32</f>
        <v>0</v>
      </c>
      <c r="V56" s="51" t="s">
        <v>87</v>
      </c>
      <c r="W56" s="87">
        <f>Control!$D$99</f>
        <v>1.5714285714285714</v>
      </c>
      <c r="X56" s="52" t="s">
        <v>88</v>
      </c>
      <c r="Y56" s="46">
        <f>Q56*(1-S56)*U56*W56</f>
        <v>0</v>
      </c>
      <c r="Z56" s="51" t="s">
        <v>87</v>
      </c>
      <c r="AA56" s="70">
        <f>Control!$D$102</f>
        <v>265</v>
      </c>
      <c r="AB56" s="51" t="s">
        <v>87</v>
      </c>
      <c r="AC56" s="47">
        <f>Control!$D$104</f>
        <v>9.9999999999999995E-7</v>
      </c>
      <c r="AD56" s="51" t="s">
        <v>87</v>
      </c>
      <c r="AE56" s="46">
        <f>Control!$D$100</f>
        <v>0.27272727272727271</v>
      </c>
      <c r="AF56" s="52" t="s">
        <v>88</v>
      </c>
      <c r="AG56" s="48">
        <f>Y56*AA$6*AC$6*AE$6</f>
        <v>0</v>
      </c>
      <c r="AH56" s="145" t="s">
        <v>115</v>
      </c>
      <c r="AI56" s="48">
        <f>'Municipal WW, N2O, direct'!S56</f>
        <v>0</v>
      </c>
      <c r="AJ56" s="177" t="s">
        <v>88</v>
      </c>
      <c r="AK56" s="48">
        <f>AG56+AI56</f>
        <v>0</v>
      </c>
      <c r="AL56" s="177" t="s">
        <v>88</v>
      </c>
      <c r="AM56" s="48">
        <f>AK56*C_CO2</f>
        <v>0</v>
      </c>
      <c r="AN56" s="51"/>
      <c r="AO56" s="51"/>
      <c r="AP56" s="51"/>
      <c r="AQ56" s="51"/>
      <c r="AR56" s="51"/>
      <c r="AS56" s="205">
        <v>44.349753362942188</v>
      </c>
    </row>
    <row r="57" spans="1:47" ht="11">
      <c r="A57" s="38"/>
      <c r="B57" s="40"/>
      <c r="C57" s="50"/>
      <c r="D57" s="40"/>
      <c r="E57" s="204"/>
      <c r="F57" s="50"/>
      <c r="G57" s="50"/>
      <c r="H57" s="50"/>
      <c r="I57" s="50"/>
      <c r="J57" s="50"/>
      <c r="K57" s="50"/>
      <c r="L57" s="50"/>
      <c r="M57" s="50"/>
      <c r="N57" s="51"/>
      <c r="O57" s="50"/>
      <c r="P57" s="50"/>
      <c r="Q57" s="50"/>
      <c r="R57" s="50"/>
      <c r="S57" s="53"/>
      <c r="T57" s="50"/>
      <c r="U57" s="50"/>
      <c r="V57" s="50"/>
      <c r="W57" s="88"/>
      <c r="X57" s="50"/>
      <c r="Y57" s="82"/>
      <c r="Z57" s="50"/>
      <c r="AA57" s="50"/>
      <c r="AB57" s="50"/>
      <c r="AC57" s="50"/>
      <c r="AD57" s="50"/>
      <c r="AE57" s="82"/>
      <c r="AF57" s="50"/>
      <c r="AG57" s="50"/>
      <c r="AH57" s="51"/>
      <c r="AI57" s="40"/>
      <c r="AJ57" s="40"/>
      <c r="AK57" s="40"/>
      <c r="AL57" s="40"/>
      <c r="AM57" s="40"/>
      <c r="AN57" s="40"/>
      <c r="AO57" s="40"/>
      <c r="AP57" s="40"/>
      <c r="AQ57" s="40"/>
      <c r="AR57" s="40"/>
      <c r="AS57" s="206"/>
    </row>
    <row r="58" spans="1:47" ht="13">
      <c r="A58" s="38">
        <v>12</v>
      </c>
      <c r="B58" s="39">
        <f>B56+1</f>
        <v>2016</v>
      </c>
      <c r="C58" s="108">
        <f>'Municipal WW, CH4'!C58</f>
        <v>0</v>
      </c>
      <c r="D58" s="51" t="s">
        <v>87</v>
      </c>
      <c r="E58" s="202"/>
      <c r="F58" s="51" t="s">
        <v>87</v>
      </c>
      <c r="G58" s="57">
        <f>Control!$F$33</f>
        <v>0</v>
      </c>
      <c r="H58" s="51" t="s">
        <v>87</v>
      </c>
      <c r="I58" s="143">
        <f>Control!$F$25</f>
        <v>0</v>
      </c>
      <c r="J58" s="51" t="s">
        <v>87</v>
      </c>
      <c r="K58" s="58">
        <f>Control!$D$105</f>
        <v>1E-3</v>
      </c>
      <c r="L58" s="52" t="s">
        <v>88</v>
      </c>
      <c r="M58" s="70">
        <f>C58*E58*G58*I58*K58</f>
        <v>0</v>
      </c>
      <c r="N58" s="160" t="s">
        <v>112</v>
      </c>
      <c r="O58" s="70">
        <f>'Municipal WW, N2O, direct'!K58*(1/Control!$D$99)</f>
        <v>0</v>
      </c>
      <c r="P58" s="52" t="s">
        <v>88</v>
      </c>
      <c r="Q58" s="70">
        <f>M58-O58</f>
        <v>0</v>
      </c>
      <c r="R58" s="149" t="s">
        <v>113</v>
      </c>
      <c r="S58" s="150"/>
      <c r="T58" s="51" t="s">
        <v>114</v>
      </c>
      <c r="U58" s="63">
        <f>Control!$F$32</f>
        <v>0</v>
      </c>
      <c r="V58" s="51" t="s">
        <v>87</v>
      </c>
      <c r="W58" s="87">
        <f>Control!$D$99</f>
        <v>1.5714285714285714</v>
      </c>
      <c r="X58" s="52" t="s">
        <v>88</v>
      </c>
      <c r="Y58" s="46">
        <f>Q58*(1-S58)*U58*W58</f>
        <v>0</v>
      </c>
      <c r="Z58" s="51" t="s">
        <v>87</v>
      </c>
      <c r="AA58" s="70">
        <f>Control!$D$102</f>
        <v>265</v>
      </c>
      <c r="AB58" s="51" t="s">
        <v>87</v>
      </c>
      <c r="AC58" s="47">
        <f>Control!$D$104</f>
        <v>9.9999999999999995E-7</v>
      </c>
      <c r="AD58" s="51" t="s">
        <v>87</v>
      </c>
      <c r="AE58" s="46">
        <f>Control!$D$100</f>
        <v>0.27272727272727271</v>
      </c>
      <c r="AF58" s="52" t="s">
        <v>88</v>
      </c>
      <c r="AG58" s="48">
        <f>Y58*AA$6*AC$6*AE$6</f>
        <v>0</v>
      </c>
      <c r="AH58" s="145" t="s">
        <v>115</v>
      </c>
      <c r="AI58" s="48">
        <f>'Municipal WW, N2O, direct'!S58</f>
        <v>0</v>
      </c>
      <c r="AJ58" s="177" t="s">
        <v>88</v>
      </c>
      <c r="AK58" s="48">
        <f>AG58+AI58</f>
        <v>0</v>
      </c>
      <c r="AL58" s="177" t="s">
        <v>88</v>
      </c>
      <c r="AM58" s="48">
        <f>AK58*C_CO2</f>
        <v>0</v>
      </c>
      <c r="AN58" s="51"/>
      <c r="AO58" s="51"/>
      <c r="AP58" s="51"/>
      <c r="AQ58" s="51"/>
      <c r="AR58" s="51"/>
      <c r="AS58" s="205">
        <v>44.5</v>
      </c>
    </row>
    <row r="59" spans="1:47" ht="11">
      <c r="A59" s="38"/>
      <c r="B59" s="40"/>
      <c r="C59" s="50"/>
      <c r="D59" s="40"/>
      <c r="E59" s="204"/>
      <c r="F59" s="50"/>
      <c r="G59" s="50"/>
      <c r="H59" s="50"/>
      <c r="I59" s="50"/>
      <c r="J59" s="50"/>
      <c r="K59" s="50"/>
      <c r="L59" s="50"/>
      <c r="M59" s="50"/>
      <c r="N59" s="51"/>
      <c r="O59" s="50"/>
      <c r="P59" s="50"/>
      <c r="Q59" s="50"/>
      <c r="R59" s="50"/>
      <c r="S59" s="53"/>
      <c r="T59" s="50"/>
      <c r="U59" s="50"/>
      <c r="V59" s="50"/>
      <c r="W59" s="88"/>
      <c r="X59" s="50"/>
      <c r="Y59" s="82"/>
      <c r="Z59" s="50"/>
      <c r="AA59" s="50"/>
      <c r="AB59" s="50"/>
      <c r="AC59" s="50"/>
      <c r="AD59" s="50"/>
      <c r="AE59" s="82"/>
      <c r="AF59" s="50"/>
      <c r="AG59" s="50"/>
      <c r="AH59" s="51"/>
      <c r="AI59" s="40"/>
      <c r="AJ59" s="40"/>
      <c r="AK59" s="40"/>
      <c r="AL59" s="40"/>
      <c r="AM59" s="40"/>
      <c r="AN59" s="40"/>
      <c r="AO59" s="40"/>
      <c r="AP59" s="40"/>
      <c r="AQ59" s="40"/>
      <c r="AR59" s="40"/>
      <c r="AS59" s="206"/>
    </row>
    <row r="60" spans="1:47" ht="13">
      <c r="A60" s="38">
        <v>12</v>
      </c>
      <c r="B60" s="39">
        <f>B58+1</f>
        <v>2017</v>
      </c>
      <c r="C60" s="108">
        <f>'Municipal WW, CH4'!C60</f>
        <v>0</v>
      </c>
      <c r="D60" s="51" t="s">
        <v>87</v>
      </c>
      <c r="E60" s="202"/>
      <c r="F60" s="51" t="s">
        <v>87</v>
      </c>
      <c r="G60" s="57">
        <f>Control!$F$33</f>
        <v>0</v>
      </c>
      <c r="H60" s="51" t="s">
        <v>87</v>
      </c>
      <c r="I60" s="143">
        <f>Control!$F$25</f>
        <v>0</v>
      </c>
      <c r="J60" s="51" t="s">
        <v>87</v>
      </c>
      <c r="K60" s="58">
        <f>Control!$D$105</f>
        <v>1E-3</v>
      </c>
      <c r="L60" s="52" t="s">
        <v>88</v>
      </c>
      <c r="M60" s="70">
        <f>C60*E60*G60*I60*K60</f>
        <v>0</v>
      </c>
      <c r="N60" s="160" t="s">
        <v>112</v>
      </c>
      <c r="O60" s="70">
        <f>'Municipal WW, N2O, direct'!K60*(1/Control!$D$99)</f>
        <v>0</v>
      </c>
      <c r="P60" s="52" t="s">
        <v>88</v>
      </c>
      <c r="Q60" s="70">
        <f>M60-O60</f>
        <v>0</v>
      </c>
      <c r="R60" s="149" t="s">
        <v>113</v>
      </c>
      <c r="S60" s="150"/>
      <c r="T60" s="51" t="s">
        <v>114</v>
      </c>
      <c r="U60" s="63">
        <f>Control!$F$32</f>
        <v>0</v>
      </c>
      <c r="V60" s="51" t="s">
        <v>87</v>
      </c>
      <c r="W60" s="87">
        <f>Control!$D$99</f>
        <v>1.5714285714285714</v>
      </c>
      <c r="X60" s="52" t="s">
        <v>88</v>
      </c>
      <c r="Y60" s="46">
        <f>Q60*(1-S60)*U60*W60</f>
        <v>0</v>
      </c>
      <c r="Z60" s="51" t="s">
        <v>87</v>
      </c>
      <c r="AA60" s="70">
        <f>Control!$D$102</f>
        <v>265</v>
      </c>
      <c r="AB60" s="51" t="s">
        <v>87</v>
      </c>
      <c r="AC60" s="47">
        <f>Control!$D$104</f>
        <v>9.9999999999999995E-7</v>
      </c>
      <c r="AD60" s="51" t="s">
        <v>87</v>
      </c>
      <c r="AE60" s="46">
        <f>Control!$D$100</f>
        <v>0.27272727272727271</v>
      </c>
      <c r="AF60" s="52" t="s">
        <v>88</v>
      </c>
      <c r="AG60" s="48">
        <f>Y60*AA$6*AC$6*AE$6</f>
        <v>0</v>
      </c>
      <c r="AH60" s="145" t="s">
        <v>115</v>
      </c>
      <c r="AI60" s="48">
        <f>'Municipal WW, N2O, direct'!S60</f>
        <v>0</v>
      </c>
      <c r="AJ60" s="177" t="s">
        <v>88</v>
      </c>
      <c r="AK60" s="48">
        <f>AG60+AI60</f>
        <v>0</v>
      </c>
      <c r="AL60" s="177" t="s">
        <v>88</v>
      </c>
      <c r="AM60" s="48">
        <f>AK60*C_CO2</f>
        <v>0</v>
      </c>
      <c r="AN60" s="51"/>
      <c r="AO60" s="51"/>
      <c r="AP60" s="51"/>
      <c r="AQ60" s="51"/>
      <c r="AR60" s="51"/>
      <c r="AS60" s="205">
        <v>44.7</v>
      </c>
    </row>
    <row r="61" spans="1:47" ht="11">
      <c r="A61" s="38"/>
      <c r="B61" s="40"/>
      <c r="C61" s="50"/>
      <c r="D61" s="40"/>
      <c r="E61" s="204"/>
      <c r="F61" s="50"/>
      <c r="G61" s="50"/>
      <c r="H61" s="50"/>
      <c r="I61" s="50"/>
      <c r="J61" s="50"/>
      <c r="K61" s="50"/>
      <c r="L61" s="50"/>
      <c r="M61" s="50"/>
      <c r="N61" s="51"/>
      <c r="O61" s="50"/>
      <c r="P61" s="50"/>
      <c r="Q61" s="50"/>
      <c r="R61" s="50"/>
      <c r="S61" s="53"/>
      <c r="T61" s="50"/>
      <c r="U61" s="50"/>
      <c r="V61" s="50"/>
      <c r="W61" s="88"/>
      <c r="X61" s="50"/>
      <c r="Y61" s="82"/>
      <c r="Z61" s="50"/>
      <c r="AA61" s="50"/>
      <c r="AB61" s="50"/>
      <c r="AC61" s="50"/>
      <c r="AD61" s="50"/>
      <c r="AE61" s="82"/>
      <c r="AF61" s="50"/>
      <c r="AG61" s="50"/>
      <c r="AH61" s="51"/>
      <c r="AI61" s="40"/>
      <c r="AJ61" s="40"/>
      <c r="AK61" s="40"/>
      <c r="AL61" s="40"/>
      <c r="AM61" s="40"/>
      <c r="AN61" s="40"/>
      <c r="AO61" s="40"/>
      <c r="AP61" s="40"/>
      <c r="AQ61" s="40"/>
      <c r="AR61" s="40"/>
      <c r="AS61" s="206"/>
    </row>
    <row r="62" spans="1:47" ht="13">
      <c r="A62" s="38">
        <v>12</v>
      </c>
      <c r="B62" s="39">
        <f>B60+1</f>
        <v>2018</v>
      </c>
      <c r="C62" s="108">
        <f>'Municipal WW, CH4'!C62</f>
        <v>0</v>
      </c>
      <c r="D62" s="51" t="s">
        <v>87</v>
      </c>
      <c r="E62" s="202"/>
      <c r="F62" s="51" t="s">
        <v>87</v>
      </c>
      <c r="G62" s="57">
        <f>Control!$F$33</f>
        <v>0</v>
      </c>
      <c r="H62" s="51" t="s">
        <v>87</v>
      </c>
      <c r="I62" s="143">
        <f>Control!$F$25</f>
        <v>0</v>
      </c>
      <c r="J62" s="51" t="s">
        <v>87</v>
      </c>
      <c r="K62" s="58">
        <f>Control!$D$105</f>
        <v>1E-3</v>
      </c>
      <c r="L62" s="52" t="s">
        <v>88</v>
      </c>
      <c r="M62" s="70">
        <f>C62*E62*G62*I62*K62</f>
        <v>0</v>
      </c>
      <c r="N62" s="160" t="s">
        <v>112</v>
      </c>
      <c r="O62" s="70">
        <f>'Municipal WW, N2O, direct'!K62*(1/Control!$D$99)</f>
        <v>0</v>
      </c>
      <c r="P62" s="52" t="s">
        <v>88</v>
      </c>
      <c r="Q62" s="70">
        <f>M62-O62</f>
        <v>0</v>
      </c>
      <c r="R62" s="149" t="s">
        <v>113</v>
      </c>
      <c r="S62" s="150"/>
      <c r="T62" s="51" t="s">
        <v>114</v>
      </c>
      <c r="U62" s="63">
        <f>Control!$F$32</f>
        <v>0</v>
      </c>
      <c r="V62" s="51" t="s">
        <v>87</v>
      </c>
      <c r="W62" s="87">
        <f>Control!$D$99</f>
        <v>1.5714285714285714</v>
      </c>
      <c r="X62" s="52" t="s">
        <v>88</v>
      </c>
      <c r="Y62" s="46">
        <f>Q62*(1-S62)*U62*W62</f>
        <v>0</v>
      </c>
      <c r="Z62" s="51" t="s">
        <v>87</v>
      </c>
      <c r="AA62" s="70">
        <f>Control!$D$102</f>
        <v>265</v>
      </c>
      <c r="AB62" s="51" t="s">
        <v>87</v>
      </c>
      <c r="AC62" s="47">
        <f>Control!$D$104</f>
        <v>9.9999999999999995E-7</v>
      </c>
      <c r="AD62" s="51" t="s">
        <v>87</v>
      </c>
      <c r="AE62" s="46">
        <f>Control!$D$100</f>
        <v>0.27272727272727271</v>
      </c>
      <c r="AF62" s="52" t="s">
        <v>88</v>
      </c>
      <c r="AG62" s="48">
        <f>Y62*AA$6*AC$6*AE$6</f>
        <v>0</v>
      </c>
      <c r="AH62" s="145" t="s">
        <v>115</v>
      </c>
      <c r="AI62" s="48">
        <f>'Municipal WW, N2O, direct'!S62</f>
        <v>0</v>
      </c>
      <c r="AJ62" s="177" t="s">
        <v>88</v>
      </c>
      <c r="AK62" s="48">
        <f>AG62+AI62</f>
        <v>0</v>
      </c>
      <c r="AL62" s="177" t="s">
        <v>88</v>
      </c>
      <c r="AM62" s="48">
        <f>AK62*C_CO2</f>
        <v>0</v>
      </c>
      <c r="AN62" s="51"/>
      <c r="AO62" s="51"/>
      <c r="AP62" s="51"/>
      <c r="AQ62" s="51"/>
      <c r="AR62" s="51"/>
      <c r="AS62" s="205">
        <v>44.9</v>
      </c>
    </row>
    <row r="63" spans="1:47" ht="11">
      <c r="A63" s="38"/>
      <c r="B63" s="40"/>
      <c r="C63" s="50"/>
      <c r="D63" s="40"/>
      <c r="E63" s="204"/>
      <c r="F63" s="50"/>
      <c r="G63" s="50"/>
      <c r="H63" s="50"/>
      <c r="I63" s="50"/>
      <c r="J63" s="50"/>
      <c r="K63" s="50"/>
      <c r="L63" s="50"/>
      <c r="M63" s="50"/>
      <c r="N63" s="51"/>
      <c r="O63" s="50"/>
      <c r="P63" s="50"/>
      <c r="Q63" s="50"/>
      <c r="R63" s="50"/>
      <c r="S63" s="53"/>
      <c r="T63" s="50"/>
      <c r="U63" s="50"/>
      <c r="V63" s="50"/>
      <c r="W63" s="88"/>
      <c r="X63" s="50"/>
      <c r="Y63" s="82"/>
      <c r="Z63" s="50"/>
      <c r="AA63" s="50"/>
      <c r="AB63" s="50"/>
      <c r="AC63" s="50"/>
      <c r="AD63" s="50"/>
      <c r="AE63" s="82"/>
      <c r="AF63" s="50"/>
      <c r="AG63" s="50"/>
      <c r="AH63" s="51"/>
      <c r="AI63" s="40"/>
      <c r="AJ63" s="40"/>
      <c r="AK63" s="40"/>
      <c r="AL63" s="40"/>
      <c r="AM63" s="40"/>
      <c r="AN63" s="40"/>
      <c r="AO63" s="40"/>
      <c r="AP63" s="40"/>
      <c r="AQ63" s="40"/>
      <c r="AR63" s="40"/>
      <c r="AS63" s="206"/>
    </row>
    <row r="64" spans="1:47" ht="13">
      <c r="A64" s="38">
        <v>12</v>
      </c>
      <c r="B64" s="39">
        <f>B62+1</f>
        <v>2019</v>
      </c>
      <c r="C64" s="108">
        <f>'Municipal WW, CH4'!C64</f>
        <v>0</v>
      </c>
      <c r="D64" s="51" t="s">
        <v>87</v>
      </c>
      <c r="E64" s="202"/>
      <c r="F64" s="51" t="s">
        <v>87</v>
      </c>
      <c r="G64" s="57">
        <f>Control!$F$33</f>
        <v>0</v>
      </c>
      <c r="H64" s="51" t="s">
        <v>87</v>
      </c>
      <c r="I64" s="143">
        <f>Control!$F$25</f>
        <v>0</v>
      </c>
      <c r="J64" s="51" t="s">
        <v>87</v>
      </c>
      <c r="K64" s="58">
        <f>Control!$D$105</f>
        <v>1E-3</v>
      </c>
      <c r="L64" s="52" t="s">
        <v>88</v>
      </c>
      <c r="M64" s="70">
        <f>C64*E64*G64*I64*K64</f>
        <v>0</v>
      </c>
      <c r="N64" s="160" t="s">
        <v>112</v>
      </c>
      <c r="O64" s="70">
        <f>'Municipal WW, N2O, direct'!K64*(1/Control!$D$99)</f>
        <v>0</v>
      </c>
      <c r="P64" s="52" t="s">
        <v>88</v>
      </c>
      <c r="Q64" s="70">
        <f>M64-O64</f>
        <v>0</v>
      </c>
      <c r="R64" s="149" t="s">
        <v>113</v>
      </c>
      <c r="S64" s="150"/>
      <c r="T64" s="51" t="s">
        <v>114</v>
      </c>
      <c r="U64" s="63">
        <f>Control!$F$32</f>
        <v>0</v>
      </c>
      <c r="V64" s="51" t="s">
        <v>87</v>
      </c>
      <c r="W64" s="87">
        <f>Control!$D$99</f>
        <v>1.5714285714285714</v>
      </c>
      <c r="X64" s="52" t="s">
        <v>88</v>
      </c>
      <c r="Y64" s="46">
        <f>Q64*(1-S64)*U64*W64</f>
        <v>0</v>
      </c>
      <c r="Z64" s="51" t="s">
        <v>87</v>
      </c>
      <c r="AA64" s="70">
        <f>Control!$D$102</f>
        <v>265</v>
      </c>
      <c r="AB64" s="51" t="s">
        <v>87</v>
      </c>
      <c r="AC64" s="47">
        <f>Control!$D$104</f>
        <v>9.9999999999999995E-7</v>
      </c>
      <c r="AD64" s="51" t="s">
        <v>87</v>
      </c>
      <c r="AE64" s="46">
        <f>Control!$D$100</f>
        <v>0.27272727272727271</v>
      </c>
      <c r="AF64" s="52" t="s">
        <v>88</v>
      </c>
      <c r="AG64" s="48">
        <f>Y64*AA$6*AC$6*AE$6</f>
        <v>0</v>
      </c>
      <c r="AH64" s="145" t="s">
        <v>115</v>
      </c>
      <c r="AI64" s="48">
        <f>'Municipal WW, N2O, direct'!S64</f>
        <v>0</v>
      </c>
      <c r="AJ64" s="177" t="s">
        <v>88</v>
      </c>
      <c r="AK64" s="48">
        <f>AG64+AI64</f>
        <v>0</v>
      </c>
      <c r="AL64" s="177" t="s">
        <v>88</v>
      </c>
      <c r="AM64" s="48">
        <f>AK64*C_CO2</f>
        <v>0</v>
      </c>
      <c r="AN64" s="51"/>
      <c r="AO64" s="51"/>
      <c r="AP64" s="51"/>
      <c r="AQ64" s="51"/>
      <c r="AR64" s="51"/>
      <c r="AS64" s="205">
        <v>44.382171126658704</v>
      </c>
    </row>
    <row r="65" spans="1:45" ht="11">
      <c r="A65" s="38"/>
      <c r="B65" s="40"/>
      <c r="C65" s="50"/>
      <c r="D65" s="40"/>
      <c r="E65" s="204"/>
      <c r="F65" s="50"/>
      <c r="G65" s="50"/>
      <c r="H65" s="50"/>
      <c r="I65" s="50"/>
      <c r="J65" s="50"/>
      <c r="K65" s="50"/>
      <c r="L65" s="50"/>
      <c r="M65" s="50"/>
      <c r="N65" s="51"/>
      <c r="O65" s="50"/>
      <c r="P65" s="50"/>
      <c r="Q65" s="50"/>
      <c r="R65" s="50"/>
      <c r="S65" s="53"/>
      <c r="T65" s="50"/>
      <c r="U65" s="50"/>
      <c r="V65" s="50"/>
      <c r="W65" s="88"/>
      <c r="X65" s="50"/>
      <c r="Y65" s="82"/>
      <c r="Z65" s="50"/>
      <c r="AA65" s="50"/>
      <c r="AB65" s="50"/>
      <c r="AC65" s="50"/>
      <c r="AD65" s="50"/>
      <c r="AE65" s="82"/>
      <c r="AF65" s="50"/>
      <c r="AG65" s="50"/>
      <c r="AH65" s="51"/>
      <c r="AI65" s="40"/>
      <c r="AJ65" s="40"/>
      <c r="AK65" s="40"/>
      <c r="AL65" s="40"/>
      <c r="AM65" s="40"/>
      <c r="AN65" s="40"/>
      <c r="AO65" s="40"/>
      <c r="AP65" s="40"/>
      <c r="AQ65" s="40"/>
      <c r="AR65" s="40"/>
      <c r="AS65" s="206"/>
    </row>
    <row r="66" spans="1:45" ht="13">
      <c r="A66" s="38">
        <v>12</v>
      </c>
      <c r="B66" s="39">
        <f>B64+1</f>
        <v>2020</v>
      </c>
      <c r="C66" s="108">
        <f>'Municipal WW, CH4'!C66</f>
        <v>0</v>
      </c>
      <c r="D66" s="51" t="s">
        <v>87</v>
      </c>
      <c r="E66" s="202"/>
      <c r="F66" s="51" t="s">
        <v>87</v>
      </c>
      <c r="G66" s="57">
        <f>Control!$F$33</f>
        <v>0</v>
      </c>
      <c r="H66" s="51" t="s">
        <v>87</v>
      </c>
      <c r="I66" s="143">
        <f>Control!$F$25</f>
        <v>0</v>
      </c>
      <c r="J66" s="51" t="s">
        <v>87</v>
      </c>
      <c r="K66" s="58">
        <f>Control!$D$105</f>
        <v>1E-3</v>
      </c>
      <c r="L66" s="52" t="s">
        <v>88</v>
      </c>
      <c r="M66" s="70">
        <f>C66*E66*G66*I66*K66</f>
        <v>0</v>
      </c>
      <c r="N66" s="160" t="s">
        <v>112</v>
      </c>
      <c r="O66" s="70">
        <f>'Municipal WW, N2O, direct'!K66*(1/Control!$D$99)</f>
        <v>0</v>
      </c>
      <c r="P66" s="52" t="s">
        <v>88</v>
      </c>
      <c r="Q66" s="70">
        <f>M66-O66</f>
        <v>0</v>
      </c>
      <c r="R66" s="149" t="s">
        <v>113</v>
      </c>
      <c r="S66" s="150"/>
      <c r="T66" s="51" t="s">
        <v>114</v>
      </c>
      <c r="U66" s="63">
        <f>Control!$F$32</f>
        <v>0</v>
      </c>
      <c r="V66" s="51" t="s">
        <v>87</v>
      </c>
      <c r="W66" s="87">
        <f>Control!$D$99</f>
        <v>1.5714285714285714</v>
      </c>
      <c r="X66" s="52" t="s">
        <v>88</v>
      </c>
      <c r="Y66" s="46">
        <f>Q66*(1-S66)*U66*W66</f>
        <v>0</v>
      </c>
      <c r="Z66" s="51" t="s">
        <v>87</v>
      </c>
      <c r="AA66" s="70">
        <f>Control!$D$102</f>
        <v>265</v>
      </c>
      <c r="AB66" s="51" t="s">
        <v>87</v>
      </c>
      <c r="AC66" s="47">
        <f>Control!$D$104</f>
        <v>9.9999999999999995E-7</v>
      </c>
      <c r="AD66" s="51" t="s">
        <v>87</v>
      </c>
      <c r="AE66" s="46">
        <f>Control!$D$100</f>
        <v>0.27272727272727271</v>
      </c>
      <c r="AF66" s="52" t="s">
        <v>88</v>
      </c>
      <c r="AG66" s="48">
        <f>Y66*AA$6*AC$6*AE$6</f>
        <v>0</v>
      </c>
      <c r="AH66" s="145" t="s">
        <v>115</v>
      </c>
      <c r="AI66" s="48">
        <f>'Municipal WW, N2O, direct'!S66</f>
        <v>0</v>
      </c>
      <c r="AJ66" s="177" t="s">
        <v>88</v>
      </c>
      <c r="AK66" s="48">
        <f>AG66+AI66</f>
        <v>0</v>
      </c>
      <c r="AL66" s="177" t="s">
        <v>88</v>
      </c>
      <c r="AM66" s="48">
        <f>AK66*C_CO2</f>
        <v>0</v>
      </c>
      <c r="AN66" s="51"/>
      <c r="AO66" s="51"/>
      <c r="AP66" s="51"/>
      <c r="AQ66" s="51"/>
      <c r="AR66" s="51"/>
      <c r="AS66" s="205">
        <v>44.6</v>
      </c>
    </row>
    <row r="68" spans="1:45" ht="13">
      <c r="A68" s="38">
        <v>12</v>
      </c>
      <c r="B68" s="39">
        <f>B66+1</f>
        <v>2021</v>
      </c>
      <c r="C68" s="108">
        <f>'Municipal WW, CH4'!C68</f>
        <v>0</v>
      </c>
      <c r="D68" s="51" t="s">
        <v>87</v>
      </c>
      <c r="E68" s="202"/>
      <c r="F68" s="51" t="s">
        <v>87</v>
      </c>
      <c r="G68" s="57">
        <f>Control!$F$33</f>
        <v>0</v>
      </c>
      <c r="H68" s="51" t="s">
        <v>87</v>
      </c>
      <c r="I68" s="143">
        <f>Control!$F$25</f>
        <v>0</v>
      </c>
      <c r="J68" s="51" t="s">
        <v>87</v>
      </c>
      <c r="K68" s="58">
        <f>Control!$D$105</f>
        <v>1E-3</v>
      </c>
      <c r="L68" s="52" t="s">
        <v>88</v>
      </c>
      <c r="M68" s="70">
        <f>C68*E68*G68*I68*K68</f>
        <v>0</v>
      </c>
      <c r="N68" s="160" t="s">
        <v>112</v>
      </c>
      <c r="O68" s="70">
        <f>'Municipal WW, N2O, direct'!K68*(1/Control!$D$99)</f>
        <v>0</v>
      </c>
      <c r="P68" s="52" t="s">
        <v>88</v>
      </c>
      <c r="Q68" s="70">
        <f>M68-O68</f>
        <v>0</v>
      </c>
      <c r="R68" s="149" t="s">
        <v>113</v>
      </c>
      <c r="S68" s="150"/>
      <c r="T68" s="51" t="s">
        <v>114</v>
      </c>
      <c r="U68" s="63">
        <f>Control!$F$32</f>
        <v>0</v>
      </c>
      <c r="V68" s="51" t="s">
        <v>87</v>
      </c>
      <c r="W68" s="87">
        <f>Control!$D$99</f>
        <v>1.5714285714285714</v>
      </c>
      <c r="X68" s="52" t="s">
        <v>88</v>
      </c>
      <c r="Y68" s="46">
        <f>Q68*(1-S68)*U68*W68</f>
        <v>0</v>
      </c>
      <c r="Z68" s="51" t="s">
        <v>87</v>
      </c>
      <c r="AA68" s="70">
        <f>Control!$D$102</f>
        <v>265</v>
      </c>
      <c r="AB68" s="51" t="s">
        <v>87</v>
      </c>
      <c r="AC68" s="47">
        <f>Control!$D$104</f>
        <v>9.9999999999999995E-7</v>
      </c>
      <c r="AD68" s="51" t="s">
        <v>87</v>
      </c>
      <c r="AE68" s="46">
        <f>Control!$D$100</f>
        <v>0.27272727272727271</v>
      </c>
      <c r="AF68" s="52" t="s">
        <v>88</v>
      </c>
      <c r="AG68" s="48">
        <f>Y68*AA$6*AC$6*AE$6</f>
        <v>0</v>
      </c>
      <c r="AH68" s="145" t="s">
        <v>115</v>
      </c>
      <c r="AI68" s="48">
        <f>'Municipal WW, N2O, direct'!S68</f>
        <v>0</v>
      </c>
      <c r="AJ68" s="177" t="s">
        <v>88</v>
      </c>
      <c r="AK68" s="48">
        <f>AG68+AI68</f>
        <v>0</v>
      </c>
      <c r="AL68" s="177" t="s">
        <v>88</v>
      </c>
      <c r="AM68" s="48">
        <f>AK68*C_CO2</f>
        <v>0</v>
      </c>
      <c r="AN68" s="51"/>
      <c r="AO68" s="51"/>
      <c r="AP68" s="51"/>
      <c r="AQ68" s="51"/>
      <c r="AR68" s="51"/>
      <c r="AS68" s="205">
        <v>44.6</v>
      </c>
    </row>
    <row r="69" spans="1:45" ht="11.25" customHeight="1">
      <c r="AS69" s="212"/>
    </row>
    <row r="70" spans="1:45" ht="13">
      <c r="A70" s="38">
        <v>12</v>
      </c>
      <c r="B70" s="39">
        <f>B68+1</f>
        <v>2022</v>
      </c>
      <c r="C70" s="108">
        <f>'Municipal WW, CH4'!C70</f>
        <v>0</v>
      </c>
      <c r="D70" s="51" t="s">
        <v>87</v>
      </c>
      <c r="E70" s="202"/>
      <c r="F70" s="51" t="s">
        <v>87</v>
      </c>
      <c r="G70" s="57">
        <f>Control!$F$33</f>
        <v>0</v>
      </c>
      <c r="H70" s="51" t="s">
        <v>87</v>
      </c>
      <c r="I70" s="143">
        <f>Control!$F$25</f>
        <v>0</v>
      </c>
      <c r="J70" s="51" t="s">
        <v>87</v>
      </c>
      <c r="K70" s="58">
        <f>Control!$D$105</f>
        <v>1E-3</v>
      </c>
      <c r="L70" s="52" t="s">
        <v>88</v>
      </c>
      <c r="M70" s="70">
        <f>C70*E70*G70*I70*K70</f>
        <v>0</v>
      </c>
      <c r="N70" s="160" t="s">
        <v>112</v>
      </c>
      <c r="O70" s="70">
        <f>'Municipal WW, N2O, direct'!K70*(1/Control!$D$99)</f>
        <v>0</v>
      </c>
      <c r="P70" s="52" t="s">
        <v>88</v>
      </c>
      <c r="Q70" s="70">
        <f>M70-O70</f>
        <v>0</v>
      </c>
      <c r="R70" s="149" t="s">
        <v>113</v>
      </c>
      <c r="S70" s="150"/>
      <c r="T70" s="51" t="s">
        <v>114</v>
      </c>
      <c r="U70" s="63">
        <f>Control!$F$32</f>
        <v>0</v>
      </c>
      <c r="V70" s="51" t="s">
        <v>87</v>
      </c>
      <c r="W70" s="87">
        <f>Control!$D$99</f>
        <v>1.5714285714285714</v>
      </c>
      <c r="X70" s="52" t="s">
        <v>88</v>
      </c>
      <c r="Y70" s="46">
        <f>Q70*(1-S70)*U70*W70</f>
        <v>0</v>
      </c>
      <c r="Z70" s="51" t="s">
        <v>87</v>
      </c>
      <c r="AA70" s="70">
        <f>Control!$D$102</f>
        <v>265</v>
      </c>
      <c r="AB70" s="51" t="s">
        <v>87</v>
      </c>
      <c r="AC70" s="47">
        <f>Control!$D$104</f>
        <v>9.9999999999999995E-7</v>
      </c>
      <c r="AD70" s="51" t="s">
        <v>87</v>
      </c>
      <c r="AE70" s="46">
        <f>Control!$D$100</f>
        <v>0.27272727272727271</v>
      </c>
      <c r="AF70" s="52" t="s">
        <v>88</v>
      </c>
      <c r="AG70" s="48">
        <f>Y70*AA$6*AC$6*AE$6</f>
        <v>0</v>
      </c>
      <c r="AH70" s="145" t="s">
        <v>115</v>
      </c>
      <c r="AI70" s="48">
        <f>'Municipal WW, N2O, direct'!S70</f>
        <v>0</v>
      </c>
      <c r="AJ70" s="177" t="s">
        <v>88</v>
      </c>
      <c r="AK70" s="48">
        <f>AG70+AI70</f>
        <v>0</v>
      </c>
      <c r="AL70" s="177" t="s">
        <v>88</v>
      </c>
      <c r="AM70" s="48">
        <f>AK70*C_CO2</f>
        <v>0</v>
      </c>
      <c r="AN70" s="51"/>
      <c r="AO70" s="51"/>
      <c r="AP70" s="51"/>
      <c r="AQ70" s="51"/>
      <c r="AR70" s="51"/>
      <c r="AS70" s="211">
        <v>44.4</v>
      </c>
    </row>
    <row r="71" spans="1:45" ht="11.25" customHeight="1">
      <c r="AS71" s="212"/>
    </row>
    <row r="72" spans="1:45" ht="13">
      <c r="A72" s="38">
        <v>12</v>
      </c>
      <c r="B72" s="39">
        <f>B70+1</f>
        <v>2023</v>
      </c>
      <c r="C72" s="108">
        <f>'Municipal WW, CH4'!C72</f>
        <v>0</v>
      </c>
      <c r="D72" s="51" t="s">
        <v>87</v>
      </c>
      <c r="E72" s="202"/>
      <c r="F72" s="51" t="s">
        <v>87</v>
      </c>
      <c r="G72" s="57">
        <f>Control!$F$33</f>
        <v>0</v>
      </c>
      <c r="H72" s="51" t="s">
        <v>87</v>
      </c>
      <c r="I72" s="143">
        <f>Control!$F$25</f>
        <v>0</v>
      </c>
      <c r="J72" s="51" t="s">
        <v>87</v>
      </c>
      <c r="K72" s="58">
        <f>Control!$D$105</f>
        <v>1E-3</v>
      </c>
      <c r="L72" s="52" t="s">
        <v>88</v>
      </c>
      <c r="M72" s="70">
        <f>C72*E72*G72*I72*K72</f>
        <v>0</v>
      </c>
      <c r="N72" s="160" t="s">
        <v>112</v>
      </c>
      <c r="O72" s="70">
        <f>'Municipal WW, N2O, direct'!K72*(1/Control!$D$99)</f>
        <v>0</v>
      </c>
      <c r="P72" s="52" t="s">
        <v>88</v>
      </c>
      <c r="Q72" s="70">
        <f>M72-O72</f>
        <v>0</v>
      </c>
      <c r="R72" s="149" t="s">
        <v>113</v>
      </c>
      <c r="S72" s="150"/>
      <c r="T72" s="51" t="s">
        <v>114</v>
      </c>
      <c r="U72" s="63">
        <f>Control!$F$32</f>
        <v>0</v>
      </c>
      <c r="V72" s="51" t="s">
        <v>87</v>
      </c>
      <c r="W72" s="87">
        <f>Control!$D$99</f>
        <v>1.5714285714285714</v>
      </c>
      <c r="X72" s="52" t="s">
        <v>88</v>
      </c>
      <c r="Y72" s="46">
        <f>Q72*(1-S72)*U72*W72</f>
        <v>0</v>
      </c>
      <c r="Z72" s="51" t="s">
        <v>87</v>
      </c>
      <c r="AA72" s="70">
        <f>Control!$D$102</f>
        <v>265</v>
      </c>
      <c r="AB72" s="51" t="s">
        <v>87</v>
      </c>
      <c r="AC72" s="47">
        <f>Control!$D$104</f>
        <v>9.9999999999999995E-7</v>
      </c>
      <c r="AD72" s="51" t="s">
        <v>87</v>
      </c>
      <c r="AE72" s="46">
        <f>Control!$D$100</f>
        <v>0.27272727272727271</v>
      </c>
      <c r="AF72" s="52" t="s">
        <v>88</v>
      </c>
      <c r="AG72" s="48">
        <f>Y72*AA$6*AC$6*AE$6</f>
        <v>0</v>
      </c>
      <c r="AH72" s="145" t="s">
        <v>115</v>
      </c>
      <c r="AI72" s="48">
        <f>'Municipal WW, N2O, direct'!S72</f>
        <v>0</v>
      </c>
      <c r="AJ72" s="177" t="s">
        <v>88</v>
      </c>
      <c r="AK72" s="48">
        <f>AG72+AI72</f>
        <v>0</v>
      </c>
      <c r="AL72" s="177" t="s">
        <v>88</v>
      </c>
      <c r="AM72" s="48">
        <f>AK72*C_CO2</f>
        <v>0</v>
      </c>
      <c r="AN72" s="51"/>
      <c r="AO72" s="51"/>
      <c r="AP72" s="51"/>
      <c r="AQ72" s="51"/>
      <c r="AR72" s="51"/>
      <c r="AS72" s="211">
        <v>44.4</v>
      </c>
    </row>
    <row r="73" spans="1:45" ht="11.25" customHeight="1">
      <c r="AS73" s="212"/>
    </row>
    <row r="74" spans="1:45" ht="13">
      <c r="A74" s="38">
        <v>12</v>
      </c>
      <c r="B74" s="39">
        <f>B72+1</f>
        <v>2024</v>
      </c>
      <c r="C74" s="108">
        <f>'Municipal WW, CH4'!C74</f>
        <v>0</v>
      </c>
      <c r="D74" s="51" t="s">
        <v>87</v>
      </c>
      <c r="E74" s="202"/>
      <c r="F74" s="51" t="s">
        <v>87</v>
      </c>
      <c r="G74" s="57">
        <f>Control!$F$33</f>
        <v>0</v>
      </c>
      <c r="H74" s="51" t="s">
        <v>87</v>
      </c>
      <c r="I74" s="143">
        <f>Control!$F$25</f>
        <v>0</v>
      </c>
      <c r="J74" s="51" t="s">
        <v>87</v>
      </c>
      <c r="K74" s="58">
        <f>Control!$D$105</f>
        <v>1E-3</v>
      </c>
      <c r="L74" s="52" t="s">
        <v>88</v>
      </c>
      <c r="M74" s="70">
        <f>C74*E74*G74*I74*K74</f>
        <v>0</v>
      </c>
      <c r="N74" s="160" t="s">
        <v>112</v>
      </c>
      <c r="O74" s="70">
        <f>'Municipal WW, N2O, direct'!K74*(1/Control!$D$99)</f>
        <v>0</v>
      </c>
      <c r="P74" s="52" t="s">
        <v>88</v>
      </c>
      <c r="Q74" s="70">
        <f>M74-O74</f>
        <v>0</v>
      </c>
      <c r="R74" s="149" t="s">
        <v>113</v>
      </c>
      <c r="S74" s="150"/>
      <c r="T74" s="51" t="s">
        <v>114</v>
      </c>
      <c r="U74" s="63">
        <f>Control!$F$32</f>
        <v>0</v>
      </c>
      <c r="V74" s="51" t="s">
        <v>87</v>
      </c>
      <c r="W74" s="87">
        <f>Control!$D$99</f>
        <v>1.5714285714285714</v>
      </c>
      <c r="X74" s="52" t="s">
        <v>88</v>
      </c>
      <c r="Y74" s="46">
        <f>Q74*(1-S74)*U74*W74</f>
        <v>0</v>
      </c>
      <c r="Z74" s="51" t="s">
        <v>87</v>
      </c>
      <c r="AA74" s="70">
        <f>Control!$D$102</f>
        <v>265</v>
      </c>
      <c r="AB74" s="51" t="s">
        <v>87</v>
      </c>
      <c r="AC74" s="47">
        <f>Control!$D$104</f>
        <v>9.9999999999999995E-7</v>
      </c>
      <c r="AD74" s="51" t="s">
        <v>87</v>
      </c>
      <c r="AE74" s="46">
        <f>Control!$D$100</f>
        <v>0.27272727272727271</v>
      </c>
      <c r="AF74" s="52" t="s">
        <v>88</v>
      </c>
      <c r="AG74" s="48">
        <f>Y74*AA$6*AC$6*AE$6</f>
        <v>0</v>
      </c>
      <c r="AH74" s="145" t="s">
        <v>115</v>
      </c>
      <c r="AI74" s="48">
        <f>'Municipal WW, N2O, direct'!S74</f>
        <v>0</v>
      </c>
      <c r="AJ74" s="177" t="s">
        <v>88</v>
      </c>
      <c r="AK74" s="48">
        <f>AG74+AI74</f>
        <v>0</v>
      </c>
      <c r="AL74" s="177" t="s">
        <v>88</v>
      </c>
      <c r="AM74" s="48">
        <f>AK74*C_CO2</f>
        <v>0</v>
      </c>
      <c r="AN74" s="51"/>
      <c r="AO74" s="51"/>
      <c r="AP74" s="51"/>
      <c r="AQ74" s="51"/>
      <c r="AR74" s="51"/>
      <c r="AS74" s="211">
        <v>44.4</v>
      </c>
    </row>
    <row r="75" spans="1:45" ht="11.25" customHeight="1">
      <c r="AS75" s="212"/>
    </row>
    <row r="76" spans="1:45" ht="13">
      <c r="A76" s="38">
        <v>12</v>
      </c>
      <c r="B76" s="39">
        <f>B74+1</f>
        <v>2025</v>
      </c>
      <c r="C76" s="108">
        <f>'Municipal WW, CH4'!C76</f>
        <v>0</v>
      </c>
      <c r="D76" s="51" t="s">
        <v>87</v>
      </c>
      <c r="E76" s="202"/>
      <c r="F76" s="51" t="s">
        <v>87</v>
      </c>
      <c r="G76" s="57">
        <f>Control!$F$33</f>
        <v>0</v>
      </c>
      <c r="H76" s="51" t="s">
        <v>87</v>
      </c>
      <c r="I76" s="143">
        <f>Control!$F$25</f>
        <v>0</v>
      </c>
      <c r="J76" s="51" t="s">
        <v>87</v>
      </c>
      <c r="K76" s="58">
        <f>Control!$D$105</f>
        <v>1E-3</v>
      </c>
      <c r="L76" s="52" t="s">
        <v>88</v>
      </c>
      <c r="M76" s="70">
        <f>C76*E76*G76*I76*K76</f>
        <v>0</v>
      </c>
      <c r="N76" s="160" t="s">
        <v>112</v>
      </c>
      <c r="O76" s="70">
        <f>'Municipal WW, N2O, direct'!K76*(1/Control!$D$99)</f>
        <v>0</v>
      </c>
      <c r="P76" s="52" t="s">
        <v>88</v>
      </c>
      <c r="Q76" s="70">
        <f>M76-O76</f>
        <v>0</v>
      </c>
      <c r="R76" s="149" t="s">
        <v>113</v>
      </c>
      <c r="S76" s="150"/>
      <c r="T76" s="51" t="s">
        <v>114</v>
      </c>
      <c r="U76" s="63">
        <f>Control!$F$32</f>
        <v>0</v>
      </c>
      <c r="V76" s="51" t="s">
        <v>87</v>
      </c>
      <c r="W76" s="87">
        <f>Control!$D$99</f>
        <v>1.5714285714285714</v>
      </c>
      <c r="X76" s="52" t="s">
        <v>88</v>
      </c>
      <c r="Y76" s="46">
        <f>Q76*(1-S76)*U76*W76</f>
        <v>0</v>
      </c>
      <c r="Z76" s="51" t="s">
        <v>87</v>
      </c>
      <c r="AA76" s="70">
        <f>Control!$D$102</f>
        <v>265</v>
      </c>
      <c r="AB76" s="51" t="s">
        <v>87</v>
      </c>
      <c r="AC76" s="47">
        <f>Control!$D$104</f>
        <v>9.9999999999999995E-7</v>
      </c>
      <c r="AD76" s="51" t="s">
        <v>87</v>
      </c>
      <c r="AE76" s="46">
        <f>Control!$D$100</f>
        <v>0.27272727272727271</v>
      </c>
      <c r="AF76" s="52" t="s">
        <v>88</v>
      </c>
      <c r="AG76" s="48">
        <f>Y76*AA$6*AC$6*AE$6</f>
        <v>0</v>
      </c>
      <c r="AH76" s="145" t="s">
        <v>115</v>
      </c>
      <c r="AI76" s="48">
        <f>'Municipal WW, N2O, direct'!S76</f>
        <v>0</v>
      </c>
      <c r="AJ76" s="177" t="s">
        <v>88</v>
      </c>
      <c r="AK76" s="48">
        <f>AG76+AI76</f>
        <v>0</v>
      </c>
      <c r="AL76" s="177" t="s">
        <v>88</v>
      </c>
      <c r="AM76" s="48">
        <f>AK76*C_CO2</f>
        <v>0</v>
      </c>
      <c r="AN76" s="51"/>
      <c r="AO76" s="51"/>
      <c r="AP76" s="51"/>
      <c r="AQ76" s="51"/>
      <c r="AR76" s="51"/>
      <c r="AS76" s="211">
        <v>44.4</v>
      </c>
    </row>
  </sheetData>
  <sheetProtection algorithmName="SHA-512" hashValue="D7zbWwwrghq1o/GyVLnk1HvUevkxkq1WiGZCLdz81RuXtLTJ8X3SkZZgZORQWDJJ+2Gmnz6Uuj3HKt5VSVFZJA==" saltValue="ufWKMcDqWHU8Yd5saznqUQ==" spinCount="100000" sheet="1" objects="1" scenarios="1"/>
  <phoneticPr fontId="10" type="noConversion"/>
  <dataValidations count="1">
    <dataValidation allowBlank="1" showInputMessage="1" showErrorMessage="1" promptTitle="State Population" prompt="Population data are entered on the domestic wastewater methane sheet." sqref="C6" xr:uid="{00000000-0002-0000-0300-000000000000}"/>
  </dataValidations>
  <pageMargins left="0.75" right="0.75" top="1" bottom="1" header="0.5" footer="0.5"/>
  <pageSetup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A76"/>
  <sheetViews>
    <sheetView showGridLines="0" workbookViewId="0">
      <pane ySplit="4" topLeftCell="A5" activePane="bottomLeft" state="frozen"/>
      <selection pane="bottomLeft" activeCell="C6" sqref="C6"/>
    </sheetView>
  </sheetViews>
  <sheetFormatPr baseColWidth="10" defaultColWidth="8" defaultRowHeight="11.25" customHeight="1"/>
  <cols>
    <col min="1" max="1" width="2.83203125" style="2" customWidth="1"/>
    <col min="2" max="2" width="5.5" style="2" customWidth="1"/>
    <col min="3" max="3" width="10.5" style="7" customWidth="1"/>
    <col min="4" max="4" width="1.83203125" style="2" bestFit="1" customWidth="1"/>
    <col min="5" max="5" width="6.83203125" style="2" customWidth="1"/>
    <col min="6" max="6" width="1.83203125" style="2" bestFit="1" customWidth="1"/>
    <col min="7" max="7" width="12" style="2" customWidth="1"/>
    <col min="8" max="8" width="1.83203125" style="2" bestFit="1" customWidth="1"/>
    <col min="9" max="9" width="7.83203125" style="2" customWidth="1"/>
    <col min="10" max="10" width="1.83203125" style="2" bestFit="1" customWidth="1"/>
    <col min="11" max="11" width="10.1640625" style="2" customWidth="1"/>
    <col min="12" max="12" width="1.83203125" style="2" bestFit="1" customWidth="1"/>
    <col min="13" max="13" width="8.5" style="2" customWidth="1"/>
    <col min="14" max="14" width="1.83203125" style="2" bestFit="1" customWidth="1"/>
    <col min="15" max="15" width="15.5" style="2" customWidth="1"/>
    <col min="16" max="16" width="1.83203125" style="2" bestFit="1" customWidth="1"/>
    <col min="17" max="17" width="10" style="2" customWidth="1"/>
    <col min="18" max="18" width="1.83203125" style="2" bestFit="1" customWidth="1"/>
    <col min="19" max="19" width="10.5" style="2" customWidth="1"/>
    <col min="20" max="20" width="1.83203125" style="2" bestFit="1" customWidth="1"/>
    <col min="21" max="21" width="7.5" style="2" customWidth="1"/>
    <col min="22" max="22" width="1.83203125" style="2" bestFit="1" customWidth="1"/>
    <col min="23" max="23" width="6.5" style="2" customWidth="1"/>
    <col min="24" max="24" width="1.83203125" style="2" bestFit="1" customWidth="1"/>
    <col min="25" max="25" width="9.1640625" style="2" customWidth="1"/>
    <col min="26" max="26" width="3" style="2" customWidth="1"/>
    <col min="27" max="27" width="9.1640625" style="2" customWidth="1"/>
    <col min="28" max="33" width="6" style="2" bestFit="1" customWidth="1"/>
    <col min="34" max="16384" width="8" style="2"/>
  </cols>
  <sheetData>
    <row r="1" spans="1:27" s="1" customFormat="1" ht="22.75" customHeight="1">
      <c r="B1" s="80" t="str">
        <f>"7. "&amp;SelectedState &amp; " Industrial Wastewater Methane - Fruits and Vegetables"</f>
        <v>7. Select a state . . . Industrial Wastewater Methane - Fruits and Vegetables</v>
      </c>
    </row>
    <row r="2" spans="1:27" ht="31.75" customHeight="1">
      <c r="A2" s="265"/>
      <c r="B2" s="265"/>
      <c r="C2" s="265"/>
      <c r="D2" s="265"/>
      <c r="E2" s="265"/>
      <c r="F2" s="265"/>
      <c r="G2" s="265"/>
      <c r="H2" s="265"/>
      <c r="I2" s="106"/>
      <c r="J2" s="106"/>
      <c r="K2" s="106"/>
      <c r="L2" s="106"/>
      <c r="M2" s="106"/>
      <c r="N2" s="106"/>
      <c r="O2" s="106"/>
      <c r="P2" s="106"/>
      <c r="Q2" s="106"/>
    </row>
    <row r="3" spans="1:27" s="163" customFormat="1" ht="61.5" customHeight="1">
      <c r="A3" s="170"/>
      <c r="B3" s="35"/>
      <c r="C3" s="161" t="s">
        <v>116</v>
      </c>
      <c r="D3" s="161"/>
      <c r="E3" s="161" t="s">
        <v>117</v>
      </c>
      <c r="F3" s="162"/>
      <c r="G3" s="161" t="s">
        <v>71</v>
      </c>
      <c r="H3" s="162"/>
      <c r="I3" s="161" t="s">
        <v>118</v>
      </c>
      <c r="J3" s="162"/>
      <c r="K3" s="161" t="s">
        <v>72</v>
      </c>
      <c r="L3" s="162"/>
      <c r="M3" s="161" t="s">
        <v>119</v>
      </c>
      <c r="N3" s="162"/>
      <c r="O3" s="161" t="s">
        <v>74</v>
      </c>
      <c r="P3" s="162"/>
      <c r="Q3" s="161" t="s">
        <v>71</v>
      </c>
      <c r="R3" s="162"/>
      <c r="S3" s="161" t="s">
        <v>74</v>
      </c>
      <c r="T3" s="162"/>
      <c r="U3" s="161" t="s">
        <v>120</v>
      </c>
      <c r="V3" s="161"/>
      <c r="W3" s="161" t="s">
        <v>76</v>
      </c>
      <c r="X3" s="162"/>
      <c r="Y3" s="161" t="s">
        <v>74</v>
      </c>
      <c r="AA3" s="161" t="s">
        <v>74</v>
      </c>
    </row>
    <row r="4" spans="1:27" s="163" customFormat="1" ht="13">
      <c r="A4" s="172"/>
      <c r="B4" s="35"/>
      <c r="C4" s="36" t="s">
        <v>108</v>
      </c>
      <c r="D4" s="35"/>
      <c r="E4" s="36" t="s">
        <v>121</v>
      </c>
      <c r="F4" s="36"/>
      <c r="G4" s="36" t="s">
        <v>122</v>
      </c>
      <c r="H4" s="36"/>
      <c r="I4" s="36" t="s">
        <v>123</v>
      </c>
      <c r="J4" s="36"/>
      <c r="K4" s="36" t="s">
        <v>124</v>
      </c>
      <c r="L4" s="36"/>
      <c r="M4" s="36" t="s">
        <v>81</v>
      </c>
      <c r="N4" s="36"/>
      <c r="O4" s="36" t="s">
        <v>125</v>
      </c>
      <c r="P4" s="36"/>
      <c r="Q4" s="36" t="s">
        <v>126</v>
      </c>
      <c r="R4" s="36"/>
      <c r="S4" s="36" t="s">
        <v>127</v>
      </c>
      <c r="T4" s="36"/>
      <c r="U4" s="165" t="s">
        <v>83</v>
      </c>
      <c r="V4" s="36"/>
      <c r="W4" s="36"/>
      <c r="X4" s="36"/>
      <c r="Y4" s="165" t="s">
        <v>85</v>
      </c>
      <c r="AA4" s="165" t="s">
        <v>86</v>
      </c>
    </row>
    <row r="5" spans="1:27" ht="12">
      <c r="A5" s="18"/>
      <c r="B5" s="34"/>
      <c r="C5" s="54"/>
      <c r="D5" s="50"/>
      <c r="E5" s="54"/>
      <c r="F5" s="54"/>
      <c r="G5" s="54"/>
      <c r="H5" s="54"/>
      <c r="I5" s="54"/>
      <c r="J5" s="54"/>
      <c r="K5" s="54"/>
      <c r="L5" s="54"/>
      <c r="M5" s="54"/>
      <c r="N5" s="54"/>
      <c r="O5" s="54"/>
      <c r="P5" s="54"/>
      <c r="Q5" s="54"/>
      <c r="R5" s="54"/>
      <c r="S5" s="54"/>
      <c r="T5" s="54"/>
      <c r="U5" s="54"/>
      <c r="V5" s="54"/>
      <c r="W5" s="54"/>
      <c r="X5" s="54"/>
      <c r="Y5" s="54"/>
    </row>
    <row r="6" spans="1:27" ht="13">
      <c r="A6" s="37"/>
      <c r="B6" s="39">
        <v>1990</v>
      </c>
      <c r="C6" s="107"/>
      <c r="D6" s="51" t="s">
        <v>87</v>
      </c>
      <c r="E6" s="74">
        <f>Control!$F$37</f>
        <v>0</v>
      </c>
      <c r="F6" s="51" t="s">
        <v>87</v>
      </c>
      <c r="G6" s="70">
        <f>Control!$D$106</f>
        <v>1000</v>
      </c>
      <c r="H6" s="51" t="s">
        <v>87</v>
      </c>
      <c r="I6" s="44">
        <f>Control!$F$38</f>
        <v>0</v>
      </c>
      <c r="J6" s="51" t="s">
        <v>87</v>
      </c>
      <c r="K6" s="46">
        <f>Control!$F$40</f>
        <v>0</v>
      </c>
      <c r="L6" s="51" t="s">
        <v>87</v>
      </c>
      <c r="M6" s="57">
        <f>Control!$F$39</f>
        <v>0</v>
      </c>
      <c r="N6" s="52" t="s">
        <v>88</v>
      </c>
      <c r="O6" s="70">
        <f>C6*$E$6*$G$6*$I$6*$M$6*$K$6</f>
        <v>0</v>
      </c>
      <c r="P6" s="51" t="s">
        <v>87</v>
      </c>
      <c r="Q6" s="65">
        <f>Control!$D$107</f>
        <v>9.9999999999999998E-13</v>
      </c>
      <c r="R6" s="52" t="s">
        <v>88</v>
      </c>
      <c r="S6" s="46">
        <f>O6*Q6</f>
        <v>0</v>
      </c>
      <c r="T6" s="51" t="s">
        <v>87</v>
      </c>
      <c r="U6" s="70">
        <f>Control!$D$101</f>
        <v>28</v>
      </c>
      <c r="V6" s="51" t="s">
        <v>87</v>
      </c>
      <c r="W6" s="46">
        <f>Control!$D$100</f>
        <v>0.27272727272727271</v>
      </c>
      <c r="X6" s="52" t="s">
        <v>88</v>
      </c>
      <c r="Y6" s="48">
        <f>S6*U$6*W$6</f>
        <v>0</v>
      </c>
      <c r="Z6" s="52" t="s">
        <v>88</v>
      </c>
      <c r="AA6" s="48">
        <f>Y6*C_CO2</f>
        <v>0</v>
      </c>
    </row>
    <row r="7" spans="1:27" ht="11">
      <c r="A7" s="37"/>
      <c r="B7" s="40"/>
      <c r="C7" s="49"/>
      <c r="D7" s="50"/>
      <c r="E7" s="50"/>
      <c r="F7" s="50"/>
      <c r="G7" s="50"/>
      <c r="H7" s="50"/>
      <c r="I7" s="50"/>
      <c r="J7" s="50"/>
      <c r="K7" s="50"/>
      <c r="L7" s="50"/>
      <c r="M7" s="50"/>
      <c r="N7" s="50"/>
      <c r="O7" s="84"/>
      <c r="P7" s="50"/>
      <c r="Q7" s="50"/>
      <c r="R7" s="50"/>
      <c r="S7" s="50"/>
      <c r="T7" s="50"/>
      <c r="U7" s="50"/>
      <c r="V7" s="50"/>
      <c r="W7" s="82"/>
      <c r="X7" s="50"/>
      <c r="Y7" s="50"/>
      <c r="Z7" s="50"/>
      <c r="AA7" s="50"/>
    </row>
    <row r="8" spans="1:27" ht="13">
      <c r="A8" s="37"/>
      <c r="B8" s="39">
        <f>B6+1</f>
        <v>1991</v>
      </c>
      <c r="C8" s="107"/>
      <c r="D8" s="51" t="s">
        <v>87</v>
      </c>
      <c r="E8" s="74">
        <f>Control!$F$37</f>
        <v>0</v>
      </c>
      <c r="F8" s="51" t="s">
        <v>87</v>
      </c>
      <c r="G8" s="70">
        <f>Control!$D$106</f>
        <v>1000</v>
      </c>
      <c r="H8" s="51" t="s">
        <v>87</v>
      </c>
      <c r="I8" s="44">
        <f>Control!$F$38</f>
        <v>0</v>
      </c>
      <c r="J8" s="51" t="s">
        <v>87</v>
      </c>
      <c r="K8" s="46">
        <f>Control!$F$40</f>
        <v>0</v>
      </c>
      <c r="L8" s="51" t="s">
        <v>87</v>
      </c>
      <c r="M8" s="57">
        <f>Control!$F$39</f>
        <v>0</v>
      </c>
      <c r="N8" s="52" t="s">
        <v>88</v>
      </c>
      <c r="O8" s="70">
        <f>C8*$E$6*$G$6*$I$6*$M$6*$K$6</f>
        <v>0</v>
      </c>
      <c r="P8" s="51" t="s">
        <v>87</v>
      </c>
      <c r="Q8" s="65">
        <f>Control!$D$107</f>
        <v>9.9999999999999998E-13</v>
      </c>
      <c r="R8" s="52" t="s">
        <v>88</v>
      </c>
      <c r="S8" s="46">
        <f>O8*Q8</f>
        <v>0</v>
      </c>
      <c r="T8" s="51" t="s">
        <v>87</v>
      </c>
      <c r="U8" s="70">
        <f>Control!$D$101</f>
        <v>28</v>
      </c>
      <c r="V8" s="51" t="s">
        <v>87</v>
      </c>
      <c r="W8" s="46">
        <f>Control!$D$100</f>
        <v>0.27272727272727271</v>
      </c>
      <c r="X8" s="52" t="s">
        <v>88</v>
      </c>
      <c r="Y8" s="48">
        <f>S8*U$6*W$6</f>
        <v>0</v>
      </c>
      <c r="Z8" s="52" t="s">
        <v>88</v>
      </c>
      <c r="AA8" s="48">
        <f>Y8*C_CO2</f>
        <v>0</v>
      </c>
    </row>
    <row r="9" spans="1:27" ht="11">
      <c r="A9" s="37"/>
      <c r="B9" s="41"/>
      <c r="C9" s="49"/>
      <c r="D9" s="50"/>
      <c r="E9" s="50"/>
      <c r="F9" s="50"/>
      <c r="G9" s="50"/>
      <c r="H9" s="50"/>
      <c r="I9" s="50"/>
      <c r="J9" s="50"/>
      <c r="K9" s="50"/>
      <c r="L9" s="50"/>
      <c r="M9" s="50"/>
      <c r="N9" s="50"/>
      <c r="O9" s="84"/>
      <c r="P9" s="50"/>
      <c r="Q9" s="50"/>
      <c r="R9" s="50"/>
      <c r="S9" s="50"/>
      <c r="T9" s="50"/>
      <c r="U9" s="50"/>
      <c r="V9" s="50"/>
      <c r="W9" s="82"/>
      <c r="X9" s="50"/>
      <c r="Y9" s="50"/>
      <c r="Z9" s="50"/>
      <c r="AA9" s="50"/>
    </row>
    <row r="10" spans="1:27" ht="13">
      <c r="A10" s="37"/>
      <c r="B10" s="39">
        <f>B8+1</f>
        <v>1992</v>
      </c>
      <c r="C10" s="107"/>
      <c r="D10" s="51" t="s">
        <v>87</v>
      </c>
      <c r="E10" s="74">
        <f>Control!$F$37</f>
        <v>0</v>
      </c>
      <c r="F10" s="51" t="s">
        <v>87</v>
      </c>
      <c r="G10" s="70">
        <f>Control!$D$106</f>
        <v>1000</v>
      </c>
      <c r="H10" s="51" t="s">
        <v>87</v>
      </c>
      <c r="I10" s="44">
        <f>Control!$F$38</f>
        <v>0</v>
      </c>
      <c r="J10" s="51" t="s">
        <v>87</v>
      </c>
      <c r="K10" s="46">
        <f>Control!$F$40</f>
        <v>0</v>
      </c>
      <c r="L10" s="51" t="s">
        <v>87</v>
      </c>
      <c r="M10" s="57">
        <f>Control!$F$39</f>
        <v>0</v>
      </c>
      <c r="N10" s="52" t="s">
        <v>88</v>
      </c>
      <c r="O10" s="70">
        <f>C10*$E$6*$G$6*$I$6*$M$6*$K$6</f>
        <v>0</v>
      </c>
      <c r="P10" s="51" t="s">
        <v>87</v>
      </c>
      <c r="Q10" s="65">
        <f>Control!$D$107</f>
        <v>9.9999999999999998E-13</v>
      </c>
      <c r="R10" s="52" t="s">
        <v>88</v>
      </c>
      <c r="S10" s="46">
        <f>O10*Q10</f>
        <v>0</v>
      </c>
      <c r="T10" s="51" t="s">
        <v>87</v>
      </c>
      <c r="U10" s="70">
        <f>Control!$D$101</f>
        <v>28</v>
      </c>
      <c r="V10" s="51" t="s">
        <v>87</v>
      </c>
      <c r="W10" s="46">
        <f>Control!$D$100</f>
        <v>0.27272727272727271</v>
      </c>
      <c r="X10" s="52" t="s">
        <v>88</v>
      </c>
      <c r="Y10" s="48">
        <f>S10*U$6*W$6</f>
        <v>0</v>
      </c>
      <c r="Z10" s="52" t="s">
        <v>88</v>
      </c>
      <c r="AA10" s="48">
        <f>Y10*C_CO2</f>
        <v>0</v>
      </c>
    </row>
    <row r="11" spans="1:27" ht="11">
      <c r="A11" s="37"/>
      <c r="B11" s="40"/>
      <c r="C11" s="49"/>
      <c r="D11" s="50"/>
      <c r="E11" s="50"/>
      <c r="F11" s="50"/>
      <c r="G11" s="50"/>
      <c r="H11" s="50"/>
      <c r="I11" s="50"/>
      <c r="J11" s="50"/>
      <c r="K11" s="50"/>
      <c r="L11" s="50"/>
      <c r="M11" s="50"/>
      <c r="N11" s="50"/>
      <c r="O11" s="84"/>
      <c r="P11" s="50"/>
      <c r="Q11" s="50"/>
      <c r="R11" s="50"/>
      <c r="S11" s="50"/>
      <c r="T11" s="50"/>
      <c r="U11" s="50"/>
      <c r="V11" s="50"/>
      <c r="W11" s="82"/>
      <c r="X11" s="50"/>
      <c r="Y11" s="50"/>
      <c r="Z11" s="50"/>
      <c r="AA11" s="50"/>
    </row>
    <row r="12" spans="1:27" ht="13">
      <c r="A12" s="37"/>
      <c r="B12" s="39">
        <f>B10+1</f>
        <v>1993</v>
      </c>
      <c r="C12" s="107"/>
      <c r="D12" s="51" t="s">
        <v>87</v>
      </c>
      <c r="E12" s="74">
        <f>Control!$F$37</f>
        <v>0</v>
      </c>
      <c r="F12" s="51" t="s">
        <v>87</v>
      </c>
      <c r="G12" s="70">
        <f>Control!$D$106</f>
        <v>1000</v>
      </c>
      <c r="H12" s="51" t="s">
        <v>87</v>
      </c>
      <c r="I12" s="44">
        <f>Control!$F$38</f>
        <v>0</v>
      </c>
      <c r="J12" s="51" t="s">
        <v>87</v>
      </c>
      <c r="K12" s="46">
        <f>Control!$F$40</f>
        <v>0</v>
      </c>
      <c r="L12" s="51" t="s">
        <v>87</v>
      </c>
      <c r="M12" s="57">
        <f>Control!$F$39</f>
        <v>0</v>
      </c>
      <c r="N12" s="52" t="s">
        <v>88</v>
      </c>
      <c r="O12" s="70">
        <f>C12*$E$6*$G$6*$I$6*$M$6*$K$6</f>
        <v>0</v>
      </c>
      <c r="P12" s="51" t="s">
        <v>87</v>
      </c>
      <c r="Q12" s="65">
        <f>Control!$D$107</f>
        <v>9.9999999999999998E-13</v>
      </c>
      <c r="R12" s="52" t="s">
        <v>88</v>
      </c>
      <c r="S12" s="46">
        <f>O12*Q12</f>
        <v>0</v>
      </c>
      <c r="T12" s="51" t="s">
        <v>87</v>
      </c>
      <c r="U12" s="70">
        <f>Control!$D$101</f>
        <v>28</v>
      </c>
      <c r="V12" s="51" t="s">
        <v>87</v>
      </c>
      <c r="W12" s="46">
        <f>Control!$D$100</f>
        <v>0.27272727272727271</v>
      </c>
      <c r="X12" s="52" t="s">
        <v>88</v>
      </c>
      <c r="Y12" s="48">
        <f>S12*U$6*W$6</f>
        <v>0</v>
      </c>
      <c r="Z12" s="52" t="s">
        <v>88</v>
      </c>
      <c r="AA12" s="48">
        <f>Y12*C_CO2</f>
        <v>0</v>
      </c>
    </row>
    <row r="13" spans="1:27" ht="11">
      <c r="A13" s="37"/>
      <c r="B13" s="40"/>
      <c r="C13" s="49"/>
      <c r="D13" s="50"/>
      <c r="E13" s="50"/>
      <c r="F13" s="50"/>
      <c r="G13" s="50"/>
      <c r="H13" s="50"/>
      <c r="I13" s="50"/>
      <c r="J13" s="50"/>
      <c r="K13" s="50"/>
      <c r="L13" s="50"/>
      <c r="M13" s="50"/>
      <c r="N13" s="50"/>
      <c r="O13" s="84"/>
      <c r="P13" s="50"/>
      <c r="Q13" s="50"/>
      <c r="R13" s="50"/>
      <c r="S13" s="50"/>
      <c r="T13" s="50"/>
      <c r="U13" s="50"/>
      <c r="V13" s="50"/>
      <c r="W13" s="82"/>
      <c r="X13" s="50"/>
      <c r="Y13" s="50"/>
      <c r="Z13" s="50"/>
      <c r="AA13" s="50"/>
    </row>
    <row r="14" spans="1:27" ht="13">
      <c r="A14" s="37"/>
      <c r="B14" s="39">
        <f>B12+1</f>
        <v>1994</v>
      </c>
      <c r="C14" s="107"/>
      <c r="D14" s="51" t="s">
        <v>87</v>
      </c>
      <c r="E14" s="74">
        <f>Control!$F$37</f>
        <v>0</v>
      </c>
      <c r="F14" s="51" t="s">
        <v>87</v>
      </c>
      <c r="G14" s="70">
        <f>Control!$D$106</f>
        <v>1000</v>
      </c>
      <c r="H14" s="51" t="s">
        <v>87</v>
      </c>
      <c r="I14" s="44">
        <f>Control!$F$38</f>
        <v>0</v>
      </c>
      <c r="J14" s="51" t="s">
        <v>87</v>
      </c>
      <c r="K14" s="46">
        <f>Control!$F$40</f>
        <v>0</v>
      </c>
      <c r="L14" s="51" t="s">
        <v>87</v>
      </c>
      <c r="M14" s="57">
        <f>Control!$F$39</f>
        <v>0</v>
      </c>
      <c r="N14" s="52" t="s">
        <v>88</v>
      </c>
      <c r="O14" s="70">
        <f>C14*$E$6*$G$6*$I$6*$M$6*$K$6</f>
        <v>0</v>
      </c>
      <c r="P14" s="51" t="s">
        <v>87</v>
      </c>
      <c r="Q14" s="65">
        <f>Control!$D$107</f>
        <v>9.9999999999999998E-13</v>
      </c>
      <c r="R14" s="52" t="s">
        <v>88</v>
      </c>
      <c r="S14" s="46">
        <f>O14*Q14</f>
        <v>0</v>
      </c>
      <c r="T14" s="51" t="s">
        <v>87</v>
      </c>
      <c r="U14" s="70">
        <f>Control!$D$101</f>
        <v>28</v>
      </c>
      <c r="V14" s="51" t="s">
        <v>87</v>
      </c>
      <c r="W14" s="46">
        <f>Control!$D$100</f>
        <v>0.27272727272727271</v>
      </c>
      <c r="X14" s="52" t="s">
        <v>88</v>
      </c>
      <c r="Y14" s="48">
        <f>S14*U$6*W$6</f>
        <v>0</v>
      </c>
      <c r="Z14" s="52" t="s">
        <v>88</v>
      </c>
      <c r="AA14" s="48">
        <f>Y14*C_CO2</f>
        <v>0</v>
      </c>
    </row>
    <row r="15" spans="1:27" ht="11">
      <c r="A15" s="37"/>
      <c r="B15" s="40"/>
      <c r="C15" s="53"/>
      <c r="D15" s="50"/>
      <c r="E15" s="50"/>
      <c r="F15" s="50"/>
      <c r="G15" s="50"/>
      <c r="H15" s="50"/>
      <c r="I15" s="50"/>
      <c r="J15" s="50"/>
      <c r="K15" s="50"/>
      <c r="L15" s="50"/>
      <c r="M15" s="50"/>
      <c r="N15" s="50"/>
      <c r="O15" s="84"/>
      <c r="P15" s="50"/>
      <c r="Q15" s="50"/>
      <c r="R15" s="50"/>
      <c r="S15" s="50"/>
      <c r="T15" s="50"/>
      <c r="U15" s="50"/>
      <c r="V15" s="50"/>
      <c r="W15" s="82"/>
      <c r="X15" s="50"/>
      <c r="Y15" s="50"/>
      <c r="Z15" s="50"/>
      <c r="AA15" s="50"/>
    </row>
    <row r="16" spans="1:27" ht="13">
      <c r="A16" s="37"/>
      <c r="B16" s="39">
        <f>B14+1</f>
        <v>1995</v>
      </c>
      <c r="C16" s="107"/>
      <c r="D16" s="51" t="s">
        <v>87</v>
      </c>
      <c r="E16" s="74">
        <f>Control!$F$37</f>
        <v>0</v>
      </c>
      <c r="F16" s="51" t="s">
        <v>87</v>
      </c>
      <c r="G16" s="70">
        <f>Control!$D$106</f>
        <v>1000</v>
      </c>
      <c r="H16" s="51" t="s">
        <v>87</v>
      </c>
      <c r="I16" s="44">
        <f>Control!$F$38</f>
        <v>0</v>
      </c>
      <c r="J16" s="51" t="s">
        <v>87</v>
      </c>
      <c r="K16" s="46">
        <f>Control!$F$40</f>
        <v>0</v>
      </c>
      <c r="L16" s="51" t="s">
        <v>87</v>
      </c>
      <c r="M16" s="57">
        <f>Control!$F$39</f>
        <v>0</v>
      </c>
      <c r="N16" s="52" t="s">
        <v>88</v>
      </c>
      <c r="O16" s="70">
        <f>C16*$E$6*$G$6*$I$6*$M$6*$K$6</f>
        <v>0</v>
      </c>
      <c r="P16" s="51" t="s">
        <v>87</v>
      </c>
      <c r="Q16" s="65">
        <f>Control!$D$107</f>
        <v>9.9999999999999998E-13</v>
      </c>
      <c r="R16" s="52" t="s">
        <v>88</v>
      </c>
      <c r="S16" s="46">
        <f>O16*Q16</f>
        <v>0</v>
      </c>
      <c r="T16" s="51" t="s">
        <v>87</v>
      </c>
      <c r="U16" s="70">
        <f>Control!$D$101</f>
        <v>28</v>
      </c>
      <c r="V16" s="51" t="s">
        <v>87</v>
      </c>
      <c r="W16" s="46">
        <f>Control!$D$100</f>
        <v>0.27272727272727271</v>
      </c>
      <c r="X16" s="52" t="s">
        <v>88</v>
      </c>
      <c r="Y16" s="48">
        <f>S16*U$6*W$6</f>
        <v>0</v>
      </c>
      <c r="Z16" s="52" t="s">
        <v>88</v>
      </c>
      <c r="AA16" s="48">
        <f>Y16*C_CO2</f>
        <v>0</v>
      </c>
    </row>
    <row r="17" spans="1:27" ht="11">
      <c r="A17" s="37"/>
      <c r="B17" s="40"/>
      <c r="C17" s="53"/>
      <c r="D17" s="50"/>
      <c r="E17" s="50"/>
      <c r="F17" s="50"/>
      <c r="G17" s="50"/>
      <c r="H17" s="50"/>
      <c r="I17" s="50"/>
      <c r="J17" s="50"/>
      <c r="K17" s="50"/>
      <c r="L17" s="50"/>
      <c r="M17" s="50"/>
      <c r="N17" s="50"/>
      <c r="O17" s="84"/>
      <c r="P17" s="50"/>
      <c r="Q17" s="50"/>
      <c r="R17" s="50"/>
      <c r="S17" s="50"/>
      <c r="T17" s="50"/>
      <c r="U17" s="50"/>
      <c r="V17" s="50"/>
      <c r="W17" s="82"/>
      <c r="X17" s="50"/>
      <c r="Y17" s="50"/>
      <c r="Z17" s="50"/>
      <c r="AA17" s="50"/>
    </row>
    <row r="18" spans="1:27" ht="13">
      <c r="A18" s="37"/>
      <c r="B18" s="39">
        <f>B16+1</f>
        <v>1996</v>
      </c>
      <c r="C18" s="107"/>
      <c r="D18" s="51" t="s">
        <v>87</v>
      </c>
      <c r="E18" s="74">
        <f>Control!$F$37</f>
        <v>0</v>
      </c>
      <c r="F18" s="51" t="s">
        <v>87</v>
      </c>
      <c r="G18" s="70">
        <f>Control!$D$106</f>
        <v>1000</v>
      </c>
      <c r="H18" s="51" t="s">
        <v>87</v>
      </c>
      <c r="I18" s="44">
        <f>Control!$F$38</f>
        <v>0</v>
      </c>
      <c r="J18" s="51" t="s">
        <v>87</v>
      </c>
      <c r="K18" s="46">
        <f>Control!$F$40</f>
        <v>0</v>
      </c>
      <c r="L18" s="51" t="s">
        <v>87</v>
      </c>
      <c r="M18" s="57">
        <f>Control!$F$39</f>
        <v>0</v>
      </c>
      <c r="N18" s="52" t="s">
        <v>88</v>
      </c>
      <c r="O18" s="70">
        <f>C18*$E$6*$G$6*$I$6*$M$6*$K$6</f>
        <v>0</v>
      </c>
      <c r="P18" s="51" t="s">
        <v>87</v>
      </c>
      <c r="Q18" s="65">
        <f>Control!$D$107</f>
        <v>9.9999999999999998E-13</v>
      </c>
      <c r="R18" s="52" t="s">
        <v>88</v>
      </c>
      <c r="S18" s="46">
        <f>O18*Q18</f>
        <v>0</v>
      </c>
      <c r="T18" s="51" t="s">
        <v>87</v>
      </c>
      <c r="U18" s="70">
        <f>Control!$D$101</f>
        <v>28</v>
      </c>
      <c r="V18" s="51" t="s">
        <v>87</v>
      </c>
      <c r="W18" s="46">
        <f>Control!$D$100</f>
        <v>0.27272727272727271</v>
      </c>
      <c r="X18" s="52" t="s">
        <v>88</v>
      </c>
      <c r="Y18" s="48">
        <f>S18*U$6*W$6</f>
        <v>0</v>
      </c>
      <c r="Z18" s="52" t="s">
        <v>88</v>
      </c>
      <c r="AA18" s="48">
        <f>Y18*C_CO2</f>
        <v>0</v>
      </c>
    </row>
    <row r="19" spans="1:27" ht="11">
      <c r="A19" s="37"/>
      <c r="B19" s="40"/>
      <c r="C19" s="53"/>
      <c r="D19" s="50"/>
      <c r="E19" s="50"/>
      <c r="F19" s="50"/>
      <c r="G19" s="50"/>
      <c r="H19" s="50"/>
      <c r="I19" s="50"/>
      <c r="J19" s="50"/>
      <c r="K19" s="50"/>
      <c r="L19" s="50"/>
      <c r="M19" s="50"/>
      <c r="N19" s="50"/>
      <c r="O19" s="84"/>
      <c r="P19" s="50"/>
      <c r="Q19" s="50"/>
      <c r="R19" s="50"/>
      <c r="S19" s="50"/>
      <c r="T19" s="50"/>
      <c r="U19" s="50"/>
      <c r="V19" s="50"/>
      <c r="W19" s="82"/>
      <c r="X19" s="50"/>
      <c r="Y19" s="50"/>
      <c r="Z19" s="50"/>
      <c r="AA19" s="50"/>
    </row>
    <row r="20" spans="1:27" ht="13">
      <c r="A20" s="37"/>
      <c r="B20" s="39">
        <f>B18+1</f>
        <v>1997</v>
      </c>
      <c r="C20" s="107"/>
      <c r="D20" s="51" t="s">
        <v>87</v>
      </c>
      <c r="E20" s="74">
        <f>Control!$F$37</f>
        <v>0</v>
      </c>
      <c r="F20" s="51" t="s">
        <v>87</v>
      </c>
      <c r="G20" s="70">
        <f>Control!$D$106</f>
        <v>1000</v>
      </c>
      <c r="H20" s="51" t="s">
        <v>87</v>
      </c>
      <c r="I20" s="44">
        <f>Control!$F$38</f>
        <v>0</v>
      </c>
      <c r="J20" s="51" t="s">
        <v>87</v>
      </c>
      <c r="K20" s="46">
        <f>Control!$F$40</f>
        <v>0</v>
      </c>
      <c r="L20" s="51" t="s">
        <v>87</v>
      </c>
      <c r="M20" s="57">
        <f>Control!$F$39</f>
        <v>0</v>
      </c>
      <c r="N20" s="52" t="s">
        <v>88</v>
      </c>
      <c r="O20" s="70">
        <f>C20*$E$6*$G$6*$I$6*$M$6*$K$6</f>
        <v>0</v>
      </c>
      <c r="P20" s="51" t="s">
        <v>87</v>
      </c>
      <c r="Q20" s="65">
        <f>Control!$D$107</f>
        <v>9.9999999999999998E-13</v>
      </c>
      <c r="R20" s="52" t="s">
        <v>88</v>
      </c>
      <c r="S20" s="46">
        <f>O20*Q20</f>
        <v>0</v>
      </c>
      <c r="T20" s="51" t="s">
        <v>87</v>
      </c>
      <c r="U20" s="70">
        <f>Control!$D$101</f>
        <v>28</v>
      </c>
      <c r="V20" s="51" t="s">
        <v>87</v>
      </c>
      <c r="W20" s="46">
        <f>Control!$D$100</f>
        <v>0.27272727272727271</v>
      </c>
      <c r="X20" s="52" t="s">
        <v>88</v>
      </c>
      <c r="Y20" s="48">
        <f>S20*U$6*W$6</f>
        <v>0</v>
      </c>
      <c r="Z20" s="52" t="s">
        <v>88</v>
      </c>
      <c r="AA20" s="48">
        <f>Y20*C_CO2</f>
        <v>0</v>
      </c>
    </row>
    <row r="21" spans="1:27" ht="11">
      <c r="A21" s="37"/>
      <c r="B21" s="40"/>
      <c r="C21" s="53"/>
      <c r="D21" s="50"/>
      <c r="E21" s="50"/>
      <c r="F21" s="50"/>
      <c r="G21" s="50"/>
      <c r="H21" s="50"/>
      <c r="I21" s="50"/>
      <c r="J21" s="50"/>
      <c r="K21" s="50"/>
      <c r="L21" s="50"/>
      <c r="M21" s="50"/>
      <c r="N21" s="50"/>
      <c r="O21" s="84"/>
      <c r="P21" s="50"/>
      <c r="Q21" s="50"/>
      <c r="R21" s="50"/>
      <c r="S21" s="50"/>
      <c r="T21" s="50"/>
      <c r="U21" s="50"/>
      <c r="V21" s="50"/>
      <c r="W21" s="82"/>
      <c r="X21" s="50"/>
      <c r="Y21" s="50"/>
      <c r="Z21" s="50"/>
      <c r="AA21" s="50"/>
    </row>
    <row r="22" spans="1:27" ht="13">
      <c r="A22" s="37"/>
      <c r="B22" s="39">
        <f>B20+1</f>
        <v>1998</v>
      </c>
      <c r="C22" s="107"/>
      <c r="D22" s="51" t="s">
        <v>87</v>
      </c>
      <c r="E22" s="74">
        <f>Control!$F$37</f>
        <v>0</v>
      </c>
      <c r="F22" s="51" t="s">
        <v>87</v>
      </c>
      <c r="G22" s="70">
        <f>Control!$D$106</f>
        <v>1000</v>
      </c>
      <c r="H22" s="51" t="s">
        <v>87</v>
      </c>
      <c r="I22" s="44">
        <f>Control!$F$38</f>
        <v>0</v>
      </c>
      <c r="J22" s="51" t="s">
        <v>87</v>
      </c>
      <c r="K22" s="46">
        <f>Control!$F$40</f>
        <v>0</v>
      </c>
      <c r="L22" s="51" t="s">
        <v>87</v>
      </c>
      <c r="M22" s="57">
        <f>Control!$F$39</f>
        <v>0</v>
      </c>
      <c r="N22" s="52" t="s">
        <v>88</v>
      </c>
      <c r="O22" s="70">
        <f>C22*$E$6*$G$6*$I$6*$M$6*$K$6</f>
        <v>0</v>
      </c>
      <c r="P22" s="51" t="s">
        <v>87</v>
      </c>
      <c r="Q22" s="65">
        <f>Control!$D$107</f>
        <v>9.9999999999999998E-13</v>
      </c>
      <c r="R22" s="52" t="s">
        <v>88</v>
      </c>
      <c r="S22" s="46">
        <f>O22*Q22</f>
        <v>0</v>
      </c>
      <c r="T22" s="51" t="s">
        <v>87</v>
      </c>
      <c r="U22" s="70">
        <f>Control!$D$101</f>
        <v>28</v>
      </c>
      <c r="V22" s="51" t="s">
        <v>87</v>
      </c>
      <c r="W22" s="46">
        <f>Control!$D$100</f>
        <v>0.27272727272727271</v>
      </c>
      <c r="X22" s="52" t="s">
        <v>88</v>
      </c>
      <c r="Y22" s="48">
        <f>S22*U$6*W$6</f>
        <v>0</v>
      </c>
      <c r="Z22" s="52" t="s">
        <v>88</v>
      </c>
      <c r="AA22" s="48">
        <f>Y22*C_CO2</f>
        <v>0</v>
      </c>
    </row>
    <row r="23" spans="1:27" ht="11">
      <c r="A23" s="37"/>
      <c r="B23" s="40"/>
      <c r="C23" s="53"/>
      <c r="D23" s="50"/>
      <c r="E23" s="50"/>
      <c r="F23" s="50"/>
      <c r="G23" s="50"/>
      <c r="H23" s="50"/>
      <c r="I23" s="50"/>
      <c r="J23" s="50"/>
      <c r="K23" s="50"/>
      <c r="L23" s="50"/>
      <c r="M23" s="50"/>
      <c r="N23" s="50"/>
      <c r="O23" s="84"/>
      <c r="P23" s="50"/>
      <c r="Q23" s="50"/>
      <c r="R23" s="50"/>
      <c r="S23" s="50"/>
      <c r="T23" s="50"/>
      <c r="U23" s="50"/>
      <c r="V23" s="50"/>
      <c r="W23" s="82"/>
      <c r="X23" s="50"/>
      <c r="Y23" s="50"/>
      <c r="Z23" s="50"/>
      <c r="AA23" s="50"/>
    </row>
    <row r="24" spans="1:27" ht="13">
      <c r="A24" s="37"/>
      <c r="B24" s="39">
        <f>B22+1</f>
        <v>1999</v>
      </c>
      <c r="C24" s="107"/>
      <c r="D24" s="51" t="s">
        <v>87</v>
      </c>
      <c r="E24" s="74">
        <f>Control!$F$37</f>
        <v>0</v>
      </c>
      <c r="F24" s="51" t="s">
        <v>87</v>
      </c>
      <c r="G24" s="70">
        <f>Control!$D$106</f>
        <v>1000</v>
      </c>
      <c r="H24" s="51" t="s">
        <v>87</v>
      </c>
      <c r="I24" s="44">
        <f>Control!$F$38</f>
        <v>0</v>
      </c>
      <c r="J24" s="51" t="s">
        <v>87</v>
      </c>
      <c r="K24" s="46">
        <f>Control!$F$40</f>
        <v>0</v>
      </c>
      <c r="L24" s="51" t="s">
        <v>87</v>
      </c>
      <c r="M24" s="57">
        <f>Control!$F$39</f>
        <v>0</v>
      </c>
      <c r="N24" s="52" t="s">
        <v>88</v>
      </c>
      <c r="O24" s="70">
        <f>C24*$E$6*$G$6*$I$6*$M$6*$K$6</f>
        <v>0</v>
      </c>
      <c r="P24" s="51" t="s">
        <v>87</v>
      </c>
      <c r="Q24" s="65">
        <f>Control!$D$107</f>
        <v>9.9999999999999998E-13</v>
      </c>
      <c r="R24" s="52" t="s">
        <v>88</v>
      </c>
      <c r="S24" s="46">
        <f>O24*Q24</f>
        <v>0</v>
      </c>
      <c r="T24" s="51" t="s">
        <v>87</v>
      </c>
      <c r="U24" s="70">
        <f>Control!$D$101</f>
        <v>28</v>
      </c>
      <c r="V24" s="51" t="s">
        <v>87</v>
      </c>
      <c r="W24" s="46">
        <f>Control!$D$100</f>
        <v>0.27272727272727271</v>
      </c>
      <c r="X24" s="52" t="s">
        <v>88</v>
      </c>
      <c r="Y24" s="48">
        <f>S24*U$6*W$6</f>
        <v>0</v>
      </c>
      <c r="Z24" s="52" t="s">
        <v>88</v>
      </c>
      <c r="AA24" s="48">
        <f>Y24*C_CO2</f>
        <v>0</v>
      </c>
    </row>
    <row r="25" spans="1:27" ht="11">
      <c r="A25" s="37"/>
      <c r="B25" s="40"/>
      <c r="C25" s="53"/>
      <c r="D25" s="50"/>
      <c r="E25" s="50"/>
      <c r="F25" s="50"/>
      <c r="G25" s="50"/>
      <c r="H25" s="50"/>
      <c r="I25" s="50"/>
      <c r="J25" s="50"/>
      <c r="K25" s="50"/>
      <c r="L25" s="50"/>
      <c r="M25" s="50"/>
      <c r="N25" s="50"/>
      <c r="O25" s="84"/>
      <c r="P25" s="50"/>
      <c r="Q25" s="50"/>
      <c r="R25" s="50"/>
      <c r="S25" s="50"/>
      <c r="T25" s="50"/>
      <c r="U25" s="50"/>
      <c r="V25" s="50"/>
      <c r="W25" s="82"/>
      <c r="X25" s="50"/>
      <c r="Y25" s="50"/>
      <c r="Z25" s="50"/>
      <c r="AA25" s="50"/>
    </row>
    <row r="26" spans="1:27" ht="13">
      <c r="A26" s="37"/>
      <c r="B26" s="39">
        <f>B24+1</f>
        <v>2000</v>
      </c>
      <c r="C26" s="107"/>
      <c r="D26" s="51" t="s">
        <v>87</v>
      </c>
      <c r="E26" s="74">
        <f>Control!$F$37</f>
        <v>0</v>
      </c>
      <c r="F26" s="51" t="s">
        <v>87</v>
      </c>
      <c r="G26" s="70">
        <f>Control!$D$106</f>
        <v>1000</v>
      </c>
      <c r="H26" s="51" t="s">
        <v>87</v>
      </c>
      <c r="I26" s="44">
        <f>Control!$F$38</f>
        <v>0</v>
      </c>
      <c r="J26" s="51" t="s">
        <v>87</v>
      </c>
      <c r="K26" s="46">
        <f>Control!$F$40</f>
        <v>0</v>
      </c>
      <c r="L26" s="51" t="s">
        <v>87</v>
      </c>
      <c r="M26" s="57">
        <f>Control!$F$39</f>
        <v>0</v>
      </c>
      <c r="N26" s="52" t="s">
        <v>88</v>
      </c>
      <c r="O26" s="70">
        <f>C26*$E$6*$G$6*$I$6*$M$6*$K$6</f>
        <v>0</v>
      </c>
      <c r="P26" s="51" t="s">
        <v>87</v>
      </c>
      <c r="Q26" s="65">
        <f>Control!$D$107</f>
        <v>9.9999999999999998E-13</v>
      </c>
      <c r="R26" s="52" t="s">
        <v>88</v>
      </c>
      <c r="S26" s="46">
        <f>O26*Q26</f>
        <v>0</v>
      </c>
      <c r="T26" s="51" t="s">
        <v>87</v>
      </c>
      <c r="U26" s="70">
        <f>Control!$D$101</f>
        <v>28</v>
      </c>
      <c r="V26" s="51" t="s">
        <v>87</v>
      </c>
      <c r="W26" s="46">
        <f>Control!$D$100</f>
        <v>0.27272727272727271</v>
      </c>
      <c r="X26" s="52" t="s">
        <v>88</v>
      </c>
      <c r="Y26" s="48">
        <f>S26*U$6*W$6</f>
        <v>0</v>
      </c>
      <c r="Z26" s="52" t="s">
        <v>88</v>
      </c>
      <c r="AA26" s="48">
        <f>Y26*C_CO2</f>
        <v>0</v>
      </c>
    </row>
    <row r="27" spans="1:27" ht="11">
      <c r="A27" s="37"/>
      <c r="B27" s="40"/>
      <c r="C27" s="53"/>
      <c r="D27" s="50"/>
      <c r="E27" s="50"/>
      <c r="F27" s="50"/>
      <c r="G27" s="50"/>
      <c r="H27" s="50"/>
      <c r="I27" s="50"/>
      <c r="J27" s="50"/>
      <c r="K27" s="50"/>
      <c r="L27" s="50"/>
      <c r="M27" s="50"/>
      <c r="N27" s="50"/>
      <c r="O27" s="84"/>
      <c r="P27" s="50"/>
      <c r="Q27" s="50"/>
      <c r="R27" s="50"/>
      <c r="S27" s="50"/>
      <c r="T27" s="50"/>
      <c r="U27" s="50"/>
      <c r="V27" s="50"/>
      <c r="W27" s="82"/>
      <c r="X27" s="50"/>
      <c r="Y27" s="50"/>
      <c r="Z27" s="50"/>
      <c r="AA27" s="50"/>
    </row>
    <row r="28" spans="1:27" ht="13">
      <c r="A28" s="37"/>
      <c r="B28" s="39">
        <f>B26+1</f>
        <v>2001</v>
      </c>
      <c r="C28" s="107"/>
      <c r="D28" s="51" t="s">
        <v>87</v>
      </c>
      <c r="E28" s="74">
        <f>Control!$F$37</f>
        <v>0</v>
      </c>
      <c r="F28" s="51" t="s">
        <v>87</v>
      </c>
      <c r="G28" s="70">
        <f>Control!$D$106</f>
        <v>1000</v>
      </c>
      <c r="H28" s="51" t="s">
        <v>87</v>
      </c>
      <c r="I28" s="44">
        <f>Control!$F$38</f>
        <v>0</v>
      </c>
      <c r="J28" s="51" t="s">
        <v>87</v>
      </c>
      <c r="K28" s="46">
        <f>Control!$F$40</f>
        <v>0</v>
      </c>
      <c r="L28" s="51" t="s">
        <v>87</v>
      </c>
      <c r="M28" s="57">
        <f>Control!$F$39</f>
        <v>0</v>
      </c>
      <c r="N28" s="52" t="s">
        <v>88</v>
      </c>
      <c r="O28" s="70">
        <f>C28*$E$6*$G$6*$I$6*$M$6*$K$6</f>
        <v>0</v>
      </c>
      <c r="P28" s="51" t="s">
        <v>87</v>
      </c>
      <c r="Q28" s="65">
        <f>Control!$D$107</f>
        <v>9.9999999999999998E-13</v>
      </c>
      <c r="R28" s="52" t="s">
        <v>88</v>
      </c>
      <c r="S28" s="46">
        <f>O28*Q28</f>
        <v>0</v>
      </c>
      <c r="T28" s="51" t="s">
        <v>87</v>
      </c>
      <c r="U28" s="70">
        <f>Control!$D$101</f>
        <v>28</v>
      </c>
      <c r="V28" s="51" t="s">
        <v>87</v>
      </c>
      <c r="W28" s="46">
        <f>Control!$D$100</f>
        <v>0.27272727272727271</v>
      </c>
      <c r="X28" s="52" t="s">
        <v>88</v>
      </c>
      <c r="Y28" s="48">
        <f>S28*U$6*W$6</f>
        <v>0</v>
      </c>
      <c r="Z28" s="52" t="s">
        <v>88</v>
      </c>
      <c r="AA28" s="48">
        <f>Y28*C_CO2</f>
        <v>0</v>
      </c>
    </row>
    <row r="29" spans="1:27" ht="11">
      <c r="A29" s="37"/>
      <c r="B29" s="40"/>
      <c r="C29" s="53"/>
      <c r="D29" s="50"/>
      <c r="E29" s="50"/>
      <c r="F29" s="50"/>
      <c r="G29" s="50"/>
      <c r="H29" s="50"/>
      <c r="I29" s="50"/>
      <c r="J29" s="50"/>
      <c r="K29" s="50"/>
      <c r="L29" s="50"/>
      <c r="M29" s="50"/>
      <c r="N29" s="50"/>
      <c r="O29" s="84"/>
      <c r="P29" s="50"/>
      <c r="Q29" s="50"/>
      <c r="R29" s="50"/>
      <c r="S29" s="50"/>
      <c r="T29" s="50"/>
      <c r="U29" s="50"/>
      <c r="V29" s="50"/>
      <c r="W29" s="82"/>
      <c r="X29" s="50"/>
      <c r="Y29" s="50"/>
      <c r="Z29" s="50"/>
      <c r="AA29" s="50"/>
    </row>
    <row r="30" spans="1:27" ht="13">
      <c r="A30" s="37"/>
      <c r="B30" s="39">
        <f>B28+1</f>
        <v>2002</v>
      </c>
      <c r="C30" s="107"/>
      <c r="D30" s="51" t="s">
        <v>87</v>
      </c>
      <c r="E30" s="74">
        <f>Control!$F$37</f>
        <v>0</v>
      </c>
      <c r="F30" s="51" t="s">
        <v>87</v>
      </c>
      <c r="G30" s="70">
        <f>Control!$D$106</f>
        <v>1000</v>
      </c>
      <c r="H30" s="51" t="s">
        <v>87</v>
      </c>
      <c r="I30" s="44">
        <f>Control!$F$38</f>
        <v>0</v>
      </c>
      <c r="J30" s="51" t="s">
        <v>87</v>
      </c>
      <c r="K30" s="46">
        <f>Control!$F$40</f>
        <v>0</v>
      </c>
      <c r="L30" s="51" t="s">
        <v>87</v>
      </c>
      <c r="M30" s="57">
        <f>Control!$F$39</f>
        <v>0</v>
      </c>
      <c r="N30" s="52" t="s">
        <v>88</v>
      </c>
      <c r="O30" s="70">
        <f>C30*$E$6*$G$6*$I$6*$M$6*$K$6</f>
        <v>0</v>
      </c>
      <c r="P30" s="51" t="s">
        <v>87</v>
      </c>
      <c r="Q30" s="65">
        <f>Control!$D$107</f>
        <v>9.9999999999999998E-13</v>
      </c>
      <c r="R30" s="52" t="s">
        <v>88</v>
      </c>
      <c r="S30" s="46">
        <f>O30*Q30</f>
        <v>0</v>
      </c>
      <c r="T30" s="51" t="s">
        <v>87</v>
      </c>
      <c r="U30" s="70">
        <f>Control!$D$101</f>
        <v>28</v>
      </c>
      <c r="V30" s="51" t="s">
        <v>87</v>
      </c>
      <c r="W30" s="46">
        <f>Control!$D$100</f>
        <v>0.27272727272727271</v>
      </c>
      <c r="X30" s="52" t="s">
        <v>88</v>
      </c>
      <c r="Y30" s="48">
        <f>S30*U$6*W$6</f>
        <v>0</v>
      </c>
      <c r="Z30" s="52" t="s">
        <v>88</v>
      </c>
      <c r="AA30" s="48">
        <f>Y30*C_CO2</f>
        <v>0</v>
      </c>
    </row>
    <row r="31" spans="1:27" ht="11">
      <c r="A31" s="37"/>
      <c r="B31" s="40"/>
      <c r="C31" s="53"/>
      <c r="D31" s="50"/>
      <c r="E31" s="50"/>
      <c r="F31" s="50"/>
      <c r="G31" s="50"/>
      <c r="H31" s="50"/>
      <c r="I31" s="50"/>
      <c r="J31" s="50"/>
      <c r="K31" s="50"/>
      <c r="L31" s="50"/>
      <c r="M31" s="50"/>
      <c r="N31" s="50"/>
      <c r="O31" s="84"/>
      <c r="P31" s="50"/>
      <c r="Q31" s="50"/>
      <c r="R31" s="50"/>
      <c r="S31" s="50"/>
      <c r="T31" s="50"/>
      <c r="U31" s="50"/>
      <c r="V31" s="50"/>
      <c r="W31" s="82"/>
      <c r="X31" s="50"/>
      <c r="Y31" s="50"/>
      <c r="Z31" s="50"/>
      <c r="AA31" s="50"/>
    </row>
    <row r="32" spans="1:27" ht="13">
      <c r="A32" s="37"/>
      <c r="B32" s="39">
        <f>B30+1</f>
        <v>2003</v>
      </c>
      <c r="C32" s="107"/>
      <c r="D32" s="51" t="s">
        <v>87</v>
      </c>
      <c r="E32" s="74">
        <f>Control!$F$37</f>
        <v>0</v>
      </c>
      <c r="F32" s="51" t="s">
        <v>87</v>
      </c>
      <c r="G32" s="70">
        <f>Control!$D$106</f>
        <v>1000</v>
      </c>
      <c r="H32" s="51" t="s">
        <v>87</v>
      </c>
      <c r="I32" s="44">
        <f>Control!$F$38</f>
        <v>0</v>
      </c>
      <c r="J32" s="51" t="s">
        <v>87</v>
      </c>
      <c r="K32" s="46">
        <f>Control!$F$40</f>
        <v>0</v>
      </c>
      <c r="L32" s="51" t="s">
        <v>87</v>
      </c>
      <c r="M32" s="57">
        <f>Control!$F$39</f>
        <v>0</v>
      </c>
      <c r="N32" s="52" t="s">
        <v>88</v>
      </c>
      <c r="O32" s="70">
        <f>C32*$E$6*$G$6*$I$6*$M$6*$K$6</f>
        <v>0</v>
      </c>
      <c r="P32" s="51" t="s">
        <v>87</v>
      </c>
      <c r="Q32" s="65">
        <f>Control!$D$107</f>
        <v>9.9999999999999998E-13</v>
      </c>
      <c r="R32" s="52" t="s">
        <v>88</v>
      </c>
      <c r="S32" s="46">
        <f>O32*Q32</f>
        <v>0</v>
      </c>
      <c r="T32" s="51" t="s">
        <v>87</v>
      </c>
      <c r="U32" s="70">
        <f>Control!$D$101</f>
        <v>28</v>
      </c>
      <c r="V32" s="51" t="s">
        <v>87</v>
      </c>
      <c r="W32" s="46">
        <f>Control!$D$100</f>
        <v>0.27272727272727271</v>
      </c>
      <c r="X32" s="52" t="s">
        <v>88</v>
      </c>
      <c r="Y32" s="48">
        <f>S32*U$6*W$6</f>
        <v>0</v>
      </c>
      <c r="Z32" s="52" t="s">
        <v>88</v>
      </c>
      <c r="AA32" s="48">
        <f>Y32*C_CO2</f>
        <v>0</v>
      </c>
    </row>
    <row r="33" spans="1:27" ht="11">
      <c r="A33" s="37"/>
      <c r="B33" s="40"/>
      <c r="C33" s="53"/>
      <c r="D33" s="50"/>
      <c r="E33" s="50"/>
      <c r="F33" s="50"/>
      <c r="G33" s="50"/>
      <c r="H33" s="50"/>
      <c r="I33" s="50"/>
      <c r="J33" s="50"/>
      <c r="K33" s="50"/>
      <c r="L33" s="50"/>
      <c r="M33" s="50"/>
      <c r="N33" s="50"/>
      <c r="O33" s="84"/>
      <c r="P33" s="50"/>
      <c r="Q33" s="50"/>
      <c r="R33" s="50"/>
      <c r="S33" s="50"/>
      <c r="T33" s="50"/>
      <c r="U33" s="50"/>
      <c r="V33" s="50"/>
      <c r="W33" s="82"/>
      <c r="X33" s="50"/>
      <c r="Y33" s="50"/>
      <c r="Z33" s="50"/>
      <c r="AA33" s="50"/>
    </row>
    <row r="34" spans="1:27" ht="13">
      <c r="A34" s="37"/>
      <c r="B34" s="39">
        <f>B32+1</f>
        <v>2004</v>
      </c>
      <c r="C34" s="107"/>
      <c r="D34" s="51" t="s">
        <v>87</v>
      </c>
      <c r="E34" s="74">
        <f>Control!$F$37</f>
        <v>0</v>
      </c>
      <c r="F34" s="51" t="s">
        <v>87</v>
      </c>
      <c r="G34" s="70">
        <f>Control!$D$106</f>
        <v>1000</v>
      </c>
      <c r="H34" s="51" t="s">
        <v>87</v>
      </c>
      <c r="I34" s="44">
        <f>Control!$F$38</f>
        <v>0</v>
      </c>
      <c r="J34" s="51" t="s">
        <v>87</v>
      </c>
      <c r="K34" s="46">
        <f>Control!$F$40</f>
        <v>0</v>
      </c>
      <c r="L34" s="51" t="s">
        <v>87</v>
      </c>
      <c r="M34" s="57">
        <f>Control!$F$39</f>
        <v>0</v>
      </c>
      <c r="N34" s="52" t="s">
        <v>88</v>
      </c>
      <c r="O34" s="70">
        <f>C34*$E$6*$G$6*$I$6*$M$6*$K$6</f>
        <v>0</v>
      </c>
      <c r="P34" s="51" t="s">
        <v>87</v>
      </c>
      <c r="Q34" s="65">
        <f>Control!$D$107</f>
        <v>9.9999999999999998E-13</v>
      </c>
      <c r="R34" s="52" t="s">
        <v>88</v>
      </c>
      <c r="S34" s="46">
        <f>O34*Q34</f>
        <v>0</v>
      </c>
      <c r="T34" s="51" t="s">
        <v>87</v>
      </c>
      <c r="U34" s="70">
        <f>Control!$D$101</f>
        <v>28</v>
      </c>
      <c r="V34" s="51" t="s">
        <v>87</v>
      </c>
      <c r="W34" s="46">
        <f>Control!$D$100</f>
        <v>0.27272727272727271</v>
      </c>
      <c r="X34" s="52" t="s">
        <v>88</v>
      </c>
      <c r="Y34" s="48">
        <f>S34*U$6*W$6</f>
        <v>0</v>
      </c>
      <c r="Z34" s="52" t="s">
        <v>88</v>
      </c>
      <c r="AA34" s="48">
        <f>Y34*C_CO2</f>
        <v>0</v>
      </c>
    </row>
    <row r="35" spans="1:27" ht="11">
      <c r="A35" s="37"/>
      <c r="B35" s="40"/>
      <c r="C35" s="53"/>
      <c r="D35" s="50"/>
      <c r="E35" s="50"/>
      <c r="F35" s="50"/>
      <c r="G35" s="50"/>
      <c r="H35" s="50"/>
      <c r="I35" s="50"/>
      <c r="J35" s="50"/>
      <c r="K35" s="50"/>
      <c r="L35" s="50"/>
      <c r="M35" s="50"/>
      <c r="N35" s="50"/>
      <c r="O35" s="84"/>
      <c r="P35" s="50"/>
      <c r="Q35" s="50"/>
      <c r="R35" s="50"/>
      <c r="S35" s="50"/>
      <c r="T35" s="50"/>
      <c r="U35" s="50"/>
      <c r="V35" s="50"/>
      <c r="W35" s="82"/>
      <c r="X35" s="50"/>
      <c r="Y35" s="50"/>
      <c r="Z35" s="50"/>
      <c r="AA35" s="50"/>
    </row>
    <row r="36" spans="1:27" ht="13">
      <c r="A36" s="37"/>
      <c r="B36" s="39">
        <f>B34+1</f>
        <v>2005</v>
      </c>
      <c r="C36" s="107"/>
      <c r="D36" s="51" t="s">
        <v>87</v>
      </c>
      <c r="E36" s="74">
        <f>Control!$F$37</f>
        <v>0</v>
      </c>
      <c r="F36" s="51" t="s">
        <v>87</v>
      </c>
      <c r="G36" s="70">
        <f>Control!$D$106</f>
        <v>1000</v>
      </c>
      <c r="H36" s="51" t="s">
        <v>87</v>
      </c>
      <c r="I36" s="44">
        <f>Control!$F$38</f>
        <v>0</v>
      </c>
      <c r="J36" s="51" t="s">
        <v>87</v>
      </c>
      <c r="K36" s="46">
        <f>Control!$F$40</f>
        <v>0</v>
      </c>
      <c r="L36" s="51" t="s">
        <v>87</v>
      </c>
      <c r="M36" s="57">
        <f>Control!$F$39</f>
        <v>0</v>
      </c>
      <c r="N36" s="52" t="s">
        <v>88</v>
      </c>
      <c r="O36" s="70">
        <f>C36*$E$6*$G$6*$I$6*$M$6*$K$6</f>
        <v>0</v>
      </c>
      <c r="P36" s="51" t="s">
        <v>87</v>
      </c>
      <c r="Q36" s="65">
        <f>Control!$D$107</f>
        <v>9.9999999999999998E-13</v>
      </c>
      <c r="R36" s="52" t="s">
        <v>88</v>
      </c>
      <c r="S36" s="46">
        <f>O36*Q36</f>
        <v>0</v>
      </c>
      <c r="T36" s="51" t="s">
        <v>87</v>
      </c>
      <c r="U36" s="70">
        <f>Control!$D$101</f>
        <v>28</v>
      </c>
      <c r="V36" s="51" t="s">
        <v>87</v>
      </c>
      <c r="W36" s="46">
        <f>Control!$D$100</f>
        <v>0.27272727272727271</v>
      </c>
      <c r="X36" s="52" t="s">
        <v>88</v>
      </c>
      <c r="Y36" s="48">
        <f>S36*U$6*W$6</f>
        <v>0</v>
      </c>
      <c r="Z36" s="52" t="s">
        <v>88</v>
      </c>
      <c r="AA36" s="48">
        <f>Y36*C_CO2</f>
        <v>0</v>
      </c>
    </row>
    <row r="37" spans="1:27" ht="11">
      <c r="A37" s="37"/>
      <c r="B37" s="40"/>
      <c r="C37" s="53"/>
      <c r="D37" s="50"/>
      <c r="E37" s="50"/>
      <c r="F37" s="50"/>
      <c r="G37" s="50"/>
      <c r="H37" s="50"/>
      <c r="I37" s="50"/>
      <c r="J37" s="50"/>
      <c r="K37" s="50"/>
      <c r="L37" s="50"/>
      <c r="M37" s="50"/>
      <c r="N37" s="50"/>
      <c r="O37" s="84"/>
      <c r="P37" s="50"/>
      <c r="Q37" s="50"/>
      <c r="R37" s="50"/>
      <c r="S37" s="50"/>
      <c r="T37" s="50"/>
      <c r="U37" s="50"/>
      <c r="V37" s="50"/>
      <c r="W37" s="82"/>
      <c r="X37" s="50"/>
      <c r="Y37" s="50"/>
      <c r="Z37" s="50"/>
      <c r="AA37" s="50"/>
    </row>
    <row r="38" spans="1:27" ht="13">
      <c r="A38" s="37"/>
      <c r="B38" s="39">
        <f>B36+1</f>
        <v>2006</v>
      </c>
      <c r="C38" s="107"/>
      <c r="D38" s="51" t="s">
        <v>87</v>
      </c>
      <c r="E38" s="74">
        <f>Control!$F$37</f>
        <v>0</v>
      </c>
      <c r="F38" s="51" t="s">
        <v>87</v>
      </c>
      <c r="G38" s="70">
        <f>Control!$D$106</f>
        <v>1000</v>
      </c>
      <c r="H38" s="51" t="s">
        <v>87</v>
      </c>
      <c r="I38" s="44">
        <f>Control!$F$38</f>
        <v>0</v>
      </c>
      <c r="J38" s="51" t="s">
        <v>87</v>
      </c>
      <c r="K38" s="46">
        <f>Control!$F$40</f>
        <v>0</v>
      </c>
      <c r="L38" s="51" t="s">
        <v>87</v>
      </c>
      <c r="M38" s="57">
        <f>Control!$F$39</f>
        <v>0</v>
      </c>
      <c r="N38" s="52" t="s">
        <v>88</v>
      </c>
      <c r="O38" s="70">
        <f>C38*$E$6*$G$6*$I$6*$M$6*$K$6</f>
        <v>0</v>
      </c>
      <c r="P38" s="51" t="s">
        <v>87</v>
      </c>
      <c r="Q38" s="65">
        <f>Control!$D$107</f>
        <v>9.9999999999999998E-13</v>
      </c>
      <c r="R38" s="52" t="s">
        <v>88</v>
      </c>
      <c r="S38" s="46">
        <f>O38*Q38</f>
        <v>0</v>
      </c>
      <c r="T38" s="51" t="s">
        <v>87</v>
      </c>
      <c r="U38" s="70">
        <f>Control!$D$101</f>
        <v>28</v>
      </c>
      <c r="V38" s="51" t="s">
        <v>87</v>
      </c>
      <c r="W38" s="46">
        <f>Control!$D$100</f>
        <v>0.27272727272727271</v>
      </c>
      <c r="X38" s="52" t="s">
        <v>88</v>
      </c>
      <c r="Y38" s="48">
        <f>S38*U$6*W$6</f>
        <v>0</v>
      </c>
      <c r="Z38" s="52" t="s">
        <v>88</v>
      </c>
      <c r="AA38" s="48">
        <f>Y38*C_CO2</f>
        <v>0</v>
      </c>
    </row>
    <row r="39" spans="1:27" ht="11">
      <c r="A39" s="37"/>
      <c r="B39" s="40"/>
      <c r="C39" s="53"/>
      <c r="D39" s="50"/>
      <c r="E39" s="50"/>
      <c r="F39" s="50"/>
      <c r="G39" s="50"/>
      <c r="H39" s="50"/>
      <c r="I39" s="50"/>
      <c r="J39" s="50"/>
      <c r="K39" s="50"/>
      <c r="L39" s="50"/>
      <c r="M39" s="50"/>
      <c r="N39" s="50"/>
      <c r="O39" s="84"/>
      <c r="P39" s="50"/>
      <c r="Q39" s="50"/>
      <c r="R39" s="50"/>
      <c r="S39" s="50"/>
      <c r="T39" s="50"/>
      <c r="U39" s="50"/>
      <c r="V39" s="50"/>
      <c r="W39" s="82"/>
      <c r="X39" s="50"/>
      <c r="Y39" s="50"/>
      <c r="Z39" s="50"/>
      <c r="AA39" s="50"/>
    </row>
    <row r="40" spans="1:27" ht="13">
      <c r="A40" s="37"/>
      <c r="B40" s="39">
        <f>B38+1</f>
        <v>2007</v>
      </c>
      <c r="C40" s="107"/>
      <c r="D40" s="51" t="s">
        <v>87</v>
      </c>
      <c r="E40" s="74">
        <f>Control!$F$37</f>
        <v>0</v>
      </c>
      <c r="F40" s="51" t="s">
        <v>87</v>
      </c>
      <c r="G40" s="70">
        <f>Control!$D$106</f>
        <v>1000</v>
      </c>
      <c r="H40" s="51" t="s">
        <v>87</v>
      </c>
      <c r="I40" s="44">
        <f>Control!$F$38</f>
        <v>0</v>
      </c>
      <c r="J40" s="51" t="s">
        <v>87</v>
      </c>
      <c r="K40" s="46">
        <f>Control!$F$40</f>
        <v>0</v>
      </c>
      <c r="L40" s="51" t="s">
        <v>87</v>
      </c>
      <c r="M40" s="57">
        <f>Control!$F$39</f>
        <v>0</v>
      </c>
      <c r="N40" s="52" t="s">
        <v>88</v>
      </c>
      <c r="O40" s="70">
        <f>C40*$E$6*$G$6*$I$6*$M$6*$K$6</f>
        <v>0</v>
      </c>
      <c r="P40" s="51" t="s">
        <v>87</v>
      </c>
      <c r="Q40" s="65">
        <f>Control!$D$107</f>
        <v>9.9999999999999998E-13</v>
      </c>
      <c r="R40" s="52" t="s">
        <v>88</v>
      </c>
      <c r="S40" s="46">
        <f>O40*Q40</f>
        <v>0</v>
      </c>
      <c r="T40" s="51" t="s">
        <v>87</v>
      </c>
      <c r="U40" s="70">
        <f>Control!$D$101</f>
        <v>28</v>
      </c>
      <c r="V40" s="51" t="s">
        <v>87</v>
      </c>
      <c r="W40" s="46">
        <f>Control!$D$100</f>
        <v>0.27272727272727271</v>
      </c>
      <c r="X40" s="52" t="s">
        <v>88</v>
      </c>
      <c r="Y40" s="48">
        <f>S40*U$6*W$6</f>
        <v>0</v>
      </c>
      <c r="Z40" s="52" t="s">
        <v>88</v>
      </c>
      <c r="AA40" s="48">
        <f>Y40*C_CO2</f>
        <v>0</v>
      </c>
    </row>
    <row r="41" spans="1:27" ht="11">
      <c r="A41" s="37"/>
      <c r="B41" s="40"/>
      <c r="C41" s="53"/>
      <c r="D41" s="50"/>
      <c r="E41" s="50"/>
      <c r="F41" s="50"/>
      <c r="G41" s="50"/>
      <c r="H41" s="50"/>
      <c r="I41" s="50"/>
      <c r="J41" s="50"/>
      <c r="K41" s="50"/>
      <c r="L41" s="50"/>
      <c r="M41" s="50"/>
      <c r="N41" s="50"/>
      <c r="O41" s="84"/>
      <c r="P41" s="50"/>
      <c r="Q41" s="50"/>
      <c r="R41" s="50"/>
      <c r="S41" s="50"/>
      <c r="T41" s="50"/>
      <c r="U41" s="50"/>
      <c r="V41" s="50"/>
      <c r="W41" s="82"/>
      <c r="X41" s="50"/>
      <c r="Y41" s="50"/>
      <c r="Z41" s="50"/>
      <c r="AA41" s="50"/>
    </row>
    <row r="42" spans="1:27" ht="13">
      <c r="A42" s="37"/>
      <c r="B42" s="39">
        <f>B40+1</f>
        <v>2008</v>
      </c>
      <c r="C42" s="107"/>
      <c r="D42" s="51" t="s">
        <v>87</v>
      </c>
      <c r="E42" s="74">
        <f>Control!$F$37</f>
        <v>0</v>
      </c>
      <c r="F42" s="51" t="s">
        <v>87</v>
      </c>
      <c r="G42" s="70">
        <f>Control!$D$106</f>
        <v>1000</v>
      </c>
      <c r="H42" s="51" t="s">
        <v>87</v>
      </c>
      <c r="I42" s="44">
        <f>Control!$F$38</f>
        <v>0</v>
      </c>
      <c r="J42" s="51" t="s">
        <v>87</v>
      </c>
      <c r="K42" s="46">
        <f>Control!$F$40</f>
        <v>0</v>
      </c>
      <c r="L42" s="51" t="s">
        <v>87</v>
      </c>
      <c r="M42" s="57">
        <f>Control!$F$39</f>
        <v>0</v>
      </c>
      <c r="N42" s="52" t="s">
        <v>88</v>
      </c>
      <c r="O42" s="70">
        <f>C42*$E$6*$G$6*$I$6*$M$6*$K$6</f>
        <v>0</v>
      </c>
      <c r="P42" s="51" t="s">
        <v>87</v>
      </c>
      <c r="Q42" s="65">
        <f>Control!$D$107</f>
        <v>9.9999999999999998E-13</v>
      </c>
      <c r="R42" s="52" t="s">
        <v>88</v>
      </c>
      <c r="S42" s="46">
        <f>O42*Q42</f>
        <v>0</v>
      </c>
      <c r="T42" s="51" t="s">
        <v>87</v>
      </c>
      <c r="U42" s="70">
        <f>Control!$D$101</f>
        <v>28</v>
      </c>
      <c r="V42" s="51" t="s">
        <v>87</v>
      </c>
      <c r="W42" s="46">
        <f>Control!$D$100</f>
        <v>0.27272727272727271</v>
      </c>
      <c r="X42" s="52" t="s">
        <v>88</v>
      </c>
      <c r="Y42" s="48">
        <f>S42*U$6*W$6</f>
        <v>0</v>
      </c>
      <c r="Z42" s="52" t="s">
        <v>88</v>
      </c>
      <c r="AA42" s="48">
        <f>Y42*C_CO2</f>
        <v>0</v>
      </c>
    </row>
    <row r="43" spans="1:27" ht="11">
      <c r="A43" s="37"/>
      <c r="B43" s="40"/>
      <c r="C43" s="53"/>
      <c r="D43" s="50"/>
      <c r="E43" s="50"/>
      <c r="F43" s="50"/>
      <c r="G43" s="50"/>
      <c r="H43" s="50"/>
      <c r="I43" s="50"/>
      <c r="J43" s="50"/>
      <c r="K43" s="50"/>
      <c r="L43" s="50"/>
      <c r="M43" s="50"/>
      <c r="N43" s="50"/>
      <c r="O43" s="84"/>
      <c r="P43" s="50"/>
      <c r="Q43" s="50"/>
      <c r="R43" s="50"/>
      <c r="S43" s="50"/>
      <c r="T43" s="50"/>
      <c r="U43" s="50"/>
      <c r="V43" s="50"/>
      <c r="W43" s="82"/>
      <c r="X43" s="50"/>
      <c r="Y43" s="50"/>
      <c r="Z43" s="50"/>
      <c r="AA43" s="50"/>
    </row>
    <row r="44" spans="1:27" ht="13">
      <c r="A44" s="37"/>
      <c r="B44" s="39">
        <f>B42+1</f>
        <v>2009</v>
      </c>
      <c r="C44" s="107"/>
      <c r="D44" s="51" t="s">
        <v>87</v>
      </c>
      <c r="E44" s="74">
        <f>Control!$F$37</f>
        <v>0</v>
      </c>
      <c r="F44" s="51" t="s">
        <v>87</v>
      </c>
      <c r="G44" s="70">
        <f>Control!$D$106</f>
        <v>1000</v>
      </c>
      <c r="H44" s="51" t="s">
        <v>87</v>
      </c>
      <c r="I44" s="44">
        <f>Control!$F$38</f>
        <v>0</v>
      </c>
      <c r="J44" s="51" t="s">
        <v>87</v>
      </c>
      <c r="K44" s="46">
        <f>Control!$F$40</f>
        <v>0</v>
      </c>
      <c r="L44" s="51" t="s">
        <v>87</v>
      </c>
      <c r="M44" s="57">
        <f>Control!$F$39</f>
        <v>0</v>
      </c>
      <c r="N44" s="52" t="s">
        <v>88</v>
      </c>
      <c r="O44" s="70">
        <f>C44*$E$6*$G$6*$I$6*$M$6*$K$6</f>
        <v>0</v>
      </c>
      <c r="P44" s="51" t="s">
        <v>87</v>
      </c>
      <c r="Q44" s="65">
        <f>Control!$D$107</f>
        <v>9.9999999999999998E-13</v>
      </c>
      <c r="R44" s="52" t="s">
        <v>88</v>
      </c>
      <c r="S44" s="46">
        <f>O44*Q44</f>
        <v>0</v>
      </c>
      <c r="T44" s="51" t="s">
        <v>87</v>
      </c>
      <c r="U44" s="70">
        <f>Control!$D$101</f>
        <v>28</v>
      </c>
      <c r="V44" s="51" t="s">
        <v>87</v>
      </c>
      <c r="W44" s="46">
        <f>Control!$D$100</f>
        <v>0.27272727272727271</v>
      </c>
      <c r="X44" s="52" t="s">
        <v>88</v>
      </c>
      <c r="Y44" s="48">
        <f>S44*U$6*W$6</f>
        <v>0</v>
      </c>
      <c r="Z44" s="52" t="s">
        <v>88</v>
      </c>
      <c r="AA44" s="48">
        <f>Y44*C_CO2</f>
        <v>0</v>
      </c>
    </row>
    <row r="45" spans="1:27" ht="11">
      <c r="A45" s="37"/>
      <c r="B45" s="40"/>
      <c r="C45" s="53"/>
      <c r="D45" s="50"/>
      <c r="E45" s="50"/>
      <c r="F45" s="50"/>
      <c r="G45" s="50"/>
      <c r="H45" s="50"/>
      <c r="I45" s="50"/>
      <c r="J45" s="50"/>
      <c r="K45" s="50"/>
      <c r="L45" s="50"/>
      <c r="M45" s="50"/>
      <c r="N45" s="50"/>
      <c r="O45" s="84"/>
      <c r="P45" s="50"/>
      <c r="Q45" s="50"/>
      <c r="R45" s="50"/>
      <c r="S45" s="50"/>
      <c r="T45" s="50"/>
      <c r="U45" s="50"/>
      <c r="V45" s="50"/>
      <c r="W45" s="82"/>
      <c r="X45" s="50"/>
      <c r="Y45" s="50"/>
      <c r="Z45" s="50"/>
      <c r="AA45" s="50"/>
    </row>
    <row r="46" spans="1:27" ht="13">
      <c r="A46" s="37"/>
      <c r="B46" s="39">
        <f>B44+1</f>
        <v>2010</v>
      </c>
      <c r="C46" s="107"/>
      <c r="D46" s="51" t="s">
        <v>87</v>
      </c>
      <c r="E46" s="74">
        <f>Control!$F$37</f>
        <v>0</v>
      </c>
      <c r="F46" s="51" t="s">
        <v>87</v>
      </c>
      <c r="G46" s="70">
        <f>Control!$D$106</f>
        <v>1000</v>
      </c>
      <c r="H46" s="51" t="s">
        <v>87</v>
      </c>
      <c r="I46" s="44">
        <f>Control!$F$38</f>
        <v>0</v>
      </c>
      <c r="J46" s="51" t="s">
        <v>87</v>
      </c>
      <c r="K46" s="46">
        <f>Control!$F$40</f>
        <v>0</v>
      </c>
      <c r="L46" s="51" t="s">
        <v>87</v>
      </c>
      <c r="M46" s="57">
        <f>Control!$F$39</f>
        <v>0</v>
      </c>
      <c r="N46" s="52" t="s">
        <v>88</v>
      </c>
      <c r="O46" s="70">
        <f>C46*$E$6*$G$6*$I$6*$M$6*$K$6</f>
        <v>0</v>
      </c>
      <c r="P46" s="51" t="s">
        <v>87</v>
      </c>
      <c r="Q46" s="65">
        <f>Control!$D$107</f>
        <v>9.9999999999999998E-13</v>
      </c>
      <c r="R46" s="52" t="s">
        <v>88</v>
      </c>
      <c r="S46" s="46">
        <f>O46*Q46</f>
        <v>0</v>
      </c>
      <c r="T46" s="51" t="s">
        <v>87</v>
      </c>
      <c r="U46" s="70">
        <f>Control!$D$101</f>
        <v>28</v>
      </c>
      <c r="V46" s="51" t="s">
        <v>87</v>
      </c>
      <c r="W46" s="46">
        <f>Control!$D$100</f>
        <v>0.27272727272727271</v>
      </c>
      <c r="X46" s="52" t="s">
        <v>88</v>
      </c>
      <c r="Y46" s="48">
        <f>S46*U$6*W$6</f>
        <v>0</v>
      </c>
      <c r="Z46" s="52" t="s">
        <v>88</v>
      </c>
      <c r="AA46" s="48">
        <f>Y46*C_CO2</f>
        <v>0</v>
      </c>
    </row>
    <row r="47" spans="1:27" ht="11">
      <c r="A47" s="37"/>
      <c r="B47" s="40"/>
      <c r="C47" s="53"/>
      <c r="D47" s="50"/>
      <c r="E47" s="50"/>
      <c r="F47" s="50"/>
      <c r="G47" s="50"/>
      <c r="H47" s="50"/>
      <c r="I47" s="50"/>
      <c r="J47" s="50"/>
      <c r="K47" s="50"/>
      <c r="L47" s="50"/>
      <c r="M47" s="50"/>
      <c r="N47" s="50"/>
      <c r="O47" s="84"/>
      <c r="P47" s="50"/>
      <c r="Q47" s="50"/>
      <c r="R47" s="50"/>
      <c r="S47" s="50"/>
      <c r="T47" s="50"/>
      <c r="U47" s="50"/>
      <c r="V47" s="50"/>
      <c r="W47" s="82"/>
      <c r="X47" s="50"/>
      <c r="Y47" s="50"/>
      <c r="Z47" s="50"/>
      <c r="AA47" s="50"/>
    </row>
    <row r="48" spans="1:27" ht="13">
      <c r="A48" s="37"/>
      <c r="B48" s="39">
        <f>B46+1</f>
        <v>2011</v>
      </c>
      <c r="C48" s="107"/>
      <c r="D48" s="51" t="s">
        <v>87</v>
      </c>
      <c r="E48" s="74">
        <f>Control!$F$37</f>
        <v>0</v>
      </c>
      <c r="F48" s="51" t="s">
        <v>87</v>
      </c>
      <c r="G48" s="70">
        <f>Control!$D$106</f>
        <v>1000</v>
      </c>
      <c r="H48" s="51" t="s">
        <v>87</v>
      </c>
      <c r="I48" s="44">
        <f>Control!$F$38</f>
        <v>0</v>
      </c>
      <c r="J48" s="51" t="s">
        <v>87</v>
      </c>
      <c r="K48" s="46">
        <f>Control!$F$40</f>
        <v>0</v>
      </c>
      <c r="L48" s="51" t="s">
        <v>87</v>
      </c>
      <c r="M48" s="57">
        <f>Control!$F$39</f>
        <v>0</v>
      </c>
      <c r="N48" s="52" t="s">
        <v>88</v>
      </c>
      <c r="O48" s="70">
        <f>C48*$E$6*$G$6*$I$6*$M$6*$K$6</f>
        <v>0</v>
      </c>
      <c r="P48" s="51" t="s">
        <v>87</v>
      </c>
      <c r="Q48" s="65">
        <f>Control!$D$107</f>
        <v>9.9999999999999998E-13</v>
      </c>
      <c r="R48" s="52" t="s">
        <v>88</v>
      </c>
      <c r="S48" s="46">
        <f>O48*Q48</f>
        <v>0</v>
      </c>
      <c r="T48" s="51" t="s">
        <v>87</v>
      </c>
      <c r="U48" s="70">
        <f>Control!$D$101</f>
        <v>28</v>
      </c>
      <c r="V48" s="51" t="s">
        <v>87</v>
      </c>
      <c r="W48" s="46">
        <f>Control!$D$100</f>
        <v>0.27272727272727271</v>
      </c>
      <c r="X48" s="52" t="s">
        <v>88</v>
      </c>
      <c r="Y48" s="48">
        <f>S48*U$6*W$6</f>
        <v>0</v>
      </c>
      <c r="Z48" s="52" t="s">
        <v>88</v>
      </c>
      <c r="AA48" s="48">
        <f>Y48*C_CO2</f>
        <v>0</v>
      </c>
    </row>
    <row r="49" spans="1:27" ht="11">
      <c r="A49" s="37"/>
      <c r="B49" s="40"/>
      <c r="C49" s="53"/>
      <c r="D49" s="50"/>
      <c r="E49" s="50"/>
      <c r="F49" s="50"/>
      <c r="G49" s="50"/>
      <c r="H49" s="50"/>
      <c r="I49" s="50"/>
      <c r="J49" s="50"/>
      <c r="K49" s="50"/>
      <c r="L49" s="50"/>
      <c r="M49" s="50"/>
      <c r="N49" s="50"/>
      <c r="O49" s="84"/>
      <c r="P49" s="50"/>
      <c r="Q49" s="50"/>
      <c r="R49" s="50"/>
      <c r="S49" s="50"/>
      <c r="T49" s="50"/>
      <c r="U49" s="50"/>
      <c r="V49" s="50"/>
      <c r="W49" s="82"/>
      <c r="X49" s="50"/>
      <c r="Y49" s="50"/>
      <c r="Z49" s="50"/>
      <c r="AA49" s="50"/>
    </row>
    <row r="50" spans="1:27" ht="13">
      <c r="A50" s="37"/>
      <c r="B50" s="39">
        <f>B48+1</f>
        <v>2012</v>
      </c>
      <c r="C50" s="107"/>
      <c r="D50" s="51" t="s">
        <v>87</v>
      </c>
      <c r="E50" s="74">
        <f>Control!$F$37</f>
        <v>0</v>
      </c>
      <c r="F50" s="51" t="s">
        <v>87</v>
      </c>
      <c r="G50" s="70">
        <f>Control!$D$106</f>
        <v>1000</v>
      </c>
      <c r="H50" s="51" t="s">
        <v>87</v>
      </c>
      <c r="I50" s="44">
        <f>Control!$F$38</f>
        <v>0</v>
      </c>
      <c r="J50" s="51" t="s">
        <v>87</v>
      </c>
      <c r="K50" s="46">
        <f>Control!$F$40</f>
        <v>0</v>
      </c>
      <c r="L50" s="51" t="s">
        <v>87</v>
      </c>
      <c r="M50" s="57">
        <f>Control!$F$39</f>
        <v>0</v>
      </c>
      <c r="N50" s="52" t="s">
        <v>88</v>
      </c>
      <c r="O50" s="70">
        <f>C50*$E$6*$G$6*$I$6*$M$6*$K$6</f>
        <v>0</v>
      </c>
      <c r="P50" s="51" t="s">
        <v>87</v>
      </c>
      <c r="Q50" s="65">
        <f>Control!$D$107</f>
        <v>9.9999999999999998E-13</v>
      </c>
      <c r="R50" s="52" t="s">
        <v>88</v>
      </c>
      <c r="S50" s="46">
        <f>O50*Q50</f>
        <v>0</v>
      </c>
      <c r="T50" s="51" t="s">
        <v>87</v>
      </c>
      <c r="U50" s="70">
        <f>Control!$D$101</f>
        <v>28</v>
      </c>
      <c r="V50" s="51" t="s">
        <v>87</v>
      </c>
      <c r="W50" s="46">
        <f>Control!$D$100</f>
        <v>0.27272727272727271</v>
      </c>
      <c r="X50" s="52" t="s">
        <v>88</v>
      </c>
      <c r="Y50" s="48">
        <f>S50*U$6*W$6</f>
        <v>0</v>
      </c>
      <c r="Z50" s="52" t="s">
        <v>88</v>
      </c>
      <c r="AA50" s="48">
        <f>Y50*C_CO2</f>
        <v>0</v>
      </c>
    </row>
    <row r="51" spans="1:27" ht="11">
      <c r="A51" s="37"/>
      <c r="B51" s="40"/>
      <c r="C51" s="53"/>
      <c r="D51" s="50"/>
      <c r="E51" s="50"/>
      <c r="F51" s="50"/>
      <c r="G51" s="50"/>
      <c r="H51" s="50"/>
      <c r="I51" s="50"/>
      <c r="J51" s="50"/>
      <c r="K51" s="50"/>
      <c r="L51" s="50"/>
      <c r="M51" s="50"/>
      <c r="N51" s="50"/>
      <c r="O51" s="84"/>
      <c r="P51" s="50"/>
      <c r="Q51" s="50"/>
      <c r="R51" s="50"/>
      <c r="S51" s="50"/>
      <c r="T51" s="50"/>
      <c r="U51" s="50"/>
      <c r="V51" s="50"/>
      <c r="W51" s="82"/>
      <c r="X51" s="50"/>
      <c r="Y51" s="50"/>
      <c r="Z51" s="50"/>
      <c r="AA51" s="50"/>
    </row>
    <row r="52" spans="1:27" ht="13">
      <c r="A52" s="37"/>
      <c r="B52" s="39">
        <f>B50+1</f>
        <v>2013</v>
      </c>
      <c r="C52" s="107"/>
      <c r="D52" s="51" t="s">
        <v>87</v>
      </c>
      <c r="E52" s="74">
        <f>Control!$F$37</f>
        <v>0</v>
      </c>
      <c r="F52" s="51" t="s">
        <v>87</v>
      </c>
      <c r="G52" s="70">
        <f>Control!$D$106</f>
        <v>1000</v>
      </c>
      <c r="H52" s="51" t="s">
        <v>87</v>
      </c>
      <c r="I52" s="44">
        <f>Control!$F$38</f>
        <v>0</v>
      </c>
      <c r="J52" s="51" t="s">
        <v>87</v>
      </c>
      <c r="K52" s="46">
        <f>Control!$F$40</f>
        <v>0</v>
      </c>
      <c r="L52" s="51" t="s">
        <v>87</v>
      </c>
      <c r="M52" s="57">
        <f>Control!$F$39</f>
        <v>0</v>
      </c>
      <c r="N52" s="52" t="s">
        <v>88</v>
      </c>
      <c r="O52" s="70">
        <f>C52*$E$6*$G$6*$I$6*$M$6*$K$6</f>
        <v>0</v>
      </c>
      <c r="P52" s="51" t="s">
        <v>87</v>
      </c>
      <c r="Q52" s="65">
        <f>Control!$D$107</f>
        <v>9.9999999999999998E-13</v>
      </c>
      <c r="R52" s="52" t="s">
        <v>88</v>
      </c>
      <c r="S52" s="46">
        <f>O52*Q52</f>
        <v>0</v>
      </c>
      <c r="T52" s="51" t="s">
        <v>87</v>
      </c>
      <c r="U52" s="70">
        <f>Control!$D$101</f>
        <v>28</v>
      </c>
      <c r="V52" s="51" t="s">
        <v>87</v>
      </c>
      <c r="W52" s="46">
        <f>Control!$D$100</f>
        <v>0.27272727272727271</v>
      </c>
      <c r="X52" s="52" t="s">
        <v>88</v>
      </c>
      <c r="Y52" s="48">
        <f>S52*U$6*W$6</f>
        <v>0</v>
      </c>
      <c r="Z52" s="52" t="s">
        <v>88</v>
      </c>
      <c r="AA52" s="48">
        <f>Y52*C_CO2</f>
        <v>0</v>
      </c>
    </row>
    <row r="53" spans="1:27" ht="11">
      <c r="A53" s="37"/>
      <c r="B53" s="40"/>
      <c r="C53" s="53"/>
      <c r="D53" s="50"/>
      <c r="E53" s="50"/>
      <c r="F53" s="50"/>
      <c r="G53" s="50"/>
      <c r="H53" s="50"/>
      <c r="I53" s="50"/>
      <c r="J53" s="50"/>
      <c r="K53" s="50"/>
      <c r="L53" s="50"/>
      <c r="M53" s="50"/>
      <c r="N53" s="50"/>
      <c r="O53" s="84"/>
      <c r="P53" s="50"/>
      <c r="Q53" s="50"/>
      <c r="R53" s="50"/>
      <c r="S53" s="50"/>
      <c r="T53" s="50"/>
      <c r="U53" s="50"/>
      <c r="V53" s="50"/>
      <c r="W53" s="82"/>
      <c r="X53" s="50"/>
      <c r="Y53" s="50"/>
      <c r="Z53" s="50"/>
      <c r="AA53" s="50"/>
    </row>
    <row r="54" spans="1:27" ht="13">
      <c r="A54" s="37"/>
      <c r="B54" s="39">
        <f>B52+1</f>
        <v>2014</v>
      </c>
      <c r="C54" s="107"/>
      <c r="D54" s="51" t="s">
        <v>87</v>
      </c>
      <c r="E54" s="74">
        <f>Control!$F$37</f>
        <v>0</v>
      </c>
      <c r="F54" s="51" t="s">
        <v>87</v>
      </c>
      <c r="G54" s="70">
        <f>Control!$D$106</f>
        <v>1000</v>
      </c>
      <c r="H54" s="51" t="s">
        <v>87</v>
      </c>
      <c r="I54" s="44">
        <f>Control!$F$38</f>
        <v>0</v>
      </c>
      <c r="J54" s="51" t="s">
        <v>87</v>
      </c>
      <c r="K54" s="46">
        <f>Control!$F$40</f>
        <v>0</v>
      </c>
      <c r="L54" s="51" t="s">
        <v>87</v>
      </c>
      <c r="M54" s="57">
        <f>Control!$F$39</f>
        <v>0</v>
      </c>
      <c r="N54" s="52" t="s">
        <v>88</v>
      </c>
      <c r="O54" s="70">
        <f>C54*$E$6*$G$6*$I$6*$M$6*$K$6</f>
        <v>0</v>
      </c>
      <c r="P54" s="51" t="s">
        <v>87</v>
      </c>
      <c r="Q54" s="65">
        <f>Control!$D$107</f>
        <v>9.9999999999999998E-13</v>
      </c>
      <c r="R54" s="52" t="s">
        <v>88</v>
      </c>
      <c r="S54" s="46">
        <f>O54*Q54</f>
        <v>0</v>
      </c>
      <c r="T54" s="51" t="s">
        <v>87</v>
      </c>
      <c r="U54" s="70">
        <f>Control!$D$101</f>
        <v>28</v>
      </c>
      <c r="V54" s="51" t="s">
        <v>87</v>
      </c>
      <c r="W54" s="46">
        <f>Control!$D$100</f>
        <v>0.27272727272727271</v>
      </c>
      <c r="X54" s="52" t="s">
        <v>88</v>
      </c>
      <c r="Y54" s="48">
        <f>S54*U$6*W$6</f>
        <v>0</v>
      </c>
      <c r="Z54" s="52" t="s">
        <v>88</v>
      </c>
      <c r="AA54" s="48">
        <f>Y54*C_CO2</f>
        <v>0</v>
      </c>
    </row>
    <row r="55" spans="1:27" ht="11">
      <c r="A55" s="37"/>
      <c r="B55" s="40"/>
      <c r="C55" s="53"/>
      <c r="D55" s="50"/>
      <c r="E55" s="50"/>
      <c r="F55" s="50"/>
      <c r="G55" s="50"/>
      <c r="H55" s="50"/>
      <c r="I55" s="50"/>
      <c r="J55" s="50"/>
      <c r="K55" s="50"/>
      <c r="L55" s="50"/>
      <c r="M55" s="50"/>
      <c r="N55" s="50"/>
      <c r="O55" s="84"/>
      <c r="P55" s="50"/>
      <c r="Q55" s="50"/>
      <c r="R55" s="50"/>
      <c r="S55" s="50"/>
      <c r="T55" s="50"/>
      <c r="U55" s="50"/>
      <c r="V55" s="50"/>
      <c r="W55" s="82"/>
      <c r="X55" s="50"/>
      <c r="Y55" s="50"/>
      <c r="Z55" s="50"/>
      <c r="AA55" s="50"/>
    </row>
    <row r="56" spans="1:27" ht="13">
      <c r="A56" s="37"/>
      <c r="B56" s="39">
        <f>B54+1</f>
        <v>2015</v>
      </c>
      <c r="C56" s="107"/>
      <c r="D56" s="51" t="s">
        <v>87</v>
      </c>
      <c r="E56" s="74">
        <f>Control!$F$37</f>
        <v>0</v>
      </c>
      <c r="F56" s="51" t="s">
        <v>87</v>
      </c>
      <c r="G56" s="70">
        <f>Control!$D$106</f>
        <v>1000</v>
      </c>
      <c r="H56" s="51" t="s">
        <v>87</v>
      </c>
      <c r="I56" s="44">
        <f>Control!$F$38</f>
        <v>0</v>
      </c>
      <c r="J56" s="51" t="s">
        <v>87</v>
      </c>
      <c r="K56" s="46">
        <f>Control!$F$40</f>
        <v>0</v>
      </c>
      <c r="L56" s="51" t="s">
        <v>87</v>
      </c>
      <c r="M56" s="57">
        <f>Control!$F$39</f>
        <v>0</v>
      </c>
      <c r="N56" s="52" t="s">
        <v>88</v>
      </c>
      <c r="O56" s="70">
        <f>C56*$E$6*$G$6*$I$6*$M$6*$K$6</f>
        <v>0</v>
      </c>
      <c r="P56" s="51" t="s">
        <v>87</v>
      </c>
      <c r="Q56" s="65">
        <f>Control!$D$107</f>
        <v>9.9999999999999998E-13</v>
      </c>
      <c r="R56" s="52" t="s">
        <v>88</v>
      </c>
      <c r="S56" s="46">
        <f>O56*Q56</f>
        <v>0</v>
      </c>
      <c r="T56" s="51" t="s">
        <v>87</v>
      </c>
      <c r="U56" s="70">
        <f>Control!$D$101</f>
        <v>28</v>
      </c>
      <c r="V56" s="51" t="s">
        <v>87</v>
      </c>
      <c r="W56" s="46">
        <f>Control!$D$100</f>
        <v>0.27272727272727271</v>
      </c>
      <c r="X56" s="52" t="s">
        <v>88</v>
      </c>
      <c r="Y56" s="48">
        <f>S56*U$6*W$6</f>
        <v>0</v>
      </c>
      <c r="Z56" s="52" t="s">
        <v>88</v>
      </c>
      <c r="AA56" s="48">
        <f>Y56*C_CO2</f>
        <v>0</v>
      </c>
    </row>
    <row r="57" spans="1:27" ht="11">
      <c r="A57" s="37"/>
      <c r="B57" s="40"/>
      <c r="C57" s="53"/>
      <c r="D57" s="50"/>
      <c r="E57" s="50"/>
      <c r="F57" s="50"/>
      <c r="G57" s="50"/>
      <c r="H57" s="50"/>
      <c r="I57" s="50"/>
      <c r="J57" s="50"/>
      <c r="K57" s="50"/>
      <c r="L57" s="50"/>
      <c r="M57" s="50"/>
      <c r="N57" s="50"/>
      <c r="O57" s="84"/>
      <c r="P57" s="50"/>
      <c r="Q57" s="50"/>
      <c r="R57" s="50"/>
      <c r="S57" s="50"/>
      <c r="T57" s="50"/>
      <c r="U57" s="50"/>
      <c r="V57" s="50"/>
      <c r="W57" s="82"/>
      <c r="X57" s="50"/>
      <c r="Y57" s="50"/>
      <c r="Z57" s="50"/>
      <c r="AA57" s="50"/>
    </row>
    <row r="58" spans="1:27" ht="13">
      <c r="A58" s="37"/>
      <c r="B58" s="39">
        <f>B56+1</f>
        <v>2016</v>
      </c>
      <c r="C58" s="107"/>
      <c r="D58" s="51" t="s">
        <v>87</v>
      </c>
      <c r="E58" s="74">
        <f>Control!$F$37</f>
        <v>0</v>
      </c>
      <c r="F58" s="51" t="s">
        <v>87</v>
      </c>
      <c r="G58" s="70">
        <f>Control!$D$106</f>
        <v>1000</v>
      </c>
      <c r="H58" s="51" t="s">
        <v>87</v>
      </c>
      <c r="I58" s="44">
        <f>Control!$F$38</f>
        <v>0</v>
      </c>
      <c r="J58" s="51" t="s">
        <v>87</v>
      </c>
      <c r="K58" s="46">
        <f>Control!$F$40</f>
        <v>0</v>
      </c>
      <c r="L58" s="51" t="s">
        <v>87</v>
      </c>
      <c r="M58" s="57">
        <f>Control!$F$39</f>
        <v>0</v>
      </c>
      <c r="N58" s="52" t="s">
        <v>88</v>
      </c>
      <c r="O58" s="70">
        <f>C58*$E$6*$G$6*$I$6*$M$6*$K$6</f>
        <v>0</v>
      </c>
      <c r="P58" s="51" t="s">
        <v>87</v>
      </c>
      <c r="Q58" s="65">
        <f>Control!$D$107</f>
        <v>9.9999999999999998E-13</v>
      </c>
      <c r="R58" s="52" t="s">
        <v>88</v>
      </c>
      <c r="S58" s="46">
        <f>O58*Q58</f>
        <v>0</v>
      </c>
      <c r="T58" s="51" t="s">
        <v>87</v>
      </c>
      <c r="U58" s="70">
        <f>Control!$D$101</f>
        <v>28</v>
      </c>
      <c r="V58" s="51" t="s">
        <v>87</v>
      </c>
      <c r="W58" s="46">
        <f>Control!$D$100</f>
        <v>0.27272727272727271</v>
      </c>
      <c r="X58" s="52" t="s">
        <v>88</v>
      </c>
      <c r="Y58" s="48">
        <f>S58*U$6*W$6</f>
        <v>0</v>
      </c>
      <c r="Z58" s="52" t="s">
        <v>88</v>
      </c>
      <c r="AA58" s="48">
        <f>Y58*C_CO2</f>
        <v>0</v>
      </c>
    </row>
    <row r="59" spans="1:27" ht="11">
      <c r="A59" s="37"/>
      <c r="B59" s="40"/>
      <c r="C59" s="53"/>
      <c r="D59" s="50"/>
      <c r="E59" s="50"/>
      <c r="F59" s="50"/>
      <c r="G59" s="50"/>
      <c r="H59" s="50"/>
      <c r="I59" s="50"/>
      <c r="J59" s="50"/>
      <c r="K59" s="50"/>
      <c r="L59" s="50"/>
      <c r="M59" s="50"/>
      <c r="N59" s="50"/>
      <c r="O59" s="84"/>
      <c r="P59" s="50"/>
      <c r="Q59" s="50"/>
      <c r="R59" s="50"/>
      <c r="S59" s="50"/>
      <c r="T59" s="50"/>
      <c r="U59" s="50"/>
      <c r="V59" s="50"/>
      <c r="W59" s="82"/>
      <c r="X59" s="50"/>
      <c r="Y59" s="50"/>
      <c r="Z59" s="50"/>
      <c r="AA59" s="50"/>
    </row>
    <row r="60" spans="1:27" ht="13">
      <c r="A60" s="37"/>
      <c r="B60" s="39">
        <f>B58+1</f>
        <v>2017</v>
      </c>
      <c r="C60" s="107"/>
      <c r="D60" s="51" t="s">
        <v>87</v>
      </c>
      <c r="E60" s="74">
        <f>Control!$F$37</f>
        <v>0</v>
      </c>
      <c r="F60" s="51" t="s">
        <v>87</v>
      </c>
      <c r="G60" s="70">
        <f>Control!$D$106</f>
        <v>1000</v>
      </c>
      <c r="H60" s="51" t="s">
        <v>87</v>
      </c>
      <c r="I60" s="44">
        <f>Control!$F$38</f>
        <v>0</v>
      </c>
      <c r="J60" s="51" t="s">
        <v>87</v>
      </c>
      <c r="K60" s="46">
        <f>Control!$F$40</f>
        <v>0</v>
      </c>
      <c r="L60" s="51" t="s">
        <v>87</v>
      </c>
      <c r="M60" s="57">
        <f>Control!$F$39</f>
        <v>0</v>
      </c>
      <c r="N60" s="52" t="s">
        <v>88</v>
      </c>
      <c r="O60" s="70">
        <f>C60*$E$6*$G$6*$I$6*$M$6*$K$6</f>
        <v>0</v>
      </c>
      <c r="P60" s="51" t="s">
        <v>87</v>
      </c>
      <c r="Q60" s="65">
        <f>Control!$D$107</f>
        <v>9.9999999999999998E-13</v>
      </c>
      <c r="R60" s="52" t="s">
        <v>88</v>
      </c>
      <c r="S60" s="46">
        <f>O60*Q60</f>
        <v>0</v>
      </c>
      <c r="T60" s="51" t="s">
        <v>87</v>
      </c>
      <c r="U60" s="70">
        <f>Control!$D$101</f>
        <v>28</v>
      </c>
      <c r="V60" s="51" t="s">
        <v>87</v>
      </c>
      <c r="W60" s="46">
        <f>Control!$D$100</f>
        <v>0.27272727272727271</v>
      </c>
      <c r="X60" s="52" t="s">
        <v>88</v>
      </c>
      <c r="Y60" s="48">
        <f>S60*U$6*W$6</f>
        <v>0</v>
      </c>
      <c r="Z60" s="52" t="s">
        <v>88</v>
      </c>
      <c r="AA60" s="48">
        <f>Y60*C_CO2</f>
        <v>0</v>
      </c>
    </row>
    <row r="61" spans="1:27" ht="11">
      <c r="A61" s="37"/>
      <c r="B61" s="40"/>
      <c r="C61" s="53"/>
      <c r="D61" s="50"/>
      <c r="E61" s="50"/>
      <c r="F61" s="50"/>
      <c r="G61" s="50"/>
      <c r="H61" s="50"/>
      <c r="I61" s="50"/>
      <c r="J61" s="50"/>
      <c r="K61" s="50"/>
      <c r="L61" s="50"/>
      <c r="M61" s="50"/>
      <c r="N61" s="50"/>
      <c r="O61" s="84"/>
      <c r="P61" s="50"/>
      <c r="Q61" s="50"/>
      <c r="R61" s="50"/>
      <c r="S61" s="50"/>
      <c r="T61" s="50"/>
      <c r="U61" s="50"/>
      <c r="V61" s="50"/>
      <c r="W61" s="82"/>
      <c r="X61" s="50"/>
      <c r="Y61" s="50"/>
      <c r="Z61" s="50"/>
      <c r="AA61" s="50"/>
    </row>
    <row r="62" spans="1:27" ht="13">
      <c r="A62" s="37"/>
      <c r="B62" s="39">
        <f>B60+1</f>
        <v>2018</v>
      </c>
      <c r="C62" s="107"/>
      <c r="D62" s="51" t="s">
        <v>87</v>
      </c>
      <c r="E62" s="74">
        <f>Control!$F$37</f>
        <v>0</v>
      </c>
      <c r="F62" s="51" t="s">
        <v>87</v>
      </c>
      <c r="G62" s="70">
        <f>Control!$D$106</f>
        <v>1000</v>
      </c>
      <c r="H62" s="51" t="s">
        <v>87</v>
      </c>
      <c r="I62" s="44">
        <f>Control!$F$38</f>
        <v>0</v>
      </c>
      <c r="J62" s="51" t="s">
        <v>87</v>
      </c>
      <c r="K62" s="46">
        <f>Control!$F$40</f>
        <v>0</v>
      </c>
      <c r="L62" s="51" t="s">
        <v>87</v>
      </c>
      <c r="M62" s="57">
        <f>Control!$F$39</f>
        <v>0</v>
      </c>
      <c r="N62" s="52" t="s">
        <v>88</v>
      </c>
      <c r="O62" s="70">
        <f>C62*$E$6*$G$6*$I$6*$M$6*$K$6</f>
        <v>0</v>
      </c>
      <c r="P62" s="51" t="s">
        <v>87</v>
      </c>
      <c r="Q62" s="65">
        <f>Control!$D$107</f>
        <v>9.9999999999999998E-13</v>
      </c>
      <c r="R62" s="52" t="s">
        <v>88</v>
      </c>
      <c r="S62" s="46">
        <f>O62*Q62</f>
        <v>0</v>
      </c>
      <c r="T62" s="51" t="s">
        <v>87</v>
      </c>
      <c r="U62" s="70">
        <f>Control!$D$101</f>
        <v>28</v>
      </c>
      <c r="V62" s="51" t="s">
        <v>87</v>
      </c>
      <c r="W62" s="46">
        <f>Control!$D$100</f>
        <v>0.27272727272727271</v>
      </c>
      <c r="X62" s="52" t="s">
        <v>88</v>
      </c>
      <c r="Y62" s="48">
        <f>S62*U$6*W$6</f>
        <v>0</v>
      </c>
      <c r="Z62" s="52" t="s">
        <v>88</v>
      </c>
      <c r="AA62" s="48">
        <f>Y62*C_CO2</f>
        <v>0</v>
      </c>
    </row>
    <row r="63" spans="1:27" ht="11">
      <c r="A63" s="37"/>
      <c r="B63" s="40"/>
      <c r="C63" s="53"/>
      <c r="D63" s="50"/>
      <c r="E63" s="50"/>
      <c r="F63" s="50"/>
      <c r="G63" s="50"/>
      <c r="H63" s="50"/>
      <c r="I63" s="50"/>
      <c r="J63" s="50"/>
      <c r="K63" s="50"/>
      <c r="L63" s="50"/>
      <c r="M63" s="50"/>
      <c r="N63" s="50"/>
      <c r="O63" s="84"/>
      <c r="P63" s="50"/>
      <c r="Q63" s="50"/>
      <c r="R63" s="50"/>
      <c r="S63" s="50"/>
      <c r="T63" s="50"/>
      <c r="U63" s="50"/>
      <c r="V63" s="50"/>
      <c r="W63" s="82"/>
      <c r="X63" s="50"/>
      <c r="Y63" s="50"/>
      <c r="Z63" s="50"/>
      <c r="AA63" s="50"/>
    </row>
    <row r="64" spans="1:27" ht="13">
      <c r="A64" s="37"/>
      <c r="B64" s="39">
        <f>B62+1</f>
        <v>2019</v>
      </c>
      <c r="C64" s="107"/>
      <c r="D64" s="51" t="s">
        <v>87</v>
      </c>
      <c r="E64" s="74">
        <f>Control!$F$37</f>
        <v>0</v>
      </c>
      <c r="F64" s="51" t="s">
        <v>87</v>
      </c>
      <c r="G64" s="70">
        <f>Control!$D$106</f>
        <v>1000</v>
      </c>
      <c r="H64" s="51" t="s">
        <v>87</v>
      </c>
      <c r="I64" s="44">
        <f>Control!$F$38</f>
        <v>0</v>
      </c>
      <c r="J64" s="51" t="s">
        <v>87</v>
      </c>
      <c r="K64" s="46">
        <f>Control!$F$40</f>
        <v>0</v>
      </c>
      <c r="L64" s="51" t="s">
        <v>87</v>
      </c>
      <c r="M64" s="57">
        <f>Control!$F$39</f>
        <v>0</v>
      </c>
      <c r="N64" s="52" t="s">
        <v>88</v>
      </c>
      <c r="O64" s="70">
        <f>C64*$E$6*$G$6*$I$6*$M$6*$K$6</f>
        <v>0</v>
      </c>
      <c r="P64" s="51" t="s">
        <v>87</v>
      </c>
      <c r="Q64" s="65">
        <f>Control!$D$107</f>
        <v>9.9999999999999998E-13</v>
      </c>
      <c r="R64" s="52" t="s">
        <v>88</v>
      </c>
      <c r="S64" s="46">
        <f>O64*Q64</f>
        <v>0</v>
      </c>
      <c r="T64" s="51" t="s">
        <v>87</v>
      </c>
      <c r="U64" s="70">
        <f>Control!$D$101</f>
        <v>28</v>
      </c>
      <c r="V64" s="51" t="s">
        <v>87</v>
      </c>
      <c r="W64" s="46">
        <f>Control!$D$100</f>
        <v>0.27272727272727271</v>
      </c>
      <c r="X64" s="52" t="s">
        <v>88</v>
      </c>
      <c r="Y64" s="48">
        <f>S64*U$6*W$6</f>
        <v>0</v>
      </c>
      <c r="Z64" s="52" t="s">
        <v>88</v>
      </c>
      <c r="AA64" s="48">
        <f>Y64*C_CO2</f>
        <v>0</v>
      </c>
    </row>
    <row r="65" spans="1:27" ht="11">
      <c r="A65" s="37"/>
      <c r="B65" s="40"/>
      <c r="C65" s="53"/>
      <c r="D65" s="50"/>
      <c r="E65" s="50"/>
      <c r="F65" s="50"/>
      <c r="G65" s="50"/>
      <c r="H65" s="50"/>
      <c r="I65" s="50"/>
      <c r="J65" s="50"/>
      <c r="K65" s="50"/>
      <c r="L65" s="50"/>
      <c r="M65" s="50"/>
      <c r="N65" s="50"/>
      <c r="O65" s="84"/>
      <c r="P65" s="50"/>
      <c r="Q65" s="50"/>
      <c r="R65" s="50"/>
      <c r="S65" s="50"/>
      <c r="T65" s="50"/>
      <c r="U65" s="50"/>
      <c r="V65" s="50"/>
      <c r="W65" s="82"/>
      <c r="X65" s="50"/>
      <c r="Y65" s="50"/>
      <c r="Z65" s="50"/>
      <c r="AA65" s="50"/>
    </row>
    <row r="66" spans="1:27" ht="13">
      <c r="A66" s="37"/>
      <c r="B66" s="39">
        <f>B64+1</f>
        <v>2020</v>
      </c>
      <c r="C66" s="107"/>
      <c r="D66" s="51" t="s">
        <v>87</v>
      </c>
      <c r="E66" s="74">
        <f>Control!$F$37</f>
        <v>0</v>
      </c>
      <c r="F66" s="51" t="s">
        <v>87</v>
      </c>
      <c r="G66" s="70">
        <f>Control!$D$106</f>
        <v>1000</v>
      </c>
      <c r="H66" s="51" t="s">
        <v>87</v>
      </c>
      <c r="I66" s="44">
        <f>Control!$F$38</f>
        <v>0</v>
      </c>
      <c r="J66" s="51" t="s">
        <v>87</v>
      </c>
      <c r="K66" s="46">
        <f>Control!$F$40</f>
        <v>0</v>
      </c>
      <c r="L66" s="51" t="s">
        <v>87</v>
      </c>
      <c r="M66" s="57">
        <f>Control!$F$39</f>
        <v>0</v>
      </c>
      <c r="N66" s="52" t="s">
        <v>88</v>
      </c>
      <c r="O66" s="70">
        <f>C66*$E$6*$G$6*$I$6*$M$6*$K$6</f>
        <v>0</v>
      </c>
      <c r="P66" s="51" t="s">
        <v>87</v>
      </c>
      <c r="Q66" s="65">
        <f>Control!$D$107</f>
        <v>9.9999999999999998E-13</v>
      </c>
      <c r="R66" s="52" t="s">
        <v>88</v>
      </c>
      <c r="S66" s="46">
        <f>O66*Q66</f>
        <v>0</v>
      </c>
      <c r="T66" s="51" t="s">
        <v>87</v>
      </c>
      <c r="U66" s="70">
        <f>Control!$D$101</f>
        <v>28</v>
      </c>
      <c r="V66" s="51" t="s">
        <v>87</v>
      </c>
      <c r="W66" s="46">
        <f>Control!$D$100</f>
        <v>0.27272727272727271</v>
      </c>
      <c r="X66" s="52" t="s">
        <v>88</v>
      </c>
      <c r="Y66" s="48">
        <f>S66*U$6*W$6</f>
        <v>0</v>
      </c>
      <c r="Z66" s="52" t="s">
        <v>88</v>
      </c>
      <c r="AA66" s="48">
        <f>Y66*C_CO2</f>
        <v>0</v>
      </c>
    </row>
    <row r="68" spans="1:27" ht="13">
      <c r="A68" s="37"/>
      <c r="B68" s="39">
        <f>B66+1</f>
        <v>2021</v>
      </c>
      <c r="C68" s="107"/>
      <c r="D68" s="51" t="s">
        <v>87</v>
      </c>
      <c r="E68" s="74">
        <f>Control!$F$37</f>
        <v>0</v>
      </c>
      <c r="F68" s="51" t="s">
        <v>87</v>
      </c>
      <c r="G68" s="70">
        <f>Control!$D$106</f>
        <v>1000</v>
      </c>
      <c r="H68" s="51" t="s">
        <v>87</v>
      </c>
      <c r="I68" s="44">
        <f>Control!$F$38</f>
        <v>0</v>
      </c>
      <c r="J68" s="51" t="s">
        <v>87</v>
      </c>
      <c r="K68" s="46">
        <f>Control!$F$40</f>
        <v>0</v>
      </c>
      <c r="L68" s="51" t="s">
        <v>87</v>
      </c>
      <c r="M68" s="57">
        <f>Control!$F$39</f>
        <v>0</v>
      </c>
      <c r="N68" s="52" t="s">
        <v>88</v>
      </c>
      <c r="O68" s="70">
        <f>C68*$E$6*$G$6*$I$6*$M$6*$K$6</f>
        <v>0</v>
      </c>
      <c r="P68" s="51" t="s">
        <v>87</v>
      </c>
      <c r="Q68" s="65">
        <f>Control!$D$107</f>
        <v>9.9999999999999998E-13</v>
      </c>
      <c r="R68" s="52" t="s">
        <v>88</v>
      </c>
      <c r="S68" s="46">
        <f>O68*Q68</f>
        <v>0</v>
      </c>
      <c r="T68" s="51" t="s">
        <v>87</v>
      </c>
      <c r="U68" s="70">
        <f>Control!$D$101</f>
        <v>28</v>
      </c>
      <c r="V68" s="51" t="s">
        <v>87</v>
      </c>
      <c r="W68" s="46">
        <f>Control!$D$100</f>
        <v>0.27272727272727271</v>
      </c>
      <c r="X68" s="52" t="s">
        <v>88</v>
      </c>
      <c r="Y68" s="48">
        <f>S68*U$6*W$6</f>
        <v>0</v>
      </c>
      <c r="Z68" s="52" t="s">
        <v>88</v>
      </c>
      <c r="AA68" s="48">
        <f>Y68*C_CO2</f>
        <v>0</v>
      </c>
    </row>
    <row r="70" spans="1:27" ht="13">
      <c r="A70" s="37"/>
      <c r="B70" s="39">
        <f>B68+1</f>
        <v>2022</v>
      </c>
      <c r="C70" s="107"/>
      <c r="D70" s="51" t="s">
        <v>87</v>
      </c>
      <c r="E70" s="74">
        <f>Control!$F$37</f>
        <v>0</v>
      </c>
      <c r="F70" s="51" t="s">
        <v>87</v>
      </c>
      <c r="G70" s="70">
        <f>Control!$D$106</f>
        <v>1000</v>
      </c>
      <c r="H70" s="51" t="s">
        <v>87</v>
      </c>
      <c r="I70" s="44">
        <f>Control!$F$38</f>
        <v>0</v>
      </c>
      <c r="J70" s="51" t="s">
        <v>87</v>
      </c>
      <c r="K70" s="46">
        <f>Control!$F$40</f>
        <v>0</v>
      </c>
      <c r="L70" s="51" t="s">
        <v>87</v>
      </c>
      <c r="M70" s="57">
        <f>Control!$F$39</f>
        <v>0</v>
      </c>
      <c r="N70" s="52" t="s">
        <v>88</v>
      </c>
      <c r="O70" s="70">
        <f>C70*$E$6*$G$6*$I$6*$M$6*$K$6</f>
        <v>0</v>
      </c>
      <c r="P70" s="51" t="s">
        <v>87</v>
      </c>
      <c r="Q70" s="65">
        <f>Control!$D$107</f>
        <v>9.9999999999999998E-13</v>
      </c>
      <c r="R70" s="52" t="s">
        <v>88</v>
      </c>
      <c r="S70" s="46">
        <f>O70*Q70</f>
        <v>0</v>
      </c>
      <c r="T70" s="51" t="s">
        <v>87</v>
      </c>
      <c r="U70" s="70">
        <f>Control!$D$101</f>
        <v>28</v>
      </c>
      <c r="V70" s="51" t="s">
        <v>87</v>
      </c>
      <c r="W70" s="46">
        <f>Control!$D$100</f>
        <v>0.27272727272727271</v>
      </c>
      <c r="X70" s="52" t="s">
        <v>88</v>
      </c>
      <c r="Y70" s="48">
        <f>S70*U$6*W$6</f>
        <v>0</v>
      </c>
      <c r="Z70" s="52" t="s">
        <v>88</v>
      </c>
      <c r="AA70" s="48">
        <f>Y70*C_CO2</f>
        <v>0</v>
      </c>
    </row>
    <row r="72" spans="1:27" ht="13">
      <c r="A72" s="37"/>
      <c r="B72" s="39">
        <f>B70+1</f>
        <v>2023</v>
      </c>
      <c r="C72" s="107"/>
      <c r="D72" s="51" t="s">
        <v>87</v>
      </c>
      <c r="E72" s="74">
        <f>Control!$F$37</f>
        <v>0</v>
      </c>
      <c r="F72" s="51" t="s">
        <v>87</v>
      </c>
      <c r="G72" s="70">
        <f>Control!$D$106</f>
        <v>1000</v>
      </c>
      <c r="H72" s="51" t="s">
        <v>87</v>
      </c>
      <c r="I72" s="44">
        <f>Control!$F$38</f>
        <v>0</v>
      </c>
      <c r="J72" s="51" t="s">
        <v>87</v>
      </c>
      <c r="K72" s="46">
        <f>Control!$F$40</f>
        <v>0</v>
      </c>
      <c r="L72" s="51" t="s">
        <v>87</v>
      </c>
      <c r="M72" s="57">
        <f>Control!$F$39</f>
        <v>0</v>
      </c>
      <c r="N72" s="52" t="s">
        <v>88</v>
      </c>
      <c r="O72" s="70">
        <f>C72*$E$6*$G$6*$I$6*$M$6*$K$6</f>
        <v>0</v>
      </c>
      <c r="P72" s="51" t="s">
        <v>87</v>
      </c>
      <c r="Q72" s="65">
        <f>Control!$D$107</f>
        <v>9.9999999999999998E-13</v>
      </c>
      <c r="R72" s="52" t="s">
        <v>88</v>
      </c>
      <c r="S72" s="46">
        <f>O72*Q72</f>
        <v>0</v>
      </c>
      <c r="T72" s="51" t="s">
        <v>87</v>
      </c>
      <c r="U72" s="70">
        <f>Control!$D$101</f>
        <v>28</v>
      </c>
      <c r="V72" s="51" t="s">
        <v>87</v>
      </c>
      <c r="W72" s="46">
        <f>Control!$D$100</f>
        <v>0.27272727272727271</v>
      </c>
      <c r="X72" s="52" t="s">
        <v>88</v>
      </c>
      <c r="Y72" s="48">
        <f>S72*U$6*W$6</f>
        <v>0</v>
      </c>
      <c r="Z72" s="52" t="s">
        <v>88</v>
      </c>
      <c r="AA72" s="48">
        <f>Y72*C_CO2</f>
        <v>0</v>
      </c>
    </row>
    <row r="74" spans="1:27" ht="13">
      <c r="A74" s="37"/>
      <c r="B74" s="39">
        <f>B72+1</f>
        <v>2024</v>
      </c>
      <c r="C74" s="107"/>
      <c r="D74" s="51" t="s">
        <v>87</v>
      </c>
      <c r="E74" s="74">
        <f>Control!$F$37</f>
        <v>0</v>
      </c>
      <c r="F74" s="51" t="s">
        <v>87</v>
      </c>
      <c r="G74" s="70">
        <f>Control!$D$106</f>
        <v>1000</v>
      </c>
      <c r="H74" s="51" t="s">
        <v>87</v>
      </c>
      <c r="I74" s="44">
        <f>Control!$F$38</f>
        <v>0</v>
      </c>
      <c r="J74" s="51" t="s">
        <v>87</v>
      </c>
      <c r="K74" s="46">
        <f>Control!$F$40</f>
        <v>0</v>
      </c>
      <c r="L74" s="51" t="s">
        <v>87</v>
      </c>
      <c r="M74" s="57">
        <f>Control!$F$39</f>
        <v>0</v>
      </c>
      <c r="N74" s="52" t="s">
        <v>88</v>
      </c>
      <c r="O74" s="70">
        <f>C74*$E$6*$G$6*$I$6*$M$6*$K$6</f>
        <v>0</v>
      </c>
      <c r="P74" s="51" t="s">
        <v>87</v>
      </c>
      <c r="Q74" s="65">
        <f>Control!$D$107</f>
        <v>9.9999999999999998E-13</v>
      </c>
      <c r="R74" s="52" t="s">
        <v>88</v>
      </c>
      <c r="S74" s="46">
        <f>O74*Q74</f>
        <v>0</v>
      </c>
      <c r="T74" s="51" t="s">
        <v>87</v>
      </c>
      <c r="U74" s="70">
        <f>Control!$D$101</f>
        <v>28</v>
      </c>
      <c r="V74" s="51" t="s">
        <v>87</v>
      </c>
      <c r="W74" s="46">
        <f>Control!$D$100</f>
        <v>0.27272727272727271</v>
      </c>
      <c r="X74" s="52" t="s">
        <v>88</v>
      </c>
      <c r="Y74" s="48">
        <f>S74*U$6*W$6</f>
        <v>0</v>
      </c>
      <c r="Z74" s="52" t="s">
        <v>88</v>
      </c>
      <c r="AA74" s="48">
        <f>Y74*C_CO2</f>
        <v>0</v>
      </c>
    </row>
    <row r="76" spans="1:27" ht="13">
      <c r="A76" s="37"/>
      <c r="B76" s="39">
        <f>B74+1</f>
        <v>2025</v>
      </c>
      <c r="C76" s="107"/>
      <c r="D76" s="51" t="s">
        <v>87</v>
      </c>
      <c r="E76" s="74">
        <f>Control!$F$37</f>
        <v>0</v>
      </c>
      <c r="F76" s="51" t="s">
        <v>87</v>
      </c>
      <c r="G76" s="70">
        <f>Control!$D$106</f>
        <v>1000</v>
      </c>
      <c r="H76" s="51" t="s">
        <v>87</v>
      </c>
      <c r="I76" s="44">
        <f>Control!$F$38</f>
        <v>0</v>
      </c>
      <c r="J76" s="51" t="s">
        <v>87</v>
      </c>
      <c r="K76" s="46">
        <f>Control!$F$40</f>
        <v>0</v>
      </c>
      <c r="L76" s="51" t="s">
        <v>87</v>
      </c>
      <c r="M76" s="57">
        <f>Control!$F$39</f>
        <v>0</v>
      </c>
      <c r="N76" s="52" t="s">
        <v>88</v>
      </c>
      <c r="O76" s="70">
        <f>C76*$E$6*$G$6*$I$6*$M$6*$K$6</f>
        <v>0</v>
      </c>
      <c r="P76" s="51" t="s">
        <v>87</v>
      </c>
      <c r="Q76" s="65">
        <f>Control!$D$107</f>
        <v>9.9999999999999998E-13</v>
      </c>
      <c r="R76" s="52" t="s">
        <v>88</v>
      </c>
      <c r="S76" s="46">
        <f>O76*Q76</f>
        <v>0</v>
      </c>
      <c r="T76" s="51" t="s">
        <v>87</v>
      </c>
      <c r="U76" s="70">
        <f>Control!$D$101</f>
        <v>28</v>
      </c>
      <c r="V76" s="51" t="s">
        <v>87</v>
      </c>
      <c r="W76" s="46">
        <f>Control!$D$100</f>
        <v>0.27272727272727271</v>
      </c>
      <c r="X76" s="52" t="s">
        <v>88</v>
      </c>
      <c r="Y76" s="48">
        <f>S76*U$6*W$6</f>
        <v>0</v>
      </c>
      <c r="Z76" s="52" t="s">
        <v>88</v>
      </c>
      <c r="AA76" s="48">
        <f>Y76*C_CO2</f>
        <v>0</v>
      </c>
    </row>
  </sheetData>
  <sheetProtection algorithmName="SHA-512" hashValue="BkEYpSoJpL9EcjMscnpgMVX6nDoMQWMjoaAi0b0pmyY/irQBEvM1qHQHwHq8JoOzsXgO/5g9GAwXixTm7VdN/A==" saltValue="fTL9VvZytuYVZK+YPP7TLA==" spinCount="100000" sheet="1" objects="1" scenarios="1"/>
  <mergeCells count="1">
    <mergeCell ref="A2:H2"/>
  </mergeCells>
  <phoneticPr fontId="10" type="noConversion"/>
  <dataValidations count="1">
    <dataValidation allowBlank="1" showInputMessage="1" showErrorMessage="1" prompt="There is no default data associated with this sector.  You will need to fill in all required data in order to estimate emissions." sqref="C74 C36 C38 C40 C44 C62 C46 C42 C48 C50 C52 C54 C56 C58 C60 C64 C8 C10 C12 C14 C16 C18 C20 C22 C24 C26 C28 C30 C32 C34 C6 C66 C68 C70 C72 C76" xr:uid="{00000000-0002-0000-0400-000000000000}"/>
  </dataValidations>
  <pageMargins left="0.75" right="0.75" top="1" bottom="1" header="0.5" footer="0.5"/>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AF76"/>
  <sheetViews>
    <sheetView showGridLines="0" workbookViewId="0">
      <pane ySplit="4" topLeftCell="A5" activePane="bottomLeft" state="frozen"/>
      <selection pane="bottomLeft" activeCell="Z2" sqref="Z2"/>
    </sheetView>
  </sheetViews>
  <sheetFormatPr baseColWidth="10" defaultColWidth="8" defaultRowHeight="11.25" customHeight="1"/>
  <cols>
    <col min="1" max="1" width="2.83203125" style="2" customWidth="1"/>
    <col min="2" max="2" width="5.1640625" style="2" customWidth="1"/>
    <col min="3" max="3" width="11.5" style="7" customWidth="1"/>
    <col min="4" max="4" width="1.83203125" style="2" bestFit="1" customWidth="1"/>
    <col min="5" max="5" width="7.83203125" style="2" customWidth="1"/>
    <col min="6" max="6" width="1.83203125" style="2" bestFit="1" customWidth="1"/>
    <col min="7" max="7" width="10" style="2" customWidth="1"/>
    <col min="8" max="8" width="1.83203125" style="2" bestFit="1" customWidth="1"/>
    <col min="9" max="9" width="7.83203125" style="2" customWidth="1"/>
    <col min="10" max="10" width="1.83203125" style="2" bestFit="1" customWidth="1"/>
    <col min="11" max="11" width="10.83203125" style="2" customWidth="1"/>
    <col min="12" max="12" width="1.83203125" style="2" bestFit="1" customWidth="1"/>
    <col min="13" max="13" width="8.1640625" style="2" customWidth="1"/>
    <col min="14" max="14" width="1.83203125" style="2" bestFit="1" customWidth="1"/>
    <col min="15" max="15" width="14.5" style="2" customWidth="1"/>
    <col min="16" max="16" width="1.83203125" style="2" bestFit="1" customWidth="1"/>
    <col min="17" max="17" width="10" style="2" customWidth="1"/>
    <col min="18" max="18" width="1.83203125" style="2" bestFit="1" customWidth="1"/>
    <col min="19" max="19" width="11.1640625" style="2" customWidth="1"/>
    <col min="20" max="20" width="1.83203125" style="2" bestFit="1" customWidth="1"/>
    <col min="21" max="21" width="6.1640625" style="2" customWidth="1"/>
    <col min="22" max="22" width="1.83203125" style="2" bestFit="1" customWidth="1"/>
    <col min="23" max="23" width="6" style="2" customWidth="1"/>
    <col min="24" max="24" width="1.83203125" style="2" bestFit="1" customWidth="1"/>
    <col min="25" max="25" width="9" style="2" customWidth="1"/>
    <col min="26" max="26" width="3.1640625" style="2" customWidth="1"/>
    <col min="27" max="27" width="8.5" style="2" customWidth="1"/>
    <col min="28" max="31" width="8" style="2" customWidth="1"/>
    <col min="32" max="32" width="10" style="2" customWidth="1"/>
    <col min="33" max="16384" width="8" style="2"/>
  </cols>
  <sheetData>
    <row r="1" spans="1:32" s="124" customFormat="1" ht="22.75" customHeight="1">
      <c r="B1" s="125" t="str">
        <f>"8. "&amp;SelectedState &amp; " Industrial Wastewater Methane - Red Meat"</f>
        <v>8. Select a state . . . Industrial Wastewater Methane - Red Meat</v>
      </c>
    </row>
    <row r="2" spans="1:32" ht="58.75" customHeight="1">
      <c r="A2" s="266" t="str">
        <f>SelectedStateAbbr</f>
        <v>XX</v>
      </c>
      <c r="B2" s="266"/>
      <c r="C2" s="266"/>
      <c r="D2" s="266"/>
      <c r="E2" s="266"/>
      <c r="F2" s="266"/>
      <c r="G2" s="266"/>
      <c r="H2" s="266"/>
      <c r="I2" s="106"/>
      <c r="J2" s="106"/>
      <c r="K2" s="106"/>
      <c r="L2" s="106"/>
      <c r="M2" s="106"/>
      <c r="N2" s="106"/>
      <c r="O2" s="106"/>
      <c r="P2" s="106"/>
      <c r="Q2" s="106"/>
    </row>
    <row r="3" spans="1:32" s="163" customFormat="1" ht="32.25" customHeight="1">
      <c r="A3" s="170"/>
      <c r="B3" s="35"/>
      <c r="C3" s="161" t="s">
        <v>116</v>
      </c>
      <c r="D3" s="161"/>
      <c r="E3" s="161" t="s">
        <v>117</v>
      </c>
      <c r="F3" s="162"/>
      <c r="G3" s="161" t="s">
        <v>71</v>
      </c>
      <c r="H3" s="162"/>
      <c r="I3" s="161" t="s">
        <v>118</v>
      </c>
      <c r="J3" s="162"/>
      <c r="K3" s="161" t="s">
        <v>72</v>
      </c>
      <c r="L3" s="162"/>
      <c r="M3" s="161" t="s">
        <v>119</v>
      </c>
      <c r="N3" s="162"/>
      <c r="O3" s="161" t="s">
        <v>74</v>
      </c>
      <c r="P3" s="162"/>
      <c r="Q3" s="161" t="s">
        <v>71</v>
      </c>
      <c r="R3" s="162"/>
      <c r="S3" s="161" t="s">
        <v>74</v>
      </c>
      <c r="T3" s="162"/>
      <c r="U3" s="161" t="s">
        <v>120</v>
      </c>
      <c r="V3" s="161"/>
      <c r="W3" s="161" t="s">
        <v>76</v>
      </c>
      <c r="X3" s="162"/>
      <c r="Y3" s="161" t="s">
        <v>74</v>
      </c>
      <c r="AA3" s="161" t="s">
        <v>74</v>
      </c>
    </row>
    <row r="4" spans="1:32" s="163" customFormat="1" ht="13">
      <c r="A4" s="172"/>
      <c r="B4" s="35"/>
      <c r="C4" s="36" t="s">
        <v>108</v>
      </c>
      <c r="D4" s="35"/>
      <c r="E4" s="36" t="s">
        <v>121</v>
      </c>
      <c r="F4" s="36"/>
      <c r="G4" s="36" t="s">
        <v>122</v>
      </c>
      <c r="H4" s="36"/>
      <c r="I4" s="36" t="s">
        <v>123</v>
      </c>
      <c r="J4" s="36"/>
      <c r="K4" s="36" t="s">
        <v>124</v>
      </c>
      <c r="L4" s="36"/>
      <c r="M4" s="36" t="s">
        <v>81</v>
      </c>
      <c r="N4" s="36"/>
      <c r="O4" s="36" t="s">
        <v>125</v>
      </c>
      <c r="P4" s="36"/>
      <c r="Q4" s="36" t="s">
        <v>126</v>
      </c>
      <c r="R4" s="36"/>
      <c r="S4" s="36" t="s">
        <v>127</v>
      </c>
      <c r="T4" s="36"/>
      <c r="U4" s="165" t="s">
        <v>83</v>
      </c>
      <c r="V4" s="36"/>
      <c r="W4" s="36"/>
      <c r="X4" s="36"/>
      <c r="Y4" s="165" t="s">
        <v>85</v>
      </c>
      <c r="AA4" s="165" t="s">
        <v>86</v>
      </c>
    </row>
    <row r="5" spans="1:32" ht="12">
      <c r="A5" s="18"/>
      <c r="B5" s="34"/>
      <c r="C5" s="54"/>
      <c r="D5" s="50"/>
      <c r="E5" s="54"/>
      <c r="F5" s="54"/>
      <c r="G5" s="54"/>
      <c r="H5" s="54"/>
      <c r="I5" s="54"/>
      <c r="J5" s="54"/>
      <c r="K5" s="54"/>
      <c r="L5" s="54"/>
      <c r="M5" s="54"/>
      <c r="N5" s="54"/>
      <c r="O5" s="54"/>
      <c r="P5" s="54"/>
      <c r="Q5" s="54"/>
      <c r="R5" s="54"/>
      <c r="S5" s="54"/>
      <c r="T5" s="54"/>
      <c r="U5" s="54"/>
      <c r="V5" s="54"/>
      <c r="W5" s="54"/>
      <c r="X5" s="54"/>
      <c r="Y5" s="54"/>
    </row>
    <row r="6" spans="1:32" ht="13">
      <c r="A6" s="37">
        <v>2</v>
      </c>
      <c r="B6" s="39">
        <v>1990</v>
      </c>
      <c r="C6" s="159"/>
      <c r="D6" s="51" t="s">
        <v>87</v>
      </c>
      <c r="E6" s="75">
        <f>Control!$F$44</f>
        <v>0</v>
      </c>
      <c r="F6" s="51" t="s">
        <v>87</v>
      </c>
      <c r="G6" s="70">
        <f>Control!$D$106</f>
        <v>1000</v>
      </c>
      <c r="H6" s="51" t="s">
        <v>87</v>
      </c>
      <c r="I6" s="76">
        <f>Control!$F$45</f>
        <v>0</v>
      </c>
      <c r="J6" s="51" t="s">
        <v>87</v>
      </c>
      <c r="K6" s="46">
        <f>Control!$F$47</f>
        <v>0</v>
      </c>
      <c r="L6" s="51" t="s">
        <v>87</v>
      </c>
      <c r="M6" s="57">
        <f>Control!$F$46</f>
        <v>0</v>
      </c>
      <c r="N6" s="52" t="s">
        <v>88</v>
      </c>
      <c r="O6" s="86">
        <f>C6*$E$6*$I$6*$M$6*$K$6*$G$6</f>
        <v>0</v>
      </c>
      <c r="P6" s="51" t="s">
        <v>87</v>
      </c>
      <c r="Q6" s="65">
        <f>Control!$D$107</f>
        <v>9.9999999999999998E-13</v>
      </c>
      <c r="R6" s="52" t="s">
        <v>88</v>
      </c>
      <c r="S6" s="46">
        <f>O6*Q6</f>
        <v>0</v>
      </c>
      <c r="T6" s="51" t="s">
        <v>87</v>
      </c>
      <c r="U6" s="70">
        <f>Control!$D$101</f>
        <v>28</v>
      </c>
      <c r="V6" s="51" t="s">
        <v>87</v>
      </c>
      <c r="W6" s="46">
        <f>Control!$D$100</f>
        <v>0.27272727272727271</v>
      </c>
      <c r="X6" s="52" t="s">
        <v>88</v>
      </c>
      <c r="Y6" s="48">
        <f>S6*U$6*W$6</f>
        <v>0</v>
      </c>
      <c r="Z6" s="52" t="s">
        <v>88</v>
      </c>
      <c r="AA6" s="48">
        <f>Y6*C_CO2</f>
        <v>0</v>
      </c>
      <c r="AF6" s="79"/>
    </row>
    <row r="7" spans="1:32" ht="11">
      <c r="A7" s="37"/>
      <c r="B7" s="40"/>
      <c r="C7" s="49"/>
      <c r="D7" s="50"/>
      <c r="E7" s="77"/>
      <c r="F7" s="50"/>
      <c r="G7" s="50"/>
      <c r="H7" s="50"/>
      <c r="I7" s="78"/>
      <c r="J7" s="50"/>
      <c r="K7" s="50"/>
      <c r="L7" s="50"/>
      <c r="M7" s="50"/>
      <c r="N7" s="50"/>
      <c r="O7" s="84"/>
      <c r="P7" s="50"/>
      <c r="Q7" s="50"/>
      <c r="R7" s="50"/>
      <c r="S7" s="50"/>
      <c r="T7" s="50"/>
      <c r="U7" s="50"/>
      <c r="V7" s="50"/>
      <c r="W7" s="82"/>
      <c r="X7" s="50"/>
      <c r="Y7" s="50"/>
      <c r="Z7" s="50"/>
      <c r="AF7" s="79"/>
    </row>
    <row r="8" spans="1:32" ht="13">
      <c r="A8" s="37">
        <v>3</v>
      </c>
      <c r="B8" s="39">
        <f>B6+1</f>
        <v>1991</v>
      </c>
      <c r="C8" s="159"/>
      <c r="D8" s="51" t="s">
        <v>87</v>
      </c>
      <c r="E8" s="75">
        <f>Control!$F$44</f>
        <v>0</v>
      </c>
      <c r="F8" s="51" t="s">
        <v>87</v>
      </c>
      <c r="G8" s="70">
        <f>Control!$D$106</f>
        <v>1000</v>
      </c>
      <c r="H8" s="51" t="s">
        <v>87</v>
      </c>
      <c r="I8" s="76">
        <f>Control!$F$45</f>
        <v>0</v>
      </c>
      <c r="J8" s="51" t="s">
        <v>87</v>
      </c>
      <c r="K8" s="46">
        <f>Control!$F$47</f>
        <v>0</v>
      </c>
      <c r="L8" s="51" t="s">
        <v>87</v>
      </c>
      <c r="M8" s="57">
        <f>Control!$F$46</f>
        <v>0</v>
      </c>
      <c r="N8" s="52" t="s">
        <v>88</v>
      </c>
      <c r="O8" s="86">
        <f>C8*$E$6*$I$6*$M$6*$K$6*$G$6</f>
        <v>0</v>
      </c>
      <c r="P8" s="51" t="s">
        <v>87</v>
      </c>
      <c r="Q8" s="65">
        <f>Control!$D$107</f>
        <v>9.9999999999999998E-13</v>
      </c>
      <c r="R8" s="52" t="s">
        <v>88</v>
      </c>
      <c r="S8" s="46">
        <f>O8*Q8</f>
        <v>0</v>
      </c>
      <c r="T8" s="51" t="s">
        <v>87</v>
      </c>
      <c r="U8" s="70">
        <f>Control!$D$101</f>
        <v>28</v>
      </c>
      <c r="V8" s="51" t="s">
        <v>87</v>
      </c>
      <c r="W8" s="46">
        <f>Control!$D$100</f>
        <v>0.27272727272727271</v>
      </c>
      <c r="X8" s="52" t="s">
        <v>88</v>
      </c>
      <c r="Y8" s="48">
        <f>S8*U$6*W$6</f>
        <v>0</v>
      </c>
      <c r="Z8" s="52" t="s">
        <v>88</v>
      </c>
      <c r="AA8" s="48">
        <f>Y8*C_CO2</f>
        <v>0</v>
      </c>
      <c r="AF8" s="79"/>
    </row>
    <row r="9" spans="1:32" ht="11">
      <c r="A9" s="37"/>
      <c r="B9" s="41"/>
      <c r="C9" s="49"/>
      <c r="D9" s="50"/>
      <c r="E9" s="77"/>
      <c r="F9" s="50"/>
      <c r="G9" s="50"/>
      <c r="H9" s="50"/>
      <c r="I9" s="78"/>
      <c r="J9" s="50"/>
      <c r="K9" s="50"/>
      <c r="L9" s="50"/>
      <c r="M9" s="50"/>
      <c r="N9" s="50"/>
      <c r="O9" s="84"/>
      <c r="P9" s="50"/>
      <c r="Q9" s="50"/>
      <c r="R9" s="50"/>
      <c r="S9" s="50"/>
      <c r="T9" s="50"/>
      <c r="U9" s="50"/>
      <c r="V9" s="50"/>
      <c r="W9" s="82"/>
      <c r="X9" s="50"/>
      <c r="Y9" s="50"/>
      <c r="Z9" s="50"/>
      <c r="AF9" s="79"/>
    </row>
    <row r="10" spans="1:32" ht="13">
      <c r="A10" s="37">
        <v>4</v>
      </c>
      <c r="B10" s="39">
        <f>B8+1</f>
        <v>1992</v>
      </c>
      <c r="C10" s="159"/>
      <c r="D10" s="51" t="s">
        <v>87</v>
      </c>
      <c r="E10" s="75">
        <f>Control!$F$44</f>
        <v>0</v>
      </c>
      <c r="F10" s="51" t="s">
        <v>87</v>
      </c>
      <c r="G10" s="70">
        <f>Control!$D$106</f>
        <v>1000</v>
      </c>
      <c r="H10" s="51" t="s">
        <v>87</v>
      </c>
      <c r="I10" s="76">
        <f>Control!$F$45</f>
        <v>0</v>
      </c>
      <c r="J10" s="51" t="s">
        <v>87</v>
      </c>
      <c r="K10" s="46">
        <f>Control!$F$47</f>
        <v>0</v>
      </c>
      <c r="L10" s="51" t="s">
        <v>87</v>
      </c>
      <c r="M10" s="57">
        <f>Control!$F$46</f>
        <v>0</v>
      </c>
      <c r="N10" s="52" t="s">
        <v>88</v>
      </c>
      <c r="O10" s="86">
        <f>C10*$E$6*$I$6*$M$6*$K$6*$G$6</f>
        <v>0</v>
      </c>
      <c r="P10" s="51" t="s">
        <v>87</v>
      </c>
      <c r="Q10" s="65">
        <f>Control!$D$107</f>
        <v>9.9999999999999998E-13</v>
      </c>
      <c r="R10" s="52" t="s">
        <v>88</v>
      </c>
      <c r="S10" s="46">
        <f>O10*Q10</f>
        <v>0</v>
      </c>
      <c r="T10" s="51" t="s">
        <v>87</v>
      </c>
      <c r="U10" s="70">
        <f>Control!$D$101</f>
        <v>28</v>
      </c>
      <c r="V10" s="51" t="s">
        <v>87</v>
      </c>
      <c r="W10" s="46">
        <f>Control!$D$100</f>
        <v>0.27272727272727271</v>
      </c>
      <c r="X10" s="52" t="s">
        <v>88</v>
      </c>
      <c r="Y10" s="48">
        <f>S10*U$6*W$6</f>
        <v>0</v>
      </c>
      <c r="Z10" s="52" t="s">
        <v>88</v>
      </c>
      <c r="AA10" s="48">
        <f>Y10*C_CO2</f>
        <v>0</v>
      </c>
      <c r="AF10" s="79"/>
    </row>
    <row r="11" spans="1:32" ht="11">
      <c r="A11" s="37"/>
      <c r="B11" s="40"/>
      <c r="C11" s="49"/>
      <c r="D11" s="50"/>
      <c r="E11" s="77"/>
      <c r="F11" s="50"/>
      <c r="G11" s="50"/>
      <c r="H11" s="50"/>
      <c r="I11" s="78"/>
      <c r="J11" s="50"/>
      <c r="K11" s="50"/>
      <c r="L11" s="50"/>
      <c r="M11" s="50"/>
      <c r="N11" s="50"/>
      <c r="O11" s="84"/>
      <c r="P11" s="50"/>
      <c r="Q11" s="50"/>
      <c r="R11" s="50"/>
      <c r="S11" s="50"/>
      <c r="T11" s="50"/>
      <c r="U11" s="50"/>
      <c r="V11" s="50"/>
      <c r="W11" s="82"/>
      <c r="X11" s="50"/>
      <c r="Y11" s="50"/>
      <c r="Z11" s="50"/>
      <c r="AF11" s="79"/>
    </row>
    <row r="12" spans="1:32" ht="13">
      <c r="A12" s="37">
        <v>5</v>
      </c>
      <c r="B12" s="39">
        <f>B10+1</f>
        <v>1993</v>
      </c>
      <c r="C12" s="159"/>
      <c r="D12" s="51" t="s">
        <v>87</v>
      </c>
      <c r="E12" s="75">
        <f>Control!$F$44</f>
        <v>0</v>
      </c>
      <c r="F12" s="51" t="s">
        <v>87</v>
      </c>
      <c r="G12" s="70">
        <f>Control!$D$106</f>
        <v>1000</v>
      </c>
      <c r="H12" s="51" t="s">
        <v>87</v>
      </c>
      <c r="I12" s="76">
        <f>Control!$F$45</f>
        <v>0</v>
      </c>
      <c r="J12" s="51" t="s">
        <v>87</v>
      </c>
      <c r="K12" s="46">
        <f>Control!$F$47</f>
        <v>0</v>
      </c>
      <c r="L12" s="51" t="s">
        <v>87</v>
      </c>
      <c r="M12" s="57">
        <f>Control!$F$46</f>
        <v>0</v>
      </c>
      <c r="N12" s="52" t="s">
        <v>88</v>
      </c>
      <c r="O12" s="86">
        <f>C12*$E$6*$I$6*$M$6*$K$6*$G$6</f>
        <v>0</v>
      </c>
      <c r="P12" s="51" t="s">
        <v>87</v>
      </c>
      <c r="Q12" s="65">
        <f>Control!$D$107</f>
        <v>9.9999999999999998E-13</v>
      </c>
      <c r="R12" s="52" t="s">
        <v>88</v>
      </c>
      <c r="S12" s="46">
        <f>O12*Q12</f>
        <v>0</v>
      </c>
      <c r="T12" s="51" t="s">
        <v>87</v>
      </c>
      <c r="U12" s="70">
        <f>Control!$D$101</f>
        <v>28</v>
      </c>
      <c r="V12" s="51" t="s">
        <v>87</v>
      </c>
      <c r="W12" s="46">
        <f>Control!$D$100</f>
        <v>0.27272727272727271</v>
      </c>
      <c r="X12" s="52" t="s">
        <v>88</v>
      </c>
      <c r="Y12" s="48">
        <f>S12*U$6*W$6</f>
        <v>0</v>
      </c>
      <c r="Z12" s="52" t="s">
        <v>88</v>
      </c>
      <c r="AA12" s="48">
        <f>Y12*C_CO2</f>
        <v>0</v>
      </c>
      <c r="AF12" s="79"/>
    </row>
    <row r="13" spans="1:32" ht="11">
      <c r="A13" s="37"/>
      <c r="B13" s="40"/>
      <c r="C13" s="49"/>
      <c r="D13" s="50"/>
      <c r="E13" s="77"/>
      <c r="F13" s="50"/>
      <c r="G13" s="50"/>
      <c r="H13" s="50"/>
      <c r="I13" s="78"/>
      <c r="J13" s="50"/>
      <c r="K13" s="50"/>
      <c r="L13" s="50"/>
      <c r="M13" s="50"/>
      <c r="N13" s="50"/>
      <c r="O13" s="84"/>
      <c r="P13" s="50"/>
      <c r="Q13" s="50"/>
      <c r="R13" s="50"/>
      <c r="S13" s="50"/>
      <c r="T13" s="50"/>
      <c r="U13" s="50"/>
      <c r="V13" s="50"/>
      <c r="W13" s="82"/>
      <c r="X13" s="50"/>
      <c r="Y13" s="50"/>
      <c r="Z13" s="50"/>
      <c r="AF13" s="79"/>
    </row>
    <row r="14" spans="1:32" ht="13">
      <c r="A14" s="37">
        <v>6</v>
      </c>
      <c r="B14" s="39">
        <f>B12+1</f>
        <v>1994</v>
      </c>
      <c r="C14" s="159"/>
      <c r="D14" s="51" t="s">
        <v>87</v>
      </c>
      <c r="E14" s="75">
        <f>Control!$F$44</f>
        <v>0</v>
      </c>
      <c r="F14" s="51" t="s">
        <v>87</v>
      </c>
      <c r="G14" s="70">
        <f>Control!$D$106</f>
        <v>1000</v>
      </c>
      <c r="H14" s="51" t="s">
        <v>87</v>
      </c>
      <c r="I14" s="76">
        <f>Control!$F$45</f>
        <v>0</v>
      </c>
      <c r="J14" s="51" t="s">
        <v>87</v>
      </c>
      <c r="K14" s="46">
        <f>Control!$F$47</f>
        <v>0</v>
      </c>
      <c r="L14" s="51" t="s">
        <v>87</v>
      </c>
      <c r="M14" s="57">
        <f>Control!$F$46</f>
        <v>0</v>
      </c>
      <c r="N14" s="52" t="s">
        <v>88</v>
      </c>
      <c r="O14" s="86">
        <f>C14*$E$6*$I$6*$M$6*$K$6*$G$6</f>
        <v>0</v>
      </c>
      <c r="P14" s="51" t="s">
        <v>87</v>
      </c>
      <c r="Q14" s="65">
        <f>Control!$D$107</f>
        <v>9.9999999999999998E-13</v>
      </c>
      <c r="R14" s="52" t="s">
        <v>88</v>
      </c>
      <c r="S14" s="46">
        <f>O14*Q14</f>
        <v>0</v>
      </c>
      <c r="T14" s="51" t="s">
        <v>87</v>
      </c>
      <c r="U14" s="70">
        <f>Control!$D$101</f>
        <v>28</v>
      </c>
      <c r="V14" s="51" t="s">
        <v>87</v>
      </c>
      <c r="W14" s="46">
        <f>Control!$D$100</f>
        <v>0.27272727272727271</v>
      </c>
      <c r="X14" s="52" t="s">
        <v>88</v>
      </c>
      <c r="Y14" s="48">
        <f>S14*U$6*W$6</f>
        <v>0</v>
      </c>
      <c r="Z14" s="52" t="s">
        <v>88</v>
      </c>
      <c r="AA14" s="48">
        <f>Y14*C_CO2</f>
        <v>0</v>
      </c>
      <c r="AF14" s="79"/>
    </row>
    <row r="15" spans="1:32" ht="11">
      <c r="A15" s="37"/>
      <c r="B15" s="40"/>
      <c r="C15" s="49"/>
      <c r="D15" s="50"/>
      <c r="E15" s="77"/>
      <c r="F15" s="50"/>
      <c r="G15" s="50"/>
      <c r="H15" s="50"/>
      <c r="I15" s="78"/>
      <c r="J15" s="50"/>
      <c r="K15" s="50"/>
      <c r="L15" s="50"/>
      <c r="M15" s="50"/>
      <c r="N15" s="50"/>
      <c r="O15" s="84"/>
      <c r="P15" s="50"/>
      <c r="Q15" s="50"/>
      <c r="R15" s="50"/>
      <c r="S15" s="50"/>
      <c r="T15" s="50"/>
      <c r="U15" s="50"/>
      <c r="V15" s="50"/>
      <c r="W15" s="82"/>
      <c r="X15" s="50"/>
      <c r="Y15" s="50"/>
      <c r="Z15" s="50"/>
      <c r="AF15" s="79"/>
    </row>
    <row r="16" spans="1:32" ht="13">
      <c r="A16" s="37">
        <v>7</v>
      </c>
      <c r="B16" s="39">
        <f>B14+1</f>
        <v>1995</v>
      </c>
      <c r="C16" s="159"/>
      <c r="D16" s="51" t="s">
        <v>87</v>
      </c>
      <c r="E16" s="75">
        <f>Control!$F$44</f>
        <v>0</v>
      </c>
      <c r="F16" s="51" t="s">
        <v>87</v>
      </c>
      <c r="G16" s="70">
        <f>Control!$D$106</f>
        <v>1000</v>
      </c>
      <c r="H16" s="51" t="s">
        <v>87</v>
      </c>
      <c r="I16" s="76">
        <f>Control!$F$45</f>
        <v>0</v>
      </c>
      <c r="J16" s="51" t="s">
        <v>87</v>
      </c>
      <c r="K16" s="46">
        <f>Control!$F$47</f>
        <v>0</v>
      </c>
      <c r="L16" s="51" t="s">
        <v>87</v>
      </c>
      <c r="M16" s="57">
        <f>Control!$F$46</f>
        <v>0</v>
      </c>
      <c r="N16" s="52" t="s">
        <v>88</v>
      </c>
      <c r="O16" s="86">
        <f>C16*$E$6*$I$6*$M$6*$K$6*$G$6</f>
        <v>0</v>
      </c>
      <c r="P16" s="51" t="s">
        <v>87</v>
      </c>
      <c r="Q16" s="65">
        <f>Control!$D$107</f>
        <v>9.9999999999999998E-13</v>
      </c>
      <c r="R16" s="52" t="s">
        <v>88</v>
      </c>
      <c r="S16" s="46">
        <f>O16*Q16</f>
        <v>0</v>
      </c>
      <c r="T16" s="51" t="s">
        <v>87</v>
      </c>
      <c r="U16" s="70">
        <f>Control!$D$101</f>
        <v>28</v>
      </c>
      <c r="V16" s="51" t="s">
        <v>87</v>
      </c>
      <c r="W16" s="46">
        <f>Control!$D$100</f>
        <v>0.27272727272727271</v>
      </c>
      <c r="X16" s="52" t="s">
        <v>88</v>
      </c>
      <c r="Y16" s="48">
        <f>S16*U$6*W$6</f>
        <v>0</v>
      </c>
      <c r="Z16" s="52" t="s">
        <v>88</v>
      </c>
      <c r="AA16" s="48">
        <f>Y16*C_CO2</f>
        <v>0</v>
      </c>
      <c r="AF16" s="79"/>
    </row>
    <row r="17" spans="1:32" ht="11">
      <c r="A17" s="37"/>
      <c r="B17" s="40"/>
      <c r="C17" s="49"/>
      <c r="D17" s="50"/>
      <c r="E17" s="77"/>
      <c r="F17" s="50"/>
      <c r="G17" s="50"/>
      <c r="H17" s="50"/>
      <c r="I17" s="78"/>
      <c r="J17" s="50"/>
      <c r="K17" s="50"/>
      <c r="L17" s="50"/>
      <c r="M17" s="50"/>
      <c r="N17" s="50"/>
      <c r="O17" s="84"/>
      <c r="P17" s="50"/>
      <c r="Q17" s="50"/>
      <c r="R17" s="50"/>
      <c r="S17" s="50"/>
      <c r="T17" s="50"/>
      <c r="U17" s="50"/>
      <c r="V17" s="50"/>
      <c r="W17" s="82"/>
      <c r="X17" s="50"/>
      <c r="Y17" s="50"/>
      <c r="Z17" s="50"/>
      <c r="AF17" s="79"/>
    </row>
    <row r="18" spans="1:32" ht="13">
      <c r="A18" s="37">
        <v>8</v>
      </c>
      <c r="B18" s="39">
        <f>B16+1</f>
        <v>1996</v>
      </c>
      <c r="C18" s="159"/>
      <c r="D18" s="51" t="s">
        <v>87</v>
      </c>
      <c r="E18" s="75">
        <f>Control!$F$44</f>
        <v>0</v>
      </c>
      <c r="F18" s="51" t="s">
        <v>87</v>
      </c>
      <c r="G18" s="70">
        <f>Control!$D$106</f>
        <v>1000</v>
      </c>
      <c r="H18" s="51" t="s">
        <v>87</v>
      </c>
      <c r="I18" s="76">
        <f>Control!$F$45</f>
        <v>0</v>
      </c>
      <c r="J18" s="51" t="s">
        <v>87</v>
      </c>
      <c r="K18" s="46">
        <f>Control!$F$47</f>
        <v>0</v>
      </c>
      <c r="L18" s="51" t="s">
        <v>87</v>
      </c>
      <c r="M18" s="57">
        <f>Control!$F$46</f>
        <v>0</v>
      </c>
      <c r="N18" s="52" t="s">
        <v>88</v>
      </c>
      <c r="O18" s="86">
        <f>C18*$E$6*$I$6*$M$6*$K$6*$G$6</f>
        <v>0</v>
      </c>
      <c r="P18" s="51" t="s">
        <v>87</v>
      </c>
      <c r="Q18" s="65">
        <f>Control!$D$107</f>
        <v>9.9999999999999998E-13</v>
      </c>
      <c r="R18" s="52" t="s">
        <v>88</v>
      </c>
      <c r="S18" s="46">
        <f>O18*Q18</f>
        <v>0</v>
      </c>
      <c r="T18" s="51" t="s">
        <v>87</v>
      </c>
      <c r="U18" s="70">
        <f>Control!$D$101</f>
        <v>28</v>
      </c>
      <c r="V18" s="51" t="s">
        <v>87</v>
      </c>
      <c r="W18" s="46">
        <f>Control!$D$100</f>
        <v>0.27272727272727271</v>
      </c>
      <c r="X18" s="52" t="s">
        <v>88</v>
      </c>
      <c r="Y18" s="48">
        <f>S18*U$6*W$6</f>
        <v>0</v>
      </c>
      <c r="Z18" s="52" t="s">
        <v>88</v>
      </c>
      <c r="AA18" s="48">
        <f>Y18*C_CO2</f>
        <v>0</v>
      </c>
      <c r="AF18" s="79"/>
    </row>
    <row r="19" spans="1:32" ht="11">
      <c r="A19" s="37"/>
      <c r="B19" s="40"/>
      <c r="C19" s="49"/>
      <c r="D19" s="50"/>
      <c r="E19" s="77"/>
      <c r="F19" s="50"/>
      <c r="G19" s="50"/>
      <c r="H19" s="50"/>
      <c r="I19" s="78"/>
      <c r="J19" s="50"/>
      <c r="K19" s="50"/>
      <c r="L19" s="50"/>
      <c r="M19" s="50"/>
      <c r="N19" s="50"/>
      <c r="O19" s="84"/>
      <c r="P19" s="50"/>
      <c r="Q19" s="50"/>
      <c r="R19" s="50"/>
      <c r="S19" s="50"/>
      <c r="T19" s="50"/>
      <c r="U19" s="50"/>
      <c r="V19" s="50"/>
      <c r="W19" s="82"/>
      <c r="X19" s="50"/>
      <c r="Y19" s="50"/>
      <c r="Z19" s="50"/>
      <c r="AF19" s="79"/>
    </row>
    <row r="20" spans="1:32" ht="13">
      <c r="A20" s="37">
        <v>9</v>
      </c>
      <c r="B20" s="39">
        <f>B18+1</f>
        <v>1997</v>
      </c>
      <c r="C20" s="159"/>
      <c r="D20" s="51" t="s">
        <v>87</v>
      </c>
      <c r="E20" s="75">
        <f>Control!$F$44</f>
        <v>0</v>
      </c>
      <c r="F20" s="51" t="s">
        <v>87</v>
      </c>
      <c r="G20" s="70">
        <f>Control!$D$106</f>
        <v>1000</v>
      </c>
      <c r="H20" s="51" t="s">
        <v>87</v>
      </c>
      <c r="I20" s="76">
        <f>Control!$F$45</f>
        <v>0</v>
      </c>
      <c r="J20" s="51" t="s">
        <v>87</v>
      </c>
      <c r="K20" s="46">
        <f>Control!$F$47</f>
        <v>0</v>
      </c>
      <c r="L20" s="51" t="s">
        <v>87</v>
      </c>
      <c r="M20" s="57">
        <f>Control!$F$46</f>
        <v>0</v>
      </c>
      <c r="N20" s="52" t="s">
        <v>88</v>
      </c>
      <c r="O20" s="86">
        <f>C20*$E$6*$I$6*$M$6*$K$6*$G$6</f>
        <v>0</v>
      </c>
      <c r="P20" s="51" t="s">
        <v>87</v>
      </c>
      <c r="Q20" s="65">
        <f>Control!$D$107</f>
        <v>9.9999999999999998E-13</v>
      </c>
      <c r="R20" s="52" t="s">
        <v>88</v>
      </c>
      <c r="S20" s="46">
        <f>O20*Q20</f>
        <v>0</v>
      </c>
      <c r="T20" s="51" t="s">
        <v>87</v>
      </c>
      <c r="U20" s="70">
        <f>Control!$D$101</f>
        <v>28</v>
      </c>
      <c r="V20" s="51" t="s">
        <v>87</v>
      </c>
      <c r="W20" s="46">
        <f>Control!$D$100</f>
        <v>0.27272727272727271</v>
      </c>
      <c r="X20" s="52" t="s">
        <v>88</v>
      </c>
      <c r="Y20" s="48">
        <f>S20*U$6*W$6</f>
        <v>0</v>
      </c>
      <c r="Z20" s="52" t="s">
        <v>88</v>
      </c>
      <c r="AA20" s="48">
        <f>Y20*C_CO2</f>
        <v>0</v>
      </c>
      <c r="AF20" s="79"/>
    </row>
    <row r="21" spans="1:32" ht="11">
      <c r="A21" s="37"/>
      <c r="B21" s="40"/>
      <c r="C21" s="49"/>
      <c r="D21" s="50"/>
      <c r="E21" s="77"/>
      <c r="F21" s="50"/>
      <c r="G21" s="50"/>
      <c r="H21" s="50"/>
      <c r="I21" s="78"/>
      <c r="J21" s="50"/>
      <c r="K21" s="50"/>
      <c r="L21" s="50"/>
      <c r="M21" s="50"/>
      <c r="N21" s="50"/>
      <c r="O21" s="84"/>
      <c r="P21" s="50"/>
      <c r="Q21" s="50"/>
      <c r="R21" s="50"/>
      <c r="S21" s="50"/>
      <c r="T21" s="50"/>
      <c r="U21" s="50"/>
      <c r="V21" s="50"/>
      <c r="W21" s="82"/>
      <c r="X21" s="50"/>
      <c r="Y21" s="50"/>
      <c r="Z21" s="50"/>
      <c r="AF21" s="79"/>
    </row>
    <row r="22" spans="1:32" ht="13">
      <c r="A22" s="37">
        <v>10</v>
      </c>
      <c r="B22" s="39">
        <f>B20+1</f>
        <v>1998</v>
      </c>
      <c r="C22" s="159"/>
      <c r="D22" s="51" t="s">
        <v>87</v>
      </c>
      <c r="E22" s="75">
        <f>Control!$F$44</f>
        <v>0</v>
      </c>
      <c r="F22" s="51" t="s">
        <v>87</v>
      </c>
      <c r="G22" s="70">
        <f>Control!$D$106</f>
        <v>1000</v>
      </c>
      <c r="H22" s="51" t="s">
        <v>87</v>
      </c>
      <c r="I22" s="76">
        <f>Control!$F$45</f>
        <v>0</v>
      </c>
      <c r="J22" s="51" t="s">
        <v>87</v>
      </c>
      <c r="K22" s="46">
        <f>Control!$F$47</f>
        <v>0</v>
      </c>
      <c r="L22" s="51" t="s">
        <v>87</v>
      </c>
      <c r="M22" s="57">
        <f>Control!$F$46</f>
        <v>0</v>
      </c>
      <c r="N22" s="52" t="s">
        <v>88</v>
      </c>
      <c r="O22" s="86">
        <f>C22*$E$6*$I$6*$M$6*$K$6*$G$6</f>
        <v>0</v>
      </c>
      <c r="P22" s="51" t="s">
        <v>87</v>
      </c>
      <c r="Q22" s="65">
        <f>Control!$D$107</f>
        <v>9.9999999999999998E-13</v>
      </c>
      <c r="R22" s="52" t="s">
        <v>88</v>
      </c>
      <c r="S22" s="46">
        <f>O22*Q22</f>
        <v>0</v>
      </c>
      <c r="T22" s="51" t="s">
        <v>87</v>
      </c>
      <c r="U22" s="70">
        <f>Control!$D$101</f>
        <v>28</v>
      </c>
      <c r="V22" s="51" t="s">
        <v>87</v>
      </c>
      <c r="W22" s="46">
        <f>Control!$D$100</f>
        <v>0.27272727272727271</v>
      </c>
      <c r="X22" s="52" t="s">
        <v>88</v>
      </c>
      <c r="Y22" s="48">
        <f>S22*U$6*W$6</f>
        <v>0</v>
      </c>
      <c r="Z22" s="52" t="s">
        <v>88</v>
      </c>
      <c r="AA22" s="48">
        <f>Y22*C_CO2</f>
        <v>0</v>
      </c>
      <c r="AF22" s="79"/>
    </row>
    <row r="23" spans="1:32" ht="11">
      <c r="A23" s="37"/>
      <c r="B23" s="40"/>
      <c r="C23" s="49"/>
      <c r="D23" s="50"/>
      <c r="E23" s="77"/>
      <c r="F23" s="50"/>
      <c r="G23" s="50"/>
      <c r="H23" s="50"/>
      <c r="I23" s="78"/>
      <c r="J23" s="50"/>
      <c r="K23" s="50"/>
      <c r="L23" s="50"/>
      <c r="M23" s="50"/>
      <c r="N23" s="50"/>
      <c r="O23" s="84"/>
      <c r="P23" s="50"/>
      <c r="Q23" s="50"/>
      <c r="R23" s="50"/>
      <c r="S23" s="50"/>
      <c r="T23" s="50"/>
      <c r="U23" s="50"/>
      <c r="V23" s="50"/>
      <c r="W23" s="82"/>
      <c r="X23" s="50"/>
      <c r="Y23" s="50"/>
      <c r="Z23" s="50"/>
      <c r="AF23" s="79"/>
    </row>
    <row r="24" spans="1:32" ht="13">
      <c r="A24" s="37">
        <v>11</v>
      </c>
      <c r="B24" s="39">
        <f>B22+1</f>
        <v>1999</v>
      </c>
      <c r="C24" s="159"/>
      <c r="D24" s="51" t="s">
        <v>87</v>
      </c>
      <c r="E24" s="75">
        <f>Control!$F$44</f>
        <v>0</v>
      </c>
      <c r="F24" s="51" t="s">
        <v>87</v>
      </c>
      <c r="G24" s="70">
        <f>Control!$D$106</f>
        <v>1000</v>
      </c>
      <c r="H24" s="51" t="s">
        <v>87</v>
      </c>
      <c r="I24" s="76">
        <f>Control!$F$45</f>
        <v>0</v>
      </c>
      <c r="J24" s="51" t="s">
        <v>87</v>
      </c>
      <c r="K24" s="46">
        <f>Control!$F$47</f>
        <v>0</v>
      </c>
      <c r="L24" s="51" t="s">
        <v>87</v>
      </c>
      <c r="M24" s="57">
        <f>Control!$F$46</f>
        <v>0</v>
      </c>
      <c r="N24" s="52" t="s">
        <v>88</v>
      </c>
      <c r="O24" s="86">
        <f>C24*$E$6*$I$6*$M$6*$K$6*$G$6</f>
        <v>0</v>
      </c>
      <c r="P24" s="51" t="s">
        <v>87</v>
      </c>
      <c r="Q24" s="65">
        <f>Control!$D$107</f>
        <v>9.9999999999999998E-13</v>
      </c>
      <c r="R24" s="52" t="s">
        <v>88</v>
      </c>
      <c r="S24" s="46">
        <f>O24*Q24</f>
        <v>0</v>
      </c>
      <c r="T24" s="51" t="s">
        <v>87</v>
      </c>
      <c r="U24" s="70">
        <f>Control!$D$101</f>
        <v>28</v>
      </c>
      <c r="V24" s="51" t="s">
        <v>87</v>
      </c>
      <c r="W24" s="46">
        <f>Control!$D$100</f>
        <v>0.27272727272727271</v>
      </c>
      <c r="X24" s="52" t="s">
        <v>88</v>
      </c>
      <c r="Y24" s="48">
        <f>S24*U$6*W$6</f>
        <v>0</v>
      </c>
      <c r="Z24" s="52" t="s">
        <v>88</v>
      </c>
      <c r="AA24" s="48">
        <f>Y24*C_CO2</f>
        <v>0</v>
      </c>
      <c r="AF24" s="79"/>
    </row>
    <row r="25" spans="1:32" ht="11">
      <c r="A25" s="37"/>
      <c r="B25" s="40"/>
      <c r="C25" s="49"/>
      <c r="D25" s="50"/>
      <c r="E25" s="77"/>
      <c r="F25" s="50"/>
      <c r="G25" s="50"/>
      <c r="H25" s="50"/>
      <c r="I25" s="78"/>
      <c r="J25" s="50"/>
      <c r="K25" s="50"/>
      <c r="L25" s="50"/>
      <c r="M25" s="50"/>
      <c r="N25" s="50"/>
      <c r="O25" s="84"/>
      <c r="P25" s="50"/>
      <c r="Q25" s="50"/>
      <c r="R25" s="50"/>
      <c r="S25" s="50"/>
      <c r="T25" s="50"/>
      <c r="U25" s="50"/>
      <c r="V25" s="50"/>
      <c r="W25" s="82"/>
      <c r="X25" s="50"/>
      <c r="Y25" s="50"/>
      <c r="Z25" s="50"/>
      <c r="AF25" s="79"/>
    </row>
    <row r="26" spans="1:32" ht="13">
      <c r="A26" s="37">
        <v>12</v>
      </c>
      <c r="B26" s="39">
        <f>B24+1</f>
        <v>2000</v>
      </c>
      <c r="C26" s="159"/>
      <c r="D26" s="51" t="s">
        <v>87</v>
      </c>
      <c r="E26" s="75">
        <f>Control!$F$44</f>
        <v>0</v>
      </c>
      <c r="F26" s="51" t="s">
        <v>87</v>
      </c>
      <c r="G26" s="70">
        <f>Control!$D$106</f>
        <v>1000</v>
      </c>
      <c r="H26" s="51" t="s">
        <v>87</v>
      </c>
      <c r="I26" s="76">
        <f>Control!$F$45</f>
        <v>0</v>
      </c>
      <c r="J26" s="51" t="s">
        <v>87</v>
      </c>
      <c r="K26" s="46">
        <f>Control!$F$47</f>
        <v>0</v>
      </c>
      <c r="L26" s="51" t="s">
        <v>87</v>
      </c>
      <c r="M26" s="57">
        <f>Control!$F$46</f>
        <v>0</v>
      </c>
      <c r="N26" s="52" t="s">
        <v>88</v>
      </c>
      <c r="O26" s="86">
        <f>C26*$E$6*$I$6*$M$6*$K$6*$G$6</f>
        <v>0</v>
      </c>
      <c r="P26" s="51" t="s">
        <v>87</v>
      </c>
      <c r="Q26" s="65">
        <f>Control!$D$107</f>
        <v>9.9999999999999998E-13</v>
      </c>
      <c r="R26" s="52" t="s">
        <v>88</v>
      </c>
      <c r="S26" s="46">
        <f>O26*Q26</f>
        <v>0</v>
      </c>
      <c r="T26" s="51" t="s">
        <v>87</v>
      </c>
      <c r="U26" s="70">
        <f>Control!$D$101</f>
        <v>28</v>
      </c>
      <c r="V26" s="51" t="s">
        <v>87</v>
      </c>
      <c r="W26" s="46">
        <f>Control!$D$100</f>
        <v>0.27272727272727271</v>
      </c>
      <c r="X26" s="52" t="s">
        <v>88</v>
      </c>
      <c r="Y26" s="48">
        <f>S26*U$6*W$6</f>
        <v>0</v>
      </c>
      <c r="Z26" s="52" t="s">
        <v>88</v>
      </c>
      <c r="AA26" s="48">
        <f>Y26*C_CO2</f>
        <v>0</v>
      </c>
      <c r="AF26" s="79"/>
    </row>
    <row r="27" spans="1:32" ht="11">
      <c r="A27" s="37"/>
      <c r="B27" s="40"/>
      <c r="C27" s="49"/>
      <c r="D27" s="50"/>
      <c r="E27" s="77"/>
      <c r="F27" s="50"/>
      <c r="G27" s="50"/>
      <c r="H27" s="50"/>
      <c r="I27" s="78"/>
      <c r="J27" s="50"/>
      <c r="K27" s="50"/>
      <c r="L27" s="50"/>
      <c r="M27" s="50"/>
      <c r="N27" s="50"/>
      <c r="O27" s="84"/>
      <c r="P27" s="50"/>
      <c r="Q27" s="50"/>
      <c r="R27" s="50"/>
      <c r="S27" s="50"/>
      <c r="T27" s="50"/>
      <c r="U27" s="50"/>
      <c r="V27" s="50"/>
      <c r="W27" s="82"/>
      <c r="X27" s="50"/>
      <c r="Y27" s="50"/>
      <c r="Z27" s="50"/>
      <c r="AF27" s="79"/>
    </row>
    <row r="28" spans="1:32" ht="13">
      <c r="A28" s="37">
        <v>13</v>
      </c>
      <c r="B28" s="39">
        <f>B26+1</f>
        <v>2001</v>
      </c>
      <c r="C28" s="159"/>
      <c r="D28" s="51" t="s">
        <v>87</v>
      </c>
      <c r="E28" s="75">
        <f>Control!$F$44</f>
        <v>0</v>
      </c>
      <c r="F28" s="51" t="s">
        <v>87</v>
      </c>
      <c r="G28" s="70">
        <f>Control!$D$106</f>
        <v>1000</v>
      </c>
      <c r="H28" s="51" t="s">
        <v>87</v>
      </c>
      <c r="I28" s="76">
        <f>Control!$F$45</f>
        <v>0</v>
      </c>
      <c r="J28" s="51" t="s">
        <v>87</v>
      </c>
      <c r="K28" s="46">
        <f>Control!$F$47</f>
        <v>0</v>
      </c>
      <c r="L28" s="51" t="s">
        <v>87</v>
      </c>
      <c r="M28" s="57">
        <f>Control!$F$46</f>
        <v>0</v>
      </c>
      <c r="N28" s="52" t="s">
        <v>88</v>
      </c>
      <c r="O28" s="86">
        <f>C28*$E$6*$I$6*$M$6*$K$6*$G$6</f>
        <v>0</v>
      </c>
      <c r="P28" s="51" t="s">
        <v>87</v>
      </c>
      <c r="Q28" s="65">
        <f>Control!$D$107</f>
        <v>9.9999999999999998E-13</v>
      </c>
      <c r="R28" s="52" t="s">
        <v>88</v>
      </c>
      <c r="S28" s="46">
        <f>O28*Q28</f>
        <v>0</v>
      </c>
      <c r="T28" s="51" t="s">
        <v>87</v>
      </c>
      <c r="U28" s="70">
        <f>Control!$D$101</f>
        <v>28</v>
      </c>
      <c r="V28" s="51" t="s">
        <v>87</v>
      </c>
      <c r="W28" s="46">
        <f>Control!$D$100</f>
        <v>0.27272727272727271</v>
      </c>
      <c r="X28" s="52" t="s">
        <v>88</v>
      </c>
      <c r="Y28" s="48">
        <f>S28*U$6*W$6</f>
        <v>0</v>
      </c>
      <c r="Z28" s="52" t="s">
        <v>88</v>
      </c>
      <c r="AA28" s="48">
        <f>Y28*C_CO2</f>
        <v>0</v>
      </c>
      <c r="AF28" s="79"/>
    </row>
    <row r="29" spans="1:32" ht="11">
      <c r="A29" s="37"/>
      <c r="B29" s="40"/>
      <c r="C29" s="49"/>
      <c r="D29" s="50"/>
      <c r="E29" s="77"/>
      <c r="F29" s="50"/>
      <c r="G29" s="50"/>
      <c r="H29" s="50"/>
      <c r="I29" s="78"/>
      <c r="J29" s="50"/>
      <c r="K29" s="50"/>
      <c r="L29" s="50"/>
      <c r="M29" s="50"/>
      <c r="N29" s="50"/>
      <c r="O29" s="84"/>
      <c r="P29" s="50"/>
      <c r="Q29" s="50"/>
      <c r="R29" s="50"/>
      <c r="S29" s="50"/>
      <c r="T29" s="50"/>
      <c r="U29" s="50"/>
      <c r="V29" s="50"/>
      <c r="W29" s="82"/>
      <c r="X29" s="50"/>
      <c r="Y29" s="50"/>
      <c r="Z29" s="50"/>
      <c r="AF29" s="79"/>
    </row>
    <row r="30" spans="1:32" ht="13">
      <c r="A30" s="37">
        <v>14</v>
      </c>
      <c r="B30" s="39">
        <f>B28+1</f>
        <v>2002</v>
      </c>
      <c r="C30" s="159"/>
      <c r="D30" s="51" t="s">
        <v>87</v>
      </c>
      <c r="E30" s="75">
        <f>Control!$F$44</f>
        <v>0</v>
      </c>
      <c r="F30" s="51" t="s">
        <v>87</v>
      </c>
      <c r="G30" s="70">
        <f>Control!$D$106</f>
        <v>1000</v>
      </c>
      <c r="H30" s="51" t="s">
        <v>87</v>
      </c>
      <c r="I30" s="76">
        <f>Control!$F$45</f>
        <v>0</v>
      </c>
      <c r="J30" s="51" t="s">
        <v>87</v>
      </c>
      <c r="K30" s="46">
        <f>Control!$F$47</f>
        <v>0</v>
      </c>
      <c r="L30" s="51" t="s">
        <v>87</v>
      </c>
      <c r="M30" s="57">
        <f>Control!$F$46</f>
        <v>0</v>
      </c>
      <c r="N30" s="52" t="s">
        <v>88</v>
      </c>
      <c r="O30" s="86">
        <f>C30*$E$6*$I$6*$M$6*$K$6*$G$6</f>
        <v>0</v>
      </c>
      <c r="P30" s="51" t="s">
        <v>87</v>
      </c>
      <c r="Q30" s="65">
        <f>Control!$D$107</f>
        <v>9.9999999999999998E-13</v>
      </c>
      <c r="R30" s="52" t="s">
        <v>88</v>
      </c>
      <c r="S30" s="46">
        <f>O30*Q30</f>
        <v>0</v>
      </c>
      <c r="T30" s="51" t="s">
        <v>87</v>
      </c>
      <c r="U30" s="70">
        <f>Control!$D$101</f>
        <v>28</v>
      </c>
      <c r="V30" s="51" t="s">
        <v>87</v>
      </c>
      <c r="W30" s="46">
        <f>Control!$D$100</f>
        <v>0.27272727272727271</v>
      </c>
      <c r="X30" s="52" t="s">
        <v>88</v>
      </c>
      <c r="Y30" s="48">
        <f>S30*U$6*W$6</f>
        <v>0</v>
      </c>
      <c r="Z30" s="52" t="s">
        <v>88</v>
      </c>
      <c r="AA30" s="48">
        <f>Y30*C_CO2</f>
        <v>0</v>
      </c>
      <c r="AF30" s="79"/>
    </row>
    <row r="31" spans="1:32" ht="11">
      <c r="A31" s="37"/>
      <c r="B31" s="40"/>
      <c r="C31" s="49"/>
      <c r="D31" s="50"/>
      <c r="E31" s="77"/>
      <c r="F31" s="50"/>
      <c r="G31" s="50"/>
      <c r="H31" s="50"/>
      <c r="I31" s="78"/>
      <c r="J31" s="50"/>
      <c r="K31" s="50"/>
      <c r="L31" s="50"/>
      <c r="M31" s="50"/>
      <c r="N31" s="50"/>
      <c r="O31" s="84"/>
      <c r="P31" s="50"/>
      <c r="Q31" s="50"/>
      <c r="R31" s="50"/>
      <c r="S31" s="50"/>
      <c r="T31" s="50"/>
      <c r="U31" s="50"/>
      <c r="V31" s="50"/>
      <c r="W31" s="82"/>
      <c r="X31" s="50"/>
      <c r="Y31" s="50"/>
      <c r="Z31" s="50"/>
      <c r="AF31" s="79"/>
    </row>
    <row r="32" spans="1:32" ht="13">
      <c r="A32" s="37">
        <v>15</v>
      </c>
      <c r="B32" s="39">
        <f>B30+1</f>
        <v>2003</v>
      </c>
      <c r="C32" s="159"/>
      <c r="D32" s="51" t="s">
        <v>87</v>
      </c>
      <c r="E32" s="75">
        <f>Control!$F$44</f>
        <v>0</v>
      </c>
      <c r="F32" s="51" t="s">
        <v>87</v>
      </c>
      <c r="G32" s="70">
        <f>Control!$D$106</f>
        <v>1000</v>
      </c>
      <c r="H32" s="51" t="s">
        <v>87</v>
      </c>
      <c r="I32" s="76">
        <f>Control!$F$45</f>
        <v>0</v>
      </c>
      <c r="J32" s="51" t="s">
        <v>87</v>
      </c>
      <c r="K32" s="46">
        <f>Control!$F$47</f>
        <v>0</v>
      </c>
      <c r="L32" s="51" t="s">
        <v>87</v>
      </c>
      <c r="M32" s="57">
        <f>Control!$F$46</f>
        <v>0</v>
      </c>
      <c r="N32" s="52" t="s">
        <v>88</v>
      </c>
      <c r="O32" s="86">
        <f>C32*$E$6*$I$6*$M$6*$K$6*$G$6</f>
        <v>0</v>
      </c>
      <c r="P32" s="51" t="s">
        <v>87</v>
      </c>
      <c r="Q32" s="65">
        <f>Control!$D$107</f>
        <v>9.9999999999999998E-13</v>
      </c>
      <c r="R32" s="52" t="s">
        <v>88</v>
      </c>
      <c r="S32" s="46">
        <f>O32*Q32</f>
        <v>0</v>
      </c>
      <c r="T32" s="51" t="s">
        <v>87</v>
      </c>
      <c r="U32" s="70">
        <f>Control!$D$101</f>
        <v>28</v>
      </c>
      <c r="V32" s="51" t="s">
        <v>87</v>
      </c>
      <c r="W32" s="46">
        <f>Control!$D$100</f>
        <v>0.27272727272727271</v>
      </c>
      <c r="X32" s="52" t="s">
        <v>88</v>
      </c>
      <c r="Y32" s="48">
        <f>S32*U$6*W$6</f>
        <v>0</v>
      </c>
      <c r="Z32" s="52" t="s">
        <v>88</v>
      </c>
      <c r="AA32" s="48">
        <f>Y32*C_CO2</f>
        <v>0</v>
      </c>
      <c r="AF32" s="79"/>
    </row>
    <row r="33" spans="1:32" ht="11">
      <c r="A33" s="37"/>
      <c r="B33" s="40"/>
      <c r="C33" s="49"/>
      <c r="D33" s="50"/>
      <c r="E33" s="77"/>
      <c r="F33" s="50"/>
      <c r="G33" s="50"/>
      <c r="H33" s="50"/>
      <c r="I33" s="78"/>
      <c r="J33" s="50"/>
      <c r="K33" s="50"/>
      <c r="L33" s="50"/>
      <c r="M33" s="50"/>
      <c r="N33" s="50"/>
      <c r="O33" s="84"/>
      <c r="P33" s="50"/>
      <c r="Q33" s="50"/>
      <c r="R33" s="50"/>
      <c r="S33" s="50"/>
      <c r="T33" s="50"/>
      <c r="U33" s="50"/>
      <c r="V33" s="50"/>
      <c r="W33" s="82"/>
      <c r="X33" s="50"/>
      <c r="Y33" s="50"/>
      <c r="Z33" s="50"/>
      <c r="AF33" s="79"/>
    </row>
    <row r="34" spans="1:32" ht="13">
      <c r="A34" s="37">
        <v>16</v>
      </c>
      <c r="B34" s="39">
        <f>B32+1</f>
        <v>2004</v>
      </c>
      <c r="C34" s="159"/>
      <c r="D34" s="51" t="s">
        <v>87</v>
      </c>
      <c r="E34" s="75">
        <f>Control!$F$44</f>
        <v>0</v>
      </c>
      <c r="F34" s="51" t="s">
        <v>87</v>
      </c>
      <c r="G34" s="70">
        <f>Control!$D$106</f>
        <v>1000</v>
      </c>
      <c r="H34" s="51" t="s">
        <v>87</v>
      </c>
      <c r="I34" s="76">
        <f>Control!$F$45</f>
        <v>0</v>
      </c>
      <c r="J34" s="51" t="s">
        <v>87</v>
      </c>
      <c r="K34" s="46">
        <f>Control!$F$47</f>
        <v>0</v>
      </c>
      <c r="L34" s="51" t="s">
        <v>87</v>
      </c>
      <c r="M34" s="57">
        <f>Control!$F$46</f>
        <v>0</v>
      </c>
      <c r="N34" s="52" t="s">
        <v>88</v>
      </c>
      <c r="O34" s="86">
        <f>C34*$E$6*$I$6*$M$6*$K$6*$G$6</f>
        <v>0</v>
      </c>
      <c r="P34" s="51" t="s">
        <v>87</v>
      </c>
      <c r="Q34" s="65">
        <f>Control!$D$107</f>
        <v>9.9999999999999998E-13</v>
      </c>
      <c r="R34" s="52" t="s">
        <v>88</v>
      </c>
      <c r="S34" s="46">
        <f>O34*Q34</f>
        <v>0</v>
      </c>
      <c r="T34" s="51" t="s">
        <v>87</v>
      </c>
      <c r="U34" s="70">
        <f>Control!$D$101</f>
        <v>28</v>
      </c>
      <c r="V34" s="51" t="s">
        <v>87</v>
      </c>
      <c r="W34" s="46">
        <f>Control!$D$100</f>
        <v>0.27272727272727271</v>
      </c>
      <c r="X34" s="52" t="s">
        <v>88</v>
      </c>
      <c r="Y34" s="48">
        <f>S34*U$6*W$6</f>
        <v>0</v>
      </c>
      <c r="Z34" s="52" t="s">
        <v>88</v>
      </c>
      <c r="AA34" s="48">
        <f>Y34*C_CO2</f>
        <v>0</v>
      </c>
      <c r="AF34" s="79"/>
    </row>
    <row r="35" spans="1:32" ht="11">
      <c r="A35" s="37"/>
      <c r="B35" s="40"/>
      <c r="C35" s="49"/>
      <c r="D35" s="50"/>
      <c r="E35" s="77"/>
      <c r="F35" s="50"/>
      <c r="G35" s="50"/>
      <c r="H35" s="50"/>
      <c r="I35" s="78"/>
      <c r="J35" s="50"/>
      <c r="K35" s="50"/>
      <c r="L35" s="50"/>
      <c r="M35" s="50"/>
      <c r="N35" s="50"/>
      <c r="O35" s="84"/>
      <c r="P35" s="50"/>
      <c r="Q35" s="50"/>
      <c r="R35" s="50"/>
      <c r="S35" s="50"/>
      <c r="T35" s="50"/>
      <c r="U35" s="50"/>
      <c r="V35" s="50"/>
      <c r="W35" s="82"/>
      <c r="X35" s="50"/>
      <c r="Y35" s="50"/>
      <c r="Z35" s="50"/>
      <c r="AF35" s="79"/>
    </row>
    <row r="36" spans="1:32" ht="13">
      <c r="A36" s="37">
        <v>17</v>
      </c>
      <c r="B36" s="39">
        <f>B34+1</f>
        <v>2005</v>
      </c>
      <c r="C36" s="159"/>
      <c r="D36" s="51" t="s">
        <v>87</v>
      </c>
      <c r="E36" s="75">
        <f>Control!$F$44</f>
        <v>0</v>
      </c>
      <c r="F36" s="51" t="s">
        <v>87</v>
      </c>
      <c r="G36" s="70">
        <f>Control!$D$106</f>
        <v>1000</v>
      </c>
      <c r="H36" s="51" t="s">
        <v>87</v>
      </c>
      <c r="I36" s="76">
        <f>Control!$F$45</f>
        <v>0</v>
      </c>
      <c r="J36" s="51" t="s">
        <v>87</v>
      </c>
      <c r="K36" s="46">
        <f>Control!$F$47</f>
        <v>0</v>
      </c>
      <c r="L36" s="51" t="s">
        <v>87</v>
      </c>
      <c r="M36" s="57">
        <f>Control!$F$46</f>
        <v>0</v>
      </c>
      <c r="N36" s="52" t="s">
        <v>88</v>
      </c>
      <c r="O36" s="86">
        <f>C36*$E$6*$I$6*$M$6*$K$6*$G$6</f>
        <v>0</v>
      </c>
      <c r="P36" s="51" t="s">
        <v>87</v>
      </c>
      <c r="Q36" s="65">
        <f>Control!$D$107</f>
        <v>9.9999999999999998E-13</v>
      </c>
      <c r="R36" s="52" t="s">
        <v>88</v>
      </c>
      <c r="S36" s="46">
        <f>O36*Q36</f>
        <v>0</v>
      </c>
      <c r="T36" s="51" t="s">
        <v>87</v>
      </c>
      <c r="U36" s="70">
        <f>Control!$D$101</f>
        <v>28</v>
      </c>
      <c r="V36" s="51" t="s">
        <v>87</v>
      </c>
      <c r="W36" s="46">
        <f>Control!$D$100</f>
        <v>0.27272727272727271</v>
      </c>
      <c r="X36" s="52" t="s">
        <v>88</v>
      </c>
      <c r="Y36" s="48">
        <f>S36*U$6*W$6</f>
        <v>0</v>
      </c>
      <c r="Z36" s="52" t="s">
        <v>88</v>
      </c>
      <c r="AA36" s="48">
        <f>Y36*C_CO2</f>
        <v>0</v>
      </c>
      <c r="AF36" s="79"/>
    </row>
    <row r="37" spans="1:32" ht="11">
      <c r="A37" s="37"/>
      <c r="B37" s="40"/>
      <c r="C37" s="49"/>
      <c r="D37" s="50"/>
      <c r="E37" s="77"/>
      <c r="F37" s="50"/>
      <c r="G37" s="50"/>
      <c r="H37" s="50"/>
      <c r="I37" s="78"/>
      <c r="J37" s="50"/>
      <c r="K37" s="50"/>
      <c r="L37" s="50"/>
      <c r="M37" s="50"/>
      <c r="N37" s="50"/>
      <c r="O37" s="84"/>
      <c r="P37" s="50"/>
      <c r="Q37" s="50"/>
      <c r="R37" s="50"/>
      <c r="S37" s="50"/>
      <c r="T37" s="50"/>
      <c r="U37" s="50"/>
      <c r="V37" s="50"/>
      <c r="W37" s="82"/>
      <c r="X37" s="50"/>
      <c r="Y37" s="50"/>
      <c r="Z37" s="50"/>
      <c r="AF37" s="79"/>
    </row>
    <row r="38" spans="1:32" ht="13">
      <c r="A38" s="38">
        <v>18</v>
      </c>
      <c r="B38" s="39">
        <f>B36+1</f>
        <v>2006</v>
      </c>
      <c r="C38" s="159"/>
      <c r="D38" s="51" t="s">
        <v>87</v>
      </c>
      <c r="E38" s="75">
        <f>Control!$F$44</f>
        <v>0</v>
      </c>
      <c r="F38" s="51" t="s">
        <v>87</v>
      </c>
      <c r="G38" s="70">
        <f>Control!$D$106</f>
        <v>1000</v>
      </c>
      <c r="H38" s="51" t="s">
        <v>87</v>
      </c>
      <c r="I38" s="76">
        <f>Control!$F$45</f>
        <v>0</v>
      </c>
      <c r="J38" s="51" t="s">
        <v>87</v>
      </c>
      <c r="K38" s="46">
        <f>Control!$F$47</f>
        <v>0</v>
      </c>
      <c r="L38" s="51" t="s">
        <v>87</v>
      </c>
      <c r="M38" s="57">
        <f>Control!$F$46</f>
        <v>0</v>
      </c>
      <c r="N38" s="52" t="s">
        <v>88</v>
      </c>
      <c r="O38" s="86">
        <f>C38*$E$6*$I$6*$M$6*$K$6*$G$6</f>
        <v>0</v>
      </c>
      <c r="P38" s="51" t="s">
        <v>87</v>
      </c>
      <c r="Q38" s="65">
        <f>Control!$D$107</f>
        <v>9.9999999999999998E-13</v>
      </c>
      <c r="R38" s="52" t="s">
        <v>88</v>
      </c>
      <c r="S38" s="46">
        <f>O38*Q38</f>
        <v>0</v>
      </c>
      <c r="T38" s="51" t="s">
        <v>87</v>
      </c>
      <c r="U38" s="70">
        <f>Control!$D$101</f>
        <v>28</v>
      </c>
      <c r="V38" s="51" t="s">
        <v>87</v>
      </c>
      <c r="W38" s="46">
        <f>Control!$D$100</f>
        <v>0.27272727272727271</v>
      </c>
      <c r="X38" s="52" t="s">
        <v>88</v>
      </c>
      <c r="Y38" s="48">
        <f>S38*U$6*W$6</f>
        <v>0</v>
      </c>
      <c r="Z38" s="52" t="s">
        <v>88</v>
      </c>
      <c r="AA38" s="48">
        <f>Y38*C_CO2</f>
        <v>0</v>
      </c>
      <c r="AF38" s="79"/>
    </row>
    <row r="39" spans="1:32" ht="11">
      <c r="A39" s="38"/>
      <c r="B39" s="40"/>
      <c r="C39" s="49"/>
      <c r="D39" s="50"/>
      <c r="E39" s="77"/>
      <c r="F39" s="50"/>
      <c r="G39" s="50"/>
      <c r="H39" s="50"/>
      <c r="I39" s="78"/>
      <c r="J39" s="50"/>
      <c r="K39" s="50"/>
      <c r="L39" s="50"/>
      <c r="M39" s="50"/>
      <c r="N39" s="50"/>
      <c r="O39" s="84"/>
      <c r="P39" s="50"/>
      <c r="Q39" s="50"/>
      <c r="R39" s="50"/>
      <c r="S39" s="50"/>
      <c r="T39" s="50"/>
      <c r="U39" s="50"/>
      <c r="V39" s="50"/>
      <c r="W39" s="82"/>
      <c r="X39" s="50"/>
      <c r="Y39" s="50"/>
      <c r="Z39" s="50"/>
      <c r="AF39" s="79"/>
    </row>
    <row r="40" spans="1:32" ht="13">
      <c r="A40" s="38">
        <v>19</v>
      </c>
      <c r="B40" s="39">
        <f>B38+1</f>
        <v>2007</v>
      </c>
      <c r="C40" s="159"/>
      <c r="D40" s="51" t="s">
        <v>87</v>
      </c>
      <c r="E40" s="75">
        <f>Control!$F$44</f>
        <v>0</v>
      </c>
      <c r="F40" s="51" t="s">
        <v>87</v>
      </c>
      <c r="G40" s="70">
        <f>Control!$D$106</f>
        <v>1000</v>
      </c>
      <c r="H40" s="51" t="s">
        <v>87</v>
      </c>
      <c r="I40" s="76">
        <f>Control!$F$45</f>
        <v>0</v>
      </c>
      <c r="J40" s="51" t="s">
        <v>87</v>
      </c>
      <c r="K40" s="46">
        <f>Control!$F$47</f>
        <v>0</v>
      </c>
      <c r="L40" s="51" t="s">
        <v>87</v>
      </c>
      <c r="M40" s="57">
        <f>Control!$F$46</f>
        <v>0</v>
      </c>
      <c r="N40" s="52" t="s">
        <v>88</v>
      </c>
      <c r="O40" s="86">
        <f>C40*$E$6*$I$6*$M$6*$K$6*$G$6</f>
        <v>0</v>
      </c>
      <c r="P40" s="51" t="s">
        <v>87</v>
      </c>
      <c r="Q40" s="65">
        <f>Control!$D$107</f>
        <v>9.9999999999999998E-13</v>
      </c>
      <c r="R40" s="52" t="s">
        <v>88</v>
      </c>
      <c r="S40" s="46">
        <f>O40*Q40</f>
        <v>0</v>
      </c>
      <c r="T40" s="51" t="s">
        <v>87</v>
      </c>
      <c r="U40" s="70">
        <f>Control!$D$101</f>
        <v>28</v>
      </c>
      <c r="V40" s="51" t="s">
        <v>87</v>
      </c>
      <c r="W40" s="46">
        <f>Control!$D$100</f>
        <v>0.27272727272727271</v>
      </c>
      <c r="X40" s="52" t="s">
        <v>88</v>
      </c>
      <c r="Y40" s="48">
        <f>S40*U$6*W$6</f>
        <v>0</v>
      </c>
      <c r="Z40" s="52" t="s">
        <v>88</v>
      </c>
      <c r="AA40" s="48">
        <f>Y40*C_CO2</f>
        <v>0</v>
      </c>
      <c r="AF40" s="79"/>
    </row>
    <row r="41" spans="1:32" ht="11">
      <c r="A41" s="38"/>
      <c r="B41" s="40"/>
      <c r="C41" s="49"/>
      <c r="D41" s="50"/>
      <c r="E41" s="77"/>
      <c r="F41" s="50"/>
      <c r="G41" s="50"/>
      <c r="H41" s="50"/>
      <c r="I41" s="78"/>
      <c r="J41" s="50"/>
      <c r="K41" s="50"/>
      <c r="L41" s="50"/>
      <c r="M41" s="50"/>
      <c r="N41" s="50"/>
      <c r="O41" s="84"/>
      <c r="P41" s="50"/>
      <c r="Q41" s="50"/>
      <c r="R41" s="50"/>
      <c r="S41" s="50"/>
      <c r="T41" s="50"/>
      <c r="U41" s="50"/>
      <c r="V41" s="50"/>
      <c r="W41" s="82"/>
      <c r="X41" s="50"/>
      <c r="Y41" s="50"/>
      <c r="Z41" s="50"/>
      <c r="AF41" s="79"/>
    </row>
    <row r="42" spans="1:32" ht="13">
      <c r="A42" s="38">
        <v>20</v>
      </c>
      <c r="B42" s="39">
        <f>B40+1</f>
        <v>2008</v>
      </c>
      <c r="C42" s="159"/>
      <c r="D42" s="51" t="s">
        <v>87</v>
      </c>
      <c r="E42" s="75">
        <f>Control!$F$44</f>
        <v>0</v>
      </c>
      <c r="F42" s="51" t="s">
        <v>87</v>
      </c>
      <c r="G42" s="70">
        <f>Control!$D$106</f>
        <v>1000</v>
      </c>
      <c r="H42" s="51" t="s">
        <v>87</v>
      </c>
      <c r="I42" s="76">
        <f>Control!$F$45</f>
        <v>0</v>
      </c>
      <c r="J42" s="51" t="s">
        <v>87</v>
      </c>
      <c r="K42" s="46">
        <f>Control!$F$47</f>
        <v>0</v>
      </c>
      <c r="L42" s="51" t="s">
        <v>87</v>
      </c>
      <c r="M42" s="57">
        <f>Control!$F$46</f>
        <v>0</v>
      </c>
      <c r="N42" s="52" t="s">
        <v>88</v>
      </c>
      <c r="O42" s="86">
        <f>C42*$E$6*$I$6*$M$6*$K$6*$G$6</f>
        <v>0</v>
      </c>
      <c r="P42" s="51" t="s">
        <v>87</v>
      </c>
      <c r="Q42" s="65">
        <f>Control!$D$107</f>
        <v>9.9999999999999998E-13</v>
      </c>
      <c r="R42" s="52" t="s">
        <v>88</v>
      </c>
      <c r="S42" s="46">
        <f>O42*Q42</f>
        <v>0</v>
      </c>
      <c r="T42" s="51" t="s">
        <v>87</v>
      </c>
      <c r="U42" s="70">
        <f>Control!$D$101</f>
        <v>28</v>
      </c>
      <c r="V42" s="51" t="s">
        <v>87</v>
      </c>
      <c r="W42" s="46">
        <f>Control!$D$100</f>
        <v>0.27272727272727271</v>
      </c>
      <c r="X42" s="52" t="s">
        <v>88</v>
      </c>
      <c r="Y42" s="48">
        <f>S42*U$6*W$6</f>
        <v>0</v>
      </c>
      <c r="Z42" s="52" t="s">
        <v>88</v>
      </c>
      <c r="AA42" s="48">
        <f>Y42*C_CO2</f>
        <v>0</v>
      </c>
      <c r="AF42" s="79"/>
    </row>
    <row r="43" spans="1:32" ht="11">
      <c r="A43" s="38"/>
      <c r="B43" s="40"/>
      <c r="C43" s="49"/>
      <c r="D43" s="50"/>
      <c r="E43" s="77"/>
      <c r="F43" s="50"/>
      <c r="G43" s="50"/>
      <c r="H43" s="50"/>
      <c r="I43" s="78"/>
      <c r="J43" s="50"/>
      <c r="K43" s="50"/>
      <c r="L43" s="50"/>
      <c r="M43" s="50"/>
      <c r="N43" s="50"/>
      <c r="O43" s="84"/>
      <c r="P43" s="50"/>
      <c r="Q43" s="50"/>
      <c r="R43" s="50"/>
      <c r="S43" s="50"/>
      <c r="T43" s="50"/>
      <c r="U43" s="50"/>
      <c r="V43" s="50"/>
      <c r="W43" s="82"/>
      <c r="X43" s="50"/>
      <c r="Y43" s="50"/>
      <c r="Z43" s="50"/>
      <c r="AF43" s="79"/>
    </row>
    <row r="44" spans="1:32" ht="13">
      <c r="A44" s="38">
        <v>21</v>
      </c>
      <c r="B44" s="39">
        <f>B42+1</f>
        <v>2009</v>
      </c>
      <c r="C44" s="159"/>
      <c r="D44" s="51" t="s">
        <v>87</v>
      </c>
      <c r="E44" s="75">
        <f>Control!$F$44</f>
        <v>0</v>
      </c>
      <c r="F44" s="51" t="s">
        <v>87</v>
      </c>
      <c r="G44" s="70">
        <f>Control!$D$106</f>
        <v>1000</v>
      </c>
      <c r="H44" s="51" t="s">
        <v>87</v>
      </c>
      <c r="I44" s="76">
        <f>Control!$F$45</f>
        <v>0</v>
      </c>
      <c r="J44" s="51" t="s">
        <v>87</v>
      </c>
      <c r="K44" s="46">
        <f>Control!$F$47</f>
        <v>0</v>
      </c>
      <c r="L44" s="51" t="s">
        <v>87</v>
      </c>
      <c r="M44" s="57">
        <f>Control!$F$46</f>
        <v>0</v>
      </c>
      <c r="N44" s="52" t="s">
        <v>88</v>
      </c>
      <c r="O44" s="86">
        <f>C44*$E$6*$I$6*$M$6*$K$6*$G$6</f>
        <v>0</v>
      </c>
      <c r="P44" s="51" t="s">
        <v>87</v>
      </c>
      <c r="Q44" s="65">
        <f>Control!$D$107</f>
        <v>9.9999999999999998E-13</v>
      </c>
      <c r="R44" s="52" t="s">
        <v>88</v>
      </c>
      <c r="S44" s="46">
        <f>O44*Q44</f>
        <v>0</v>
      </c>
      <c r="T44" s="51" t="s">
        <v>87</v>
      </c>
      <c r="U44" s="70">
        <f>Control!$D$101</f>
        <v>28</v>
      </c>
      <c r="V44" s="51" t="s">
        <v>87</v>
      </c>
      <c r="W44" s="46">
        <f>Control!$D$100</f>
        <v>0.27272727272727271</v>
      </c>
      <c r="X44" s="52" t="s">
        <v>88</v>
      </c>
      <c r="Y44" s="48">
        <f>S44*U$6*W$6</f>
        <v>0</v>
      </c>
      <c r="Z44" s="52" t="s">
        <v>88</v>
      </c>
      <c r="AA44" s="48">
        <f>Y44*C_CO2</f>
        <v>0</v>
      </c>
      <c r="AF44" s="79"/>
    </row>
    <row r="45" spans="1:32" ht="11">
      <c r="A45" s="38"/>
      <c r="B45" s="40"/>
      <c r="C45" s="49"/>
      <c r="D45" s="50"/>
      <c r="E45" s="77"/>
      <c r="F45" s="50"/>
      <c r="G45" s="50"/>
      <c r="H45" s="50"/>
      <c r="I45" s="78"/>
      <c r="J45" s="50"/>
      <c r="K45" s="50"/>
      <c r="L45" s="50"/>
      <c r="M45" s="50"/>
      <c r="N45" s="50"/>
      <c r="O45" s="84"/>
      <c r="P45" s="50"/>
      <c r="Q45" s="50"/>
      <c r="R45" s="50"/>
      <c r="S45" s="50"/>
      <c r="T45" s="50"/>
      <c r="U45" s="50"/>
      <c r="V45" s="50"/>
      <c r="W45" s="82"/>
      <c r="X45" s="50"/>
      <c r="Y45" s="50"/>
      <c r="Z45" s="50"/>
      <c r="AF45" s="79"/>
    </row>
    <row r="46" spans="1:32" ht="13">
      <c r="A46" s="38">
        <v>22</v>
      </c>
      <c r="B46" s="39">
        <f>B44+1</f>
        <v>2010</v>
      </c>
      <c r="C46" s="159"/>
      <c r="D46" s="51" t="s">
        <v>87</v>
      </c>
      <c r="E46" s="75">
        <f>Control!$F$44</f>
        <v>0</v>
      </c>
      <c r="F46" s="51" t="s">
        <v>87</v>
      </c>
      <c r="G46" s="70">
        <f>Control!$D$106</f>
        <v>1000</v>
      </c>
      <c r="H46" s="51" t="s">
        <v>87</v>
      </c>
      <c r="I46" s="76">
        <f>Control!$F$45</f>
        <v>0</v>
      </c>
      <c r="J46" s="51" t="s">
        <v>87</v>
      </c>
      <c r="K46" s="46">
        <f>Control!$F$47</f>
        <v>0</v>
      </c>
      <c r="L46" s="51" t="s">
        <v>87</v>
      </c>
      <c r="M46" s="57">
        <f>Control!$F$46</f>
        <v>0</v>
      </c>
      <c r="N46" s="52" t="s">
        <v>88</v>
      </c>
      <c r="O46" s="86">
        <f>C46*$E$6*$I$6*$M$6*$K$6*$G$6</f>
        <v>0</v>
      </c>
      <c r="P46" s="51" t="s">
        <v>87</v>
      </c>
      <c r="Q46" s="65">
        <f>Control!$D$107</f>
        <v>9.9999999999999998E-13</v>
      </c>
      <c r="R46" s="52" t="s">
        <v>88</v>
      </c>
      <c r="S46" s="46">
        <f>O46*Q46</f>
        <v>0</v>
      </c>
      <c r="T46" s="51" t="s">
        <v>87</v>
      </c>
      <c r="U46" s="70">
        <f>Control!$D$101</f>
        <v>28</v>
      </c>
      <c r="V46" s="51" t="s">
        <v>87</v>
      </c>
      <c r="W46" s="46">
        <f>Control!$D$100</f>
        <v>0.27272727272727271</v>
      </c>
      <c r="X46" s="52" t="s">
        <v>88</v>
      </c>
      <c r="Y46" s="48">
        <f>S46*U$6*W$6</f>
        <v>0</v>
      </c>
      <c r="Z46" s="52" t="s">
        <v>88</v>
      </c>
      <c r="AA46" s="48">
        <f>Y46*C_CO2</f>
        <v>0</v>
      </c>
      <c r="AF46" s="79"/>
    </row>
    <row r="47" spans="1:32" ht="11">
      <c r="A47" s="38"/>
      <c r="B47" s="40"/>
      <c r="C47" s="49"/>
      <c r="D47" s="50"/>
      <c r="E47" s="77"/>
      <c r="F47" s="50"/>
      <c r="G47" s="50"/>
      <c r="H47" s="50"/>
      <c r="I47" s="78"/>
      <c r="J47" s="50"/>
      <c r="K47" s="50"/>
      <c r="L47" s="50"/>
      <c r="M47" s="50"/>
      <c r="N47" s="50"/>
      <c r="O47" s="84"/>
      <c r="P47" s="50"/>
      <c r="Q47" s="50"/>
      <c r="R47" s="50"/>
      <c r="S47" s="50"/>
      <c r="T47" s="50"/>
      <c r="U47" s="50"/>
      <c r="V47" s="50"/>
      <c r="W47" s="82"/>
      <c r="X47" s="50"/>
      <c r="Y47" s="50"/>
      <c r="Z47" s="50"/>
      <c r="AF47" s="79"/>
    </row>
    <row r="48" spans="1:32" ht="13">
      <c r="A48" s="38">
        <v>23</v>
      </c>
      <c r="B48" s="39">
        <f>B46+1</f>
        <v>2011</v>
      </c>
      <c r="C48" s="159"/>
      <c r="D48" s="51" t="s">
        <v>87</v>
      </c>
      <c r="E48" s="75">
        <f>Control!$F$44</f>
        <v>0</v>
      </c>
      <c r="F48" s="51" t="s">
        <v>87</v>
      </c>
      <c r="G48" s="70">
        <f>Control!$D$106</f>
        <v>1000</v>
      </c>
      <c r="H48" s="51" t="s">
        <v>87</v>
      </c>
      <c r="I48" s="76">
        <f>Control!$F$45</f>
        <v>0</v>
      </c>
      <c r="J48" s="51" t="s">
        <v>87</v>
      </c>
      <c r="K48" s="46">
        <f>Control!$F$47</f>
        <v>0</v>
      </c>
      <c r="L48" s="51" t="s">
        <v>87</v>
      </c>
      <c r="M48" s="57">
        <f>Control!$F$46</f>
        <v>0</v>
      </c>
      <c r="N48" s="52" t="s">
        <v>88</v>
      </c>
      <c r="O48" s="86">
        <f>C48*$E$6*$I$6*$M$6*$K$6*$G$6</f>
        <v>0</v>
      </c>
      <c r="P48" s="51" t="s">
        <v>87</v>
      </c>
      <c r="Q48" s="65">
        <f>Control!$D$107</f>
        <v>9.9999999999999998E-13</v>
      </c>
      <c r="R48" s="52" t="s">
        <v>88</v>
      </c>
      <c r="S48" s="46">
        <f>O48*Q48</f>
        <v>0</v>
      </c>
      <c r="T48" s="51" t="s">
        <v>87</v>
      </c>
      <c r="U48" s="70">
        <f>Control!$D$101</f>
        <v>28</v>
      </c>
      <c r="V48" s="51" t="s">
        <v>87</v>
      </c>
      <c r="W48" s="46">
        <f>Control!$D$100</f>
        <v>0.27272727272727271</v>
      </c>
      <c r="X48" s="52" t="s">
        <v>88</v>
      </c>
      <c r="Y48" s="48">
        <f>S48*U$6*W$6</f>
        <v>0</v>
      </c>
      <c r="Z48" s="52" t="s">
        <v>88</v>
      </c>
      <c r="AA48" s="48">
        <f>Y48*C_CO2</f>
        <v>0</v>
      </c>
      <c r="AF48" s="79"/>
    </row>
    <row r="49" spans="1:32" ht="11">
      <c r="A49" s="38"/>
      <c r="B49" s="40"/>
      <c r="C49" s="49"/>
      <c r="D49" s="50"/>
      <c r="E49" s="77"/>
      <c r="F49" s="50"/>
      <c r="G49" s="50"/>
      <c r="H49" s="50"/>
      <c r="I49" s="78"/>
      <c r="J49" s="50"/>
      <c r="K49" s="50"/>
      <c r="L49" s="50"/>
      <c r="M49" s="50"/>
      <c r="N49" s="50"/>
      <c r="O49" s="84"/>
      <c r="P49" s="50"/>
      <c r="Q49" s="50"/>
      <c r="R49" s="50"/>
      <c r="S49" s="50"/>
      <c r="T49" s="50"/>
      <c r="U49" s="50"/>
      <c r="V49" s="50"/>
      <c r="W49" s="82"/>
      <c r="X49" s="50"/>
      <c r="Y49" s="50"/>
      <c r="Z49" s="50"/>
      <c r="AF49" s="79"/>
    </row>
    <row r="50" spans="1:32" ht="13">
      <c r="A50" s="38">
        <v>24</v>
      </c>
      <c r="B50" s="39">
        <f>B48+1</f>
        <v>2012</v>
      </c>
      <c r="C50" s="159"/>
      <c r="D50" s="51" t="s">
        <v>87</v>
      </c>
      <c r="E50" s="75">
        <f>Control!$F$44</f>
        <v>0</v>
      </c>
      <c r="F50" s="51" t="s">
        <v>87</v>
      </c>
      <c r="G50" s="70">
        <f>Control!$D$106</f>
        <v>1000</v>
      </c>
      <c r="H50" s="51" t="s">
        <v>87</v>
      </c>
      <c r="I50" s="76">
        <f>Control!$F$45</f>
        <v>0</v>
      </c>
      <c r="J50" s="51" t="s">
        <v>87</v>
      </c>
      <c r="K50" s="46">
        <f>Control!$F$47</f>
        <v>0</v>
      </c>
      <c r="L50" s="51" t="s">
        <v>87</v>
      </c>
      <c r="M50" s="57">
        <f>Control!$F$46</f>
        <v>0</v>
      </c>
      <c r="N50" s="52" t="s">
        <v>88</v>
      </c>
      <c r="O50" s="86">
        <f>C50*$E$6*$I$6*$M$6*$K$6*$G$6</f>
        <v>0</v>
      </c>
      <c r="P50" s="51" t="s">
        <v>87</v>
      </c>
      <c r="Q50" s="65">
        <f>Control!$D$107</f>
        <v>9.9999999999999998E-13</v>
      </c>
      <c r="R50" s="52" t="s">
        <v>88</v>
      </c>
      <c r="S50" s="46">
        <f>O50*Q50</f>
        <v>0</v>
      </c>
      <c r="T50" s="51" t="s">
        <v>87</v>
      </c>
      <c r="U50" s="70">
        <f>Control!$D$101</f>
        <v>28</v>
      </c>
      <c r="V50" s="51" t="s">
        <v>87</v>
      </c>
      <c r="W50" s="46">
        <f>Control!$D$100</f>
        <v>0.27272727272727271</v>
      </c>
      <c r="X50" s="52" t="s">
        <v>88</v>
      </c>
      <c r="Y50" s="48">
        <f>S50*U$6*W$6</f>
        <v>0</v>
      </c>
      <c r="Z50" s="52" t="s">
        <v>88</v>
      </c>
      <c r="AA50" s="48">
        <f>Y50*C_CO2</f>
        <v>0</v>
      </c>
      <c r="AF50" s="79"/>
    </row>
    <row r="51" spans="1:32" ht="11">
      <c r="A51" s="38"/>
      <c r="B51" s="40"/>
      <c r="C51" s="49"/>
      <c r="D51" s="50"/>
      <c r="E51" s="77"/>
      <c r="F51" s="50"/>
      <c r="G51" s="50"/>
      <c r="H51" s="50"/>
      <c r="I51" s="78"/>
      <c r="J51" s="50"/>
      <c r="K51" s="50"/>
      <c r="L51" s="50"/>
      <c r="M51" s="50"/>
      <c r="N51" s="50"/>
      <c r="O51" s="84"/>
      <c r="P51" s="50"/>
      <c r="Q51" s="50"/>
      <c r="R51" s="50"/>
      <c r="S51" s="50"/>
      <c r="T51" s="50"/>
      <c r="U51" s="50"/>
      <c r="V51" s="50"/>
      <c r="W51" s="82"/>
      <c r="X51" s="50"/>
      <c r="Y51" s="50"/>
      <c r="Z51" s="50"/>
      <c r="AF51" s="79"/>
    </row>
    <row r="52" spans="1:32" ht="13">
      <c r="A52" s="38">
        <v>25</v>
      </c>
      <c r="B52" s="39">
        <f>B50+1</f>
        <v>2013</v>
      </c>
      <c r="C52" s="159"/>
      <c r="D52" s="51" t="s">
        <v>87</v>
      </c>
      <c r="E52" s="75">
        <f>Control!$F$44</f>
        <v>0</v>
      </c>
      <c r="F52" s="51" t="s">
        <v>87</v>
      </c>
      <c r="G52" s="70">
        <f>Control!$D$106</f>
        <v>1000</v>
      </c>
      <c r="H52" s="51" t="s">
        <v>87</v>
      </c>
      <c r="I52" s="76">
        <f>Control!$F$45</f>
        <v>0</v>
      </c>
      <c r="J52" s="51" t="s">
        <v>87</v>
      </c>
      <c r="K52" s="46">
        <f>Control!$F$47</f>
        <v>0</v>
      </c>
      <c r="L52" s="51" t="s">
        <v>87</v>
      </c>
      <c r="M52" s="57">
        <f>Control!$F$46</f>
        <v>0</v>
      </c>
      <c r="N52" s="52" t="s">
        <v>88</v>
      </c>
      <c r="O52" s="86">
        <f>C52*$E$6*$I$6*$M$6*$K$6*$G$6</f>
        <v>0</v>
      </c>
      <c r="P52" s="51" t="s">
        <v>87</v>
      </c>
      <c r="Q52" s="65">
        <f>Control!$D$107</f>
        <v>9.9999999999999998E-13</v>
      </c>
      <c r="R52" s="52" t="s">
        <v>88</v>
      </c>
      <c r="S52" s="46">
        <f>O52*Q52</f>
        <v>0</v>
      </c>
      <c r="T52" s="51" t="s">
        <v>87</v>
      </c>
      <c r="U52" s="70">
        <f>Control!$D$101</f>
        <v>28</v>
      </c>
      <c r="V52" s="51" t="s">
        <v>87</v>
      </c>
      <c r="W52" s="46">
        <f>Control!$D$100</f>
        <v>0.27272727272727271</v>
      </c>
      <c r="X52" s="52" t="s">
        <v>88</v>
      </c>
      <c r="Y52" s="48">
        <f>S52*U$6*W$6</f>
        <v>0</v>
      </c>
      <c r="Z52" s="52" t="s">
        <v>88</v>
      </c>
      <c r="AA52" s="48">
        <f>Y52*C_CO2</f>
        <v>0</v>
      </c>
      <c r="AF52" s="79"/>
    </row>
    <row r="53" spans="1:32" ht="11">
      <c r="A53" s="38"/>
      <c r="B53" s="40"/>
      <c r="C53" s="49"/>
      <c r="D53" s="50"/>
      <c r="E53" s="77"/>
      <c r="F53" s="50"/>
      <c r="G53" s="50"/>
      <c r="H53" s="50"/>
      <c r="I53" s="78"/>
      <c r="J53" s="50"/>
      <c r="K53" s="50"/>
      <c r="L53" s="50"/>
      <c r="M53" s="50"/>
      <c r="N53" s="50"/>
      <c r="O53" s="84"/>
      <c r="P53" s="50"/>
      <c r="Q53" s="50"/>
      <c r="R53" s="50"/>
      <c r="S53" s="50"/>
      <c r="T53" s="50"/>
      <c r="U53" s="50"/>
      <c r="V53" s="50"/>
      <c r="W53" s="82"/>
      <c r="X53" s="50"/>
      <c r="Y53" s="50"/>
      <c r="Z53" s="50"/>
      <c r="AF53" s="79"/>
    </row>
    <row r="54" spans="1:32" ht="13">
      <c r="A54" s="38">
        <v>26</v>
      </c>
      <c r="B54" s="39">
        <f>B52+1</f>
        <v>2014</v>
      </c>
      <c r="C54" s="159"/>
      <c r="D54" s="51" t="s">
        <v>87</v>
      </c>
      <c r="E54" s="75">
        <f>Control!$F$44</f>
        <v>0</v>
      </c>
      <c r="F54" s="51" t="s">
        <v>87</v>
      </c>
      <c r="G54" s="70">
        <f>Control!$D$106</f>
        <v>1000</v>
      </c>
      <c r="H54" s="51" t="s">
        <v>87</v>
      </c>
      <c r="I54" s="76">
        <f>Control!$F$45</f>
        <v>0</v>
      </c>
      <c r="J54" s="51" t="s">
        <v>87</v>
      </c>
      <c r="K54" s="46">
        <f>Control!$F$47</f>
        <v>0</v>
      </c>
      <c r="L54" s="51" t="s">
        <v>87</v>
      </c>
      <c r="M54" s="57">
        <f>Control!$F$46</f>
        <v>0</v>
      </c>
      <c r="N54" s="52" t="s">
        <v>88</v>
      </c>
      <c r="O54" s="86">
        <f>C54*$E$6*$I$6*$M$6*$K$6*$G$6</f>
        <v>0</v>
      </c>
      <c r="P54" s="51" t="s">
        <v>87</v>
      </c>
      <c r="Q54" s="65">
        <f>Control!$D$107</f>
        <v>9.9999999999999998E-13</v>
      </c>
      <c r="R54" s="52" t="s">
        <v>88</v>
      </c>
      <c r="S54" s="46">
        <f>O54*Q54</f>
        <v>0</v>
      </c>
      <c r="T54" s="51" t="s">
        <v>87</v>
      </c>
      <c r="U54" s="70">
        <f>Control!$D$101</f>
        <v>28</v>
      </c>
      <c r="V54" s="51" t="s">
        <v>87</v>
      </c>
      <c r="W54" s="46">
        <f>Control!$D$100</f>
        <v>0.27272727272727271</v>
      </c>
      <c r="X54" s="52" t="s">
        <v>88</v>
      </c>
      <c r="Y54" s="48">
        <f>S54*U$6*W$6</f>
        <v>0</v>
      </c>
      <c r="Z54" s="52" t="s">
        <v>88</v>
      </c>
      <c r="AA54" s="48">
        <f>Y54*C_CO2</f>
        <v>0</v>
      </c>
      <c r="AF54" s="79"/>
    </row>
    <row r="55" spans="1:32" ht="11">
      <c r="A55" s="38"/>
      <c r="B55" s="40"/>
      <c r="C55" s="49"/>
      <c r="D55" s="50"/>
      <c r="E55" s="77"/>
      <c r="F55" s="50"/>
      <c r="G55" s="50"/>
      <c r="H55" s="50"/>
      <c r="I55" s="78"/>
      <c r="J55" s="50"/>
      <c r="K55" s="50"/>
      <c r="L55" s="50"/>
      <c r="M55" s="50"/>
      <c r="N55" s="50"/>
      <c r="O55" s="84"/>
      <c r="P55" s="50"/>
      <c r="Q55" s="50"/>
      <c r="R55" s="50"/>
      <c r="S55" s="50"/>
      <c r="T55" s="50"/>
      <c r="U55" s="50"/>
      <c r="V55" s="50"/>
      <c r="W55" s="82"/>
      <c r="X55" s="50"/>
      <c r="Y55" s="50"/>
      <c r="Z55" s="50"/>
      <c r="AF55" s="79"/>
    </row>
    <row r="56" spans="1:32" ht="13">
      <c r="A56" s="38">
        <v>27</v>
      </c>
      <c r="B56" s="39">
        <f>B54+1</f>
        <v>2015</v>
      </c>
      <c r="C56" s="159"/>
      <c r="D56" s="51" t="s">
        <v>87</v>
      </c>
      <c r="E56" s="75">
        <f>Control!$F$44</f>
        <v>0</v>
      </c>
      <c r="F56" s="51" t="s">
        <v>87</v>
      </c>
      <c r="G56" s="70">
        <f>Control!$D$106</f>
        <v>1000</v>
      </c>
      <c r="H56" s="51" t="s">
        <v>87</v>
      </c>
      <c r="I56" s="76">
        <f>Control!$F$45</f>
        <v>0</v>
      </c>
      <c r="J56" s="51" t="s">
        <v>87</v>
      </c>
      <c r="K56" s="46">
        <f>Control!$F$47</f>
        <v>0</v>
      </c>
      <c r="L56" s="51" t="s">
        <v>87</v>
      </c>
      <c r="M56" s="57">
        <f>Control!$F$46</f>
        <v>0</v>
      </c>
      <c r="N56" s="52" t="s">
        <v>88</v>
      </c>
      <c r="O56" s="86">
        <f>C56*$E$6*$I$6*$M$6*$K$6*$G$6</f>
        <v>0</v>
      </c>
      <c r="P56" s="51" t="s">
        <v>87</v>
      </c>
      <c r="Q56" s="65">
        <f>Control!$D$107</f>
        <v>9.9999999999999998E-13</v>
      </c>
      <c r="R56" s="52" t="s">
        <v>88</v>
      </c>
      <c r="S56" s="46">
        <f>O56*Q56</f>
        <v>0</v>
      </c>
      <c r="T56" s="51" t="s">
        <v>87</v>
      </c>
      <c r="U56" s="70">
        <f>Control!$D$101</f>
        <v>28</v>
      </c>
      <c r="V56" s="51" t="s">
        <v>87</v>
      </c>
      <c r="W56" s="46">
        <f>Control!$D$100</f>
        <v>0.27272727272727271</v>
      </c>
      <c r="X56" s="52" t="s">
        <v>88</v>
      </c>
      <c r="Y56" s="48">
        <f>S56*U$6*W$6</f>
        <v>0</v>
      </c>
      <c r="Z56" s="52" t="s">
        <v>88</v>
      </c>
      <c r="AA56" s="48">
        <f>Y56*C_CO2</f>
        <v>0</v>
      </c>
      <c r="AF56" s="79"/>
    </row>
    <row r="57" spans="1:32" ht="11">
      <c r="A57" s="38"/>
      <c r="B57" s="40"/>
      <c r="C57" s="49"/>
      <c r="D57" s="50"/>
      <c r="E57" s="77"/>
      <c r="F57" s="50"/>
      <c r="G57" s="50"/>
      <c r="H57" s="50"/>
      <c r="I57" s="78"/>
      <c r="J57" s="50"/>
      <c r="K57" s="50"/>
      <c r="L57" s="50"/>
      <c r="M57" s="50"/>
      <c r="N57" s="50"/>
      <c r="O57" s="84"/>
      <c r="P57" s="50"/>
      <c r="Q57" s="50"/>
      <c r="R57" s="50"/>
      <c r="S57" s="50"/>
      <c r="T57" s="50"/>
      <c r="U57" s="50"/>
      <c r="V57" s="50"/>
      <c r="W57" s="82"/>
      <c r="X57" s="50"/>
      <c r="Y57" s="50"/>
      <c r="Z57" s="50"/>
      <c r="AF57" s="79"/>
    </row>
    <row r="58" spans="1:32" ht="13">
      <c r="A58" s="38">
        <v>28</v>
      </c>
      <c r="B58" s="39">
        <f>B56+1</f>
        <v>2016</v>
      </c>
      <c r="C58" s="159"/>
      <c r="D58" s="51" t="s">
        <v>87</v>
      </c>
      <c r="E58" s="75">
        <f>Control!$F$44</f>
        <v>0</v>
      </c>
      <c r="F58" s="51" t="s">
        <v>87</v>
      </c>
      <c r="G58" s="70">
        <f>Control!$D$106</f>
        <v>1000</v>
      </c>
      <c r="H58" s="51" t="s">
        <v>87</v>
      </c>
      <c r="I58" s="76">
        <f>Control!$F$45</f>
        <v>0</v>
      </c>
      <c r="J58" s="51" t="s">
        <v>87</v>
      </c>
      <c r="K58" s="46">
        <f>Control!$F$47</f>
        <v>0</v>
      </c>
      <c r="L58" s="51" t="s">
        <v>87</v>
      </c>
      <c r="M58" s="57">
        <f>Control!$F$46</f>
        <v>0</v>
      </c>
      <c r="N58" s="52" t="s">
        <v>88</v>
      </c>
      <c r="O58" s="86">
        <f>C58*$E$6*$I$6*$M$6*$K$6*$G$6</f>
        <v>0</v>
      </c>
      <c r="P58" s="51" t="s">
        <v>87</v>
      </c>
      <c r="Q58" s="65">
        <f>Control!$D$107</f>
        <v>9.9999999999999998E-13</v>
      </c>
      <c r="R58" s="52" t="s">
        <v>88</v>
      </c>
      <c r="S58" s="46">
        <f>O58*Q58</f>
        <v>0</v>
      </c>
      <c r="T58" s="51" t="s">
        <v>87</v>
      </c>
      <c r="U58" s="70">
        <f>Control!$D$101</f>
        <v>28</v>
      </c>
      <c r="V58" s="51" t="s">
        <v>87</v>
      </c>
      <c r="W58" s="46">
        <f>Control!$D$100</f>
        <v>0.27272727272727271</v>
      </c>
      <c r="X58" s="52" t="s">
        <v>88</v>
      </c>
      <c r="Y58" s="48">
        <f>S58*U$6*W$6</f>
        <v>0</v>
      </c>
      <c r="Z58" s="52" t="s">
        <v>88</v>
      </c>
      <c r="AA58" s="48">
        <f>Y58*C_CO2</f>
        <v>0</v>
      </c>
      <c r="AF58" s="79"/>
    </row>
    <row r="59" spans="1:32" ht="11">
      <c r="A59" s="38"/>
      <c r="B59" s="40"/>
      <c r="C59" s="49"/>
      <c r="D59" s="50"/>
      <c r="E59" s="77"/>
      <c r="F59" s="50"/>
      <c r="G59" s="50"/>
      <c r="H59" s="50"/>
      <c r="I59" s="78"/>
      <c r="J59" s="50"/>
      <c r="K59" s="50"/>
      <c r="L59" s="50"/>
      <c r="M59" s="50"/>
      <c r="N59" s="50"/>
      <c r="O59" s="84"/>
      <c r="P59" s="50"/>
      <c r="Q59" s="50"/>
      <c r="R59" s="50"/>
      <c r="S59" s="50"/>
      <c r="T59" s="50"/>
      <c r="U59" s="50"/>
      <c r="V59" s="50"/>
      <c r="W59" s="82"/>
      <c r="X59" s="50"/>
      <c r="Y59" s="50"/>
      <c r="Z59" s="50"/>
      <c r="AF59" s="79"/>
    </row>
    <row r="60" spans="1:32" ht="13">
      <c r="A60" s="38">
        <v>29</v>
      </c>
      <c r="B60" s="39">
        <f>B58+1</f>
        <v>2017</v>
      </c>
      <c r="C60" s="159"/>
      <c r="D60" s="51" t="s">
        <v>87</v>
      </c>
      <c r="E60" s="75">
        <f>Control!$F$44</f>
        <v>0</v>
      </c>
      <c r="F60" s="51" t="s">
        <v>87</v>
      </c>
      <c r="G60" s="70">
        <f>Control!$D$106</f>
        <v>1000</v>
      </c>
      <c r="H60" s="51" t="s">
        <v>87</v>
      </c>
      <c r="I60" s="76">
        <f>Control!$F$45</f>
        <v>0</v>
      </c>
      <c r="J60" s="51" t="s">
        <v>87</v>
      </c>
      <c r="K60" s="46">
        <f>Control!$F$47</f>
        <v>0</v>
      </c>
      <c r="L60" s="51" t="s">
        <v>87</v>
      </c>
      <c r="M60" s="57">
        <f>Control!$F$46</f>
        <v>0</v>
      </c>
      <c r="N60" s="52" t="s">
        <v>88</v>
      </c>
      <c r="O60" s="86">
        <f>C60*$E$6*$I$6*$M$6*$K$6*$G$6</f>
        <v>0</v>
      </c>
      <c r="P60" s="51" t="s">
        <v>87</v>
      </c>
      <c r="Q60" s="65">
        <f>Control!$D$107</f>
        <v>9.9999999999999998E-13</v>
      </c>
      <c r="R60" s="52" t="s">
        <v>88</v>
      </c>
      <c r="S60" s="46">
        <f>O60*Q60</f>
        <v>0</v>
      </c>
      <c r="T60" s="51" t="s">
        <v>87</v>
      </c>
      <c r="U60" s="70">
        <f>Control!$D$101</f>
        <v>28</v>
      </c>
      <c r="V60" s="51" t="s">
        <v>87</v>
      </c>
      <c r="W60" s="46">
        <f>Control!$D$100</f>
        <v>0.27272727272727271</v>
      </c>
      <c r="X60" s="52" t="s">
        <v>88</v>
      </c>
      <c r="Y60" s="48">
        <f>S60*U$6*W$6</f>
        <v>0</v>
      </c>
      <c r="Z60" s="52" t="s">
        <v>88</v>
      </c>
      <c r="AA60" s="48">
        <f>Y60*C_CO2</f>
        <v>0</v>
      </c>
      <c r="AF60" s="79"/>
    </row>
    <row r="61" spans="1:32" ht="11">
      <c r="A61" s="38"/>
      <c r="B61" s="40"/>
      <c r="C61" s="49"/>
      <c r="D61" s="50"/>
      <c r="E61" s="77"/>
      <c r="F61" s="50"/>
      <c r="G61" s="50"/>
      <c r="H61" s="50"/>
      <c r="I61" s="78"/>
      <c r="J61" s="50"/>
      <c r="K61" s="50"/>
      <c r="L61" s="50"/>
      <c r="M61" s="50"/>
      <c r="N61" s="50"/>
      <c r="O61" s="84"/>
      <c r="P61" s="50"/>
      <c r="Q61" s="50"/>
      <c r="R61" s="50"/>
      <c r="S61" s="50"/>
      <c r="T61" s="50"/>
      <c r="U61" s="50"/>
      <c r="V61" s="50"/>
      <c r="W61" s="82"/>
      <c r="X61" s="50"/>
      <c r="Y61" s="50"/>
      <c r="Z61" s="50"/>
      <c r="AF61" s="79"/>
    </row>
    <row r="62" spans="1:32" ht="13">
      <c r="A62" s="38">
        <v>30</v>
      </c>
      <c r="B62" s="39">
        <f>B60+1</f>
        <v>2018</v>
      </c>
      <c r="C62" s="159"/>
      <c r="D62" s="51" t="s">
        <v>87</v>
      </c>
      <c r="E62" s="75">
        <f>Control!$F$44</f>
        <v>0</v>
      </c>
      <c r="F62" s="51" t="s">
        <v>87</v>
      </c>
      <c r="G62" s="70">
        <f>Control!$D$106</f>
        <v>1000</v>
      </c>
      <c r="H62" s="51" t="s">
        <v>87</v>
      </c>
      <c r="I62" s="76">
        <f>Control!$F$45</f>
        <v>0</v>
      </c>
      <c r="J62" s="51" t="s">
        <v>87</v>
      </c>
      <c r="K62" s="46">
        <f>Control!$F$47</f>
        <v>0</v>
      </c>
      <c r="L62" s="51" t="s">
        <v>87</v>
      </c>
      <c r="M62" s="57">
        <f>Control!$F$46</f>
        <v>0</v>
      </c>
      <c r="N62" s="52" t="s">
        <v>88</v>
      </c>
      <c r="O62" s="86">
        <f>C62*$E$6*$I$6*$M$6*$K$6*$G$6</f>
        <v>0</v>
      </c>
      <c r="P62" s="51" t="s">
        <v>87</v>
      </c>
      <c r="Q62" s="65">
        <f>Control!$D$107</f>
        <v>9.9999999999999998E-13</v>
      </c>
      <c r="R62" s="52" t="s">
        <v>88</v>
      </c>
      <c r="S62" s="46">
        <f>O62*Q62</f>
        <v>0</v>
      </c>
      <c r="T62" s="51" t="s">
        <v>87</v>
      </c>
      <c r="U62" s="70">
        <f>Control!$D$101</f>
        <v>28</v>
      </c>
      <c r="V62" s="51" t="s">
        <v>87</v>
      </c>
      <c r="W62" s="46">
        <f>Control!$D$100</f>
        <v>0.27272727272727271</v>
      </c>
      <c r="X62" s="52" t="s">
        <v>88</v>
      </c>
      <c r="Y62" s="48">
        <f>S62*U$6*W$6</f>
        <v>0</v>
      </c>
      <c r="Z62" s="52" t="s">
        <v>88</v>
      </c>
      <c r="AA62" s="48">
        <f>Y62*C_CO2</f>
        <v>0</v>
      </c>
      <c r="AF62" s="79"/>
    </row>
    <row r="63" spans="1:32" ht="11">
      <c r="A63" s="38"/>
      <c r="B63" s="40"/>
      <c r="C63" s="49"/>
      <c r="D63" s="50"/>
      <c r="E63" s="77"/>
      <c r="F63" s="50"/>
      <c r="G63" s="50"/>
      <c r="H63" s="50"/>
      <c r="I63" s="78"/>
      <c r="J63" s="50"/>
      <c r="K63" s="50"/>
      <c r="L63" s="50"/>
      <c r="M63" s="50"/>
      <c r="N63" s="50"/>
      <c r="O63" s="84"/>
      <c r="P63" s="50"/>
      <c r="Q63" s="50"/>
      <c r="R63" s="50"/>
      <c r="S63" s="50"/>
      <c r="T63" s="50"/>
      <c r="U63" s="50"/>
      <c r="V63" s="50"/>
      <c r="W63" s="82"/>
      <c r="X63" s="50"/>
      <c r="Y63" s="50"/>
      <c r="Z63" s="50"/>
      <c r="AF63" s="79"/>
    </row>
    <row r="64" spans="1:32" ht="13">
      <c r="A64" s="38">
        <v>31</v>
      </c>
      <c r="B64" s="39">
        <f>B62+1</f>
        <v>2019</v>
      </c>
      <c r="C64" s="159"/>
      <c r="D64" s="51" t="s">
        <v>87</v>
      </c>
      <c r="E64" s="75">
        <f>Control!$F$44</f>
        <v>0</v>
      </c>
      <c r="F64" s="51" t="s">
        <v>87</v>
      </c>
      <c r="G64" s="70">
        <f>Control!$D$106</f>
        <v>1000</v>
      </c>
      <c r="H64" s="51" t="s">
        <v>87</v>
      </c>
      <c r="I64" s="76">
        <f>Control!$F$45</f>
        <v>0</v>
      </c>
      <c r="J64" s="51" t="s">
        <v>87</v>
      </c>
      <c r="K64" s="46">
        <f>Control!$F$47</f>
        <v>0</v>
      </c>
      <c r="L64" s="51" t="s">
        <v>87</v>
      </c>
      <c r="M64" s="57">
        <f>Control!$F$46</f>
        <v>0</v>
      </c>
      <c r="N64" s="52" t="s">
        <v>88</v>
      </c>
      <c r="O64" s="86">
        <f>C64*$E$6*$I$6*$M$6*$K$6*$G$6</f>
        <v>0</v>
      </c>
      <c r="P64" s="51" t="s">
        <v>87</v>
      </c>
      <c r="Q64" s="65">
        <f>Control!$D$107</f>
        <v>9.9999999999999998E-13</v>
      </c>
      <c r="R64" s="52" t="s">
        <v>88</v>
      </c>
      <c r="S64" s="46">
        <f>O64*Q64</f>
        <v>0</v>
      </c>
      <c r="T64" s="51" t="s">
        <v>87</v>
      </c>
      <c r="U64" s="70">
        <f>Control!$D$101</f>
        <v>28</v>
      </c>
      <c r="V64" s="51" t="s">
        <v>87</v>
      </c>
      <c r="W64" s="46">
        <f>Control!$D$100</f>
        <v>0.27272727272727271</v>
      </c>
      <c r="X64" s="52" t="s">
        <v>88</v>
      </c>
      <c r="Y64" s="48">
        <f>S64*U$6*W$6</f>
        <v>0</v>
      </c>
      <c r="Z64" s="52" t="s">
        <v>88</v>
      </c>
      <c r="AA64" s="48">
        <f>Y64*C_CO2</f>
        <v>0</v>
      </c>
      <c r="AF64" s="79"/>
    </row>
    <row r="65" spans="1:32" ht="11">
      <c r="A65" s="38"/>
      <c r="B65" s="40"/>
      <c r="C65" s="49"/>
      <c r="D65" s="50"/>
      <c r="E65" s="77"/>
      <c r="F65" s="50"/>
      <c r="G65" s="50"/>
      <c r="H65" s="50"/>
      <c r="I65" s="78"/>
      <c r="J65" s="50"/>
      <c r="K65" s="50"/>
      <c r="L65" s="50"/>
      <c r="M65" s="50"/>
      <c r="N65" s="50"/>
      <c r="O65" s="84"/>
      <c r="P65" s="50"/>
      <c r="Q65" s="50"/>
      <c r="R65" s="50"/>
      <c r="S65" s="50"/>
      <c r="T65" s="50"/>
      <c r="U65" s="50"/>
      <c r="V65" s="50"/>
      <c r="W65" s="82"/>
      <c r="X65" s="50"/>
      <c r="Y65" s="50"/>
      <c r="Z65" s="50"/>
      <c r="AF65" s="79"/>
    </row>
    <row r="66" spans="1:32" ht="13">
      <c r="A66" s="38">
        <v>32</v>
      </c>
      <c r="B66" s="39">
        <f>B64+1</f>
        <v>2020</v>
      </c>
      <c r="C66" s="159"/>
      <c r="D66" s="51" t="s">
        <v>87</v>
      </c>
      <c r="E66" s="75">
        <f>Control!$F$44</f>
        <v>0</v>
      </c>
      <c r="F66" s="51" t="s">
        <v>87</v>
      </c>
      <c r="G66" s="70">
        <f>Control!$D$106</f>
        <v>1000</v>
      </c>
      <c r="H66" s="51" t="s">
        <v>87</v>
      </c>
      <c r="I66" s="76">
        <f>Control!$F$45</f>
        <v>0</v>
      </c>
      <c r="J66" s="51" t="s">
        <v>87</v>
      </c>
      <c r="K66" s="46">
        <f>Control!$F$47</f>
        <v>0</v>
      </c>
      <c r="L66" s="51" t="s">
        <v>87</v>
      </c>
      <c r="M66" s="57">
        <f>Control!$F$46</f>
        <v>0</v>
      </c>
      <c r="N66" s="52" t="s">
        <v>88</v>
      </c>
      <c r="O66" s="86">
        <f>C66*$E$6*$I$6*$M$6*$K$6*$G$6</f>
        <v>0</v>
      </c>
      <c r="P66" s="51" t="s">
        <v>87</v>
      </c>
      <c r="Q66" s="65">
        <f>Control!$D$107</f>
        <v>9.9999999999999998E-13</v>
      </c>
      <c r="R66" s="52" t="s">
        <v>88</v>
      </c>
      <c r="S66" s="46">
        <f>O66*Q66</f>
        <v>0</v>
      </c>
      <c r="T66" s="51" t="s">
        <v>87</v>
      </c>
      <c r="U66" s="70">
        <f>Control!$D$101</f>
        <v>28</v>
      </c>
      <c r="V66" s="51" t="s">
        <v>87</v>
      </c>
      <c r="W66" s="46">
        <f>Control!$D$100</f>
        <v>0.27272727272727271</v>
      </c>
      <c r="X66" s="52" t="s">
        <v>88</v>
      </c>
      <c r="Y66" s="48">
        <f>S66*U$6*W$6</f>
        <v>0</v>
      </c>
      <c r="Z66" s="52" t="s">
        <v>88</v>
      </c>
      <c r="AA66" s="48">
        <f>Y66*C_CO2</f>
        <v>0</v>
      </c>
      <c r="AF66" s="79"/>
    </row>
    <row r="68" spans="1:32" ht="13">
      <c r="A68" s="38">
        <v>33</v>
      </c>
      <c r="B68" s="39">
        <f>B66+1</f>
        <v>2021</v>
      </c>
      <c r="C68" s="159"/>
      <c r="D68" s="51" t="s">
        <v>87</v>
      </c>
      <c r="E68" s="75">
        <f>Control!$F$44</f>
        <v>0</v>
      </c>
      <c r="F68" s="51" t="s">
        <v>87</v>
      </c>
      <c r="G68" s="70">
        <f>Control!$D$106</f>
        <v>1000</v>
      </c>
      <c r="H68" s="51" t="s">
        <v>87</v>
      </c>
      <c r="I68" s="76">
        <f>Control!$F$45</f>
        <v>0</v>
      </c>
      <c r="J68" s="51" t="s">
        <v>87</v>
      </c>
      <c r="K68" s="46">
        <f>Control!$F$47</f>
        <v>0</v>
      </c>
      <c r="L68" s="51" t="s">
        <v>87</v>
      </c>
      <c r="M68" s="57">
        <f>Control!$F$46</f>
        <v>0</v>
      </c>
      <c r="N68" s="52" t="s">
        <v>88</v>
      </c>
      <c r="O68" s="86">
        <f>C68*$E$6*$I$6*$M$6*$K$6*$G$6</f>
        <v>0</v>
      </c>
      <c r="P68" s="51" t="s">
        <v>87</v>
      </c>
      <c r="Q68" s="65">
        <f>Control!$D$107</f>
        <v>9.9999999999999998E-13</v>
      </c>
      <c r="R68" s="52" t="s">
        <v>88</v>
      </c>
      <c r="S68" s="46">
        <f>O68*Q68</f>
        <v>0</v>
      </c>
      <c r="T68" s="51" t="s">
        <v>87</v>
      </c>
      <c r="U68" s="70">
        <f>Control!$D$101</f>
        <v>28</v>
      </c>
      <c r="V68" s="51" t="s">
        <v>87</v>
      </c>
      <c r="W68" s="46">
        <f>Control!$D$100</f>
        <v>0.27272727272727271</v>
      </c>
      <c r="X68" s="52" t="s">
        <v>88</v>
      </c>
      <c r="Y68" s="48">
        <f>S68*U$6*W$6</f>
        <v>0</v>
      </c>
      <c r="Z68" s="52" t="s">
        <v>88</v>
      </c>
      <c r="AA68" s="48">
        <f>Y68*C_CO2</f>
        <v>0</v>
      </c>
      <c r="AF68" s="79"/>
    </row>
    <row r="70" spans="1:32" ht="13">
      <c r="A70" s="38">
        <v>34</v>
      </c>
      <c r="B70" s="39">
        <f>B68+1</f>
        <v>2022</v>
      </c>
      <c r="C70" s="159"/>
      <c r="D70" s="51" t="s">
        <v>87</v>
      </c>
      <c r="E70" s="75">
        <f>Control!$F$44</f>
        <v>0</v>
      </c>
      <c r="F70" s="51" t="s">
        <v>87</v>
      </c>
      <c r="G70" s="70">
        <f>Control!$D$106</f>
        <v>1000</v>
      </c>
      <c r="H70" s="51" t="s">
        <v>87</v>
      </c>
      <c r="I70" s="76">
        <f>Control!$F$45</f>
        <v>0</v>
      </c>
      <c r="J70" s="51" t="s">
        <v>87</v>
      </c>
      <c r="K70" s="46">
        <f>Control!$F$47</f>
        <v>0</v>
      </c>
      <c r="L70" s="51" t="s">
        <v>87</v>
      </c>
      <c r="M70" s="57">
        <f>Control!$F$46</f>
        <v>0</v>
      </c>
      <c r="N70" s="52" t="s">
        <v>88</v>
      </c>
      <c r="O70" s="86">
        <f>C70*$E$6*$I$6*$M$6*$K$6*$G$6</f>
        <v>0</v>
      </c>
      <c r="P70" s="51" t="s">
        <v>87</v>
      </c>
      <c r="Q70" s="65">
        <f>Control!$D$107</f>
        <v>9.9999999999999998E-13</v>
      </c>
      <c r="R70" s="52" t="s">
        <v>88</v>
      </c>
      <c r="S70" s="46">
        <f>O70*Q70</f>
        <v>0</v>
      </c>
      <c r="T70" s="51" t="s">
        <v>87</v>
      </c>
      <c r="U70" s="70">
        <f>Control!$D$101</f>
        <v>28</v>
      </c>
      <c r="V70" s="51" t="s">
        <v>87</v>
      </c>
      <c r="W70" s="46">
        <f>Control!$D$100</f>
        <v>0.27272727272727271</v>
      </c>
      <c r="X70" s="52" t="s">
        <v>88</v>
      </c>
      <c r="Y70" s="48">
        <f>S70*U$6*W$6</f>
        <v>0</v>
      </c>
      <c r="Z70" s="52" t="s">
        <v>88</v>
      </c>
      <c r="AA70" s="48">
        <f>Y70*C_CO2</f>
        <v>0</v>
      </c>
      <c r="AF70" s="79"/>
    </row>
    <row r="72" spans="1:32" ht="13">
      <c r="A72" s="38">
        <v>35</v>
      </c>
      <c r="B72" s="39">
        <f>B70+1</f>
        <v>2023</v>
      </c>
      <c r="C72" s="159"/>
      <c r="D72" s="51" t="s">
        <v>87</v>
      </c>
      <c r="E72" s="75">
        <f>Control!$F$44</f>
        <v>0</v>
      </c>
      <c r="F72" s="51" t="s">
        <v>87</v>
      </c>
      <c r="G72" s="70">
        <f>Control!$D$106</f>
        <v>1000</v>
      </c>
      <c r="H72" s="51" t="s">
        <v>87</v>
      </c>
      <c r="I72" s="76">
        <f>Control!$F$45</f>
        <v>0</v>
      </c>
      <c r="J72" s="51" t="s">
        <v>87</v>
      </c>
      <c r="K72" s="46">
        <f>Control!$F$47</f>
        <v>0</v>
      </c>
      <c r="L72" s="51" t="s">
        <v>87</v>
      </c>
      <c r="M72" s="57">
        <f>Control!$F$46</f>
        <v>0</v>
      </c>
      <c r="N72" s="52" t="s">
        <v>88</v>
      </c>
      <c r="O72" s="86">
        <f>C72*$E$6*$I$6*$M$6*$K$6*$G$6</f>
        <v>0</v>
      </c>
      <c r="P72" s="51" t="s">
        <v>87</v>
      </c>
      <c r="Q72" s="65">
        <f>Control!$D$107</f>
        <v>9.9999999999999998E-13</v>
      </c>
      <c r="R72" s="52" t="s">
        <v>88</v>
      </c>
      <c r="S72" s="46">
        <f>O72*Q72</f>
        <v>0</v>
      </c>
      <c r="T72" s="51" t="s">
        <v>87</v>
      </c>
      <c r="U72" s="70">
        <f>Control!$D$101</f>
        <v>28</v>
      </c>
      <c r="V72" s="51" t="s">
        <v>87</v>
      </c>
      <c r="W72" s="46">
        <f>Control!$D$100</f>
        <v>0.27272727272727271</v>
      </c>
      <c r="X72" s="52" t="s">
        <v>88</v>
      </c>
      <c r="Y72" s="48">
        <f>S72*U$6*W$6</f>
        <v>0</v>
      </c>
      <c r="Z72" s="52" t="s">
        <v>88</v>
      </c>
      <c r="AA72" s="48">
        <f>Y72*C_CO2</f>
        <v>0</v>
      </c>
      <c r="AF72" s="79"/>
    </row>
    <row r="74" spans="1:32" ht="13">
      <c r="A74" s="38">
        <v>36</v>
      </c>
      <c r="B74" s="39">
        <f>B72+1</f>
        <v>2024</v>
      </c>
      <c r="C74" s="159"/>
      <c r="D74" s="51" t="s">
        <v>87</v>
      </c>
      <c r="E74" s="75">
        <f>Control!$F$44</f>
        <v>0</v>
      </c>
      <c r="F74" s="51" t="s">
        <v>87</v>
      </c>
      <c r="G74" s="70">
        <f>Control!$D$106</f>
        <v>1000</v>
      </c>
      <c r="H74" s="51" t="s">
        <v>87</v>
      </c>
      <c r="I74" s="76">
        <f>Control!$F$45</f>
        <v>0</v>
      </c>
      <c r="J74" s="51" t="s">
        <v>87</v>
      </c>
      <c r="K74" s="46">
        <f>Control!$F$47</f>
        <v>0</v>
      </c>
      <c r="L74" s="51" t="s">
        <v>87</v>
      </c>
      <c r="M74" s="57">
        <f>Control!$F$46</f>
        <v>0</v>
      </c>
      <c r="N74" s="52" t="s">
        <v>88</v>
      </c>
      <c r="O74" s="86">
        <f>C74*$E$6*$I$6*$M$6*$K$6*$G$6</f>
        <v>0</v>
      </c>
      <c r="P74" s="51" t="s">
        <v>87</v>
      </c>
      <c r="Q74" s="65">
        <f>Control!$D$107</f>
        <v>9.9999999999999998E-13</v>
      </c>
      <c r="R74" s="52" t="s">
        <v>88</v>
      </c>
      <c r="S74" s="46">
        <f>O74*Q74</f>
        <v>0</v>
      </c>
      <c r="T74" s="51" t="s">
        <v>87</v>
      </c>
      <c r="U74" s="70">
        <f>Control!$D$101</f>
        <v>28</v>
      </c>
      <c r="V74" s="51" t="s">
        <v>87</v>
      </c>
      <c r="W74" s="46">
        <f>Control!$D$100</f>
        <v>0.27272727272727271</v>
      </c>
      <c r="X74" s="52" t="s">
        <v>88</v>
      </c>
      <c r="Y74" s="48">
        <f>S74*U$6*W$6</f>
        <v>0</v>
      </c>
      <c r="Z74" s="52" t="s">
        <v>88</v>
      </c>
      <c r="AA74" s="48">
        <f>Y74*C_CO2</f>
        <v>0</v>
      </c>
      <c r="AF74" s="79"/>
    </row>
    <row r="76" spans="1:32" ht="13">
      <c r="A76" s="38">
        <v>37</v>
      </c>
      <c r="B76" s="39">
        <f>B74+1</f>
        <v>2025</v>
      </c>
      <c r="C76" s="159"/>
      <c r="D76" s="51" t="s">
        <v>87</v>
      </c>
      <c r="E76" s="75">
        <f>Control!$F$44</f>
        <v>0</v>
      </c>
      <c r="F76" s="51" t="s">
        <v>87</v>
      </c>
      <c r="G76" s="70">
        <f>Control!$D$106</f>
        <v>1000</v>
      </c>
      <c r="H76" s="51" t="s">
        <v>87</v>
      </c>
      <c r="I76" s="76">
        <f>Control!$F$45</f>
        <v>0</v>
      </c>
      <c r="J76" s="51" t="s">
        <v>87</v>
      </c>
      <c r="K76" s="46">
        <f>Control!$F$47</f>
        <v>0</v>
      </c>
      <c r="L76" s="51" t="s">
        <v>87</v>
      </c>
      <c r="M76" s="57">
        <f>Control!$F$46</f>
        <v>0</v>
      </c>
      <c r="N76" s="52" t="s">
        <v>88</v>
      </c>
      <c r="O76" s="86">
        <f>C76*$E$6*$I$6*$M$6*$K$6*$G$6</f>
        <v>0</v>
      </c>
      <c r="P76" s="51" t="s">
        <v>87</v>
      </c>
      <c r="Q76" s="65">
        <f>Control!$D$107</f>
        <v>9.9999999999999998E-13</v>
      </c>
      <c r="R76" s="52" t="s">
        <v>88</v>
      </c>
      <c r="S76" s="46">
        <f>O76*Q76</f>
        <v>0</v>
      </c>
      <c r="T76" s="51" t="s">
        <v>87</v>
      </c>
      <c r="U76" s="70">
        <f>Control!$D$101</f>
        <v>28</v>
      </c>
      <c r="V76" s="51" t="s">
        <v>87</v>
      </c>
      <c r="W76" s="46">
        <f>Control!$D$100</f>
        <v>0.27272727272727271</v>
      </c>
      <c r="X76" s="52" t="s">
        <v>88</v>
      </c>
      <c r="Y76" s="48">
        <f>S76*U$6*W$6</f>
        <v>0</v>
      </c>
      <c r="Z76" s="52" t="s">
        <v>88</v>
      </c>
      <c r="AA76" s="48">
        <f>Y76*C_CO2</f>
        <v>0</v>
      </c>
      <c r="AF76" s="79"/>
    </row>
  </sheetData>
  <sheetProtection algorithmName="SHA-512" hashValue="s3d3j71qGSnvpTTqVuHLLoQSaELlBINUENb/R50KLwSV3GeqEULxdPcfBi6gP73G8jB9d4yoYRyRhyWW/3RDlQ==" saltValue="0dWdDXakTImTTBF/XiFT6w==" spinCount="100000" sheet="1" objects="1" scenarios="1"/>
  <mergeCells count="1">
    <mergeCell ref="A2:H2"/>
  </mergeCells>
  <phoneticPr fontId="10" type="noConversion"/>
  <dataValidations count="1">
    <dataValidation allowBlank="1" showErrorMessage="1" prompt="There is no default data associated with this sector.  You will need to fill in all required data in order to estimate emissions." sqref="C6" xr:uid="{00000000-0002-0000-0500-000000000000}"/>
  </dataValidations>
  <pageMargins left="0.75" right="0.75" top="1" bottom="1" header="0.5" footer="0.5"/>
  <pageSetup orientation="portrait" horizontalDpi="96" verticalDpi="96"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A76"/>
  <sheetViews>
    <sheetView showGridLines="0" workbookViewId="0">
      <pane ySplit="4" topLeftCell="A5" activePane="bottomLeft" state="frozen"/>
      <selection pane="bottomLeft" activeCell="C6" sqref="C6"/>
    </sheetView>
  </sheetViews>
  <sheetFormatPr baseColWidth="10" defaultColWidth="8" defaultRowHeight="11.25" customHeight="1"/>
  <cols>
    <col min="1" max="1" width="2.83203125" style="2" customWidth="1"/>
    <col min="2" max="2" width="5.1640625" style="2" customWidth="1"/>
    <col min="3" max="3" width="11.5" style="7" customWidth="1"/>
    <col min="4" max="4" width="1.83203125" style="2" bestFit="1" customWidth="1"/>
    <col min="5" max="5" width="7.83203125" style="2" customWidth="1"/>
    <col min="6" max="6" width="1.83203125" style="2" bestFit="1" customWidth="1"/>
    <col min="7" max="7" width="10" style="2" customWidth="1"/>
    <col min="8" max="8" width="1.83203125" style="2" bestFit="1" customWidth="1"/>
    <col min="9" max="9" width="7.83203125" style="2" customWidth="1"/>
    <col min="10" max="10" width="1.83203125" style="2" bestFit="1" customWidth="1"/>
    <col min="11" max="11" width="10.83203125" style="2" customWidth="1"/>
    <col min="12" max="12" width="1.83203125" style="2" bestFit="1" customWidth="1"/>
    <col min="13" max="13" width="8.1640625" style="2" customWidth="1"/>
    <col min="14" max="14" width="1.83203125" style="2" bestFit="1" customWidth="1"/>
    <col min="15" max="15" width="14.5" style="2" customWidth="1"/>
    <col min="16" max="16" width="1.83203125" style="2" bestFit="1" customWidth="1"/>
    <col min="17" max="17" width="10" style="2" customWidth="1"/>
    <col min="18" max="18" width="1.83203125" style="2" bestFit="1" customWidth="1"/>
    <col min="19" max="19" width="11.1640625" style="2" customWidth="1"/>
    <col min="20" max="20" width="1.83203125" style="2" bestFit="1" customWidth="1"/>
    <col min="21" max="21" width="6.1640625" style="2" customWidth="1"/>
    <col min="22" max="22" width="1.83203125" style="2" bestFit="1" customWidth="1"/>
    <col min="23" max="23" width="5.83203125" style="2" customWidth="1"/>
    <col min="24" max="24" width="1.83203125" style="2" bestFit="1" customWidth="1"/>
    <col min="25" max="25" width="9" style="2" customWidth="1"/>
    <col min="26" max="26" width="3" style="2" customWidth="1"/>
    <col min="27" max="27" width="8.83203125" style="2" customWidth="1"/>
    <col min="28" max="31" width="8" style="2" customWidth="1"/>
    <col min="32" max="32" width="10" style="2" customWidth="1"/>
    <col min="33" max="16384" width="8" style="2"/>
  </cols>
  <sheetData>
    <row r="1" spans="1:27" s="156" customFormat="1" ht="22.75" customHeight="1">
      <c r="B1" s="157" t="str">
        <f>"9. "&amp;SelectedState &amp; " Industrial Wastewater Methane - Poultry"</f>
        <v>9. Select a state . . . Industrial Wastewater Methane - Poultry</v>
      </c>
    </row>
    <row r="2" spans="1:27" ht="58.75" customHeight="1">
      <c r="A2" s="265"/>
      <c r="B2" s="265"/>
      <c r="C2" s="265"/>
      <c r="D2" s="265"/>
      <c r="E2" s="265"/>
      <c r="F2" s="265"/>
      <c r="G2" s="265"/>
      <c r="H2" s="265"/>
      <c r="I2" s="106"/>
      <c r="J2" s="106"/>
      <c r="K2" s="106"/>
      <c r="L2" s="106"/>
      <c r="M2" s="106"/>
      <c r="N2" s="106"/>
      <c r="O2" s="106"/>
      <c r="P2" s="106"/>
      <c r="Q2" s="106"/>
    </row>
    <row r="3" spans="1:27" s="163" customFormat="1" ht="30.75" customHeight="1">
      <c r="A3" s="170"/>
      <c r="B3" s="35"/>
      <c r="C3" s="161" t="s">
        <v>116</v>
      </c>
      <c r="D3" s="161"/>
      <c r="E3" s="161" t="s">
        <v>117</v>
      </c>
      <c r="F3" s="162"/>
      <c r="G3" s="161" t="s">
        <v>71</v>
      </c>
      <c r="H3" s="162"/>
      <c r="I3" s="161" t="s">
        <v>118</v>
      </c>
      <c r="J3" s="162"/>
      <c r="K3" s="161" t="s">
        <v>72</v>
      </c>
      <c r="L3" s="162"/>
      <c r="M3" s="161" t="s">
        <v>119</v>
      </c>
      <c r="N3" s="162"/>
      <c r="O3" s="161" t="s">
        <v>74</v>
      </c>
      <c r="P3" s="162"/>
      <c r="Q3" s="161" t="s">
        <v>71</v>
      </c>
      <c r="R3" s="162"/>
      <c r="S3" s="161" t="s">
        <v>74</v>
      </c>
      <c r="T3" s="162"/>
      <c r="U3" s="161" t="s">
        <v>120</v>
      </c>
      <c r="V3" s="161"/>
      <c r="W3" s="161" t="s">
        <v>76</v>
      </c>
      <c r="X3" s="162"/>
      <c r="Y3" s="161" t="s">
        <v>74</v>
      </c>
      <c r="AA3" s="161" t="s">
        <v>74</v>
      </c>
    </row>
    <row r="4" spans="1:27" s="163" customFormat="1" ht="13">
      <c r="A4" s="172"/>
      <c r="B4" s="35"/>
      <c r="C4" s="36" t="s">
        <v>108</v>
      </c>
      <c r="D4" s="35"/>
      <c r="E4" s="36" t="s">
        <v>121</v>
      </c>
      <c r="F4" s="36"/>
      <c r="G4" s="36" t="s">
        <v>122</v>
      </c>
      <c r="H4" s="36"/>
      <c r="I4" s="36" t="s">
        <v>123</v>
      </c>
      <c r="J4" s="36"/>
      <c r="K4" s="36" t="s">
        <v>124</v>
      </c>
      <c r="L4" s="36"/>
      <c r="M4" s="36" t="s">
        <v>81</v>
      </c>
      <c r="N4" s="36"/>
      <c r="O4" s="36" t="s">
        <v>125</v>
      </c>
      <c r="P4" s="36"/>
      <c r="Q4" s="36" t="s">
        <v>126</v>
      </c>
      <c r="R4" s="36"/>
      <c r="S4" s="36" t="s">
        <v>127</v>
      </c>
      <c r="T4" s="36"/>
      <c r="U4" s="165" t="s">
        <v>83</v>
      </c>
      <c r="V4" s="36"/>
      <c r="W4" s="36"/>
      <c r="X4" s="36"/>
      <c r="Y4" s="165" t="s">
        <v>85</v>
      </c>
      <c r="AA4" s="165" t="s">
        <v>86</v>
      </c>
    </row>
    <row r="5" spans="1:27" ht="12">
      <c r="A5" s="18"/>
      <c r="B5" s="34"/>
      <c r="C5" s="54"/>
      <c r="D5" s="50"/>
      <c r="E5" s="54"/>
      <c r="F5" s="54"/>
      <c r="G5" s="54"/>
      <c r="H5" s="54"/>
      <c r="I5" s="54"/>
      <c r="J5" s="54"/>
      <c r="K5" s="54"/>
      <c r="L5" s="54"/>
      <c r="M5" s="54"/>
      <c r="N5" s="54"/>
      <c r="O5" s="54"/>
      <c r="P5" s="54"/>
      <c r="Q5" s="54"/>
      <c r="R5" s="54"/>
      <c r="S5" s="54"/>
      <c r="T5" s="54"/>
      <c r="U5" s="54"/>
      <c r="V5" s="54"/>
      <c r="W5" s="54"/>
      <c r="X5" s="54"/>
      <c r="Y5" s="54"/>
    </row>
    <row r="6" spans="1:27" ht="13">
      <c r="A6" s="37">
        <f>C6*1000</f>
        <v>0</v>
      </c>
      <c r="B6" s="39">
        <v>1990</v>
      </c>
      <c r="C6" s="158"/>
      <c r="D6" s="51" t="s">
        <v>87</v>
      </c>
      <c r="E6" s="75">
        <f>Control!$F$50</f>
        <v>0</v>
      </c>
      <c r="F6" s="51" t="s">
        <v>87</v>
      </c>
      <c r="G6" s="70">
        <f>Control!$D$106</f>
        <v>1000</v>
      </c>
      <c r="H6" s="51" t="s">
        <v>87</v>
      </c>
      <c r="I6" s="76">
        <f>Control!$F$51</f>
        <v>0</v>
      </c>
      <c r="J6" s="51" t="s">
        <v>87</v>
      </c>
      <c r="K6" s="46">
        <f>Control!$F$53</f>
        <v>0</v>
      </c>
      <c r="L6" s="51" t="s">
        <v>87</v>
      </c>
      <c r="M6" s="56">
        <f>Control!$F$52</f>
        <v>0</v>
      </c>
      <c r="N6" s="52" t="s">
        <v>88</v>
      </c>
      <c r="O6" s="86">
        <f>C6*$E$6*$I$6*$M$6*$K$6*$G$6</f>
        <v>0</v>
      </c>
      <c r="P6" s="51" t="s">
        <v>87</v>
      </c>
      <c r="Q6" s="65">
        <f>Control!$D$107</f>
        <v>9.9999999999999998E-13</v>
      </c>
      <c r="R6" s="52" t="s">
        <v>88</v>
      </c>
      <c r="S6" s="46">
        <f>O6*Q6</f>
        <v>0</v>
      </c>
      <c r="T6" s="51" t="s">
        <v>87</v>
      </c>
      <c r="U6" s="70">
        <f>Control!$D$101</f>
        <v>28</v>
      </c>
      <c r="V6" s="51" t="s">
        <v>87</v>
      </c>
      <c r="W6" s="46">
        <f>Control!$D$100</f>
        <v>0.27272727272727271</v>
      </c>
      <c r="X6" s="52" t="s">
        <v>88</v>
      </c>
      <c r="Y6" s="48">
        <f>S6*U$6*W$6</f>
        <v>0</v>
      </c>
      <c r="Z6" s="52" t="s">
        <v>88</v>
      </c>
      <c r="AA6" s="48">
        <f>Y6*C_CO2</f>
        <v>0</v>
      </c>
    </row>
    <row r="7" spans="1:27" ht="11">
      <c r="A7" s="37"/>
      <c r="B7" s="40"/>
      <c r="C7" s="49"/>
      <c r="D7" s="50"/>
      <c r="E7" s="77"/>
      <c r="F7" s="50"/>
      <c r="G7" s="50"/>
      <c r="H7" s="50"/>
      <c r="I7" s="78"/>
      <c r="J7" s="50"/>
      <c r="K7" s="50"/>
      <c r="L7" s="50"/>
      <c r="M7" s="50"/>
      <c r="N7" s="50"/>
      <c r="O7" s="84"/>
      <c r="P7" s="50"/>
      <c r="Q7" s="50"/>
      <c r="R7" s="50"/>
      <c r="S7" s="50"/>
      <c r="T7" s="50"/>
      <c r="U7" s="50"/>
      <c r="V7" s="50"/>
      <c r="W7" s="82"/>
      <c r="X7" s="50"/>
      <c r="Y7" s="50"/>
      <c r="Z7" s="50"/>
      <c r="AA7" s="50"/>
    </row>
    <row r="8" spans="1:27" ht="13">
      <c r="A8" s="37">
        <f>C8*1000</f>
        <v>0</v>
      </c>
      <c r="B8" s="39">
        <f>B6+1</f>
        <v>1991</v>
      </c>
      <c r="C8" s="158"/>
      <c r="D8" s="51" t="s">
        <v>87</v>
      </c>
      <c r="E8" s="75">
        <f>Control!$F$50</f>
        <v>0</v>
      </c>
      <c r="F8" s="51" t="s">
        <v>87</v>
      </c>
      <c r="G8" s="70">
        <f>Control!$D$106</f>
        <v>1000</v>
      </c>
      <c r="H8" s="51" t="s">
        <v>87</v>
      </c>
      <c r="I8" s="76">
        <f>Control!$F$51</f>
        <v>0</v>
      </c>
      <c r="J8" s="51" t="s">
        <v>87</v>
      </c>
      <c r="K8" s="46">
        <f>Control!$F$53</f>
        <v>0</v>
      </c>
      <c r="L8" s="51" t="s">
        <v>87</v>
      </c>
      <c r="M8" s="56">
        <f>Control!$F$52</f>
        <v>0</v>
      </c>
      <c r="N8" s="52" t="s">
        <v>88</v>
      </c>
      <c r="O8" s="86">
        <f>C8*$E$6*$I$6*$M$6*$K$6*$G$6</f>
        <v>0</v>
      </c>
      <c r="P8" s="51" t="s">
        <v>87</v>
      </c>
      <c r="Q8" s="65">
        <f>Control!$D$107</f>
        <v>9.9999999999999998E-13</v>
      </c>
      <c r="R8" s="52" t="s">
        <v>88</v>
      </c>
      <c r="S8" s="46">
        <f>O8*Q8</f>
        <v>0</v>
      </c>
      <c r="T8" s="51" t="s">
        <v>87</v>
      </c>
      <c r="U8" s="70">
        <f>Control!$D$101</f>
        <v>28</v>
      </c>
      <c r="V8" s="51" t="s">
        <v>87</v>
      </c>
      <c r="W8" s="46">
        <f>Control!$D$100</f>
        <v>0.27272727272727271</v>
      </c>
      <c r="X8" s="52" t="s">
        <v>88</v>
      </c>
      <c r="Y8" s="48">
        <f>S8*U$6*W$6</f>
        <v>0</v>
      </c>
      <c r="Z8" s="52" t="s">
        <v>88</v>
      </c>
      <c r="AA8" s="48">
        <f>Y8*C_CO2</f>
        <v>0</v>
      </c>
    </row>
    <row r="9" spans="1:27" ht="11">
      <c r="A9" s="37"/>
      <c r="B9" s="41"/>
      <c r="C9" s="53"/>
      <c r="D9" s="50"/>
      <c r="E9" s="77"/>
      <c r="F9" s="50"/>
      <c r="G9" s="50"/>
      <c r="H9" s="50"/>
      <c r="I9" s="78"/>
      <c r="J9" s="50"/>
      <c r="K9" s="50"/>
      <c r="L9" s="50"/>
      <c r="M9" s="50"/>
      <c r="N9" s="50"/>
      <c r="O9" s="84"/>
      <c r="P9" s="50"/>
      <c r="Q9" s="50"/>
      <c r="R9" s="50"/>
      <c r="S9" s="50"/>
      <c r="T9" s="50"/>
      <c r="U9" s="50"/>
      <c r="V9" s="50"/>
      <c r="W9" s="82"/>
      <c r="X9" s="50"/>
      <c r="Y9" s="50"/>
      <c r="Z9" s="50"/>
      <c r="AA9" s="50"/>
    </row>
    <row r="10" spans="1:27" ht="13">
      <c r="A10" s="37">
        <f>C10*1000</f>
        <v>0</v>
      </c>
      <c r="B10" s="39">
        <f>B8+1</f>
        <v>1992</v>
      </c>
      <c r="C10" s="158"/>
      <c r="D10" s="51" t="s">
        <v>87</v>
      </c>
      <c r="E10" s="75">
        <f>Control!$F$50</f>
        <v>0</v>
      </c>
      <c r="F10" s="51" t="s">
        <v>87</v>
      </c>
      <c r="G10" s="70">
        <f>Control!$D$106</f>
        <v>1000</v>
      </c>
      <c r="H10" s="51" t="s">
        <v>87</v>
      </c>
      <c r="I10" s="76">
        <f>Control!$F$51</f>
        <v>0</v>
      </c>
      <c r="J10" s="51" t="s">
        <v>87</v>
      </c>
      <c r="K10" s="46">
        <f>Control!$F$53</f>
        <v>0</v>
      </c>
      <c r="L10" s="51" t="s">
        <v>87</v>
      </c>
      <c r="M10" s="56">
        <f>Control!$F$52</f>
        <v>0</v>
      </c>
      <c r="N10" s="52" t="s">
        <v>88</v>
      </c>
      <c r="O10" s="86">
        <f>C10*$E$6*$I$6*$M$6*$K$6*$G$6</f>
        <v>0</v>
      </c>
      <c r="P10" s="51" t="s">
        <v>87</v>
      </c>
      <c r="Q10" s="65">
        <f>Control!$D$107</f>
        <v>9.9999999999999998E-13</v>
      </c>
      <c r="R10" s="52" t="s">
        <v>88</v>
      </c>
      <c r="S10" s="46">
        <f>O10*Q10</f>
        <v>0</v>
      </c>
      <c r="T10" s="51" t="s">
        <v>87</v>
      </c>
      <c r="U10" s="70">
        <f>Control!$D$101</f>
        <v>28</v>
      </c>
      <c r="V10" s="51" t="s">
        <v>87</v>
      </c>
      <c r="W10" s="46">
        <f>Control!$D$100</f>
        <v>0.27272727272727271</v>
      </c>
      <c r="X10" s="52" t="s">
        <v>88</v>
      </c>
      <c r="Y10" s="48">
        <f>S10*U$6*W$6</f>
        <v>0</v>
      </c>
      <c r="Z10" s="52" t="s">
        <v>88</v>
      </c>
      <c r="AA10" s="48">
        <f>Y10*C_CO2</f>
        <v>0</v>
      </c>
    </row>
    <row r="11" spans="1:27" ht="11">
      <c r="A11" s="37"/>
      <c r="B11" s="40"/>
      <c r="C11" s="49"/>
      <c r="D11" s="50"/>
      <c r="E11" s="77"/>
      <c r="F11" s="50"/>
      <c r="G11" s="50"/>
      <c r="H11" s="50"/>
      <c r="I11" s="78"/>
      <c r="J11" s="50"/>
      <c r="K11" s="50"/>
      <c r="L11" s="50"/>
      <c r="M11" s="50"/>
      <c r="N11" s="50"/>
      <c r="O11" s="84"/>
      <c r="P11" s="50"/>
      <c r="Q11" s="50"/>
      <c r="R11" s="50"/>
      <c r="S11" s="50"/>
      <c r="T11" s="50"/>
      <c r="U11" s="50"/>
      <c r="V11" s="50"/>
      <c r="W11" s="82"/>
      <c r="X11" s="50"/>
      <c r="Y11" s="50"/>
      <c r="Z11" s="50"/>
      <c r="AA11" s="50"/>
    </row>
    <row r="12" spans="1:27" ht="13">
      <c r="A12" s="37">
        <f>C12*1000</f>
        <v>0</v>
      </c>
      <c r="B12" s="39">
        <f>B10+1</f>
        <v>1993</v>
      </c>
      <c r="C12" s="158"/>
      <c r="D12" s="51" t="s">
        <v>87</v>
      </c>
      <c r="E12" s="75">
        <f>Control!$F$50</f>
        <v>0</v>
      </c>
      <c r="F12" s="51" t="s">
        <v>87</v>
      </c>
      <c r="G12" s="70">
        <f>Control!$D$106</f>
        <v>1000</v>
      </c>
      <c r="H12" s="51" t="s">
        <v>87</v>
      </c>
      <c r="I12" s="76">
        <f>Control!$F$51</f>
        <v>0</v>
      </c>
      <c r="J12" s="51" t="s">
        <v>87</v>
      </c>
      <c r="K12" s="46">
        <f>Control!$F$53</f>
        <v>0</v>
      </c>
      <c r="L12" s="51" t="s">
        <v>87</v>
      </c>
      <c r="M12" s="56">
        <f>Control!$F$52</f>
        <v>0</v>
      </c>
      <c r="N12" s="52" t="s">
        <v>88</v>
      </c>
      <c r="O12" s="86">
        <f>C12*$E$6*$I$6*$M$6*$K$6*$G$6</f>
        <v>0</v>
      </c>
      <c r="P12" s="51" t="s">
        <v>87</v>
      </c>
      <c r="Q12" s="65">
        <f>Control!$D$107</f>
        <v>9.9999999999999998E-13</v>
      </c>
      <c r="R12" s="52" t="s">
        <v>88</v>
      </c>
      <c r="S12" s="46">
        <f>O12*Q12</f>
        <v>0</v>
      </c>
      <c r="T12" s="51" t="s">
        <v>87</v>
      </c>
      <c r="U12" s="70">
        <f>Control!$D$101</f>
        <v>28</v>
      </c>
      <c r="V12" s="51" t="s">
        <v>87</v>
      </c>
      <c r="W12" s="46">
        <f>Control!$D$100</f>
        <v>0.27272727272727271</v>
      </c>
      <c r="X12" s="52" t="s">
        <v>88</v>
      </c>
      <c r="Y12" s="48">
        <f>S12*U$6*W$6</f>
        <v>0</v>
      </c>
      <c r="Z12" s="52" t="s">
        <v>88</v>
      </c>
      <c r="AA12" s="48">
        <f>Y12*C_CO2</f>
        <v>0</v>
      </c>
    </row>
    <row r="13" spans="1:27" ht="11">
      <c r="A13" s="37"/>
      <c r="B13" s="40"/>
      <c r="C13" s="49"/>
      <c r="D13" s="50"/>
      <c r="E13" s="77"/>
      <c r="F13" s="50"/>
      <c r="G13" s="50"/>
      <c r="H13" s="50"/>
      <c r="I13" s="78"/>
      <c r="J13" s="50"/>
      <c r="K13" s="50"/>
      <c r="L13" s="50"/>
      <c r="M13" s="50"/>
      <c r="N13" s="50"/>
      <c r="O13" s="84"/>
      <c r="P13" s="50"/>
      <c r="Q13" s="50"/>
      <c r="R13" s="50"/>
      <c r="S13" s="50"/>
      <c r="T13" s="50"/>
      <c r="U13" s="50"/>
      <c r="V13" s="50"/>
      <c r="W13" s="82"/>
      <c r="X13" s="50"/>
      <c r="Y13" s="50"/>
      <c r="Z13" s="50"/>
      <c r="AA13" s="50"/>
    </row>
    <row r="14" spans="1:27" ht="13">
      <c r="A14" s="37">
        <f>C14*1000</f>
        <v>0</v>
      </c>
      <c r="B14" s="39">
        <f>B12+1</f>
        <v>1994</v>
      </c>
      <c r="C14" s="158"/>
      <c r="D14" s="51" t="s">
        <v>87</v>
      </c>
      <c r="E14" s="75">
        <f>Control!$F$50</f>
        <v>0</v>
      </c>
      <c r="F14" s="51" t="s">
        <v>87</v>
      </c>
      <c r="G14" s="70">
        <f>Control!$D$106</f>
        <v>1000</v>
      </c>
      <c r="H14" s="51" t="s">
        <v>87</v>
      </c>
      <c r="I14" s="76">
        <f>Control!$F$51</f>
        <v>0</v>
      </c>
      <c r="J14" s="51" t="s">
        <v>87</v>
      </c>
      <c r="K14" s="46">
        <f>Control!$F$53</f>
        <v>0</v>
      </c>
      <c r="L14" s="51" t="s">
        <v>87</v>
      </c>
      <c r="M14" s="56">
        <f>Control!$F$52</f>
        <v>0</v>
      </c>
      <c r="N14" s="52" t="s">
        <v>88</v>
      </c>
      <c r="O14" s="86">
        <f>C14*$E$6*$I$6*$M$6*$K$6*$G$6</f>
        <v>0</v>
      </c>
      <c r="P14" s="51" t="s">
        <v>87</v>
      </c>
      <c r="Q14" s="65">
        <f>Control!$D$107</f>
        <v>9.9999999999999998E-13</v>
      </c>
      <c r="R14" s="52" t="s">
        <v>88</v>
      </c>
      <c r="S14" s="46">
        <f>O14*Q14</f>
        <v>0</v>
      </c>
      <c r="T14" s="51" t="s">
        <v>87</v>
      </c>
      <c r="U14" s="70">
        <f>Control!$D$101</f>
        <v>28</v>
      </c>
      <c r="V14" s="51" t="s">
        <v>87</v>
      </c>
      <c r="W14" s="46">
        <f>Control!$D$100</f>
        <v>0.27272727272727271</v>
      </c>
      <c r="X14" s="52" t="s">
        <v>88</v>
      </c>
      <c r="Y14" s="48">
        <f>S14*U$6*W$6</f>
        <v>0</v>
      </c>
      <c r="Z14" s="52" t="s">
        <v>88</v>
      </c>
      <c r="AA14" s="48">
        <f>Y14*C_CO2</f>
        <v>0</v>
      </c>
    </row>
    <row r="15" spans="1:27" ht="11">
      <c r="A15" s="37"/>
      <c r="B15" s="40"/>
      <c r="C15" s="53"/>
      <c r="D15" s="50"/>
      <c r="E15" s="77"/>
      <c r="F15" s="50"/>
      <c r="G15" s="50"/>
      <c r="H15" s="50"/>
      <c r="I15" s="78"/>
      <c r="J15" s="50"/>
      <c r="K15" s="50"/>
      <c r="L15" s="50"/>
      <c r="M15" s="50"/>
      <c r="N15" s="50"/>
      <c r="O15" s="84"/>
      <c r="P15" s="50"/>
      <c r="Q15" s="50"/>
      <c r="R15" s="50"/>
      <c r="S15" s="50"/>
      <c r="T15" s="50"/>
      <c r="U15" s="50"/>
      <c r="V15" s="50"/>
      <c r="W15" s="82"/>
      <c r="X15" s="50"/>
      <c r="Y15" s="50"/>
      <c r="Z15" s="50"/>
      <c r="AA15" s="50"/>
    </row>
    <row r="16" spans="1:27" ht="13">
      <c r="A16" s="37">
        <f>C16*1000</f>
        <v>0</v>
      </c>
      <c r="B16" s="39">
        <f>B14+1</f>
        <v>1995</v>
      </c>
      <c r="C16" s="158"/>
      <c r="D16" s="51" t="s">
        <v>87</v>
      </c>
      <c r="E16" s="75">
        <f>Control!$F$50</f>
        <v>0</v>
      </c>
      <c r="F16" s="51" t="s">
        <v>87</v>
      </c>
      <c r="G16" s="70">
        <f>Control!$D$106</f>
        <v>1000</v>
      </c>
      <c r="H16" s="51" t="s">
        <v>87</v>
      </c>
      <c r="I16" s="76">
        <f>Control!$F$51</f>
        <v>0</v>
      </c>
      <c r="J16" s="51" t="s">
        <v>87</v>
      </c>
      <c r="K16" s="46">
        <f>Control!$F$53</f>
        <v>0</v>
      </c>
      <c r="L16" s="51" t="s">
        <v>87</v>
      </c>
      <c r="M16" s="56">
        <f>Control!$F$52</f>
        <v>0</v>
      </c>
      <c r="N16" s="52" t="s">
        <v>88</v>
      </c>
      <c r="O16" s="86">
        <f>C16*$E$6*$I$6*$M$6*$K$6*$G$6</f>
        <v>0</v>
      </c>
      <c r="P16" s="51" t="s">
        <v>87</v>
      </c>
      <c r="Q16" s="65">
        <f>Control!$D$107</f>
        <v>9.9999999999999998E-13</v>
      </c>
      <c r="R16" s="52" t="s">
        <v>88</v>
      </c>
      <c r="S16" s="46">
        <f>O16*Q16</f>
        <v>0</v>
      </c>
      <c r="T16" s="51" t="s">
        <v>87</v>
      </c>
      <c r="U16" s="70">
        <f>Control!$D$101</f>
        <v>28</v>
      </c>
      <c r="V16" s="51" t="s">
        <v>87</v>
      </c>
      <c r="W16" s="46">
        <f>Control!$D$100</f>
        <v>0.27272727272727271</v>
      </c>
      <c r="X16" s="52" t="s">
        <v>88</v>
      </c>
      <c r="Y16" s="48">
        <f>S16*U$6*W$6</f>
        <v>0</v>
      </c>
      <c r="Z16" s="52" t="s">
        <v>88</v>
      </c>
      <c r="AA16" s="48">
        <f>Y16*C_CO2</f>
        <v>0</v>
      </c>
    </row>
    <row r="17" spans="1:27" ht="11">
      <c r="A17" s="37"/>
      <c r="B17" s="40"/>
      <c r="C17" s="53"/>
      <c r="D17" s="50"/>
      <c r="E17" s="77"/>
      <c r="F17" s="50"/>
      <c r="G17" s="50"/>
      <c r="H17" s="50"/>
      <c r="I17" s="78"/>
      <c r="J17" s="50"/>
      <c r="K17" s="50"/>
      <c r="L17" s="50"/>
      <c r="M17" s="50"/>
      <c r="N17" s="50"/>
      <c r="O17" s="84"/>
      <c r="P17" s="50"/>
      <c r="Q17" s="50"/>
      <c r="R17" s="50"/>
      <c r="S17" s="50"/>
      <c r="T17" s="50"/>
      <c r="U17" s="50"/>
      <c r="V17" s="50"/>
      <c r="W17" s="82"/>
      <c r="X17" s="50"/>
      <c r="Y17" s="50"/>
      <c r="Z17" s="50"/>
      <c r="AA17" s="50"/>
    </row>
    <row r="18" spans="1:27" ht="13">
      <c r="A18" s="37">
        <f>C18*1000</f>
        <v>0</v>
      </c>
      <c r="B18" s="39">
        <f>B16+1</f>
        <v>1996</v>
      </c>
      <c r="C18" s="158"/>
      <c r="D18" s="51" t="s">
        <v>87</v>
      </c>
      <c r="E18" s="75">
        <f>Control!$F$50</f>
        <v>0</v>
      </c>
      <c r="F18" s="51" t="s">
        <v>87</v>
      </c>
      <c r="G18" s="70">
        <f>Control!$D$106</f>
        <v>1000</v>
      </c>
      <c r="H18" s="51" t="s">
        <v>87</v>
      </c>
      <c r="I18" s="76">
        <f>Control!$F$51</f>
        <v>0</v>
      </c>
      <c r="J18" s="51" t="s">
        <v>87</v>
      </c>
      <c r="K18" s="46">
        <f>Control!$F$53</f>
        <v>0</v>
      </c>
      <c r="L18" s="51" t="s">
        <v>87</v>
      </c>
      <c r="M18" s="56">
        <f>Control!$F$52</f>
        <v>0</v>
      </c>
      <c r="N18" s="52" t="s">
        <v>88</v>
      </c>
      <c r="O18" s="86">
        <f>C18*$E$6*$I$6*$M$6*$K$6*$G$6</f>
        <v>0</v>
      </c>
      <c r="P18" s="51" t="s">
        <v>87</v>
      </c>
      <c r="Q18" s="65">
        <f>Control!$D$107</f>
        <v>9.9999999999999998E-13</v>
      </c>
      <c r="R18" s="52" t="s">
        <v>88</v>
      </c>
      <c r="S18" s="46">
        <f>O18*Q18</f>
        <v>0</v>
      </c>
      <c r="T18" s="51" t="s">
        <v>87</v>
      </c>
      <c r="U18" s="70">
        <f>Control!$D$101</f>
        <v>28</v>
      </c>
      <c r="V18" s="51" t="s">
        <v>87</v>
      </c>
      <c r="W18" s="46">
        <f>Control!$D$100</f>
        <v>0.27272727272727271</v>
      </c>
      <c r="X18" s="52" t="s">
        <v>88</v>
      </c>
      <c r="Y18" s="48">
        <f>S18*U$6*W$6</f>
        <v>0</v>
      </c>
      <c r="Z18" s="52" t="s">
        <v>88</v>
      </c>
      <c r="AA18" s="48">
        <f>Y18*C_CO2</f>
        <v>0</v>
      </c>
    </row>
    <row r="19" spans="1:27" ht="11">
      <c r="A19" s="37"/>
      <c r="B19" s="40"/>
      <c r="C19" s="53"/>
      <c r="D19" s="50"/>
      <c r="E19" s="77"/>
      <c r="F19" s="50"/>
      <c r="G19" s="50"/>
      <c r="H19" s="50"/>
      <c r="I19" s="78"/>
      <c r="J19" s="50"/>
      <c r="K19" s="50"/>
      <c r="L19" s="50"/>
      <c r="M19" s="50"/>
      <c r="N19" s="50"/>
      <c r="O19" s="84"/>
      <c r="P19" s="50"/>
      <c r="Q19" s="50"/>
      <c r="R19" s="50"/>
      <c r="S19" s="50"/>
      <c r="T19" s="50"/>
      <c r="U19" s="50"/>
      <c r="V19" s="50"/>
      <c r="W19" s="82"/>
      <c r="X19" s="50"/>
      <c r="Y19" s="50"/>
      <c r="Z19" s="50"/>
      <c r="AA19" s="50"/>
    </row>
    <row r="20" spans="1:27" ht="13">
      <c r="A20" s="37">
        <f>C20*1000</f>
        <v>0</v>
      </c>
      <c r="B20" s="39">
        <f>B18+1</f>
        <v>1997</v>
      </c>
      <c r="C20" s="158"/>
      <c r="D20" s="51" t="s">
        <v>87</v>
      </c>
      <c r="E20" s="75">
        <f>Control!$F$50</f>
        <v>0</v>
      </c>
      <c r="F20" s="51" t="s">
        <v>87</v>
      </c>
      <c r="G20" s="70">
        <f>Control!$D$106</f>
        <v>1000</v>
      </c>
      <c r="H20" s="51" t="s">
        <v>87</v>
      </c>
      <c r="I20" s="76">
        <f>Control!$F$51</f>
        <v>0</v>
      </c>
      <c r="J20" s="51" t="s">
        <v>87</v>
      </c>
      <c r="K20" s="46">
        <f>Control!$F$53</f>
        <v>0</v>
      </c>
      <c r="L20" s="51" t="s">
        <v>87</v>
      </c>
      <c r="M20" s="56">
        <f>Control!$F$52</f>
        <v>0</v>
      </c>
      <c r="N20" s="52" t="s">
        <v>88</v>
      </c>
      <c r="O20" s="86">
        <f>C20*$E$6*$I$6*$M$6*$K$6*$G$6</f>
        <v>0</v>
      </c>
      <c r="P20" s="51" t="s">
        <v>87</v>
      </c>
      <c r="Q20" s="65">
        <f>Control!$D$107</f>
        <v>9.9999999999999998E-13</v>
      </c>
      <c r="R20" s="52" t="s">
        <v>88</v>
      </c>
      <c r="S20" s="46">
        <f>O20*Q20</f>
        <v>0</v>
      </c>
      <c r="T20" s="51" t="s">
        <v>87</v>
      </c>
      <c r="U20" s="70">
        <f>Control!$D$101</f>
        <v>28</v>
      </c>
      <c r="V20" s="51" t="s">
        <v>87</v>
      </c>
      <c r="W20" s="46">
        <f>Control!$D$100</f>
        <v>0.27272727272727271</v>
      </c>
      <c r="X20" s="52" t="s">
        <v>88</v>
      </c>
      <c r="Y20" s="48">
        <f>S20*U$6*W$6</f>
        <v>0</v>
      </c>
      <c r="Z20" s="52" t="s">
        <v>88</v>
      </c>
      <c r="AA20" s="48">
        <f>Y20*C_CO2</f>
        <v>0</v>
      </c>
    </row>
    <row r="21" spans="1:27" ht="11">
      <c r="A21" s="37"/>
      <c r="B21" s="40"/>
      <c r="C21" s="53"/>
      <c r="D21" s="50"/>
      <c r="E21" s="77"/>
      <c r="F21" s="50"/>
      <c r="G21" s="50"/>
      <c r="H21" s="50"/>
      <c r="I21" s="78"/>
      <c r="J21" s="50"/>
      <c r="K21" s="50"/>
      <c r="L21" s="50"/>
      <c r="M21" s="50"/>
      <c r="N21" s="50"/>
      <c r="O21" s="84"/>
      <c r="P21" s="50"/>
      <c r="Q21" s="50"/>
      <c r="R21" s="50"/>
      <c r="S21" s="50"/>
      <c r="T21" s="50"/>
      <c r="U21" s="50"/>
      <c r="V21" s="50"/>
      <c r="W21" s="82"/>
      <c r="X21" s="50"/>
      <c r="Y21" s="50"/>
      <c r="Z21" s="50"/>
      <c r="AA21" s="50"/>
    </row>
    <row r="22" spans="1:27" ht="13">
      <c r="A22" s="37">
        <f>C22*1000</f>
        <v>0</v>
      </c>
      <c r="B22" s="39">
        <f>B20+1</f>
        <v>1998</v>
      </c>
      <c r="C22" s="158"/>
      <c r="D22" s="51" t="s">
        <v>87</v>
      </c>
      <c r="E22" s="75">
        <f>Control!$F$50</f>
        <v>0</v>
      </c>
      <c r="F22" s="51" t="s">
        <v>87</v>
      </c>
      <c r="G22" s="70">
        <f>Control!$D$106</f>
        <v>1000</v>
      </c>
      <c r="H22" s="51" t="s">
        <v>87</v>
      </c>
      <c r="I22" s="76">
        <f>Control!$F$51</f>
        <v>0</v>
      </c>
      <c r="J22" s="51" t="s">
        <v>87</v>
      </c>
      <c r="K22" s="46">
        <f>Control!$F$53</f>
        <v>0</v>
      </c>
      <c r="L22" s="51" t="s">
        <v>87</v>
      </c>
      <c r="M22" s="56">
        <f>Control!$F$52</f>
        <v>0</v>
      </c>
      <c r="N22" s="52" t="s">
        <v>88</v>
      </c>
      <c r="O22" s="86">
        <f>C22*$E$6*$I$6*$M$6*$K$6*$G$6</f>
        <v>0</v>
      </c>
      <c r="P22" s="51" t="s">
        <v>87</v>
      </c>
      <c r="Q22" s="65">
        <f>Control!$D$107</f>
        <v>9.9999999999999998E-13</v>
      </c>
      <c r="R22" s="52" t="s">
        <v>88</v>
      </c>
      <c r="S22" s="46">
        <f>O22*Q22</f>
        <v>0</v>
      </c>
      <c r="T22" s="51" t="s">
        <v>87</v>
      </c>
      <c r="U22" s="70">
        <f>Control!$D$101</f>
        <v>28</v>
      </c>
      <c r="V22" s="51" t="s">
        <v>87</v>
      </c>
      <c r="W22" s="46">
        <f>Control!$D$100</f>
        <v>0.27272727272727271</v>
      </c>
      <c r="X22" s="52" t="s">
        <v>88</v>
      </c>
      <c r="Y22" s="48">
        <f>S22*U$6*W$6</f>
        <v>0</v>
      </c>
      <c r="Z22" s="52" t="s">
        <v>88</v>
      </c>
      <c r="AA22" s="48">
        <f>Y22*C_CO2</f>
        <v>0</v>
      </c>
    </row>
    <row r="23" spans="1:27" ht="11">
      <c r="A23" s="37"/>
      <c r="B23" s="40"/>
      <c r="C23" s="53"/>
      <c r="D23" s="50"/>
      <c r="E23" s="77"/>
      <c r="F23" s="50"/>
      <c r="G23" s="50"/>
      <c r="H23" s="50"/>
      <c r="I23" s="78"/>
      <c r="J23" s="50"/>
      <c r="K23" s="50"/>
      <c r="L23" s="50"/>
      <c r="M23" s="50"/>
      <c r="N23" s="50"/>
      <c r="O23" s="84"/>
      <c r="P23" s="50"/>
      <c r="Q23" s="50"/>
      <c r="R23" s="50"/>
      <c r="S23" s="50"/>
      <c r="T23" s="50"/>
      <c r="U23" s="50"/>
      <c r="V23" s="50"/>
      <c r="W23" s="82"/>
      <c r="X23" s="50"/>
      <c r="Y23" s="50"/>
      <c r="Z23" s="50"/>
      <c r="AA23" s="50"/>
    </row>
    <row r="24" spans="1:27" ht="13">
      <c r="A24" s="37">
        <f>C24*1000</f>
        <v>0</v>
      </c>
      <c r="B24" s="39">
        <f>B22+1</f>
        <v>1999</v>
      </c>
      <c r="C24" s="158"/>
      <c r="D24" s="51" t="s">
        <v>87</v>
      </c>
      <c r="E24" s="75">
        <f>Control!$F$50</f>
        <v>0</v>
      </c>
      <c r="F24" s="51" t="s">
        <v>87</v>
      </c>
      <c r="G24" s="70">
        <f>Control!$D$106</f>
        <v>1000</v>
      </c>
      <c r="H24" s="51" t="s">
        <v>87</v>
      </c>
      <c r="I24" s="76">
        <f>Control!$F$51</f>
        <v>0</v>
      </c>
      <c r="J24" s="51" t="s">
        <v>87</v>
      </c>
      <c r="K24" s="46">
        <f>Control!$F$53</f>
        <v>0</v>
      </c>
      <c r="L24" s="51" t="s">
        <v>87</v>
      </c>
      <c r="M24" s="56">
        <f>Control!$F$52</f>
        <v>0</v>
      </c>
      <c r="N24" s="52" t="s">
        <v>88</v>
      </c>
      <c r="O24" s="86">
        <f>C24*$E$6*$I$6*$M$6*$K$6*$G$6</f>
        <v>0</v>
      </c>
      <c r="P24" s="51" t="s">
        <v>87</v>
      </c>
      <c r="Q24" s="65">
        <f>Control!$D$107</f>
        <v>9.9999999999999998E-13</v>
      </c>
      <c r="R24" s="52" t="s">
        <v>88</v>
      </c>
      <c r="S24" s="46">
        <f>O24*Q24</f>
        <v>0</v>
      </c>
      <c r="T24" s="51" t="s">
        <v>87</v>
      </c>
      <c r="U24" s="70">
        <f>Control!$D$101</f>
        <v>28</v>
      </c>
      <c r="V24" s="51" t="s">
        <v>87</v>
      </c>
      <c r="W24" s="46">
        <f>Control!$D$100</f>
        <v>0.27272727272727271</v>
      </c>
      <c r="X24" s="52" t="s">
        <v>88</v>
      </c>
      <c r="Y24" s="48">
        <f>S24*U$6*W$6</f>
        <v>0</v>
      </c>
      <c r="Z24" s="52" t="s">
        <v>88</v>
      </c>
      <c r="AA24" s="48">
        <f>Y24*C_CO2</f>
        <v>0</v>
      </c>
    </row>
    <row r="25" spans="1:27" ht="11">
      <c r="A25" s="37"/>
      <c r="B25" s="40"/>
      <c r="C25" s="53"/>
      <c r="D25" s="50"/>
      <c r="E25" s="77"/>
      <c r="F25" s="50"/>
      <c r="G25" s="50"/>
      <c r="H25" s="50"/>
      <c r="I25" s="78"/>
      <c r="J25" s="50"/>
      <c r="K25" s="50"/>
      <c r="L25" s="50"/>
      <c r="M25" s="50"/>
      <c r="N25" s="50"/>
      <c r="O25" s="84"/>
      <c r="P25" s="50"/>
      <c r="Q25" s="50"/>
      <c r="R25" s="50"/>
      <c r="S25" s="50"/>
      <c r="T25" s="50"/>
      <c r="U25" s="50"/>
      <c r="V25" s="50"/>
      <c r="W25" s="82"/>
      <c r="X25" s="50"/>
      <c r="Y25" s="50"/>
      <c r="Z25" s="50"/>
      <c r="AA25" s="50"/>
    </row>
    <row r="26" spans="1:27" ht="13">
      <c r="A26" s="37">
        <f>C26*1000</f>
        <v>0</v>
      </c>
      <c r="B26" s="39">
        <f>B24+1</f>
        <v>2000</v>
      </c>
      <c r="C26" s="158"/>
      <c r="D26" s="51" t="s">
        <v>87</v>
      </c>
      <c r="E26" s="75">
        <f>Control!$F$50</f>
        <v>0</v>
      </c>
      <c r="F26" s="51" t="s">
        <v>87</v>
      </c>
      <c r="G26" s="70">
        <f>Control!$D$106</f>
        <v>1000</v>
      </c>
      <c r="H26" s="51" t="s">
        <v>87</v>
      </c>
      <c r="I26" s="76">
        <f>Control!$F$51</f>
        <v>0</v>
      </c>
      <c r="J26" s="51" t="s">
        <v>87</v>
      </c>
      <c r="K26" s="46">
        <f>Control!$F$53</f>
        <v>0</v>
      </c>
      <c r="L26" s="51" t="s">
        <v>87</v>
      </c>
      <c r="M26" s="56">
        <f>Control!$F$52</f>
        <v>0</v>
      </c>
      <c r="N26" s="52" t="s">
        <v>88</v>
      </c>
      <c r="O26" s="86">
        <f>C26*$E$6*$I$6*$M$6*$K$6*$G$6</f>
        <v>0</v>
      </c>
      <c r="P26" s="51" t="s">
        <v>87</v>
      </c>
      <c r="Q26" s="65">
        <f>Control!$D$107</f>
        <v>9.9999999999999998E-13</v>
      </c>
      <c r="R26" s="52" t="s">
        <v>88</v>
      </c>
      <c r="S26" s="46">
        <f>O26*Q26</f>
        <v>0</v>
      </c>
      <c r="T26" s="51" t="s">
        <v>87</v>
      </c>
      <c r="U26" s="70">
        <f>Control!$D$101</f>
        <v>28</v>
      </c>
      <c r="V26" s="51" t="s">
        <v>87</v>
      </c>
      <c r="W26" s="46">
        <f>Control!$D$100</f>
        <v>0.27272727272727271</v>
      </c>
      <c r="X26" s="52" t="s">
        <v>88</v>
      </c>
      <c r="Y26" s="48">
        <f>S26*U$6*W$6</f>
        <v>0</v>
      </c>
      <c r="Z26" s="52" t="s">
        <v>88</v>
      </c>
      <c r="AA26" s="48">
        <f>Y26*C_CO2</f>
        <v>0</v>
      </c>
    </row>
    <row r="27" spans="1:27" ht="11">
      <c r="A27" s="37"/>
      <c r="B27" s="40"/>
      <c r="C27" s="53"/>
      <c r="D27" s="50"/>
      <c r="E27" s="77"/>
      <c r="F27" s="50"/>
      <c r="G27" s="50"/>
      <c r="H27" s="50"/>
      <c r="I27" s="78"/>
      <c r="J27" s="50"/>
      <c r="K27" s="50"/>
      <c r="L27" s="50"/>
      <c r="M27" s="50"/>
      <c r="N27" s="50"/>
      <c r="O27" s="84"/>
      <c r="P27" s="50"/>
      <c r="Q27" s="50"/>
      <c r="R27" s="50"/>
      <c r="S27" s="50"/>
      <c r="T27" s="50"/>
      <c r="U27" s="50"/>
      <c r="V27" s="50"/>
      <c r="W27" s="82"/>
      <c r="X27" s="50"/>
      <c r="Y27" s="50"/>
      <c r="Z27" s="50"/>
      <c r="AA27" s="50"/>
    </row>
    <row r="28" spans="1:27" ht="13">
      <c r="A28" s="37">
        <f>C28*1000</f>
        <v>0</v>
      </c>
      <c r="B28" s="39">
        <f>B26+1</f>
        <v>2001</v>
      </c>
      <c r="C28" s="158"/>
      <c r="D28" s="51" t="s">
        <v>87</v>
      </c>
      <c r="E28" s="75">
        <f>Control!$F$50</f>
        <v>0</v>
      </c>
      <c r="F28" s="51" t="s">
        <v>87</v>
      </c>
      <c r="G28" s="70">
        <f>Control!$D$106</f>
        <v>1000</v>
      </c>
      <c r="H28" s="51" t="s">
        <v>87</v>
      </c>
      <c r="I28" s="76">
        <f>Control!$F$51</f>
        <v>0</v>
      </c>
      <c r="J28" s="51" t="s">
        <v>87</v>
      </c>
      <c r="K28" s="46">
        <f>Control!$F$53</f>
        <v>0</v>
      </c>
      <c r="L28" s="51" t="s">
        <v>87</v>
      </c>
      <c r="M28" s="56">
        <f>Control!$F$52</f>
        <v>0</v>
      </c>
      <c r="N28" s="52" t="s">
        <v>88</v>
      </c>
      <c r="O28" s="86">
        <f>C28*$E$6*$I$6*$M$6*$K$6*$G$6</f>
        <v>0</v>
      </c>
      <c r="P28" s="51" t="s">
        <v>87</v>
      </c>
      <c r="Q28" s="65">
        <f>Control!$D$107</f>
        <v>9.9999999999999998E-13</v>
      </c>
      <c r="R28" s="52" t="s">
        <v>88</v>
      </c>
      <c r="S28" s="46">
        <f>O28*Q28</f>
        <v>0</v>
      </c>
      <c r="T28" s="51" t="s">
        <v>87</v>
      </c>
      <c r="U28" s="70">
        <f>Control!$D$101</f>
        <v>28</v>
      </c>
      <c r="V28" s="51" t="s">
        <v>87</v>
      </c>
      <c r="W28" s="46">
        <f>Control!$D$100</f>
        <v>0.27272727272727271</v>
      </c>
      <c r="X28" s="52" t="s">
        <v>88</v>
      </c>
      <c r="Y28" s="48">
        <f>S28*U$6*W$6</f>
        <v>0</v>
      </c>
      <c r="Z28" s="52" t="s">
        <v>88</v>
      </c>
      <c r="AA28" s="48">
        <f>Y28*C_CO2</f>
        <v>0</v>
      </c>
    </row>
    <row r="29" spans="1:27" ht="11">
      <c r="A29" s="37"/>
      <c r="B29" s="40"/>
      <c r="C29" s="53"/>
      <c r="D29" s="50"/>
      <c r="E29" s="77"/>
      <c r="F29" s="50"/>
      <c r="G29" s="50"/>
      <c r="H29" s="50"/>
      <c r="I29" s="78"/>
      <c r="J29" s="50"/>
      <c r="K29" s="50"/>
      <c r="L29" s="50"/>
      <c r="M29" s="50"/>
      <c r="N29" s="50"/>
      <c r="O29" s="84"/>
      <c r="P29" s="50"/>
      <c r="Q29" s="50"/>
      <c r="R29" s="50"/>
      <c r="S29" s="50"/>
      <c r="T29" s="50"/>
      <c r="U29" s="50"/>
      <c r="V29" s="50"/>
      <c r="W29" s="82"/>
      <c r="X29" s="50"/>
      <c r="Y29" s="50"/>
      <c r="Z29" s="50"/>
      <c r="AA29" s="50"/>
    </row>
    <row r="30" spans="1:27" ht="13">
      <c r="A30" s="37">
        <f>C30*1000</f>
        <v>0</v>
      </c>
      <c r="B30" s="39">
        <f>B28+1</f>
        <v>2002</v>
      </c>
      <c r="C30" s="158"/>
      <c r="D30" s="51" t="s">
        <v>87</v>
      </c>
      <c r="E30" s="75">
        <f>Control!$F$50</f>
        <v>0</v>
      </c>
      <c r="F30" s="51" t="s">
        <v>87</v>
      </c>
      <c r="G30" s="70">
        <f>Control!$D$106</f>
        <v>1000</v>
      </c>
      <c r="H30" s="51" t="s">
        <v>87</v>
      </c>
      <c r="I30" s="76">
        <f>Control!$F$51</f>
        <v>0</v>
      </c>
      <c r="J30" s="51" t="s">
        <v>87</v>
      </c>
      <c r="K30" s="46">
        <f>Control!$F$53</f>
        <v>0</v>
      </c>
      <c r="L30" s="51" t="s">
        <v>87</v>
      </c>
      <c r="M30" s="56">
        <f>Control!$F$52</f>
        <v>0</v>
      </c>
      <c r="N30" s="52" t="s">
        <v>88</v>
      </c>
      <c r="O30" s="86">
        <f>C30*$E$6*$I$6*$M$6*$K$6*$G$6</f>
        <v>0</v>
      </c>
      <c r="P30" s="51" t="s">
        <v>87</v>
      </c>
      <c r="Q30" s="65">
        <f>Control!$D$107</f>
        <v>9.9999999999999998E-13</v>
      </c>
      <c r="R30" s="52" t="s">
        <v>88</v>
      </c>
      <c r="S30" s="46">
        <f>O30*Q30</f>
        <v>0</v>
      </c>
      <c r="T30" s="51" t="s">
        <v>87</v>
      </c>
      <c r="U30" s="70">
        <f>Control!$D$101</f>
        <v>28</v>
      </c>
      <c r="V30" s="51" t="s">
        <v>87</v>
      </c>
      <c r="W30" s="46">
        <f>Control!$D$100</f>
        <v>0.27272727272727271</v>
      </c>
      <c r="X30" s="52" t="s">
        <v>88</v>
      </c>
      <c r="Y30" s="48">
        <f>S30*U$6*W$6</f>
        <v>0</v>
      </c>
      <c r="Z30" s="52" t="s">
        <v>88</v>
      </c>
      <c r="AA30" s="48">
        <f>Y30*C_CO2</f>
        <v>0</v>
      </c>
    </row>
    <row r="31" spans="1:27" ht="11">
      <c r="A31" s="37"/>
      <c r="B31" s="40"/>
      <c r="C31" s="53"/>
      <c r="D31" s="50"/>
      <c r="E31" s="77"/>
      <c r="F31" s="50"/>
      <c r="G31" s="50"/>
      <c r="H31" s="50"/>
      <c r="I31" s="78"/>
      <c r="J31" s="50"/>
      <c r="K31" s="50"/>
      <c r="L31" s="50"/>
      <c r="M31" s="50"/>
      <c r="N31" s="50"/>
      <c r="O31" s="84"/>
      <c r="P31" s="50"/>
      <c r="Q31" s="50"/>
      <c r="R31" s="50"/>
      <c r="S31" s="50"/>
      <c r="T31" s="50"/>
      <c r="U31" s="50"/>
      <c r="V31" s="50"/>
      <c r="W31" s="82"/>
      <c r="X31" s="50"/>
      <c r="Y31" s="50"/>
      <c r="Z31" s="50"/>
      <c r="AA31" s="50"/>
    </row>
    <row r="32" spans="1:27" ht="13">
      <c r="A32" s="37">
        <f>C32*1000</f>
        <v>0</v>
      </c>
      <c r="B32" s="39">
        <f>B30+1</f>
        <v>2003</v>
      </c>
      <c r="C32" s="158"/>
      <c r="D32" s="51" t="s">
        <v>87</v>
      </c>
      <c r="E32" s="75">
        <f>Control!$F$50</f>
        <v>0</v>
      </c>
      <c r="F32" s="51" t="s">
        <v>87</v>
      </c>
      <c r="G32" s="70">
        <f>Control!$D$106</f>
        <v>1000</v>
      </c>
      <c r="H32" s="51" t="s">
        <v>87</v>
      </c>
      <c r="I32" s="76">
        <f>Control!$F$51</f>
        <v>0</v>
      </c>
      <c r="J32" s="51" t="s">
        <v>87</v>
      </c>
      <c r="K32" s="46">
        <f>Control!$F$53</f>
        <v>0</v>
      </c>
      <c r="L32" s="51" t="s">
        <v>87</v>
      </c>
      <c r="M32" s="56">
        <f>Control!$F$52</f>
        <v>0</v>
      </c>
      <c r="N32" s="52" t="s">
        <v>88</v>
      </c>
      <c r="O32" s="86">
        <f>C32*$E$6*$I$6*$M$6*$K$6*$G$6</f>
        <v>0</v>
      </c>
      <c r="P32" s="51" t="s">
        <v>87</v>
      </c>
      <c r="Q32" s="65">
        <f>Control!$D$107</f>
        <v>9.9999999999999998E-13</v>
      </c>
      <c r="R32" s="52" t="s">
        <v>88</v>
      </c>
      <c r="S32" s="46">
        <f>O32*Q32</f>
        <v>0</v>
      </c>
      <c r="T32" s="51" t="s">
        <v>87</v>
      </c>
      <c r="U32" s="70">
        <f>Control!$D$101</f>
        <v>28</v>
      </c>
      <c r="V32" s="51" t="s">
        <v>87</v>
      </c>
      <c r="W32" s="46">
        <f>Control!$D$100</f>
        <v>0.27272727272727271</v>
      </c>
      <c r="X32" s="52" t="s">
        <v>88</v>
      </c>
      <c r="Y32" s="48">
        <f>S32*U$6*W$6</f>
        <v>0</v>
      </c>
      <c r="Z32" s="52" t="s">
        <v>88</v>
      </c>
      <c r="AA32" s="48">
        <f>Y32*C_CO2</f>
        <v>0</v>
      </c>
    </row>
    <row r="33" spans="1:27" ht="11">
      <c r="A33" s="37"/>
      <c r="B33" s="40"/>
      <c r="C33" s="53"/>
      <c r="D33" s="50"/>
      <c r="E33" s="77"/>
      <c r="F33" s="50"/>
      <c r="G33" s="50"/>
      <c r="H33" s="50"/>
      <c r="I33" s="78"/>
      <c r="J33" s="50"/>
      <c r="K33" s="50"/>
      <c r="L33" s="50"/>
      <c r="M33" s="50"/>
      <c r="N33" s="50"/>
      <c r="O33" s="84"/>
      <c r="P33" s="50"/>
      <c r="Q33" s="50"/>
      <c r="R33" s="50"/>
      <c r="S33" s="50"/>
      <c r="T33" s="50"/>
      <c r="U33" s="50"/>
      <c r="V33" s="50"/>
      <c r="W33" s="82"/>
      <c r="X33" s="50"/>
      <c r="Y33" s="50"/>
      <c r="Z33" s="50"/>
      <c r="AA33" s="50"/>
    </row>
    <row r="34" spans="1:27" ht="13">
      <c r="A34" s="37">
        <f>C34*1000</f>
        <v>0</v>
      </c>
      <c r="B34" s="39">
        <f>B32+1</f>
        <v>2004</v>
      </c>
      <c r="C34" s="158"/>
      <c r="D34" s="51" t="s">
        <v>87</v>
      </c>
      <c r="E34" s="75">
        <f>Control!$F$50</f>
        <v>0</v>
      </c>
      <c r="F34" s="51" t="s">
        <v>87</v>
      </c>
      <c r="G34" s="70">
        <f>Control!$D$106</f>
        <v>1000</v>
      </c>
      <c r="H34" s="51" t="s">
        <v>87</v>
      </c>
      <c r="I34" s="76">
        <f>Control!$F$51</f>
        <v>0</v>
      </c>
      <c r="J34" s="51" t="s">
        <v>87</v>
      </c>
      <c r="K34" s="46">
        <f>Control!$F$53</f>
        <v>0</v>
      </c>
      <c r="L34" s="51" t="s">
        <v>87</v>
      </c>
      <c r="M34" s="56">
        <f>Control!$F$52</f>
        <v>0</v>
      </c>
      <c r="N34" s="52" t="s">
        <v>88</v>
      </c>
      <c r="O34" s="86">
        <f>C34*$E$6*$I$6*$M$6*$K$6*$G$6</f>
        <v>0</v>
      </c>
      <c r="P34" s="51" t="s">
        <v>87</v>
      </c>
      <c r="Q34" s="65">
        <f>Control!$D$107</f>
        <v>9.9999999999999998E-13</v>
      </c>
      <c r="R34" s="52" t="s">
        <v>88</v>
      </c>
      <c r="S34" s="46">
        <f>O34*Q34</f>
        <v>0</v>
      </c>
      <c r="T34" s="51" t="s">
        <v>87</v>
      </c>
      <c r="U34" s="70">
        <f>Control!$D$101</f>
        <v>28</v>
      </c>
      <c r="V34" s="51" t="s">
        <v>87</v>
      </c>
      <c r="W34" s="46">
        <f>Control!$D$100</f>
        <v>0.27272727272727271</v>
      </c>
      <c r="X34" s="52" t="s">
        <v>88</v>
      </c>
      <c r="Y34" s="48">
        <f>S34*U$6*W$6</f>
        <v>0</v>
      </c>
      <c r="Z34" s="52" t="s">
        <v>88</v>
      </c>
      <c r="AA34" s="48">
        <f>Y34*C_CO2</f>
        <v>0</v>
      </c>
    </row>
    <row r="35" spans="1:27" ht="11">
      <c r="A35" s="37"/>
      <c r="B35" s="40"/>
      <c r="C35" s="53"/>
      <c r="D35" s="50"/>
      <c r="E35" s="77"/>
      <c r="F35" s="50"/>
      <c r="G35" s="50"/>
      <c r="H35" s="50"/>
      <c r="I35" s="78"/>
      <c r="J35" s="50"/>
      <c r="K35" s="50"/>
      <c r="L35" s="50"/>
      <c r="M35" s="50"/>
      <c r="N35" s="50"/>
      <c r="O35" s="84"/>
      <c r="P35" s="50"/>
      <c r="Q35" s="50"/>
      <c r="R35" s="50"/>
      <c r="S35" s="50"/>
      <c r="T35" s="50"/>
      <c r="U35" s="50"/>
      <c r="V35" s="50"/>
      <c r="W35" s="82"/>
      <c r="X35" s="50"/>
      <c r="Y35" s="50"/>
      <c r="Z35" s="50"/>
      <c r="AA35" s="50"/>
    </row>
    <row r="36" spans="1:27" ht="13">
      <c r="A36" s="37">
        <f>C36*1000</f>
        <v>0</v>
      </c>
      <c r="B36" s="39">
        <f>B34+1</f>
        <v>2005</v>
      </c>
      <c r="C36" s="158"/>
      <c r="D36" s="51" t="s">
        <v>87</v>
      </c>
      <c r="E36" s="75">
        <f>Control!$F$50</f>
        <v>0</v>
      </c>
      <c r="F36" s="51" t="s">
        <v>87</v>
      </c>
      <c r="G36" s="70">
        <f>Control!$D$106</f>
        <v>1000</v>
      </c>
      <c r="H36" s="51" t="s">
        <v>87</v>
      </c>
      <c r="I36" s="76">
        <f>Control!$F$51</f>
        <v>0</v>
      </c>
      <c r="J36" s="51" t="s">
        <v>87</v>
      </c>
      <c r="K36" s="46">
        <f>Control!$F$53</f>
        <v>0</v>
      </c>
      <c r="L36" s="51" t="s">
        <v>87</v>
      </c>
      <c r="M36" s="56">
        <f>Control!$F$52</f>
        <v>0</v>
      </c>
      <c r="N36" s="52" t="s">
        <v>88</v>
      </c>
      <c r="O36" s="86">
        <f>C36*$E$6*$I$6*$M$6*$K$6*$G$6</f>
        <v>0</v>
      </c>
      <c r="P36" s="51" t="s">
        <v>87</v>
      </c>
      <c r="Q36" s="65">
        <f>Control!$D$107</f>
        <v>9.9999999999999998E-13</v>
      </c>
      <c r="R36" s="52" t="s">
        <v>88</v>
      </c>
      <c r="S36" s="46">
        <f>O36*Q36</f>
        <v>0</v>
      </c>
      <c r="T36" s="51" t="s">
        <v>87</v>
      </c>
      <c r="U36" s="70">
        <f>Control!$D$101</f>
        <v>28</v>
      </c>
      <c r="V36" s="51" t="s">
        <v>87</v>
      </c>
      <c r="W36" s="46">
        <f>Control!$D$100</f>
        <v>0.27272727272727271</v>
      </c>
      <c r="X36" s="52" t="s">
        <v>88</v>
      </c>
      <c r="Y36" s="48">
        <f>S36*U$6*W$6</f>
        <v>0</v>
      </c>
      <c r="Z36" s="52" t="s">
        <v>88</v>
      </c>
      <c r="AA36" s="48">
        <f>Y36*C_CO2</f>
        <v>0</v>
      </c>
    </row>
    <row r="37" spans="1:27" ht="11">
      <c r="A37" s="37"/>
      <c r="B37" s="40"/>
      <c r="C37" s="53"/>
      <c r="D37" s="50"/>
      <c r="E37" s="77"/>
      <c r="F37" s="50"/>
      <c r="G37" s="50"/>
      <c r="H37" s="50"/>
      <c r="I37" s="78"/>
      <c r="J37" s="50"/>
      <c r="K37" s="50"/>
      <c r="L37" s="50"/>
      <c r="M37" s="50"/>
      <c r="N37" s="50"/>
      <c r="O37" s="84"/>
      <c r="P37" s="50"/>
      <c r="Q37" s="50"/>
      <c r="R37" s="50"/>
      <c r="S37" s="50"/>
      <c r="T37" s="50"/>
      <c r="U37" s="50"/>
      <c r="V37" s="50"/>
      <c r="W37" s="82"/>
      <c r="X37" s="50"/>
      <c r="Y37" s="50"/>
      <c r="Z37" s="50"/>
      <c r="AA37" s="50"/>
    </row>
    <row r="38" spans="1:27" ht="13">
      <c r="A38" s="37">
        <f>C38*1000</f>
        <v>0</v>
      </c>
      <c r="B38" s="39">
        <f>B36+1</f>
        <v>2006</v>
      </c>
      <c r="C38" s="158"/>
      <c r="D38" s="51" t="s">
        <v>87</v>
      </c>
      <c r="E38" s="75">
        <f>Control!$F$50</f>
        <v>0</v>
      </c>
      <c r="F38" s="51" t="s">
        <v>87</v>
      </c>
      <c r="G38" s="70">
        <f>Control!$D$106</f>
        <v>1000</v>
      </c>
      <c r="H38" s="51" t="s">
        <v>87</v>
      </c>
      <c r="I38" s="76">
        <f>Control!$F$51</f>
        <v>0</v>
      </c>
      <c r="J38" s="51" t="s">
        <v>87</v>
      </c>
      <c r="K38" s="46">
        <f>Control!$F$53</f>
        <v>0</v>
      </c>
      <c r="L38" s="51" t="s">
        <v>87</v>
      </c>
      <c r="M38" s="56">
        <f>Control!$F$52</f>
        <v>0</v>
      </c>
      <c r="N38" s="52" t="s">
        <v>88</v>
      </c>
      <c r="O38" s="86">
        <f>C38*$E$6*$I$6*$M$6*$K$6*$G$6</f>
        <v>0</v>
      </c>
      <c r="P38" s="51" t="s">
        <v>87</v>
      </c>
      <c r="Q38" s="65">
        <f>Control!$D$107</f>
        <v>9.9999999999999998E-13</v>
      </c>
      <c r="R38" s="52" t="s">
        <v>88</v>
      </c>
      <c r="S38" s="46">
        <f>O38*Q38</f>
        <v>0</v>
      </c>
      <c r="T38" s="51" t="s">
        <v>87</v>
      </c>
      <c r="U38" s="70">
        <f>Control!$D$101</f>
        <v>28</v>
      </c>
      <c r="V38" s="51" t="s">
        <v>87</v>
      </c>
      <c r="W38" s="46">
        <f>Control!$D$100</f>
        <v>0.27272727272727271</v>
      </c>
      <c r="X38" s="52" t="s">
        <v>88</v>
      </c>
      <c r="Y38" s="48">
        <f>S38*U$6*W$6</f>
        <v>0</v>
      </c>
      <c r="Z38" s="52" t="s">
        <v>88</v>
      </c>
      <c r="AA38" s="48">
        <f>Y38*C_CO2</f>
        <v>0</v>
      </c>
    </row>
    <row r="39" spans="1:27" ht="11">
      <c r="A39" s="37"/>
      <c r="B39" s="40"/>
      <c r="C39" s="53"/>
      <c r="D39" s="50"/>
      <c r="E39" s="77"/>
      <c r="F39" s="50"/>
      <c r="G39" s="50"/>
      <c r="H39" s="50"/>
      <c r="I39" s="78"/>
      <c r="J39" s="50"/>
      <c r="K39" s="50"/>
      <c r="L39" s="50"/>
      <c r="M39" s="50"/>
      <c r="N39" s="50"/>
      <c r="O39" s="84"/>
      <c r="P39" s="50"/>
      <c r="Q39" s="50"/>
      <c r="R39" s="50"/>
      <c r="S39" s="50"/>
      <c r="T39" s="50"/>
      <c r="U39" s="50"/>
      <c r="V39" s="50"/>
      <c r="W39" s="82"/>
      <c r="X39" s="50"/>
      <c r="Y39" s="50"/>
      <c r="Z39" s="50"/>
      <c r="AA39" s="50"/>
    </row>
    <row r="40" spans="1:27" ht="13">
      <c r="A40" s="37">
        <f>C40*1000</f>
        <v>0</v>
      </c>
      <c r="B40" s="39">
        <f>B38+1</f>
        <v>2007</v>
      </c>
      <c r="C40" s="158"/>
      <c r="D40" s="51" t="s">
        <v>87</v>
      </c>
      <c r="E40" s="75">
        <f>Control!$F$50</f>
        <v>0</v>
      </c>
      <c r="F40" s="51" t="s">
        <v>87</v>
      </c>
      <c r="G40" s="70">
        <f>Control!$D$106</f>
        <v>1000</v>
      </c>
      <c r="H40" s="51" t="s">
        <v>87</v>
      </c>
      <c r="I40" s="76">
        <f>Control!$F$51</f>
        <v>0</v>
      </c>
      <c r="J40" s="51" t="s">
        <v>87</v>
      </c>
      <c r="K40" s="46">
        <f>Control!$F$53</f>
        <v>0</v>
      </c>
      <c r="L40" s="51" t="s">
        <v>87</v>
      </c>
      <c r="M40" s="56">
        <f>Control!$F$52</f>
        <v>0</v>
      </c>
      <c r="N40" s="52" t="s">
        <v>88</v>
      </c>
      <c r="O40" s="86">
        <f>C40*$E$6*$I$6*$M$6*$K$6*$G$6</f>
        <v>0</v>
      </c>
      <c r="P40" s="51" t="s">
        <v>87</v>
      </c>
      <c r="Q40" s="65">
        <f>Control!$D$107</f>
        <v>9.9999999999999998E-13</v>
      </c>
      <c r="R40" s="52" t="s">
        <v>88</v>
      </c>
      <c r="S40" s="46">
        <f>O40*Q40</f>
        <v>0</v>
      </c>
      <c r="T40" s="51" t="s">
        <v>87</v>
      </c>
      <c r="U40" s="70">
        <f>Control!$D$101</f>
        <v>28</v>
      </c>
      <c r="V40" s="51" t="s">
        <v>87</v>
      </c>
      <c r="W40" s="46">
        <f>Control!$D$100</f>
        <v>0.27272727272727271</v>
      </c>
      <c r="X40" s="52" t="s">
        <v>88</v>
      </c>
      <c r="Y40" s="48">
        <f>S40*U$6*W$6</f>
        <v>0</v>
      </c>
      <c r="Z40" s="52" t="s">
        <v>88</v>
      </c>
      <c r="AA40" s="48">
        <f>Y40*C_CO2</f>
        <v>0</v>
      </c>
    </row>
    <row r="41" spans="1:27" ht="11">
      <c r="A41" s="37"/>
      <c r="B41" s="40"/>
      <c r="C41" s="53"/>
      <c r="D41" s="50"/>
      <c r="E41" s="77"/>
      <c r="F41" s="50"/>
      <c r="G41" s="50"/>
      <c r="H41" s="50"/>
      <c r="I41" s="78"/>
      <c r="J41" s="50"/>
      <c r="K41" s="50"/>
      <c r="L41" s="50"/>
      <c r="M41" s="50"/>
      <c r="N41" s="50"/>
      <c r="O41" s="84"/>
      <c r="P41" s="50"/>
      <c r="Q41" s="50"/>
      <c r="R41" s="50"/>
      <c r="S41" s="50"/>
      <c r="T41" s="50"/>
      <c r="U41" s="50"/>
      <c r="V41" s="50"/>
      <c r="W41" s="82"/>
      <c r="X41" s="50"/>
      <c r="Y41" s="50"/>
      <c r="Z41" s="50"/>
      <c r="AA41" s="50"/>
    </row>
    <row r="42" spans="1:27" ht="13">
      <c r="A42" s="37">
        <f>C42*1000</f>
        <v>0</v>
      </c>
      <c r="B42" s="39">
        <f>B40+1</f>
        <v>2008</v>
      </c>
      <c r="C42" s="158"/>
      <c r="D42" s="51" t="s">
        <v>87</v>
      </c>
      <c r="E42" s="75">
        <f>Control!$F$50</f>
        <v>0</v>
      </c>
      <c r="F42" s="51" t="s">
        <v>87</v>
      </c>
      <c r="G42" s="70">
        <f>Control!$D$106</f>
        <v>1000</v>
      </c>
      <c r="H42" s="51" t="s">
        <v>87</v>
      </c>
      <c r="I42" s="76">
        <f>Control!$F$51</f>
        <v>0</v>
      </c>
      <c r="J42" s="51" t="s">
        <v>87</v>
      </c>
      <c r="K42" s="46">
        <f>Control!$F$53</f>
        <v>0</v>
      </c>
      <c r="L42" s="51" t="s">
        <v>87</v>
      </c>
      <c r="M42" s="56">
        <f>Control!$F$52</f>
        <v>0</v>
      </c>
      <c r="N42" s="52" t="s">
        <v>88</v>
      </c>
      <c r="O42" s="86">
        <f>C42*$E$6*$I$6*$M$6*$K$6*$G$6</f>
        <v>0</v>
      </c>
      <c r="P42" s="51" t="s">
        <v>87</v>
      </c>
      <c r="Q42" s="65">
        <f>Control!$D$107</f>
        <v>9.9999999999999998E-13</v>
      </c>
      <c r="R42" s="52" t="s">
        <v>88</v>
      </c>
      <c r="S42" s="46">
        <f>O42*Q42</f>
        <v>0</v>
      </c>
      <c r="T42" s="51" t="s">
        <v>87</v>
      </c>
      <c r="U42" s="70">
        <f>Control!$D$101</f>
        <v>28</v>
      </c>
      <c r="V42" s="51" t="s">
        <v>87</v>
      </c>
      <c r="W42" s="46">
        <f>Control!$D$100</f>
        <v>0.27272727272727271</v>
      </c>
      <c r="X42" s="52" t="s">
        <v>88</v>
      </c>
      <c r="Y42" s="48">
        <f>S42*U$6*W$6</f>
        <v>0</v>
      </c>
      <c r="Z42" s="52" t="s">
        <v>88</v>
      </c>
      <c r="AA42" s="48">
        <f>Y42*C_CO2</f>
        <v>0</v>
      </c>
    </row>
    <row r="43" spans="1:27" ht="11">
      <c r="A43" s="37"/>
      <c r="B43" s="40"/>
      <c r="C43" s="53"/>
      <c r="D43" s="50"/>
      <c r="E43" s="77"/>
      <c r="F43" s="50"/>
      <c r="G43" s="50"/>
      <c r="H43" s="50"/>
      <c r="I43" s="78"/>
      <c r="J43" s="50"/>
      <c r="K43" s="50"/>
      <c r="L43" s="50"/>
      <c r="M43" s="50"/>
      <c r="N43" s="50"/>
      <c r="O43" s="84"/>
      <c r="P43" s="50"/>
      <c r="Q43" s="50"/>
      <c r="R43" s="50"/>
      <c r="S43" s="50"/>
      <c r="T43" s="50"/>
      <c r="U43" s="50"/>
      <c r="V43" s="50"/>
      <c r="W43" s="82"/>
      <c r="X43" s="50"/>
      <c r="Y43" s="50"/>
      <c r="Z43" s="50"/>
      <c r="AA43" s="50"/>
    </row>
    <row r="44" spans="1:27" ht="13">
      <c r="A44" s="37">
        <f>C44*1000</f>
        <v>0</v>
      </c>
      <c r="B44" s="39">
        <f>B42+1</f>
        <v>2009</v>
      </c>
      <c r="C44" s="158"/>
      <c r="D44" s="51" t="s">
        <v>87</v>
      </c>
      <c r="E44" s="75">
        <f>Control!$F$50</f>
        <v>0</v>
      </c>
      <c r="F44" s="51" t="s">
        <v>87</v>
      </c>
      <c r="G44" s="70">
        <f>Control!$D$106</f>
        <v>1000</v>
      </c>
      <c r="H44" s="51" t="s">
        <v>87</v>
      </c>
      <c r="I44" s="76">
        <f>Control!$F$51</f>
        <v>0</v>
      </c>
      <c r="J44" s="51" t="s">
        <v>87</v>
      </c>
      <c r="K44" s="46">
        <f>Control!$F$53</f>
        <v>0</v>
      </c>
      <c r="L44" s="51" t="s">
        <v>87</v>
      </c>
      <c r="M44" s="56">
        <f>Control!$F$52</f>
        <v>0</v>
      </c>
      <c r="N44" s="52" t="s">
        <v>88</v>
      </c>
      <c r="O44" s="86">
        <f>C44*$E$6*$I$6*$M$6*$K$6*$G$6</f>
        <v>0</v>
      </c>
      <c r="P44" s="51" t="s">
        <v>87</v>
      </c>
      <c r="Q44" s="65">
        <f>Control!$D$107</f>
        <v>9.9999999999999998E-13</v>
      </c>
      <c r="R44" s="52" t="s">
        <v>88</v>
      </c>
      <c r="S44" s="46">
        <f>O44*Q44</f>
        <v>0</v>
      </c>
      <c r="T44" s="51" t="s">
        <v>87</v>
      </c>
      <c r="U44" s="70">
        <f>Control!$D$101</f>
        <v>28</v>
      </c>
      <c r="V44" s="51" t="s">
        <v>87</v>
      </c>
      <c r="W44" s="46">
        <f>Control!$D$100</f>
        <v>0.27272727272727271</v>
      </c>
      <c r="X44" s="52" t="s">
        <v>88</v>
      </c>
      <c r="Y44" s="48">
        <f>S44*U$6*W$6</f>
        <v>0</v>
      </c>
      <c r="Z44" s="52" t="s">
        <v>88</v>
      </c>
      <c r="AA44" s="48">
        <f>Y44*C_CO2</f>
        <v>0</v>
      </c>
    </row>
    <row r="45" spans="1:27" ht="11">
      <c r="A45" s="37"/>
      <c r="B45" s="40"/>
      <c r="C45" s="53"/>
      <c r="D45" s="50"/>
      <c r="E45" s="77"/>
      <c r="F45" s="50"/>
      <c r="G45" s="50"/>
      <c r="H45" s="50"/>
      <c r="I45" s="78"/>
      <c r="J45" s="50"/>
      <c r="K45" s="50"/>
      <c r="L45" s="50"/>
      <c r="M45" s="50"/>
      <c r="N45" s="50"/>
      <c r="O45" s="84"/>
      <c r="P45" s="50"/>
      <c r="Q45" s="50"/>
      <c r="R45" s="50"/>
      <c r="S45" s="50"/>
      <c r="T45" s="50"/>
      <c r="U45" s="50"/>
      <c r="V45" s="50"/>
      <c r="W45" s="82"/>
      <c r="X45" s="50"/>
      <c r="Y45" s="50"/>
      <c r="Z45" s="50"/>
      <c r="AA45" s="50"/>
    </row>
    <row r="46" spans="1:27" ht="13">
      <c r="A46" s="37">
        <f>C46*1000</f>
        <v>0</v>
      </c>
      <c r="B46" s="39">
        <f>B44+1</f>
        <v>2010</v>
      </c>
      <c r="C46" s="158"/>
      <c r="D46" s="51" t="s">
        <v>87</v>
      </c>
      <c r="E46" s="75">
        <f>Control!$F$50</f>
        <v>0</v>
      </c>
      <c r="F46" s="51" t="s">
        <v>87</v>
      </c>
      <c r="G46" s="70">
        <f>Control!$D$106</f>
        <v>1000</v>
      </c>
      <c r="H46" s="51" t="s">
        <v>87</v>
      </c>
      <c r="I46" s="76">
        <f>Control!$F$51</f>
        <v>0</v>
      </c>
      <c r="J46" s="51" t="s">
        <v>87</v>
      </c>
      <c r="K46" s="46">
        <f>Control!$F$53</f>
        <v>0</v>
      </c>
      <c r="L46" s="51" t="s">
        <v>87</v>
      </c>
      <c r="M46" s="56">
        <f>Control!$F$52</f>
        <v>0</v>
      </c>
      <c r="N46" s="52" t="s">
        <v>88</v>
      </c>
      <c r="O46" s="86">
        <f>C46*$E$6*$I$6*$M$6*$K$6*$G$6</f>
        <v>0</v>
      </c>
      <c r="P46" s="51" t="s">
        <v>87</v>
      </c>
      <c r="Q46" s="65">
        <f>Control!$D$107</f>
        <v>9.9999999999999998E-13</v>
      </c>
      <c r="R46" s="52" t="s">
        <v>88</v>
      </c>
      <c r="S46" s="46">
        <f>O46*Q46</f>
        <v>0</v>
      </c>
      <c r="T46" s="51" t="s">
        <v>87</v>
      </c>
      <c r="U46" s="70">
        <f>Control!$D$101</f>
        <v>28</v>
      </c>
      <c r="V46" s="51" t="s">
        <v>87</v>
      </c>
      <c r="W46" s="46">
        <f>Control!$D$100</f>
        <v>0.27272727272727271</v>
      </c>
      <c r="X46" s="52" t="s">
        <v>88</v>
      </c>
      <c r="Y46" s="48">
        <f>S46*U$6*W$6</f>
        <v>0</v>
      </c>
      <c r="Z46" s="52" t="s">
        <v>88</v>
      </c>
      <c r="AA46" s="48">
        <f>Y46*C_CO2</f>
        <v>0</v>
      </c>
    </row>
    <row r="47" spans="1:27" ht="11">
      <c r="A47" s="37"/>
      <c r="B47" s="40"/>
      <c r="C47" s="53"/>
      <c r="D47" s="50"/>
      <c r="E47" s="77"/>
      <c r="F47" s="50"/>
      <c r="G47" s="50"/>
      <c r="H47" s="50"/>
      <c r="I47" s="78"/>
      <c r="J47" s="50"/>
      <c r="K47" s="50"/>
      <c r="L47" s="50"/>
      <c r="M47" s="50"/>
      <c r="N47" s="50"/>
      <c r="O47" s="84"/>
      <c r="P47" s="50"/>
      <c r="Q47" s="50"/>
      <c r="R47" s="50"/>
      <c r="S47" s="50"/>
      <c r="T47" s="50"/>
      <c r="U47" s="50"/>
      <c r="V47" s="50"/>
      <c r="W47" s="82"/>
      <c r="X47" s="50"/>
      <c r="Y47" s="50"/>
      <c r="Z47" s="50"/>
      <c r="AA47" s="50"/>
    </row>
    <row r="48" spans="1:27" ht="13">
      <c r="A48" s="37">
        <f>C48*1000</f>
        <v>0</v>
      </c>
      <c r="B48" s="39">
        <f>B46+1</f>
        <v>2011</v>
      </c>
      <c r="C48" s="158"/>
      <c r="D48" s="51" t="s">
        <v>87</v>
      </c>
      <c r="E48" s="75">
        <f>Control!$F$50</f>
        <v>0</v>
      </c>
      <c r="F48" s="51" t="s">
        <v>87</v>
      </c>
      <c r="G48" s="70">
        <f>Control!$D$106</f>
        <v>1000</v>
      </c>
      <c r="H48" s="51" t="s">
        <v>87</v>
      </c>
      <c r="I48" s="76">
        <f>Control!$F$51</f>
        <v>0</v>
      </c>
      <c r="J48" s="51" t="s">
        <v>87</v>
      </c>
      <c r="K48" s="46">
        <f>Control!$F$53</f>
        <v>0</v>
      </c>
      <c r="L48" s="51" t="s">
        <v>87</v>
      </c>
      <c r="M48" s="56">
        <f>Control!$F$52</f>
        <v>0</v>
      </c>
      <c r="N48" s="52" t="s">
        <v>88</v>
      </c>
      <c r="O48" s="86">
        <f>C48*$E$6*$I$6*$M$6*$K$6*$G$6</f>
        <v>0</v>
      </c>
      <c r="P48" s="51" t="s">
        <v>87</v>
      </c>
      <c r="Q48" s="65">
        <f>Control!$D$107</f>
        <v>9.9999999999999998E-13</v>
      </c>
      <c r="R48" s="52" t="s">
        <v>88</v>
      </c>
      <c r="S48" s="46">
        <f>O48*Q48</f>
        <v>0</v>
      </c>
      <c r="T48" s="51" t="s">
        <v>87</v>
      </c>
      <c r="U48" s="70">
        <f>Control!$D$101</f>
        <v>28</v>
      </c>
      <c r="V48" s="51" t="s">
        <v>87</v>
      </c>
      <c r="W48" s="46">
        <f>Control!$D$100</f>
        <v>0.27272727272727271</v>
      </c>
      <c r="X48" s="52" t="s">
        <v>88</v>
      </c>
      <c r="Y48" s="48">
        <f>S48*U$6*W$6</f>
        <v>0</v>
      </c>
      <c r="Z48" s="52" t="s">
        <v>88</v>
      </c>
      <c r="AA48" s="48">
        <f>Y48*C_CO2</f>
        <v>0</v>
      </c>
    </row>
    <row r="49" spans="1:27" ht="11">
      <c r="A49" s="37"/>
      <c r="B49" s="40"/>
      <c r="C49" s="53"/>
      <c r="D49" s="50"/>
      <c r="E49" s="77"/>
      <c r="F49" s="50"/>
      <c r="G49" s="50"/>
      <c r="H49" s="50"/>
      <c r="I49" s="78"/>
      <c r="J49" s="50"/>
      <c r="K49" s="50"/>
      <c r="L49" s="50"/>
      <c r="M49" s="50"/>
      <c r="N49" s="50"/>
      <c r="O49" s="84"/>
      <c r="P49" s="50"/>
      <c r="Q49" s="50"/>
      <c r="R49" s="50"/>
      <c r="S49" s="50"/>
      <c r="T49" s="50"/>
      <c r="U49" s="50"/>
      <c r="V49" s="50"/>
      <c r="W49" s="82"/>
      <c r="X49" s="50"/>
      <c r="Y49" s="50"/>
      <c r="Z49" s="50"/>
      <c r="AA49" s="50"/>
    </row>
    <row r="50" spans="1:27" ht="13">
      <c r="A50" s="37">
        <f>C50*1000</f>
        <v>0</v>
      </c>
      <c r="B50" s="39">
        <f>B48+1</f>
        <v>2012</v>
      </c>
      <c r="C50" s="158"/>
      <c r="D50" s="51" t="s">
        <v>87</v>
      </c>
      <c r="E50" s="75">
        <f>Control!$F$50</f>
        <v>0</v>
      </c>
      <c r="F50" s="51" t="s">
        <v>87</v>
      </c>
      <c r="G50" s="70">
        <f>Control!$D$106</f>
        <v>1000</v>
      </c>
      <c r="H50" s="51" t="s">
        <v>87</v>
      </c>
      <c r="I50" s="76">
        <f>Control!$F$51</f>
        <v>0</v>
      </c>
      <c r="J50" s="51" t="s">
        <v>87</v>
      </c>
      <c r="K50" s="46">
        <f>Control!$F$53</f>
        <v>0</v>
      </c>
      <c r="L50" s="51" t="s">
        <v>87</v>
      </c>
      <c r="M50" s="56">
        <f>Control!$F$52</f>
        <v>0</v>
      </c>
      <c r="N50" s="52" t="s">
        <v>88</v>
      </c>
      <c r="O50" s="86">
        <f>C50*$E$6*$I$6*$M$6*$K$6*$G$6</f>
        <v>0</v>
      </c>
      <c r="P50" s="51" t="s">
        <v>87</v>
      </c>
      <c r="Q50" s="65">
        <f>Control!$D$107</f>
        <v>9.9999999999999998E-13</v>
      </c>
      <c r="R50" s="52" t="s">
        <v>88</v>
      </c>
      <c r="S50" s="46">
        <f>O50*Q50</f>
        <v>0</v>
      </c>
      <c r="T50" s="51" t="s">
        <v>87</v>
      </c>
      <c r="U50" s="70">
        <f>Control!$D$101</f>
        <v>28</v>
      </c>
      <c r="V50" s="51" t="s">
        <v>87</v>
      </c>
      <c r="W50" s="46">
        <f>Control!$D$100</f>
        <v>0.27272727272727271</v>
      </c>
      <c r="X50" s="52" t="s">
        <v>88</v>
      </c>
      <c r="Y50" s="48">
        <f>S50*U$6*W$6</f>
        <v>0</v>
      </c>
      <c r="Z50" s="52" t="s">
        <v>88</v>
      </c>
      <c r="AA50" s="48">
        <f>Y50*C_CO2</f>
        <v>0</v>
      </c>
    </row>
    <row r="51" spans="1:27" ht="11">
      <c r="A51" s="37"/>
      <c r="B51" s="40"/>
      <c r="C51" s="53"/>
      <c r="D51" s="50"/>
      <c r="E51" s="77"/>
      <c r="F51" s="50"/>
      <c r="G51" s="50"/>
      <c r="H51" s="50"/>
      <c r="I51" s="78"/>
      <c r="J51" s="50"/>
      <c r="K51" s="50"/>
      <c r="L51" s="50"/>
      <c r="M51" s="50"/>
      <c r="N51" s="50"/>
      <c r="O51" s="84"/>
      <c r="P51" s="50"/>
      <c r="Q51" s="50"/>
      <c r="R51" s="50"/>
      <c r="S51" s="50"/>
      <c r="T51" s="50"/>
      <c r="U51" s="50"/>
      <c r="V51" s="50"/>
      <c r="W51" s="82"/>
      <c r="X51" s="50"/>
      <c r="Y51" s="50"/>
      <c r="Z51" s="50"/>
      <c r="AA51" s="50"/>
    </row>
    <row r="52" spans="1:27" ht="13">
      <c r="A52" s="37">
        <f>C52*1000</f>
        <v>0</v>
      </c>
      <c r="B52" s="39">
        <f>B50+1</f>
        <v>2013</v>
      </c>
      <c r="C52" s="158"/>
      <c r="D52" s="51" t="s">
        <v>87</v>
      </c>
      <c r="E52" s="75">
        <f>Control!$F$50</f>
        <v>0</v>
      </c>
      <c r="F52" s="51" t="s">
        <v>87</v>
      </c>
      <c r="G52" s="70">
        <f>Control!$D$106</f>
        <v>1000</v>
      </c>
      <c r="H52" s="51" t="s">
        <v>87</v>
      </c>
      <c r="I52" s="76">
        <f>Control!$F$51</f>
        <v>0</v>
      </c>
      <c r="J52" s="51" t="s">
        <v>87</v>
      </c>
      <c r="K52" s="46">
        <f>Control!$F$53</f>
        <v>0</v>
      </c>
      <c r="L52" s="51" t="s">
        <v>87</v>
      </c>
      <c r="M52" s="56">
        <f>Control!$F$52</f>
        <v>0</v>
      </c>
      <c r="N52" s="52" t="s">
        <v>88</v>
      </c>
      <c r="O52" s="86">
        <f>C52*$E$6*$I$6*$M$6*$K$6*$G$6</f>
        <v>0</v>
      </c>
      <c r="P52" s="51" t="s">
        <v>87</v>
      </c>
      <c r="Q52" s="65">
        <f>Control!$D$107</f>
        <v>9.9999999999999998E-13</v>
      </c>
      <c r="R52" s="52" t="s">
        <v>88</v>
      </c>
      <c r="S52" s="46">
        <f>O52*Q52</f>
        <v>0</v>
      </c>
      <c r="T52" s="51" t="s">
        <v>87</v>
      </c>
      <c r="U52" s="70">
        <f>Control!$D$101</f>
        <v>28</v>
      </c>
      <c r="V52" s="51" t="s">
        <v>87</v>
      </c>
      <c r="W52" s="46">
        <f>Control!$D$100</f>
        <v>0.27272727272727271</v>
      </c>
      <c r="X52" s="52" t="s">
        <v>88</v>
      </c>
      <c r="Y52" s="48">
        <f>S52*U$6*W$6</f>
        <v>0</v>
      </c>
      <c r="Z52" s="52" t="s">
        <v>88</v>
      </c>
      <c r="AA52" s="48">
        <f>Y52*C_CO2</f>
        <v>0</v>
      </c>
    </row>
    <row r="53" spans="1:27" ht="11">
      <c r="A53" s="37"/>
      <c r="B53" s="40"/>
      <c r="C53" s="53"/>
      <c r="D53" s="50"/>
      <c r="E53" s="77"/>
      <c r="F53" s="50"/>
      <c r="G53" s="50"/>
      <c r="H53" s="50"/>
      <c r="I53" s="78"/>
      <c r="J53" s="50"/>
      <c r="K53" s="50"/>
      <c r="L53" s="50"/>
      <c r="M53" s="50"/>
      <c r="N53" s="50"/>
      <c r="O53" s="84"/>
      <c r="P53" s="50"/>
      <c r="Q53" s="50"/>
      <c r="R53" s="50"/>
      <c r="S53" s="50"/>
      <c r="T53" s="50"/>
      <c r="U53" s="50"/>
      <c r="V53" s="50"/>
      <c r="W53" s="82"/>
      <c r="X53" s="50"/>
      <c r="Y53" s="50"/>
      <c r="Z53" s="50"/>
      <c r="AA53" s="50"/>
    </row>
    <row r="54" spans="1:27" ht="13">
      <c r="A54" s="37">
        <f>C54*1000</f>
        <v>0</v>
      </c>
      <c r="B54" s="39">
        <f>B52+1</f>
        <v>2014</v>
      </c>
      <c r="C54" s="158"/>
      <c r="D54" s="51" t="s">
        <v>87</v>
      </c>
      <c r="E54" s="75">
        <f>Control!$F$50</f>
        <v>0</v>
      </c>
      <c r="F54" s="51" t="s">
        <v>87</v>
      </c>
      <c r="G54" s="70">
        <f>Control!$D$106</f>
        <v>1000</v>
      </c>
      <c r="H54" s="51" t="s">
        <v>87</v>
      </c>
      <c r="I54" s="76">
        <f>Control!$F$51</f>
        <v>0</v>
      </c>
      <c r="J54" s="51" t="s">
        <v>87</v>
      </c>
      <c r="K54" s="46">
        <f>Control!$F$53</f>
        <v>0</v>
      </c>
      <c r="L54" s="51" t="s">
        <v>87</v>
      </c>
      <c r="M54" s="56">
        <f>Control!$F$52</f>
        <v>0</v>
      </c>
      <c r="N54" s="52" t="s">
        <v>88</v>
      </c>
      <c r="O54" s="86">
        <f>C54*$E$6*$I$6*$M$6*$K$6*$G$6</f>
        <v>0</v>
      </c>
      <c r="P54" s="51" t="s">
        <v>87</v>
      </c>
      <c r="Q54" s="65">
        <f>Control!$D$107</f>
        <v>9.9999999999999998E-13</v>
      </c>
      <c r="R54" s="52" t="s">
        <v>88</v>
      </c>
      <c r="S54" s="46">
        <f>O54*Q54</f>
        <v>0</v>
      </c>
      <c r="T54" s="51" t="s">
        <v>87</v>
      </c>
      <c r="U54" s="70">
        <f>Control!$D$101</f>
        <v>28</v>
      </c>
      <c r="V54" s="51" t="s">
        <v>87</v>
      </c>
      <c r="W54" s="46">
        <f>Control!$D$100</f>
        <v>0.27272727272727271</v>
      </c>
      <c r="X54" s="52" t="s">
        <v>88</v>
      </c>
      <c r="Y54" s="48">
        <f>S54*U$6*W$6</f>
        <v>0</v>
      </c>
      <c r="Z54" s="52" t="s">
        <v>88</v>
      </c>
      <c r="AA54" s="48">
        <f>Y54*C_CO2</f>
        <v>0</v>
      </c>
    </row>
    <row r="55" spans="1:27" ht="11">
      <c r="A55" s="37"/>
      <c r="B55" s="40"/>
      <c r="C55" s="53"/>
      <c r="D55" s="50"/>
      <c r="E55" s="77"/>
      <c r="F55" s="50"/>
      <c r="G55" s="50"/>
      <c r="H55" s="50"/>
      <c r="I55" s="78"/>
      <c r="J55" s="50"/>
      <c r="K55" s="50"/>
      <c r="L55" s="50"/>
      <c r="M55" s="50"/>
      <c r="N55" s="50"/>
      <c r="O55" s="84"/>
      <c r="P55" s="50"/>
      <c r="Q55" s="50"/>
      <c r="R55" s="50"/>
      <c r="S55" s="50"/>
      <c r="T55" s="50"/>
      <c r="U55" s="50"/>
      <c r="V55" s="50"/>
      <c r="W55" s="82"/>
      <c r="X55" s="50"/>
      <c r="Y55" s="50"/>
      <c r="Z55" s="50"/>
      <c r="AA55" s="50"/>
    </row>
    <row r="56" spans="1:27" ht="13">
      <c r="A56" s="37">
        <f>C56*1000</f>
        <v>0</v>
      </c>
      <c r="B56" s="39">
        <f>B54+1</f>
        <v>2015</v>
      </c>
      <c r="C56" s="158"/>
      <c r="D56" s="51" t="s">
        <v>87</v>
      </c>
      <c r="E56" s="75">
        <f>Control!$F$50</f>
        <v>0</v>
      </c>
      <c r="F56" s="51" t="s">
        <v>87</v>
      </c>
      <c r="G56" s="70">
        <f>Control!$D$106</f>
        <v>1000</v>
      </c>
      <c r="H56" s="51" t="s">
        <v>87</v>
      </c>
      <c r="I56" s="76">
        <f>Control!$F$51</f>
        <v>0</v>
      </c>
      <c r="J56" s="51" t="s">
        <v>87</v>
      </c>
      <c r="K56" s="46">
        <f>Control!$F$53</f>
        <v>0</v>
      </c>
      <c r="L56" s="51" t="s">
        <v>87</v>
      </c>
      <c r="M56" s="56">
        <f>Control!$F$52</f>
        <v>0</v>
      </c>
      <c r="N56" s="52" t="s">
        <v>88</v>
      </c>
      <c r="O56" s="86">
        <f>C56*$E$6*$I$6*$M$6*$K$6*$G$6</f>
        <v>0</v>
      </c>
      <c r="P56" s="51" t="s">
        <v>87</v>
      </c>
      <c r="Q56" s="65">
        <f>Control!$D$107</f>
        <v>9.9999999999999998E-13</v>
      </c>
      <c r="R56" s="52" t="s">
        <v>88</v>
      </c>
      <c r="S56" s="46">
        <f>O56*Q56</f>
        <v>0</v>
      </c>
      <c r="T56" s="51" t="s">
        <v>87</v>
      </c>
      <c r="U56" s="70">
        <f>Control!$D$101</f>
        <v>28</v>
      </c>
      <c r="V56" s="51" t="s">
        <v>87</v>
      </c>
      <c r="W56" s="46">
        <f>Control!$D$100</f>
        <v>0.27272727272727271</v>
      </c>
      <c r="X56" s="52" t="s">
        <v>88</v>
      </c>
      <c r="Y56" s="48">
        <f>S56*U$6*W$6</f>
        <v>0</v>
      </c>
      <c r="Z56" s="52" t="s">
        <v>88</v>
      </c>
      <c r="AA56" s="48">
        <f>Y56*C_CO2</f>
        <v>0</v>
      </c>
    </row>
    <row r="57" spans="1:27" ht="11">
      <c r="A57" s="37"/>
      <c r="B57" s="40"/>
      <c r="C57" s="53"/>
      <c r="D57" s="50"/>
      <c r="E57" s="77"/>
      <c r="F57" s="50"/>
      <c r="G57" s="50"/>
      <c r="H57" s="50"/>
      <c r="I57" s="78"/>
      <c r="J57" s="50"/>
      <c r="K57" s="50"/>
      <c r="L57" s="50"/>
      <c r="M57" s="50"/>
      <c r="N57" s="50"/>
      <c r="O57" s="84"/>
      <c r="P57" s="50"/>
      <c r="Q57" s="50"/>
      <c r="R57" s="50"/>
      <c r="S57" s="50"/>
      <c r="T57" s="50"/>
      <c r="U57" s="50"/>
      <c r="V57" s="50"/>
      <c r="W57" s="82"/>
      <c r="X57" s="50"/>
      <c r="Y57" s="50"/>
      <c r="Z57" s="50"/>
      <c r="AA57" s="50"/>
    </row>
    <row r="58" spans="1:27" ht="13">
      <c r="A58" s="37">
        <f>C58*1000</f>
        <v>0</v>
      </c>
      <c r="B58" s="39">
        <f>B56+1</f>
        <v>2016</v>
      </c>
      <c r="C58" s="158"/>
      <c r="D58" s="51" t="s">
        <v>87</v>
      </c>
      <c r="E58" s="75">
        <f>Control!$F$50</f>
        <v>0</v>
      </c>
      <c r="F58" s="51" t="s">
        <v>87</v>
      </c>
      <c r="G58" s="70">
        <f>Control!$D$106</f>
        <v>1000</v>
      </c>
      <c r="H58" s="51" t="s">
        <v>87</v>
      </c>
      <c r="I58" s="76">
        <f>Control!$F$51</f>
        <v>0</v>
      </c>
      <c r="J58" s="51" t="s">
        <v>87</v>
      </c>
      <c r="K58" s="46">
        <f>Control!$F$53</f>
        <v>0</v>
      </c>
      <c r="L58" s="51" t="s">
        <v>87</v>
      </c>
      <c r="M58" s="56">
        <f>Control!$F$52</f>
        <v>0</v>
      </c>
      <c r="N58" s="52" t="s">
        <v>88</v>
      </c>
      <c r="O58" s="86">
        <f>C58*$E$6*$I$6*$M$6*$K$6*$G$6</f>
        <v>0</v>
      </c>
      <c r="P58" s="51" t="s">
        <v>87</v>
      </c>
      <c r="Q58" s="65">
        <f>Control!$D$107</f>
        <v>9.9999999999999998E-13</v>
      </c>
      <c r="R58" s="52" t="s">
        <v>88</v>
      </c>
      <c r="S58" s="46">
        <f>O58*Q58</f>
        <v>0</v>
      </c>
      <c r="T58" s="51" t="s">
        <v>87</v>
      </c>
      <c r="U58" s="70">
        <f>Control!$D$101</f>
        <v>28</v>
      </c>
      <c r="V58" s="51" t="s">
        <v>87</v>
      </c>
      <c r="W58" s="46">
        <f>Control!$D$100</f>
        <v>0.27272727272727271</v>
      </c>
      <c r="X58" s="52" t="s">
        <v>88</v>
      </c>
      <c r="Y58" s="48">
        <f>S58*U$6*W$6</f>
        <v>0</v>
      </c>
      <c r="Z58" s="52" t="s">
        <v>88</v>
      </c>
      <c r="AA58" s="48">
        <f>Y58*C_CO2</f>
        <v>0</v>
      </c>
    </row>
    <row r="59" spans="1:27" ht="11">
      <c r="A59" s="37"/>
      <c r="B59" s="40"/>
      <c r="C59" s="53"/>
      <c r="D59" s="50"/>
      <c r="E59" s="77"/>
      <c r="F59" s="50"/>
      <c r="G59" s="50"/>
      <c r="H59" s="50"/>
      <c r="I59" s="78"/>
      <c r="J59" s="50"/>
      <c r="K59" s="50"/>
      <c r="L59" s="50"/>
      <c r="M59" s="50"/>
      <c r="N59" s="50"/>
      <c r="O59" s="84"/>
      <c r="P59" s="50"/>
      <c r="Q59" s="50"/>
      <c r="R59" s="50"/>
      <c r="S59" s="50"/>
      <c r="T59" s="50"/>
      <c r="U59" s="50"/>
      <c r="V59" s="50"/>
      <c r="W59" s="82"/>
      <c r="X59" s="50"/>
      <c r="Y59" s="50"/>
      <c r="Z59" s="50"/>
      <c r="AA59" s="50"/>
    </row>
    <row r="60" spans="1:27" ht="13">
      <c r="A60" s="37">
        <f>C60*1000</f>
        <v>0</v>
      </c>
      <c r="B60" s="39">
        <f>B58+1</f>
        <v>2017</v>
      </c>
      <c r="C60" s="158"/>
      <c r="D60" s="51" t="s">
        <v>87</v>
      </c>
      <c r="E60" s="75">
        <f>Control!$F$50</f>
        <v>0</v>
      </c>
      <c r="F60" s="51" t="s">
        <v>87</v>
      </c>
      <c r="G60" s="70">
        <f>Control!$D$106</f>
        <v>1000</v>
      </c>
      <c r="H60" s="51" t="s">
        <v>87</v>
      </c>
      <c r="I60" s="76">
        <f>Control!$F$51</f>
        <v>0</v>
      </c>
      <c r="J60" s="51" t="s">
        <v>87</v>
      </c>
      <c r="K60" s="46">
        <f>Control!$F$53</f>
        <v>0</v>
      </c>
      <c r="L60" s="51" t="s">
        <v>87</v>
      </c>
      <c r="M60" s="56">
        <f>Control!$F$52</f>
        <v>0</v>
      </c>
      <c r="N60" s="52" t="s">
        <v>88</v>
      </c>
      <c r="O60" s="86">
        <f>C60*$E$6*$I$6*$M$6*$K$6*$G$6</f>
        <v>0</v>
      </c>
      <c r="P60" s="51" t="s">
        <v>87</v>
      </c>
      <c r="Q60" s="65">
        <f>Control!$D$107</f>
        <v>9.9999999999999998E-13</v>
      </c>
      <c r="R60" s="52" t="s">
        <v>88</v>
      </c>
      <c r="S60" s="46">
        <f>O60*Q60</f>
        <v>0</v>
      </c>
      <c r="T60" s="51" t="s">
        <v>87</v>
      </c>
      <c r="U60" s="70">
        <f>Control!$D$101</f>
        <v>28</v>
      </c>
      <c r="V60" s="51" t="s">
        <v>87</v>
      </c>
      <c r="W60" s="46">
        <f>Control!$D$100</f>
        <v>0.27272727272727271</v>
      </c>
      <c r="X60" s="52" t="s">
        <v>88</v>
      </c>
      <c r="Y60" s="48">
        <f>S60*U$6*W$6</f>
        <v>0</v>
      </c>
      <c r="Z60" s="52" t="s">
        <v>88</v>
      </c>
      <c r="AA60" s="48">
        <f>Y60*C_CO2</f>
        <v>0</v>
      </c>
    </row>
    <row r="61" spans="1:27" ht="11">
      <c r="A61" s="37"/>
      <c r="B61" s="40"/>
      <c r="C61" s="53"/>
      <c r="D61" s="50"/>
      <c r="E61" s="77"/>
      <c r="F61" s="50"/>
      <c r="G61" s="50"/>
      <c r="H61" s="50"/>
      <c r="I61" s="78"/>
      <c r="J61" s="50"/>
      <c r="K61" s="50"/>
      <c r="L61" s="50"/>
      <c r="M61" s="50"/>
      <c r="N61" s="50"/>
      <c r="O61" s="84"/>
      <c r="P61" s="50"/>
      <c r="Q61" s="50"/>
      <c r="R61" s="50"/>
      <c r="S61" s="50"/>
      <c r="T61" s="50"/>
      <c r="U61" s="50"/>
      <c r="V61" s="50"/>
      <c r="W61" s="82"/>
      <c r="X61" s="50"/>
      <c r="Y61" s="50"/>
      <c r="Z61" s="50"/>
      <c r="AA61" s="50"/>
    </row>
    <row r="62" spans="1:27" ht="13">
      <c r="A62" s="37">
        <f>C62*1000</f>
        <v>0</v>
      </c>
      <c r="B62" s="39">
        <f>B60+1</f>
        <v>2018</v>
      </c>
      <c r="C62" s="158"/>
      <c r="D62" s="51" t="s">
        <v>87</v>
      </c>
      <c r="E62" s="75">
        <f>Control!$F$50</f>
        <v>0</v>
      </c>
      <c r="F62" s="51" t="s">
        <v>87</v>
      </c>
      <c r="G62" s="70">
        <f>Control!$D$106</f>
        <v>1000</v>
      </c>
      <c r="H62" s="51" t="s">
        <v>87</v>
      </c>
      <c r="I62" s="76">
        <f>Control!$F$51</f>
        <v>0</v>
      </c>
      <c r="J62" s="51" t="s">
        <v>87</v>
      </c>
      <c r="K62" s="46">
        <f>Control!$F$53</f>
        <v>0</v>
      </c>
      <c r="L62" s="51" t="s">
        <v>87</v>
      </c>
      <c r="M62" s="56">
        <f>Control!$F$52</f>
        <v>0</v>
      </c>
      <c r="N62" s="52" t="s">
        <v>88</v>
      </c>
      <c r="O62" s="86">
        <f>C62*$E$6*$I$6*$M$6*$K$6*$G$6</f>
        <v>0</v>
      </c>
      <c r="P62" s="51" t="s">
        <v>87</v>
      </c>
      <c r="Q62" s="65">
        <f>Control!$D$107</f>
        <v>9.9999999999999998E-13</v>
      </c>
      <c r="R62" s="52" t="s">
        <v>88</v>
      </c>
      <c r="S62" s="46">
        <f>O62*Q62</f>
        <v>0</v>
      </c>
      <c r="T62" s="51" t="s">
        <v>87</v>
      </c>
      <c r="U62" s="70">
        <f>Control!$D$101</f>
        <v>28</v>
      </c>
      <c r="V62" s="51" t="s">
        <v>87</v>
      </c>
      <c r="W62" s="46">
        <f>Control!$D$100</f>
        <v>0.27272727272727271</v>
      </c>
      <c r="X62" s="52" t="s">
        <v>88</v>
      </c>
      <c r="Y62" s="48">
        <f>S62*U$6*W$6</f>
        <v>0</v>
      </c>
      <c r="Z62" s="52" t="s">
        <v>88</v>
      </c>
      <c r="AA62" s="48">
        <f>Y62*C_CO2</f>
        <v>0</v>
      </c>
    </row>
    <row r="63" spans="1:27" ht="11">
      <c r="A63" s="37"/>
      <c r="B63" s="40"/>
      <c r="C63" s="53"/>
      <c r="D63" s="50"/>
      <c r="E63" s="77"/>
      <c r="F63" s="50"/>
      <c r="G63" s="50"/>
      <c r="H63" s="50"/>
      <c r="I63" s="78"/>
      <c r="J63" s="50"/>
      <c r="K63" s="50"/>
      <c r="L63" s="50"/>
      <c r="M63" s="50"/>
      <c r="N63" s="50"/>
      <c r="O63" s="84"/>
      <c r="P63" s="50"/>
      <c r="Q63" s="50"/>
      <c r="R63" s="50"/>
      <c r="S63" s="50"/>
      <c r="T63" s="50"/>
      <c r="U63" s="50"/>
      <c r="V63" s="50"/>
      <c r="W63" s="82"/>
      <c r="X63" s="50"/>
      <c r="Y63" s="50"/>
      <c r="Z63" s="50"/>
      <c r="AA63" s="50"/>
    </row>
    <row r="64" spans="1:27" ht="13">
      <c r="A64" s="37">
        <f>C64*1000</f>
        <v>0</v>
      </c>
      <c r="B64" s="39">
        <f>B62+1</f>
        <v>2019</v>
      </c>
      <c r="C64" s="158"/>
      <c r="D64" s="51" t="s">
        <v>87</v>
      </c>
      <c r="E64" s="75">
        <f>Control!$F$50</f>
        <v>0</v>
      </c>
      <c r="F64" s="51" t="s">
        <v>87</v>
      </c>
      <c r="G64" s="70">
        <f>Control!$D$106</f>
        <v>1000</v>
      </c>
      <c r="H64" s="51" t="s">
        <v>87</v>
      </c>
      <c r="I64" s="76">
        <f>Control!$F$51</f>
        <v>0</v>
      </c>
      <c r="J64" s="51" t="s">
        <v>87</v>
      </c>
      <c r="K64" s="46">
        <f>Control!$F$53</f>
        <v>0</v>
      </c>
      <c r="L64" s="51" t="s">
        <v>87</v>
      </c>
      <c r="M64" s="56">
        <f>Control!$F$52</f>
        <v>0</v>
      </c>
      <c r="N64" s="52" t="s">
        <v>88</v>
      </c>
      <c r="O64" s="86">
        <f>C64*$E$6*$I$6*$M$6*$K$6*$G$6</f>
        <v>0</v>
      </c>
      <c r="P64" s="51" t="s">
        <v>87</v>
      </c>
      <c r="Q64" s="65">
        <f>Control!$D$107</f>
        <v>9.9999999999999998E-13</v>
      </c>
      <c r="R64" s="52" t="s">
        <v>88</v>
      </c>
      <c r="S64" s="46">
        <f>O64*Q64</f>
        <v>0</v>
      </c>
      <c r="T64" s="51" t="s">
        <v>87</v>
      </c>
      <c r="U64" s="70">
        <f>Control!$D$101</f>
        <v>28</v>
      </c>
      <c r="V64" s="51" t="s">
        <v>87</v>
      </c>
      <c r="W64" s="46">
        <f>Control!$D$100</f>
        <v>0.27272727272727271</v>
      </c>
      <c r="X64" s="52" t="s">
        <v>88</v>
      </c>
      <c r="Y64" s="48">
        <f>S64*U$6*W$6</f>
        <v>0</v>
      </c>
      <c r="Z64" s="52" t="s">
        <v>88</v>
      </c>
      <c r="AA64" s="48">
        <f>Y64*C_CO2</f>
        <v>0</v>
      </c>
    </row>
    <row r="65" spans="1:27" ht="11">
      <c r="A65" s="37"/>
      <c r="B65" s="40"/>
      <c r="C65" s="53"/>
      <c r="D65" s="50"/>
      <c r="E65" s="77"/>
      <c r="F65" s="50"/>
      <c r="G65" s="50"/>
      <c r="H65" s="50"/>
      <c r="I65" s="78"/>
      <c r="J65" s="50"/>
      <c r="K65" s="50"/>
      <c r="L65" s="50"/>
      <c r="M65" s="50"/>
      <c r="N65" s="50"/>
      <c r="O65" s="84"/>
      <c r="P65" s="50"/>
      <c r="Q65" s="50"/>
      <c r="R65" s="50"/>
      <c r="S65" s="50"/>
      <c r="T65" s="50"/>
      <c r="U65" s="50"/>
      <c r="V65" s="50"/>
      <c r="W65" s="82"/>
      <c r="X65" s="50"/>
      <c r="Y65" s="50"/>
      <c r="Z65" s="50"/>
      <c r="AA65" s="50"/>
    </row>
    <row r="66" spans="1:27" ht="13">
      <c r="A66" s="37">
        <f>C66*1000</f>
        <v>0</v>
      </c>
      <c r="B66" s="39">
        <f>B64+1</f>
        <v>2020</v>
      </c>
      <c r="C66" s="158"/>
      <c r="D66" s="51" t="s">
        <v>87</v>
      </c>
      <c r="E66" s="75">
        <f>Control!$F$50</f>
        <v>0</v>
      </c>
      <c r="F66" s="51" t="s">
        <v>87</v>
      </c>
      <c r="G66" s="70">
        <f>Control!$D$106</f>
        <v>1000</v>
      </c>
      <c r="H66" s="51" t="s">
        <v>87</v>
      </c>
      <c r="I66" s="76">
        <f>Control!$F$51</f>
        <v>0</v>
      </c>
      <c r="J66" s="51" t="s">
        <v>87</v>
      </c>
      <c r="K66" s="46">
        <f>Control!$F$53</f>
        <v>0</v>
      </c>
      <c r="L66" s="51" t="s">
        <v>87</v>
      </c>
      <c r="M66" s="56">
        <f>Control!$F$52</f>
        <v>0</v>
      </c>
      <c r="N66" s="52" t="s">
        <v>88</v>
      </c>
      <c r="O66" s="86">
        <f>C66*$E$6*$I$6*$M$6*$K$6*$G$6</f>
        <v>0</v>
      </c>
      <c r="P66" s="51" t="s">
        <v>87</v>
      </c>
      <c r="Q66" s="65">
        <f>Control!$D$107</f>
        <v>9.9999999999999998E-13</v>
      </c>
      <c r="R66" s="52" t="s">
        <v>88</v>
      </c>
      <c r="S66" s="46">
        <f>O66*Q66</f>
        <v>0</v>
      </c>
      <c r="T66" s="51" t="s">
        <v>87</v>
      </c>
      <c r="U66" s="70">
        <f>Control!$D$101</f>
        <v>28</v>
      </c>
      <c r="V66" s="51" t="s">
        <v>87</v>
      </c>
      <c r="W66" s="46">
        <f>Control!$D$100</f>
        <v>0.27272727272727271</v>
      </c>
      <c r="X66" s="52" t="s">
        <v>88</v>
      </c>
      <c r="Y66" s="48">
        <f>S66*U$6*W$6</f>
        <v>0</v>
      </c>
      <c r="Z66" s="52" t="s">
        <v>88</v>
      </c>
      <c r="AA66" s="48">
        <f>Y66*C_CO2</f>
        <v>0</v>
      </c>
    </row>
    <row r="68" spans="1:27" ht="13">
      <c r="A68" s="37">
        <f>C68*1000</f>
        <v>0</v>
      </c>
      <c r="B68" s="39">
        <f>B66+1</f>
        <v>2021</v>
      </c>
      <c r="C68" s="158"/>
      <c r="D68" s="51" t="s">
        <v>87</v>
      </c>
      <c r="E68" s="75">
        <f>Control!$F$50</f>
        <v>0</v>
      </c>
      <c r="F68" s="51" t="s">
        <v>87</v>
      </c>
      <c r="G68" s="70">
        <f>Control!$D$106</f>
        <v>1000</v>
      </c>
      <c r="H68" s="51" t="s">
        <v>87</v>
      </c>
      <c r="I68" s="76">
        <f>Control!$F$51</f>
        <v>0</v>
      </c>
      <c r="J68" s="51" t="s">
        <v>87</v>
      </c>
      <c r="K68" s="46">
        <f>Control!$F$53</f>
        <v>0</v>
      </c>
      <c r="L68" s="51" t="s">
        <v>87</v>
      </c>
      <c r="M68" s="56">
        <f>Control!$F$52</f>
        <v>0</v>
      </c>
      <c r="N68" s="52" t="s">
        <v>88</v>
      </c>
      <c r="O68" s="86">
        <f>C68*$E$6*$I$6*$M$6*$K$6*$G$6</f>
        <v>0</v>
      </c>
      <c r="P68" s="51" t="s">
        <v>87</v>
      </c>
      <c r="Q68" s="65">
        <f>Control!$D$107</f>
        <v>9.9999999999999998E-13</v>
      </c>
      <c r="R68" s="52" t="s">
        <v>88</v>
      </c>
      <c r="S68" s="46">
        <f>O68*Q68</f>
        <v>0</v>
      </c>
      <c r="T68" s="51" t="s">
        <v>87</v>
      </c>
      <c r="U68" s="70">
        <f>Control!$D$101</f>
        <v>28</v>
      </c>
      <c r="V68" s="51" t="s">
        <v>87</v>
      </c>
      <c r="W68" s="46">
        <f>Control!$D$100</f>
        <v>0.27272727272727271</v>
      </c>
      <c r="X68" s="52" t="s">
        <v>88</v>
      </c>
      <c r="Y68" s="48">
        <f>S68*U$6*W$6</f>
        <v>0</v>
      </c>
      <c r="Z68" s="52" t="s">
        <v>88</v>
      </c>
      <c r="AA68" s="48">
        <f>Y68*C_CO2</f>
        <v>0</v>
      </c>
    </row>
    <row r="70" spans="1:27" ht="13">
      <c r="A70" s="37">
        <f>C70*1000</f>
        <v>0</v>
      </c>
      <c r="B70" s="39">
        <f>B68+1</f>
        <v>2022</v>
      </c>
      <c r="C70" s="158"/>
      <c r="D70" s="51" t="s">
        <v>87</v>
      </c>
      <c r="E70" s="75">
        <f>Control!$F$50</f>
        <v>0</v>
      </c>
      <c r="F70" s="51" t="s">
        <v>87</v>
      </c>
      <c r="G70" s="70">
        <f>Control!$D$106</f>
        <v>1000</v>
      </c>
      <c r="H70" s="51" t="s">
        <v>87</v>
      </c>
      <c r="I70" s="76">
        <f>Control!$F$51</f>
        <v>0</v>
      </c>
      <c r="J70" s="51" t="s">
        <v>87</v>
      </c>
      <c r="K70" s="46">
        <f>Control!$F$53</f>
        <v>0</v>
      </c>
      <c r="L70" s="51" t="s">
        <v>87</v>
      </c>
      <c r="M70" s="56">
        <f>Control!$F$52</f>
        <v>0</v>
      </c>
      <c r="N70" s="52" t="s">
        <v>88</v>
      </c>
      <c r="O70" s="86">
        <f>C70*$E$6*$I$6*$M$6*$K$6*$G$6</f>
        <v>0</v>
      </c>
      <c r="P70" s="51" t="s">
        <v>87</v>
      </c>
      <c r="Q70" s="65">
        <f>Control!$D$107</f>
        <v>9.9999999999999998E-13</v>
      </c>
      <c r="R70" s="52" t="s">
        <v>88</v>
      </c>
      <c r="S70" s="46">
        <f>O70*Q70</f>
        <v>0</v>
      </c>
      <c r="T70" s="51" t="s">
        <v>87</v>
      </c>
      <c r="U70" s="70">
        <f>Control!$D$101</f>
        <v>28</v>
      </c>
      <c r="V70" s="51" t="s">
        <v>87</v>
      </c>
      <c r="W70" s="46">
        <f>Control!$D$100</f>
        <v>0.27272727272727271</v>
      </c>
      <c r="X70" s="52" t="s">
        <v>88</v>
      </c>
      <c r="Y70" s="48">
        <f>S70*U$6*W$6</f>
        <v>0</v>
      </c>
      <c r="Z70" s="52" t="s">
        <v>88</v>
      </c>
      <c r="AA70" s="48">
        <f>Y70*C_CO2</f>
        <v>0</v>
      </c>
    </row>
    <row r="72" spans="1:27" ht="13">
      <c r="A72" s="37">
        <f>C72*1000</f>
        <v>0</v>
      </c>
      <c r="B72" s="39">
        <f>B70+1</f>
        <v>2023</v>
      </c>
      <c r="C72" s="158"/>
      <c r="D72" s="51" t="s">
        <v>87</v>
      </c>
      <c r="E72" s="75">
        <f>Control!$F$50</f>
        <v>0</v>
      </c>
      <c r="F72" s="51" t="s">
        <v>87</v>
      </c>
      <c r="G72" s="70">
        <f>Control!$D$106</f>
        <v>1000</v>
      </c>
      <c r="H72" s="51" t="s">
        <v>87</v>
      </c>
      <c r="I72" s="76">
        <f>Control!$F$51</f>
        <v>0</v>
      </c>
      <c r="J72" s="51" t="s">
        <v>87</v>
      </c>
      <c r="K72" s="46">
        <f>Control!$F$53</f>
        <v>0</v>
      </c>
      <c r="L72" s="51" t="s">
        <v>87</v>
      </c>
      <c r="M72" s="56">
        <f>Control!$F$52</f>
        <v>0</v>
      </c>
      <c r="N72" s="52" t="s">
        <v>88</v>
      </c>
      <c r="O72" s="86">
        <f>C72*$E$6*$I$6*$M$6*$K$6*$G$6</f>
        <v>0</v>
      </c>
      <c r="P72" s="51" t="s">
        <v>87</v>
      </c>
      <c r="Q72" s="65">
        <f>Control!$D$107</f>
        <v>9.9999999999999998E-13</v>
      </c>
      <c r="R72" s="52" t="s">
        <v>88</v>
      </c>
      <c r="S72" s="46">
        <f>O72*Q72</f>
        <v>0</v>
      </c>
      <c r="T72" s="51" t="s">
        <v>87</v>
      </c>
      <c r="U72" s="70">
        <f>Control!$D$101</f>
        <v>28</v>
      </c>
      <c r="V72" s="51" t="s">
        <v>87</v>
      </c>
      <c r="W72" s="46">
        <f>Control!$D$100</f>
        <v>0.27272727272727271</v>
      </c>
      <c r="X72" s="52" t="s">
        <v>88</v>
      </c>
      <c r="Y72" s="48">
        <f>S72*U$6*W$6</f>
        <v>0</v>
      </c>
      <c r="Z72" s="52" t="s">
        <v>88</v>
      </c>
      <c r="AA72" s="48">
        <f>Y72*C_CO2</f>
        <v>0</v>
      </c>
    </row>
    <row r="74" spans="1:27" ht="13">
      <c r="A74" s="37">
        <f>C74*1000</f>
        <v>0</v>
      </c>
      <c r="B74" s="39">
        <f>B72+1</f>
        <v>2024</v>
      </c>
      <c r="C74" s="158"/>
      <c r="D74" s="51" t="s">
        <v>87</v>
      </c>
      <c r="E74" s="75">
        <f>Control!$F$50</f>
        <v>0</v>
      </c>
      <c r="F74" s="51" t="s">
        <v>87</v>
      </c>
      <c r="G74" s="70">
        <f>Control!$D$106</f>
        <v>1000</v>
      </c>
      <c r="H74" s="51" t="s">
        <v>87</v>
      </c>
      <c r="I74" s="76">
        <f>Control!$F$51</f>
        <v>0</v>
      </c>
      <c r="J74" s="51" t="s">
        <v>87</v>
      </c>
      <c r="K74" s="46">
        <f>Control!$F$53</f>
        <v>0</v>
      </c>
      <c r="L74" s="51" t="s">
        <v>87</v>
      </c>
      <c r="M74" s="56">
        <f>Control!$F$52</f>
        <v>0</v>
      </c>
      <c r="N74" s="52" t="s">
        <v>88</v>
      </c>
      <c r="O74" s="86">
        <f>C74*$E$6*$I$6*$M$6*$K$6*$G$6</f>
        <v>0</v>
      </c>
      <c r="P74" s="51" t="s">
        <v>87</v>
      </c>
      <c r="Q74" s="65">
        <f>Control!$D$107</f>
        <v>9.9999999999999998E-13</v>
      </c>
      <c r="R74" s="52" t="s">
        <v>88</v>
      </c>
      <c r="S74" s="46">
        <f>O74*Q74</f>
        <v>0</v>
      </c>
      <c r="T74" s="51" t="s">
        <v>87</v>
      </c>
      <c r="U74" s="70">
        <f>Control!$D$101</f>
        <v>28</v>
      </c>
      <c r="V74" s="51" t="s">
        <v>87</v>
      </c>
      <c r="W74" s="46">
        <f>Control!$D$100</f>
        <v>0.27272727272727271</v>
      </c>
      <c r="X74" s="52" t="s">
        <v>88</v>
      </c>
      <c r="Y74" s="48">
        <f>S74*U$6*W$6</f>
        <v>0</v>
      </c>
      <c r="Z74" s="52" t="s">
        <v>88</v>
      </c>
      <c r="AA74" s="48">
        <f>Y74*C_CO2</f>
        <v>0</v>
      </c>
    </row>
    <row r="76" spans="1:27" ht="13">
      <c r="A76" s="37">
        <f>C76*1000</f>
        <v>0</v>
      </c>
      <c r="B76" s="39">
        <f>B74+1</f>
        <v>2025</v>
      </c>
      <c r="C76" s="158"/>
      <c r="D76" s="51" t="s">
        <v>87</v>
      </c>
      <c r="E76" s="75">
        <f>Control!$F$50</f>
        <v>0</v>
      </c>
      <c r="F76" s="51" t="s">
        <v>87</v>
      </c>
      <c r="G76" s="70">
        <f>Control!$D$106</f>
        <v>1000</v>
      </c>
      <c r="H76" s="51" t="s">
        <v>87</v>
      </c>
      <c r="I76" s="76">
        <f>Control!$F$51</f>
        <v>0</v>
      </c>
      <c r="J76" s="51" t="s">
        <v>87</v>
      </c>
      <c r="K76" s="46">
        <f>Control!$F$53</f>
        <v>0</v>
      </c>
      <c r="L76" s="51" t="s">
        <v>87</v>
      </c>
      <c r="M76" s="56">
        <f>Control!$F$52</f>
        <v>0</v>
      </c>
      <c r="N76" s="52" t="s">
        <v>88</v>
      </c>
      <c r="O76" s="86">
        <f>C76*$E$6*$I$6*$M$6*$K$6*$G$6</f>
        <v>0</v>
      </c>
      <c r="P76" s="51" t="s">
        <v>87</v>
      </c>
      <c r="Q76" s="65">
        <f>Control!$D$107</f>
        <v>9.9999999999999998E-13</v>
      </c>
      <c r="R76" s="52" t="s">
        <v>88</v>
      </c>
      <c r="S76" s="46">
        <f>O76*Q76</f>
        <v>0</v>
      </c>
      <c r="T76" s="51" t="s">
        <v>87</v>
      </c>
      <c r="U76" s="70">
        <f>Control!$D$101</f>
        <v>28</v>
      </c>
      <c r="V76" s="51" t="s">
        <v>87</v>
      </c>
      <c r="W76" s="46">
        <f>Control!$D$100</f>
        <v>0.27272727272727271</v>
      </c>
      <c r="X76" s="52" t="s">
        <v>88</v>
      </c>
      <c r="Y76" s="48">
        <f>S76*U$6*W$6</f>
        <v>0</v>
      </c>
      <c r="Z76" s="52" t="s">
        <v>88</v>
      </c>
      <c r="AA76" s="48">
        <f>Y76*C_CO2</f>
        <v>0</v>
      </c>
    </row>
  </sheetData>
  <sheetProtection algorithmName="SHA-512" hashValue="fzXoVhKn6Jc3TsYKoJmqMkdQvu+jQDTbOQ4qJoVVce5HVgdCrTq1PMq9t7XLtXxYzJAzI8goHQHEJjJhhfZhmQ==" saltValue="dDkEqnvYuOiMMbNUSstp9A==" spinCount="100000" sheet="1" objects="1" scenarios="1"/>
  <mergeCells count="1">
    <mergeCell ref="A2:H2"/>
  </mergeCells>
  <phoneticPr fontId="10" type="noConversion"/>
  <dataValidations xWindow="154" yWindow="344" count="1">
    <dataValidation allowBlank="1" showInputMessage="1" showErrorMessage="1" prompt="There is no default data associated with this sector.  You will need to fill in all required data in order to estimate emissions." sqref="C74 C16 C28 C26 C24 C22 C20 C64 C14 C12 C10 C8 C6 C18 C32 C30 C34 C36 C38 C40 C42 C44 C46 C48 C50 C52 C54 C56 C58 C60 C62 C66 C68 C70 C72 C76" xr:uid="{00000000-0002-0000-0600-000000000000}"/>
  </dataValidations>
  <pageMargins left="0.75" right="0.75" top="1" bottom="1" header="0.5" footer="0.5"/>
  <pageSetup orientation="portrait" horizontalDpi="96" verticalDpi="96"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7f38cb2-3311-4671-91cc-d9fdb7cb0538">
      <UserInfo>
        <DisplayName>Welch, Maris</DisplayName>
        <AccountId>190</AccountId>
        <AccountType/>
      </UserInfo>
      <UserInfo>
        <DisplayName>Carroll, Mollie</DisplayName>
        <AccountId>31</AccountId>
        <AccountType/>
      </UserInfo>
      <UserInfo>
        <DisplayName>O'Malley, Katie</DisplayName>
        <AccountId>28</AccountId>
        <AccountType/>
      </UserInfo>
    </SharedWithUsers>
    <lcf76f155ced4ddcb4097134ff3c332f xmlns="735c679e-a73a-4d40-ac37-586f07e9723a">
      <Terms xmlns="http://schemas.microsoft.com/office/infopath/2007/PartnerControls"/>
    </lcf76f155ced4ddcb4097134ff3c332f>
    <TaxCatchAll xmlns="97f38cb2-3311-4671-91cc-d9fdb7cb053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DD26AA61AEC438713239C5D34F7C5" ma:contentTypeVersion="15" ma:contentTypeDescription="Create a new document." ma:contentTypeScope="" ma:versionID="582d035d28c818f16d8b798f6b56dcaa">
  <xsd:schema xmlns:xsd="http://www.w3.org/2001/XMLSchema" xmlns:xs="http://www.w3.org/2001/XMLSchema" xmlns:p="http://schemas.microsoft.com/office/2006/metadata/properties" xmlns:ns2="735c679e-a73a-4d40-ac37-586f07e9723a" xmlns:ns3="97f38cb2-3311-4671-91cc-d9fdb7cb0538" targetNamespace="http://schemas.microsoft.com/office/2006/metadata/properties" ma:root="true" ma:fieldsID="c580370f8aec69114b257b7edd73763b" ns2:_="" ns3:_="">
    <xsd:import namespace="735c679e-a73a-4d40-ac37-586f07e9723a"/>
    <xsd:import namespace="97f38cb2-3311-4671-91cc-d9fdb7cb05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5c679e-a73a-4d40-ac37-586f07e972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f0ffc36-a9af-4332-beee-56f6503c83c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7f38cb2-3311-4671-91cc-d9fdb7cb053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ef24fd3-334e-4f8c-aba1-200be6807f12}" ma:internalName="TaxCatchAll" ma:showField="CatchAllData" ma:web="97f38cb2-3311-4671-91cc-d9fdb7cb05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2C1F7-0810-4BA5-AC70-263BFFDDBCDB}">
  <ds:schemaRefs>
    <ds:schemaRef ds:uri="http://www.w3.org/XML/1998/namespace"/>
    <ds:schemaRef ds:uri="http://schemas.openxmlformats.org/package/2006/metadata/core-properties"/>
    <ds:schemaRef ds:uri="http://schemas.microsoft.com/office/2006/documentManagement/types"/>
    <ds:schemaRef ds:uri="http://purl.org/dc/terms/"/>
    <ds:schemaRef ds:uri="http://purl.org/dc/dcmitype/"/>
    <ds:schemaRef ds:uri="http://schemas.microsoft.com/office/2006/metadata/properties"/>
    <ds:schemaRef ds:uri="http://purl.org/dc/elements/1.1/"/>
    <ds:schemaRef ds:uri="64617b2b-0ad8-4010-a4b2-d13abb872268"/>
    <ds:schemaRef ds:uri="http://schemas.microsoft.com/office/infopath/2007/PartnerControls"/>
    <ds:schemaRef ds:uri="1b777945-783f-415a-bb23-2237e1c025e4"/>
    <ds:schemaRef ds:uri="27ebbd5e-17f3-45d8-85f3-9dc77b5bf6f5"/>
    <ds:schemaRef ds:uri="305a0028-7312-4fca-a323-09606142e5fe"/>
    <ds:schemaRef ds:uri="fa6a9aea-fb0f-4ddd-aff8-712634b7d5fe"/>
  </ds:schemaRefs>
</ds:datastoreItem>
</file>

<file path=customXml/itemProps2.xml><?xml version="1.0" encoding="utf-8"?>
<ds:datastoreItem xmlns:ds="http://schemas.openxmlformats.org/officeDocument/2006/customXml" ds:itemID="{E986B96C-01F0-483B-AF8F-160EB42D9626}"/>
</file>

<file path=customXml/itemProps3.xml><?xml version="1.0" encoding="utf-8"?>
<ds:datastoreItem xmlns:ds="http://schemas.openxmlformats.org/officeDocument/2006/customXml" ds:itemID="{B85217DE-D608-436C-95C1-3439996EC05C}">
  <ds:schemaRefs>
    <ds:schemaRef ds:uri="http://schemas.microsoft.com/sharepoint/v3/contenttype/forms"/>
  </ds:schemaRefs>
</ds:datastoreItem>
</file>

<file path=docMetadata/LabelInfo.xml><?xml version="1.0" encoding="utf-8"?>
<clbl:labelList xmlns:clbl="http://schemas.microsoft.com/office/2020/mipLabelMetadata">
  <clbl:label id="{cf90b97b-be46-4a00-9700-81ce4ff1b7f6}" enabled="0" method="" siteId="{cf90b97b-be46-4a00-9700-81ce4ff1b7f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Control</vt:lpstr>
      <vt:lpstr>Dataframe</vt:lpstr>
      <vt:lpstr>Dataframe_Sum</vt:lpstr>
      <vt:lpstr>Municipal WW, CH4</vt:lpstr>
      <vt:lpstr>Municipal WW, N2O, direct</vt:lpstr>
      <vt:lpstr>Municipal WW, N2O, effluent</vt:lpstr>
      <vt:lpstr>Ind WW Fruit</vt:lpstr>
      <vt:lpstr>Ind WW Meat</vt:lpstr>
      <vt:lpstr>Ind WW Poultry</vt:lpstr>
      <vt:lpstr>Ind WW P&amp;P</vt:lpstr>
      <vt:lpstr>Summary</vt:lpstr>
      <vt:lpstr>Tracker</vt:lpstr>
      <vt:lpstr>Uncertainty</vt:lpstr>
      <vt:lpstr>Population</vt:lpstr>
      <vt:lpstr>Vegetable Data</vt:lpstr>
      <vt:lpstr>Red Meat Data</vt:lpstr>
      <vt:lpstr>Data Sources</vt:lpstr>
      <vt:lpstr>Lookups</vt:lpstr>
      <vt:lpstr>Notes</vt:lpstr>
      <vt:lpstr>'Data Sources'!_Toc23825263</vt:lpstr>
      <vt:lpstr>'Data Sources'!_Toc23825264</vt:lpstr>
      <vt:lpstr>'Data Sources'!_Toc23825265</vt:lpstr>
      <vt:lpstr>as</vt:lpstr>
      <vt:lpstr>C_CO2</vt:lpstr>
      <vt:lpstr>ControlInput</vt:lpstr>
      <vt:lpstr>ExportData</vt:lpstr>
      <vt:lpstr>MT_Hundredweight</vt:lpstr>
      <vt:lpstr>MT_Lbs</vt:lpstr>
      <vt:lpstr>MT_Ton</vt:lpstr>
      <vt:lpstr>Control!Print_Area</vt:lpstr>
      <vt:lpstr>RedMeatDefault</vt:lpstr>
      <vt:lpstr>RedMeatProduction</vt:lpstr>
      <vt:lpstr>SelectedSheet</vt:lpstr>
      <vt:lpstr>SelectedSheetName</vt:lpstr>
      <vt:lpstr>SelectedState</vt:lpstr>
      <vt:lpstr>SelectedStateAbbr</vt:lpstr>
      <vt:lpstr>SelectedStateID</vt:lpstr>
      <vt:lpstr>StateList</vt:lpstr>
      <vt:lpstr>States</vt:lpstr>
      <vt:lpstr>VegetableProduction</vt:lpstr>
      <vt:lpstr>VersionDate</vt:lpstr>
      <vt:lpstr>VersionNumber</vt:lpstr>
    </vt:vector>
  </TitlesOfParts>
  <Manager/>
  <Company>ICF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ICF Consulting</dc:creator>
  <cp:keywords/>
  <dc:description/>
  <cp:lastModifiedBy>Smith, Kenneth</cp:lastModifiedBy>
  <cp:revision/>
  <cp:lastPrinted>2023-05-02T17:17:13Z</cp:lastPrinted>
  <dcterms:created xsi:type="dcterms:W3CDTF">2002-07-12T16:25:07Z</dcterms:created>
  <dcterms:modified xsi:type="dcterms:W3CDTF">2025-01-14T16:22:26Z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0x010100955DD26AA61AEC438713239C5D34F7C5</vt:lpwstr>
  </property>
  <property fmtid="{D5CDD505-2E9C-101B-9397-08002B2CF9AE}" pid="3" name="MediaServiceImageTags">
    <vt:lpwstr/>
  </property>
</Properties>
</file>