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Egnyte\Shared\Deals Under Consideration\1. Active\Boccella\5. Model\"/>
    </mc:Choice>
  </mc:AlternateContent>
  <bookViews>
    <workbookView xWindow="0" yWindow="0" windowWidth="28800" windowHeight="12450" tabRatio="825" firstSheet="2" activeTab="7"/>
  </bookViews>
  <sheets>
    <sheet name="Cover" sheetId="1" r:id="rId1"/>
    <sheet name="Histroical Financials&gt;&gt;" sheetId="2" r:id="rId2"/>
    <sheet name="Balance Sheet" sheetId="3" r:id="rId3"/>
    <sheet name="Income Statement" sheetId="4" r:id="rId4"/>
    <sheet name="Financial Model&gt;&gt;" sheetId="5" r:id="rId5"/>
    <sheet name="Model" sheetId="6" r:id="rId6"/>
    <sheet name="LBO Returns&gt;&gt;" sheetId="7" r:id="rId7"/>
    <sheet name="Sources &amp; Uses" sheetId="13" r:id="rId8"/>
    <sheet name="Sources &amp; Uses - Presentation" sheetId="24" r:id="rId9"/>
    <sheet name="Carry Value" sheetId="25" r:id="rId10"/>
    <sheet name="Returns Analysis - 5 Year" sheetId="17" r:id="rId11"/>
    <sheet name="Outputs&gt;&gt;" sheetId="9" r:id="rId12"/>
    <sheet name="Returns Summary" sheetId="18" r:id="rId13"/>
    <sheet name="IS Summary" sheetId="10" r:id="rId14"/>
    <sheet name="BS Summary" sheetId="21" r:id="rId15"/>
    <sheet name="P&amp;L" sheetId="23" state="hidden" r:id="rId16"/>
  </sheets>
  <definedNames>
    <definedName name="CIQWBGuid" hidden="1">"3f99f38b-9807-41b0-9f33-13d691c2f489"</definedName>
    <definedName name="Circ">Model!$D$5</definedName>
    <definedName name="Deal_Type">Model!$R$9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41984.9903472222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id_Year">Model!$D$404</definedName>
    <definedName name="_xlnm.Print_Area" localSheetId="14">'BS Summary'!$A$1:$H$32</definedName>
    <definedName name="_xlnm.Print_Area" localSheetId="9">'Carry Value'!$A$1:$K$14</definedName>
    <definedName name="_xlnm.Print_Area" localSheetId="0">Cover!$B$2:$M$40</definedName>
    <definedName name="_xlnm.Print_Area" localSheetId="13">'IS Summary'!$A$1:$P$28</definedName>
    <definedName name="_xlnm.Print_Area" localSheetId="15">'P&amp;L'!$B$4:$E$60</definedName>
    <definedName name="_xlnm.Print_Area" localSheetId="7">'Sources &amp; Uses'!$A$1:$K$16</definedName>
    <definedName name="_xlnm.Print_Area" localSheetId="8">'Sources &amp; Uses - Presentation'!$A$1:$K$14</definedName>
    <definedName name="Tax_Rate">Model!$R$15</definedName>
  </definedNames>
  <calcPr calcId="171027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3" l="1"/>
  <c r="L16" i="18" l="1"/>
  <c r="G16" i="10" l="1"/>
  <c r="F69" i="23" l="1"/>
  <c r="E69" i="23"/>
  <c r="F67" i="23"/>
  <c r="E67" i="23"/>
  <c r="F64" i="23"/>
  <c r="E64" i="23"/>
  <c r="F61" i="23"/>
  <c r="E61" i="23"/>
  <c r="D61" i="23"/>
  <c r="C61" i="23"/>
  <c r="F60" i="23"/>
  <c r="E60" i="23"/>
  <c r="D60" i="23"/>
  <c r="C60" i="23"/>
  <c r="F59" i="23"/>
  <c r="E59" i="23"/>
  <c r="D59" i="23"/>
  <c r="C59" i="23"/>
  <c r="E57" i="23"/>
  <c r="F56" i="23"/>
  <c r="E56" i="23"/>
  <c r="D56" i="23"/>
  <c r="C56" i="23"/>
  <c r="F55" i="23"/>
  <c r="E55" i="23"/>
  <c r="F54" i="23"/>
  <c r="E54" i="23"/>
  <c r="F50" i="23"/>
  <c r="E50" i="23"/>
  <c r="D50" i="23"/>
  <c r="C50" i="23"/>
  <c r="F48" i="23"/>
  <c r="E48" i="23"/>
  <c r="D48" i="23"/>
  <c r="C48" i="23"/>
  <c r="C35" i="23"/>
  <c r="N30" i="23"/>
  <c r="F30" i="23"/>
  <c r="F25" i="23"/>
  <c r="E25" i="23"/>
  <c r="D25" i="23"/>
  <c r="C25" i="23"/>
  <c r="F24" i="23"/>
  <c r="E24" i="23"/>
  <c r="D24" i="23"/>
  <c r="C24" i="23"/>
  <c r="C23" i="21"/>
  <c r="C22" i="21"/>
  <c r="C21" i="21"/>
  <c r="H17" i="21"/>
  <c r="G17" i="21"/>
  <c r="F17" i="21"/>
  <c r="E17" i="21"/>
  <c r="D17" i="21"/>
  <c r="C17" i="21"/>
  <c r="C15" i="21"/>
  <c r="C13" i="21"/>
  <c r="C12" i="21"/>
  <c r="C11" i="21"/>
  <c r="C10" i="21"/>
  <c r="C9" i="21"/>
  <c r="H7" i="21"/>
  <c r="G7" i="21"/>
  <c r="F7" i="21"/>
  <c r="E7" i="21"/>
  <c r="D7" i="21"/>
  <c r="C7" i="21"/>
  <c r="A1" i="21"/>
  <c r="E26" i="10"/>
  <c r="D26" i="10"/>
  <c r="C26" i="10"/>
  <c r="E25" i="10"/>
  <c r="D25" i="10"/>
  <c r="C25" i="10"/>
  <c r="F23" i="10"/>
  <c r="E23" i="10"/>
  <c r="D23" i="10"/>
  <c r="C23" i="10"/>
  <c r="N22" i="10"/>
  <c r="F22" i="10"/>
  <c r="E22" i="10"/>
  <c r="D22" i="10"/>
  <c r="C22" i="10"/>
  <c r="G20" i="10"/>
  <c r="F20" i="10"/>
  <c r="E20" i="10"/>
  <c r="D20" i="10"/>
  <c r="C20" i="10"/>
  <c r="F19" i="10"/>
  <c r="E19" i="10"/>
  <c r="D19" i="10"/>
  <c r="C19" i="10"/>
  <c r="G17" i="10"/>
  <c r="F17" i="10"/>
  <c r="E17" i="10"/>
  <c r="D17" i="10"/>
  <c r="C17" i="10"/>
  <c r="F16" i="10"/>
  <c r="E16" i="10"/>
  <c r="D16" i="10"/>
  <c r="C16" i="10"/>
  <c r="G14" i="10"/>
  <c r="F14" i="10"/>
  <c r="E14" i="10"/>
  <c r="D14" i="10"/>
  <c r="C14" i="10"/>
  <c r="G13" i="10"/>
  <c r="G22" i="10" s="1"/>
  <c r="G23" i="10" s="1"/>
  <c r="F13" i="10"/>
  <c r="E13" i="10"/>
  <c r="D13" i="10"/>
  <c r="C13" i="10"/>
  <c r="F12" i="10"/>
  <c r="E12" i="10"/>
  <c r="D12" i="10"/>
  <c r="C12" i="10"/>
  <c r="G10" i="10"/>
  <c r="F10" i="10"/>
  <c r="E10" i="10"/>
  <c r="D10" i="10"/>
  <c r="N9" i="10"/>
  <c r="F9" i="10"/>
  <c r="E9" i="10"/>
  <c r="D9" i="10"/>
  <c r="C9" i="10"/>
  <c r="P8" i="10"/>
  <c r="N8" i="10"/>
  <c r="L8" i="10"/>
  <c r="K8" i="10"/>
  <c r="J8" i="10"/>
  <c r="I8" i="10"/>
  <c r="H8" i="10"/>
  <c r="F8" i="10"/>
  <c r="E8" i="10"/>
  <c r="D8" i="10"/>
  <c r="C8" i="10"/>
  <c r="L7" i="10"/>
  <c r="K7" i="10"/>
  <c r="J7" i="10"/>
  <c r="I7" i="10"/>
  <c r="H7" i="10"/>
  <c r="F7" i="10"/>
  <c r="E7" i="10"/>
  <c r="D7" i="10"/>
  <c r="C7" i="10"/>
  <c r="N1" i="10"/>
  <c r="A1" i="10"/>
  <c r="G15" i="18"/>
  <c r="C14" i="18"/>
  <c r="G9" i="18"/>
  <c r="C9" i="18"/>
  <c r="G7" i="18"/>
  <c r="C7" i="18"/>
  <c r="A1" i="18"/>
  <c r="G54" i="17"/>
  <c r="G53" i="17"/>
  <c r="G52" i="17"/>
  <c r="G51" i="17"/>
  <c r="G50" i="17"/>
  <c r="M28" i="17"/>
  <c r="L28" i="17"/>
  <c r="K28" i="17"/>
  <c r="J28" i="17"/>
  <c r="I28" i="17"/>
  <c r="D19" i="17"/>
  <c r="M9" i="17"/>
  <c r="L9" i="17"/>
  <c r="K9" i="17"/>
  <c r="J9" i="17"/>
  <c r="M6" i="17"/>
  <c r="L6" i="17"/>
  <c r="K6" i="17"/>
  <c r="J6" i="17"/>
  <c r="I6" i="17"/>
  <c r="A1" i="17"/>
  <c r="M12" i="25"/>
  <c r="H12" i="25"/>
  <c r="M7" i="25"/>
  <c r="A1" i="25"/>
  <c r="M12" i="24"/>
  <c r="H12" i="24"/>
  <c r="M7" i="24"/>
  <c r="A1" i="24"/>
  <c r="M14" i="13"/>
  <c r="H13" i="13"/>
  <c r="M7" i="13"/>
  <c r="A1" i="13"/>
  <c r="D524" i="6"/>
  <c r="R523" i="6"/>
  <c r="R308" i="6" s="1"/>
  <c r="R81" i="6" s="1"/>
  <c r="Q523" i="6"/>
  <c r="Q308" i="6" s="1"/>
  <c r="Q81" i="6" s="1"/>
  <c r="P523" i="6"/>
  <c r="P308" i="6" s="1"/>
  <c r="P81" i="6" s="1"/>
  <c r="O523" i="6"/>
  <c r="O308" i="6" s="1"/>
  <c r="O81" i="6" s="1"/>
  <c r="N523" i="6"/>
  <c r="N308" i="6" s="1"/>
  <c r="N81" i="6" s="1"/>
  <c r="M523" i="6"/>
  <c r="M308" i="6" s="1"/>
  <c r="M81" i="6" s="1"/>
  <c r="L523" i="6"/>
  <c r="L308" i="6" s="1"/>
  <c r="L81" i="6" s="1"/>
  <c r="K523" i="6"/>
  <c r="K308" i="6" s="1"/>
  <c r="K81" i="6" s="1"/>
  <c r="J523" i="6"/>
  <c r="J308" i="6" s="1"/>
  <c r="J81" i="6" s="1"/>
  <c r="I523" i="6"/>
  <c r="I308" i="6" s="1"/>
  <c r="I81" i="6" s="1"/>
  <c r="E523" i="6"/>
  <c r="E521" i="6"/>
  <c r="E520" i="6"/>
  <c r="E519" i="6"/>
  <c r="E516" i="6"/>
  <c r="E515" i="6"/>
  <c r="E514" i="6"/>
  <c r="E511" i="6"/>
  <c r="E510" i="6"/>
  <c r="R509" i="6"/>
  <c r="Q509" i="6"/>
  <c r="P509" i="6"/>
  <c r="O509" i="6"/>
  <c r="N509" i="6"/>
  <c r="E509" i="6"/>
  <c r="R506" i="6"/>
  <c r="Q506" i="6"/>
  <c r="P506" i="6"/>
  <c r="O506" i="6"/>
  <c r="N506" i="6"/>
  <c r="M506" i="6"/>
  <c r="L506" i="6"/>
  <c r="K506" i="6"/>
  <c r="J506" i="6"/>
  <c r="I506" i="6"/>
  <c r="E506" i="6"/>
  <c r="R505" i="6"/>
  <c r="Q505" i="6"/>
  <c r="P505" i="6"/>
  <c r="O505" i="6"/>
  <c r="N505" i="6"/>
  <c r="M505" i="6"/>
  <c r="L505" i="6"/>
  <c r="K505" i="6"/>
  <c r="J505" i="6"/>
  <c r="I505" i="6"/>
  <c r="E505" i="6"/>
  <c r="R504" i="6"/>
  <c r="Q504" i="6"/>
  <c r="P504" i="6"/>
  <c r="O504" i="6"/>
  <c r="N504" i="6"/>
  <c r="M504" i="6"/>
  <c r="L504" i="6"/>
  <c r="K504" i="6"/>
  <c r="J504" i="6"/>
  <c r="I504" i="6"/>
  <c r="E504" i="6"/>
  <c r="R495" i="6"/>
  <c r="Q495" i="6"/>
  <c r="P495" i="6"/>
  <c r="O495" i="6"/>
  <c r="N495" i="6"/>
  <c r="M495" i="6"/>
  <c r="L495" i="6"/>
  <c r="K495" i="6"/>
  <c r="J495" i="6"/>
  <c r="I495" i="6"/>
  <c r="B494" i="6"/>
  <c r="D504" i="6" s="1"/>
  <c r="R479" i="6"/>
  <c r="Q479" i="6"/>
  <c r="P479" i="6"/>
  <c r="O479" i="6"/>
  <c r="N479" i="6"/>
  <c r="M479" i="6"/>
  <c r="L479" i="6"/>
  <c r="K479" i="6"/>
  <c r="J479" i="6"/>
  <c r="I479" i="6"/>
  <c r="R465" i="6"/>
  <c r="Q465" i="6"/>
  <c r="P465" i="6"/>
  <c r="O465" i="6"/>
  <c r="N465" i="6"/>
  <c r="M465" i="6"/>
  <c r="L465" i="6"/>
  <c r="K465" i="6"/>
  <c r="J465" i="6"/>
  <c r="I465" i="6"/>
  <c r="R459" i="6"/>
  <c r="Q459" i="6"/>
  <c r="P459" i="6"/>
  <c r="O459" i="6"/>
  <c r="N459" i="6"/>
  <c r="M459" i="6"/>
  <c r="L459" i="6"/>
  <c r="K459" i="6"/>
  <c r="J459" i="6"/>
  <c r="I459" i="6"/>
  <c r="R454" i="6"/>
  <c r="Q454" i="6"/>
  <c r="P454" i="6"/>
  <c r="O454" i="6"/>
  <c r="N454" i="6"/>
  <c r="M454" i="6"/>
  <c r="L454" i="6"/>
  <c r="K454" i="6"/>
  <c r="J454" i="6"/>
  <c r="I454" i="6"/>
  <c r="AU446" i="6"/>
  <c r="AT446" i="6"/>
  <c r="AS446" i="6"/>
  <c r="AR446" i="6"/>
  <c r="AQ446" i="6"/>
  <c r="AP446" i="6"/>
  <c r="AO446" i="6"/>
  <c r="AN446" i="6"/>
  <c r="AM446" i="6"/>
  <c r="AL446" i="6"/>
  <c r="AK446" i="6"/>
  <c r="AJ446" i="6"/>
  <c r="AI446" i="6"/>
  <c r="AH446" i="6"/>
  <c r="AG446" i="6"/>
  <c r="AF446" i="6"/>
  <c r="AE446" i="6"/>
  <c r="AD446" i="6"/>
  <c r="AC446" i="6"/>
  <c r="AB446" i="6"/>
  <c r="AA446" i="6"/>
  <c r="Z446" i="6"/>
  <c r="Y446" i="6"/>
  <c r="X446" i="6"/>
  <c r="W446" i="6"/>
  <c r="V446" i="6"/>
  <c r="U446" i="6"/>
  <c r="S446" i="6"/>
  <c r="R446" i="6"/>
  <c r="Q446" i="6"/>
  <c r="P446" i="6"/>
  <c r="O446" i="6"/>
  <c r="N446" i="6"/>
  <c r="M446" i="6"/>
  <c r="L446" i="6"/>
  <c r="K446" i="6"/>
  <c r="J446" i="6"/>
  <c r="I446" i="6"/>
  <c r="G440" i="6"/>
  <c r="G439" i="6"/>
  <c r="G438" i="6"/>
  <c r="G437" i="6"/>
  <c r="G436" i="6"/>
  <c r="G435" i="6"/>
  <c r="G434" i="6"/>
  <c r="G433" i="6"/>
  <c r="G432" i="6"/>
  <c r="G431" i="6"/>
  <c r="H430" i="6"/>
  <c r="G430" i="6"/>
  <c r="R427" i="6"/>
  <c r="Q427" i="6"/>
  <c r="P427" i="6"/>
  <c r="O427" i="6"/>
  <c r="N427" i="6"/>
  <c r="M427" i="6"/>
  <c r="L427" i="6"/>
  <c r="K427" i="6"/>
  <c r="J427" i="6"/>
  <c r="I427" i="6"/>
  <c r="F427" i="6"/>
  <c r="R426" i="6"/>
  <c r="Q426" i="6"/>
  <c r="P426" i="6"/>
  <c r="O426" i="6"/>
  <c r="N426" i="6"/>
  <c r="M426" i="6"/>
  <c r="L426" i="6"/>
  <c r="K426" i="6"/>
  <c r="J426" i="6"/>
  <c r="I426" i="6"/>
  <c r="F426" i="6"/>
  <c r="R422" i="6"/>
  <c r="Q422" i="6"/>
  <c r="P422" i="6"/>
  <c r="O422" i="6"/>
  <c r="N422" i="6"/>
  <c r="M422" i="6"/>
  <c r="L422" i="6"/>
  <c r="K422" i="6"/>
  <c r="J422" i="6"/>
  <c r="I422" i="6"/>
  <c r="F422" i="6"/>
  <c r="G418" i="6"/>
  <c r="G417" i="6"/>
  <c r="G416" i="6"/>
  <c r="G415" i="6"/>
  <c r="G414" i="6"/>
  <c r="G413" i="6"/>
  <c r="G412" i="6"/>
  <c r="G411" i="6"/>
  <c r="G410" i="6"/>
  <c r="G409" i="6"/>
  <c r="R406" i="6"/>
  <c r="Q406" i="6"/>
  <c r="P406" i="6"/>
  <c r="O406" i="6"/>
  <c r="N406" i="6"/>
  <c r="M406" i="6"/>
  <c r="L406" i="6"/>
  <c r="K406" i="6"/>
  <c r="J406" i="6"/>
  <c r="I406" i="6"/>
  <c r="F406" i="6"/>
  <c r="R405" i="6"/>
  <c r="Q405" i="6"/>
  <c r="P405" i="6"/>
  <c r="O405" i="6"/>
  <c r="N405" i="6"/>
  <c r="M405" i="6"/>
  <c r="L405" i="6"/>
  <c r="K405" i="6"/>
  <c r="J405" i="6"/>
  <c r="I396" i="6"/>
  <c r="R394" i="6"/>
  <c r="Q394" i="6"/>
  <c r="P394" i="6"/>
  <c r="O394" i="6"/>
  <c r="N394" i="6"/>
  <c r="M394" i="6"/>
  <c r="L394" i="6"/>
  <c r="K394" i="6"/>
  <c r="J394" i="6"/>
  <c r="I394" i="6"/>
  <c r="R386" i="6"/>
  <c r="Q386" i="6"/>
  <c r="P386" i="6"/>
  <c r="O386" i="6"/>
  <c r="N386" i="6"/>
  <c r="M386" i="6"/>
  <c r="L386" i="6"/>
  <c r="K386" i="6"/>
  <c r="J386" i="6"/>
  <c r="I386" i="6"/>
  <c r="R381" i="6"/>
  <c r="Q381" i="6"/>
  <c r="P381" i="6"/>
  <c r="O381" i="6"/>
  <c r="N381" i="6"/>
  <c r="M381" i="6"/>
  <c r="L381" i="6"/>
  <c r="K381" i="6"/>
  <c r="J381" i="6"/>
  <c r="I370" i="6"/>
  <c r="R339" i="6"/>
  <c r="Q339" i="6"/>
  <c r="P339" i="6"/>
  <c r="O339" i="6"/>
  <c r="N339" i="6"/>
  <c r="M339" i="6"/>
  <c r="L339" i="6"/>
  <c r="K339" i="6"/>
  <c r="J339" i="6"/>
  <c r="I339" i="6"/>
  <c r="R317" i="6"/>
  <c r="Q317" i="6"/>
  <c r="P317" i="6"/>
  <c r="O317" i="6"/>
  <c r="N317" i="6"/>
  <c r="M317" i="6"/>
  <c r="L317" i="6"/>
  <c r="K317" i="6"/>
  <c r="J317" i="6"/>
  <c r="I317" i="6"/>
  <c r="R316" i="6"/>
  <c r="Q316" i="6"/>
  <c r="P316" i="6"/>
  <c r="O316" i="6"/>
  <c r="N316" i="6"/>
  <c r="M316" i="6"/>
  <c r="L316" i="6"/>
  <c r="K316" i="6"/>
  <c r="J316" i="6"/>
  <c r="R305" i="6"/>
  <c r="Q305" i="6"/>
  <c r="P305" i="6"/>
  <c r="O305" i="6"/>
  <c r="N305" i="6"/>
  <c r="M305" i="6"/>
  <c r="L305" i="6"/>
  <c r="K305" i="6"/>
  <c r="J305" i="6"/>
  <c r="R288" i="6"/>
  <c r="Q288" i="6"/>
  <c r="P288" i="6"/>
  <c r="O288" i="6"/>
  <c r="N288" i="6"/>
  <c r="M288" i="6"/>
  <c r="L288" i="6"/>
  <c r="K288" i="6"/>
  <c r="J288" i="6"/>
  <c r="I288" i="6"/>
  <c r="R286" i="6"/>
  <c r="Q286" i="6"/>
  <c r="P286" i="6"/>
  <c r="O286" i="6"/>
  <c r="N286" i="6"/>
  <c r="M286" i="6"/>
  <c r="L286" i="6"/>
  <c r="K286" i="6"/>
  <c r="J286" i="6"/>
  <c r="I286" i="6"/>
  <c r="I285" i="6"/>
  <c r="R282" i="6"/>
  <c r="Q282" i="6"/>
  <c r="P282" i="6"/>
  <c r="O282" i="6"/>
  <c r="N282" i="6"/>
  <c r="M282" i="6"/>
  <c r="L282" i="6"/>
  <c r="K282" i="6"/>
  <c r="J282" i="6"/>
  <c r="I282" i="6"/>
  <c r="I275" i="6"/>
  <c r="R245" i="6"/>
  <c r="Q245" i="6"/>
  <c r="P245" i="6"/>
  <c r="O245" i="6"/>
  <c r="N245" i="6"/>
  <c r="M245" i="6"/>
  <c r="L245" i="6"/>
  <c r="K245" i="6"/>
  <c r="J245" i="6"/>
  <c r="I245" i="6"/>
  <c r="R244" i="6"/>
  <c r="Q244" i="6"/>
  <c r="P244" i="6"/>
  <c r="O244" i="6"/>
  <c r="N244" i="6"/>
  <c r="M244" i="6"/>
  <c r="L244" i="6"/>
  <c r="K244" i="6"/>
  <c r="J244" i="6"/>
  <c r="I244" i="6"/>
  <c r="R242" i="6"/>
  <c r="Q242" i="6"/>
  <c r="P242" i="6"/>
  <c r="O242" i="6"/>
  <c r="N242" i="6"/>
  <c r="M242" i="6"/>
  <c r="L242" i="6"/>
  <c r="K242" i="6"/>
  <c r="J242" i="6"/>
  <c r="I242" i="6"/>
  <c r="R238" i="6"/>
  <c r="Q238" i="6"/>
  <c r="P238" i="6"/>
  <c r="O238" i="6"/>
  <c r="N238" i="6"/>
  <c r="M238" i="6"/>
  <c r="L238" i="6"/>
  <c r="K238" i="6"/>
  <c r="J238" i="6"/>
  <c r="I238" i="6"/>
  <c r="R233" i="6"/>
  <c r="Q233" i="6"/>
  <c r="P233" i="6"/>
  <c r="O233" i="6"/>
  <c r="N233" i="6"/>
  <c r="M233" i="6"/>
  <c r="L233" i="6"/>
  <c r="K233" i="6"/>
  <c r="J233" i="6"/>
  <c r="I233" i="6"/>
  <c r="H233" i="6"/>
  <c r="R231" i="6"/>
  <c r="Q231" i="6"/>
  <c r="P231" i="6"/>
  <c r="O231" i="6"/>
  <c r="N231" i="6"/>
  <c r="M231" i="6"/>
  <c r="L231" i="6"/>
  <c r="K231" i="6"/>
  <c r="J231" i="6"/>
  <c r="I231" i="6"/>
  <c r="G231" i="6"/>
  <c r="R230" i="6"/>
  <c r="Q230" i="6"/>
  <c r="P230" i="6"/>
  <c r="O230" i="6"/>
  <c r="N230" i="6"/>
  <c r="M230" i="6"/>
  <c r="L230" i="6"/>
  <c r="K230" i="6"/>
  <c r="J230" i="6"/>
  <c r="G230" i="6"/>
  <c r="R229" i="6"/>
  <c r="Q229" i="6"/>
  <c r="P229" i="6"/>
  <c r="O229" i="6"/>
  <c r="N229" i="6"/>
  <c r="M229" i="6"/>
  <c r="L229" i="6"/>
  <c r="K229" i="6"/>
  <c r="J229" i="6"/>
  <c r="I229" i="6"/>
  <c r="G229" i="6"/>
  <c r="G228" i="6"/>
  <c r="R227" i="6"/>
  <c r="Q227" i="6"/>
  <c r="P227" i="6"/>
  <c r="O227" i="6"/>
  <c r="N227" i="6"/>
  <c r="M227" i="6"/>
  <c r="L227" i="6"/>
  <c r="K227" i="6"/>
  <c r="J227" i="6"/>
  <c r="G227" i="6"/>
  <c r="R226" i="6"/>
  <c r="Q226" i="6"/>
  <c r="P226" i="6"/>
  <c r="O226" i="6"/>
  <c r="N226" i="6"/>
  <c r="M226" i="6"/>
  <c r="L226" i="6"/>
  <c r="K226" i="6"/>
  <c r="J226" i="6"/>
  <c r="G226" i="6"/>
  <c r="G224" i="6"/>
  <c r="G223" i="6"/>
  <c r="G221" i="6"/>
  <c r="G220" i="6"/>
  <c r="G219" i="6"/>
  <c r="G218" i="6"/>
  <c r="G217" i="6"/>
  <c r="G215" i="6"/>
  <c r="G214" i="6"/>
  <c r="R212" i="6"/>
  <c r="Q212" i="6"/>
  <c r="P212" i="6"/>
  <c r="O212" i="6"/>
  <c r="N212" i="6"/>
  <c r="M212" i="6"/>
  <c r="L212" i="6"/>
  <c r="K212" i="6"/>
  <c r="J212" i="6"/>
  <c r="I212" i="6"/>
  <c r="H212" i="6"/>
  <c r="G212" i="6"/>
  <c r="G208" i="6"/>
  <c r="F208" i="6"/>
  <c r="G207" i="6"/>
  <c r="F207" i="6"/>
  <c r="G206" i="6"/>
  <c r="F206" i="6"/>
  <c r="G205" i="6"/>
  <c r="F205" i="6"/>
  <c r="G203" i="6"/>
  <c r="F203" i="6"/>
  <c r="R202" i="6"/>
  <c r="Q202" i="6"/>
  <c r="P202" i="6"/>
  <c r="O202" i="6"/>
  <c r="N202" i="6"/>
  <c r="M202" i="6"/>
  <c r="L202" i="6"/>
  <c r="K202" i="6"/>
  <c r="J202" i="6"/>
  <c r="I202" i="6"/>
  <c r="H202" i="6"/>
  <c r="G202" i="6"/>
  <c r="R201" i="6"/>
  <c r="Q201" i="6"/>
  <c r="P201" i="6"/>
  <c r="O201" i="6"/>
  <c r="N201" i="6"/>
  <c r="M201" i="6"/>
  <c r="L201" i="6"/>
  <c r="K201" i="6"/>
  <c r="J201" i="6"/>
  <c r="I201" i="6"/>
  <c r="H201" i="6"/>
  <c r="G199" i="6"/>
  <c r="F199" i="6"/>
  <c r="G197" i="6"/>
  <c r="F197" i="6"/>
  <c r="H193" i="6"/>
  <c r="G193" i="6"/>
  <c r="F193" i="6"/>
  <c r="H192" i="6"/>
  <c r="G192" i="6"/>
  <c r="F192" i="6"/>
  <c r="H191" i="6"/>
  <c r="G191" i="6"/>
  <c r="F191" i="6"/>
  <c r="G187" i="6"/>
  <c r="F187" i="6"/>
  <c r="R185" i="6"/>
  <c r="Q185" i="6"/>
  <c r="P185" i="6"/>
  <c r="O185" i="6"/>
  <c r="N185" i="6"/>
  <c r="M185" i="6"/>
  <c r="L185" i="6"/>
  <c r="K185" i="6"/>
  <c r="J185" i="6"/>
  <c r="I185" i="6"/>
  <c r="H185" i="6"/>
  <c r="G185" i="6"/>
  <c r="F185" i="6"/>
  <c r="R184" i="6"/>
  <c r="Q184" i="6"/>
  <c r="P184" i="6"/>
  <c r="O184" i="6"/>
  <c r="N184" i="6"/>
  <c r="M184" i="6"/>
  <c r="L184" i="6"/>
  <c r="K184" i="6"/>
  <c r="J184" i="6"/>
  <c r="I184" i="6"/>
  <c r="H184" i="6"/>
  <c r="H182" i="6"/>
  <c r="G182" i="6"/>
  <c r="F182" i="6"/>
  <c r="H180" i="6"/>
  <c r="G180" i="6"/>
  <c r="F180" i="6"/>
  <c r="H179" i="6"/>
  <c r="G179" i="6"/>
  <c r="F179" i="6"/>
  <c r="H178" i="6"/>
  <c r="G178" i="6"/>
  <c r="F178" i="6"/>
  <c r="H177" i="6"/>
  <c r="G177" i="6"/>
  <c r="F177" i="6"/>
  <c r="H176" i="6"/>
  <c r="G176" i="6"/>
  <c r="F176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G156" i="6"/>
  <c r="F156" i="6"/>
  <c r="G154" i="6"/>
  <c r="F154" i="6"/>
  <c r="G153" i="6"/>
  <c r="F153" i="6"/>
  <c r="G151" i="6"/>
  <c r="F151" i="6"/>
  <c r="R150" i="6"/>
  <c r="Q150" i="6"/>
  <c r="P150" i="6"/>
  <c r="O150" i="6"/>
  <c r="N150" i="6"/>
  <c r="M150" i="6"/>
  <c r="L150" i="6"/>
  <c r="K150" i="6"/>
  <c r="J150" i="6"/>
  <c r="I150" i="6"/>
  <c r="G147" i="6"/>
  <c r="F147" i="6"/>
  <c r="G145" i="6"/>
  <c r="F145" i="6"/>
  <c r="G142" i="6"/>
  <c r="F142" i="6"/>
  <c r="G141" i="6"/>
  <c r="F141" i="6"/>
  <c r="G140" i="6"/>
  <c r="F140" i="6"/>
  <c r="G138" i="6"/>
  <c r="F138" i="6"/>
  <c r="G137" i="6"/>
  <c r="F137" i="6"/>
  <c r="G136" i="6"/>
  <c r="F136" i="6"/>
  <c r="R134" i="6"/>
  <c r="Q134" i="6"/>
  <c r="P134" i="6"/>
  <c r="O134" i="6"/>
  <c r="N134" i="6"/>
  <c r="M134" i="6"/>
  <c r="L134" i="6"/>
  <c r="K134" i="6"/>
  <c r="J134" i="6"/>
  <c r="I134" i="6"/>
  <c r="G134" i="6"/>
  <c r="F134" i="6"/>
  <c r="G129" i="6"/>
  <c r="G128" i="6"/>
  <c r="G127" i="6"/>
  <c r="H126" i="6"/>
  <c r="G126" i="6"/>
  <c r="G124" i="6"/>
  <c r="J123" i="6"/>
  <c r="G123" i="6"/>
  <c r="J122" i="6"/>
  <c r="G122" i="6"/>
  <c r="G120" i="6"/>
  <c r="G119" i="6"/>
  <c r="H118" i="6"/>
  <c r="G118" i="6"/>
  <c r="G117" i="6"/>
  <c r="J114" i="6"/>
  <c r="G114" i="6"/>
  <c r="J113" i="6"/>
  <c r="G113" i="6"/>
  <c r="J112" i="6"/>
  <c r="G112" i="6"/>
  <c r="G108" i="6"/>
  <c r="S107" i="6"/>
  <c r="G107" i="6"/>
  <c r="J106" i="6"/>
  <c r="G106" i="6"/>
  <c r="J105" i="6"/>
  <c r="G105" i="6"/>
  <c r="G104" i="6"/>
  <c r="J103" i="6"/>
  <c r="H103" i="6"/>
  <c r="G103" i="6"/>
  <c r="J101" i="6"/>
  <c r="G101" i="6"/>
  <c r="J100" i="6"/>
  <c r="G100" i="6"/>
  <c r="J99" i="6"/>
  <c r="H99" i="6"/>
  <c r="G99" i="6"/>
  <c r="J98" i="6"/>
  <c r="G98" i="6"/>
  <c r="J97" i="6"/>
  <c r="I97" i="6"/>
  <c r="G97" i="6"/>
  <c r="J93" i="6"/>
  <c r="G93" i="6"/>
  <c r="H72" i="6"/>
  <c r="H70" i="6"/>
  <c r="R66" i="6"/>
  <c r="Q66" i="6"/>
  <c r="P66" i="6"/>
  <c r="O66" i="6"/>
  <c r="N66" i="6"/>
  <c r="M66" i="6"/>
  <c r="L66" i="6"/>
  <c r="K66" i="6"/>
  <c r="J66" i="6"/>
  <c r="I66" i="6"/>
  <c r="R63" i="6"/>
  <c r="Q63" i="6"/>
  <c r="P63" i="6"/>
  <c r="O63" i="6"/>
  <c r="N63" i="6"/>
  <c r="M63" i="6"/>
  <c r="L63" i="6"/>
  <c r="K63" i="6"/>
  <c r="J63" i="6"/>
  <c r="I63" i="6"/>
  <c r="H63" i="6"/>
  <c r="R62" i="6"/>
  <c r="Q62" i="6"/>
  <c r="P62" i="6"/>
  <c r="O62" i="6"/>
  <c r="N62" i="6"/>
  <c r="M62" i="6"/>
  <c r="L62" i="6"/>
  <c r="K62" i="6"/>
  <c r="J62" i="6"/>
  <c r="I62" i="6"/>
  <c r="H62" i="6"/>
  <c r="G62" i="6"/>
  <c r="K56" i="6"/>
  <c r="I341" i="6" s="1"/>
  <c r="K55" i="6"/>
  <c r="K54" i="6"/>
  <c r="I374" i="6" s="1"/>
  <c r="J374" i="6" s="1"/>
  <c r="K374" i="6" s="1"/>
  <c r="L374" i="6" s="1"/>
  <c r="M374" i="6" s="1"/>
  <c r="N374" i="6" s="1"/>
  <c r="O374" i="6" s="1"/>
  <c r="P374" i="6" s="1"/>
  <c r="Q374" i="6" s="1"/>
  <c r="R374" i="6" s="1"/>
  <c r="K51" i="6"/>
  <c r="K50" i="6"/>
  <c r="K49" i="6"/>
  <c r="D27" i="17" s="1"/>
  <c r="K48" i="6"/>
  <c r="F48" i="6"/>
  <c r="K47" i="6"/>
  <c r="F47" i="6"/>
  <c r="F46" i="6"/>
  <c r="K44" i="6"/>
  <c r="K43" i="6"/>
  <c r="K42" i="6"/>
  <c r="I352" i="6" s="1"/>
  <c r="F41" i="6"/>
  <c r="F40" i="6"/>
  <c r="K39" i="6"/>
  <c r="K38" i="6"/>
  <c r="K37" i="6"/>
  <c r="I350" i="6" s="1"/>
  <c r="J350" i="6" s="1"/>
  <c r="K350" i="6" s="1"/>
  <c r="L350" i="6" s="1"/>
  <c r="M350" i="6" s="1"/>
  <c r="N350" i="6" s="1"/>
  <c r="O350" i="6" s="1"/>
  <c r="P350" i="6" s="1"/>
  <c r="Q350" i="6" s="1"/>
  <c r="R350" i="6" s="1"/>
  <c r="F37" i="6"/>
  <c r="F36" i="6"/>
  <c r="F35" i="6"/>
  <c r="K34" i="6"/>
  <c r="F9" i="13" s="1"/>
  <c r="F34" i="6"/>
  <c r="K33" i="6"/>
  <c r="K32" i="6"/>
  <c r="P30" i="6"/>
  <c r="K29" i="6"/>
  <c r="P28" i="6"/>
  <c r="K28" i="6"/>
  <c r="K27" i="6"/>
  <c r="K26" i="6"/>
  <c r="N23" i="6"/>
  <c r="M23" i="6"/>
  <c r="L23" i="6"/>
  <c r="K23" i="6"/>
  <c r="R28" i="6" s="1"/>
  <c r="K22" i="6"/>
  <c r="K21" i="6"/>
  <c r="R20" i="6"/>
  <c r="K16" i="6"/>
  <c r="K15" i="6"/>
  <c r="D21" i="6" s="1"/>
  <c r="K14" i="6"/>
  <c r="D20" i="6" s="1"/>
  <c r="E20" i="6" s="1"/>
  <c r="N11" i="6"/>
  <c r="M11" i="6"/>
  <c r="L11" i="6"/>
  <c r="K11" i="6"/>
  <c r="K10" i="6"/>
  <c r="R22" i="6" s="1"/>
  <c r="F8" i="6" s="1"/>
  <c r="A1" i="6"/>
  <c r="G32" i="4"/>
  <c r="F32" i="4"/>
  <c r="E32" i="4"/>
  <c r="D32" i="4"/>
  <c r="C32" i="4"/>
  <c r="G31" i="4"/>
  <c r="F31" i="4"/>
  <c r="E31" i="4"/>
  <c r="D31" i="4"/>
  <c r="C31" i="4"/>
  <c r="G29" i="4"/>
  <c r="F29" i="4"/>
  <c r="E29" i="4"/>
  <c r="D29" i="4"/>
  <c r="G28" i="4"/>
  <c r="D28" i="4"/>
  <c r="G25" i="4"/>
  <c r="F25" i="4"/>
  <c r="E25" i="4"/>
  <c r="D25" i="4"/>
  <c r="C25" i="4"/>
  <c r="G23" i="4"/>
  <c r="F23" i="4"/>
  <c r="E23" i="4"/>
  <c r="D23" i="4"/>
  <c r="C23" i="4"/>
  <c r="G19" i="4"/>
  <c r="F19" i="4"/>
  <c r="E19" i="4"/>
  <c r="D19" i="4"/>
  <c r="C19" i="4"/>
  <c r="G18" i="4"/>
  <c r="F18" i="4"/>
  <c r="E18" i="4"/>
  <c r="D18" i="4"/>
  <c r="C18" i="4"/>
  <c r="G16" i="4"/>
  <c r="F16" i="4"/>
  <c r="E16" i="4"/>
  <c r="D16" i="4"/>
  <c r="C16" i="4"/>
  <c r="G15" i="4"/>
  <c r="E15" i="4"/>
  <c r="D15" i="4"/>
  <c r="G13" i="4"/>
  <c r="F13" i="4"/>
  <c r="E13" i="4"/>
  <c r="D13" i="4"/>
  <c r="C13" i="4"/>
  <c r="G12" i="4"/>
  <c r="F12" i="4"/>
  <c r="E12" i="4"/>
  <c r="D12" i="4"/>
  <c r="C12" i="4"/>
  <c r="G10" i="4"/>
  <c r="F10" i="4"/>
  <c r="E10" i="4"/>
  <c r="D10" i="4"/>
  <c r="G8" i="4"/>
  <c r="F8" i="4"/>
  <c r="E8" i="4"/>
  <c r="D8" i="4"/>
  <c r="F7" i="4"/>
  <c r="E7" i="4"/>
  <c r="D7" i="4"/>
  <c r="C7" i="4"/>
  <c r="C6" i="4"/>
  <c r="A1" i="4"/>
  <c r="H51" i="3"/>
  <c r="F51" i="3"/>
  <c r="E51" i="3"/>
  <c r="D51" i="3"/>
  <c r="C51" i="3"/>
  <c r="H50" i="3"/>
  <c r="F50" i="3"/>
  <c r="E50" i="3"/>
  <c r="D50" i="3"/>
  <c r="C50" i="3"/>
  <c r="H49" i="3"/>
  <c r="F49" i="3"/>
  <c r="E49" i="3"/>
  <c r="D49" i="3"/>
  <c r="C49" i="3"/>
  <c r="H48" i="3"/>
  <c r="F48" i="3"/>
  <c r="E48" i="3"/>
  <c r="D48" i="3"/>
  <c r="C48" i="3"/>
  <c r="H47" i="3"/>
  <c r="F47" i="3"/>
  <c r="E47" i="3"/>
  <c r="D47" i="3"/>
  <c r="C47" i="3"/>
  <c r="H44" i="3"/>
  <c r="F44" i="3"/>
  <c r="E44" i="3"/>
  <c r="D44" i="3"/>
  <c r="C44" i="3"/>
  <c r="H43" i="3"/>
  <c r="F43" i="3"/>
  <c r="E43" i="3"/>
  <c r="D43" i="3"/>
  <c r="C43" i="3"/>
  <c r="H40" i="3"/>
  <c r="F40" i="3"/>
  <c r="E40" i="3"/>
  <c r="D40" i="3"/>
  <c r="C40" i="3"/>
  <c r="H39" i="3"/>
  <c r="F39" i="3"/>
  <c r="E39" i="3"/>
  <c r="D39" i="3"/>
  <c r="C39" i="3"/>
  <c r="H37" i="3"/>
  <c r="H29" i="3"/>
  <c r="F29" i="3"/>
  <c r="E29" i="3"/>
  <c r="D29" i="3"/>
  <c r="C29" i="3"/>
  <c r="H28" i="3"/>
  <c r="F28" i="3"/>
  <c r="E28" i="3"/>
  <c r="D28" i="3"/>
  <c r="H27" i="3"/>
  <c r="H24" i="3"/>
  <c r="F24" i="3"/>
  <c r="E24" i="3"/>
  <c r="D24" i="3"/>
  <c r="C24" i="3"/>
  <c r="H22" i="3"/>
  <c r="F22" i="3"/>
  <c r="E22" i="3"/>
  <c r="D22" i="3"/>
  <c r="C22" i="3"/>
  <c r="H21" i="3"/>
  <c r="H18" i="3"/>
  <c r="H17" i="3"/>
  <c r="H16" i="3"/>
  <c r="H13" i="3"/>
  <c r="F13" i="3"/>
  <c r="E13" i="3"/>
  <c r="D13" i="3"/>
  <c r="C13" i="3"/>
  <c r="H12" i="3"/>
  <c r="H11" i="3"/>
  <c r="H10" i="3"/>
  <c r="F9" i="3"/>
  <c r="E7" i="3"/>
  <c r="D7" i="3"/>
  <c r="A1" i="3"/>
  <c r="B21" i="1"/>
  <c r="O503" i="6" l="1"/>
  <c r="O160" i="6" s="1"/>
  <c r="K503" i="6"/>
  <c r="K160" i="6" s="1"/>
  <c r="R503" i="6"/>
  <c r="R160" i="6" s="1"/>
  <c r="N503" i="6"/>
  <c r="N160" i="6" s="1"/>
  <c r="J503" i="6"/>
  <c r="J160" i="6" s="1"/>
  <c r="Q503" i="6"/>
  <c r="Q160" i="6" s="1"/>
  <c r="M503" i="6"/>
  <c r="M160" i="6" s="1"/>
  <c r="I503" i="6"/>
  <c r="I160" i="6" s="1"/>
  <c r="P503" i="6"/>
  <c r="P160" i="6" s="1"/>
  <c r="L503" i="6"/>
  <c r="L160" i="6" s="1"/>
  <c r="E503" i="6"/>
  <c r="D509" i="6"/>
  <c r="D514" i="6"/>
  <c r="D519" i="6"/>
  <c r="D499" i="6"/>
  <c r="F11" i="6"/>
  <c r="F9" i="6"/>
  <c r="D22" i="6"/>
  <c r="F10" i="6"/>
  <c r="C9" i="13"/>
  <c r="D9" i="13" s="1"/>
  <c r="E21" i="6"/>
  <c r="I118" i="6"/>
  <c r="J118" i="6" s="1"/>
  <c r="H197" i="6" s="1"/>
  <c r="C26" i="21" s="1"/>
  <c r="F33" i="6"/>
  <c r="F38" i="6" s="1"/>
  <c r="F42" i="6" s="1"/>
  <c r="D18" i="17"/>
  <c r="R30" i="6"/>
  <c r="I353" i="6"/>
  <c r="F327" i="6"/>
  <c r="J341" i="6"/>
  <c r="E9" i="13"/>
  <c r="I345" i="6"/>
  <c r="J345" i="6" s="1"/>
  <c r="K345" i="6" s="1"/>
  <c r="L345" i="6" s="1"/>
  <c r="M345" i="6" s="1"/>
  <c r="N345" i="6" s="1"/>
  <c r="O345" i="6" s="1"/>
  <c r="P345" i="6" s="1"/>
  <c r="Q345" i="6" s="1"/>
  <c r="R345" i="6" s="1"/>
  <c r="C8" i="13"/>
  <c r="I117" i="6"/>
  <c r="J117" i="6" s="1"/>
  <c r="R21" i="6"/>
  <c r="F12" i="6"/>
  <c r="F318" i="6"/>
  <c r="I351" i="6"/>
  <c r="J351" i="6" s="1"/>
  <c r="K351" i="6" s="1"/>
  <c r="L351" i="6" s="1"/>
  <c r="M351" i="6" s="1"/>
  <c r="N351" i="6" s="1"/>
  <c r="O351" i="6" s="1"/>
  <c r="P351" i="6" s="1"/>
  <c r="Q351" i="6" s="1"/>
  <c r="R351" i="6" s="1"/>
  <c r="E8" i="13"/>
  <c r="I344" i="6"/>
  <c r="I362" i="6"/>
  <c r="I272" i="6" s="1"/>
  <c r="J352" i="6"/>
  <c r="K352" i="6" s="1"/>
  <c r="L352" i="6" s="1"/>
  <c r="M352" i="6" s="1"/>
  <c r="N352" i="6" s="1"/>
  <c r="O352" i="6" s="1"/>
  <c r="P352" i="6" s="1"/>
  <c r="Q352" i="6" s="1"/>
  <c r="R352" i="6" s="1"/>
  <c r="G26" i="10"/>
  <c r="I119" i="6" l="1"/>
  <c r="J119" i="6" s="1"/>
  <c r="H198" i="6" s="1"/>
  <c r="C27" i="21" s="1"/>
  <c r="C8" i="24"/>
  <c r="D8" i="24" s="1"/>
  <c r="I304" i="6"/>
  <c r="I306" i="6" s="1"/>
  <c r="I287" i="6" s="1"/>
  <c r="R508" i="6"/>
  <c r="R162" i="6" s="1"/>
  <c r="N508" i="6"/>
  <c r="N162" i="6" s="1"/>
  <c r="J508" i="6"/>
  <c r="J162" i="6" s="1"/>
  <c r="Q508" i="6"/>
  <c r="Q162" i="6" s="1"/>
  <c r="M508" i="6"/>
  <c r="M162" i="6" s="1"/>
  <c r="I508" i="6"/>
  <c r="I162" i="6" s="1"/>
  <c r="P508" i="6"/>
  <c r="P162" i="6" s="1"/>
  <c r="L508" i="6"/>
  <c r="L162" i="6" s="1"/>
  <c r="E508" i="6"/>
  <c r="O508" i="6"/>
  <c r="O162" i="6" s="1"/>
  <c r="K508" i="6"/>
  <c r="K162" i="6" s="1"/>
  <c r="O498" i="6"/>
  <c r="O159" i="6" s="1"/>
  <c r="K498" i="6"/>
  <c r="K159" i="6" s="1"/>
  <c r="R498" i="6"/>
  <c r="R159" i="6" s="1"/>
  <c r="N498" i="6"/>
  <c r="N159" i="6" s="1"/>
  <c r="J498" i="6"/>
  <c r="J159" i="6" s="1"/>
  <c r="Q498" i="6"/>
  <c r="Q159" i="6" s="1"/>
  <c r="M498" i="6"/>
  <c r="M159" i="6" s="1"/>
  <c r="I498" i="6"/>
  <c r="I159" i="6" s="1"/>
  <c r="I136" i="6" s="1"/>
  <c r="P498" i="6"/>
  <c r="P159" i="6" s="1"/>
  <c r="L498" i="6"/>
  <c r="L159" i="6" s="1"/>
  <c r="E498" i="6"/>
  <c r="R5" i="6" s="1"/>
  <c r="I518" i="6"/>
  <c r="E518" i="6"/>
  <c r="R513" i="6"/>
  <c r="R398" i="6" s="1"/>
  <c r="N513" i="6"/>
  <c r="N398" i="6" s="1"/>
  <c r="J513" i="6"/>
  <c r="J398" i="6" s="1"/>
  <c r="Q513" i="6"/>
  <c r="Q398" i="6" s="1"/>
  <c r="M513" i="6"/>
  <c r="M398" i="6" s="1"/>
  <c r="I513" i="6"/>
  <c r="I398" i="6" s="1"/>
  <c r="P513" i="6"/>
  <c r="P398" i="6" s="1"/>
  <c r="L513" i="6"/>
  <c r="L398" i="6" s="1"/>
  <c r="E513" i="6"/>
  <c r="O513" i="6"/>
  <c r="O398" i="6" s="1"/>
  <c r="K513" i="6"/>
  <c r="K398" i="6" s="1"/>
  <c r="D23" i="6"/>
  <c r="H107" i="6"/>
  <c r="J107" i="6" s="1"/>
  <c r="H186" i="6" s="1"/>
  <c r="C18" i="21" s="1"/>
  <c r="C10" i="13"/>
  <c r="D10" i="13" s="1"/>
  <c r="E22" i="6"/>
  <c r="E23" i="6" s="1"/>
  <c r="C8" i="25"/>
  <c r="D8" i="25" s="1"/>
  <c r="F13" i="6"/>
  <c r="I9" i="24" s="1"/>
  <c r="J344" i="6"/>
  <c r="J348" i="6" s="1"/>
  <c r="K341" i="6"/>
  <c r="J349" i="6"/>
  <c r="H196" i="6"/>
  <c r="I348" i="6"/>
  <c r="D8" i="13"/>
  <c r="I349" i="6"/>
  <c r="I363" i="6"/>
  <c r="I327" i="6" s="1"/>
  <c r="J353" i="6"/>
  <c r="K353" i="6" s="1"/>
  <c r="L353" i="6" s="1"/>
  <c r="M353" i="6" s="1"/>
  <c r="N353" i="6" s="1"/>
  <c r="O353" i="6" s="1"/>
  <c r="P353" i="6" s="1"/>
  <c r="Q353" i="6" s="1"/>
  <c r="R353" i="6" s="1"/>
  <c r="F449" i="6"/>
  <c r="H104" i="6"/>
  <c r="J104" i="6" s="1"/>
  <c r="I315" i="6" l="1"/>
  <c r="I9" i="13"/>
  <c r="J120" i="6"/>
  <c r="J124" i="6" s="1"/>
  <c r="I332" i="6"/>
  <c r="I333" i="6" s="1"/>
  <c r="I247" i="6" s="1"/>
  <c r="K25" i="10"/>
  <c r="L73" i="6"/>
  <c r="L261" i="6"/>
  <c r="Q261" i="6"/>
  <c r="Q73" i="6"/>
  <c r="J25" i="10"/>
  <c r="K261" i="6"/>
  <c r="K73" i="6"/>
  <c r="P261" i="6"/>
  <c r="P73" i="6"/>
  <c r="J73" i="6"/>
  <c r="J261" i="6"/>
  <c r="I25" i="10"/>
  <c r="H9" i="10"/>
  <c r="H10" i="10" s="1"/>
  <c r="I140" i="6"/>
  <c r="H16" i="10" s="1"/>
  <c r="I165" i="6"/>
  <c r="J136" i="6"/>
  <c r="I214" i="6"/>
  <c r="I137" i="6"/>
  <c r="O261" i="6"/>
  <c r="O73" i="6"/>
  <c r="I261" i="6"/>
  <c r="H25" i="10"/>
  <c r="F25" i="10"/>
  <c r="F26" i="10" s="1"/>
  <c r="I73" i="6"/>
  <c r="N73" i="6"/>
  <c r="N261" i="6"/>
  <c r="L25" i="10"/>
  <c r="M73" i="6"/>
  <c r="M261" i="6"/>
  <c r="R73" i="6"/>
  <c r="R261" i="6"/>
  <c r="F15" i="6"/>
  <c r="N18" i="6" s="1"/>
  <c r="K18" i="6" s="1"/>
  <c r="D26" i="6" s="1"/>
  <c r="I9" i="25"/>
  <c r="H183" i="6"/>
  <c r="J108" i="6"/>
  <c r="I268" i="6"/>
  <c r="I76" i="6"/>
  <c r="I449" i="6"/>
  <c r="I462" i="6" s="1"/>
  <c r="K349" i="6"/>
  <c r="L341" i="6"/>
  <c r="C25" i="21"/>
  <c r="I292" i="6"/>
  <c r="H199" i="6"/>
  <c r="H68" i="6"/>
  <c r="H69" i="6"/>
  <c r="K344" i="6"/>
  <c r="I334" i="6" l="1"/>
  <c r="I186" i="6" s="1"/>
  <c r="D18" i="21" s="1"/>
  <c r="H26" i="10"/>
  <c r="M17" i="6"/>
  <c r="H17" i="10"/>
  <c r="H418" i="6"/>
  <c r="R263" i="6"/>
  <c r="H415" i="6"/>
  <c r="O263" i="6"/>
  <c r="H410" i="6"/>
  <c r="J263" i="6"/>
  <c r="H417" i="6"/>
  <c r="Q263" i="6"/>
  <c r="H414" i="6"/>
  <c r="N263" i="6"/>
  <c r="H12" i="10"/>
  <c r="H13" i="10" s="1"/>
  <c r="H14" i="10" s="1"/>
  <c r="I215" i="6"/>
  <c r="I138" i="6"/>
  <c r="H411" i="6"/>
  <c r="K263" i="6"/>
  <c r="H412" i="6"/>
  <c r="L263" i="6"/>
  <c r="H413" i="6"/>
  <c r="M263" i="6"/>
  <c r="H409" i="6"/>
  <c r="I263" i="6"/>
  <c r="I219" i="6"/>
  <c r="I179" i="6" s="1"/>
  <c r="I217" i="6"/>
  <c r="I177" i="6" s="1"/>
  <c r="D10" i="21" s="1"/>
  <c r="I221" i="6"/>
  <c r="I192" i="6" s="1"/>
  <c r="I9" i="10"/>
  <c r="J214" i="6"/>
  <c r="K136" i="6"/>
  <c r="J165" i="6"/>
  <c r="J140" i="6"/>
  <c r="I16" i="10" s="1"/>
  <c r="J137" i="6"/>
  <c r="H416" i="6"/>
  <c r="P263" i="6"/>
  <c r="M18" i="6"/>
  <c r="L18" i="6"/>
  <c r="N17" i="6"/>
  <c r="K17" i="6" s="1"/>
  <c r="D25" i="6" s="1"/>
  <c r="C11" i="25" s="1"/>
  <c r="L17" i="6"/>
  <c r="L344" i="6"/>
  <c r="L348" i="6" s="1"/>
  <c r="C16" i="21"/>
  <c r="H187" i="6"/>
  <c r="I183" i="6"/>
  <c r="K348" i="6"/>
  <c r="C28" i="21"/>
  <c r="H203" i="6"/>
  <c r="C12" i="24"/>
  <c r="C12" i="25"/>
  <c r="C13" i="13"/>
  <c r="E26" i="6"/>
  <c r="H79" i="6"/>
  <c r="H71" i="6"/>
  <c r="H80" i="6" s="1"/>
  <c r="M341" i="6"/>
  <c r="L349" i="6"/>
  <c r="J449" i="6"/>
  <c r="J462" i="6" s="1"/>
  <c r="J332" i="6" l="1"/>
  <c r="J333" i="6" s="1"/>
  <c r="J247" i="6" s="1"/>
  <c r="E25" i="6"/>
  <c r="C11" i="24"/>
  <c r="D11" i="24" s="1"/>
  <c r="I251" i="6"/>
  <c r="C12" i="13"/>
  <c r="D12" i="13" s="1"/>
  <c r="I12" i="10"/>
  <c r="I13" i="10" s="1"/>
  <c r="I14" i="10" s="1"/>
  <c r="J215" i="6"/>
  <c r="J138" i="6"/>
  <c r="J219" i="6"/>
  <c r="J179" i="6" s="1"/>
  <c r="J217" i="6"/>
  <c r="J177" i="6" s="1"/>
  <c r="J251" i="6" s="1"/>
  <c r="J221" i="6"/>
  <c r="J192" i="6" s="1"/>
  <c r="M413" i="6"/>
  <c r="N413" i="6" s="1"/>
  <c r="H435" i="6"/>
  <c r="I161" i="6"/>
  <c r="H440" i="6"/>
  <c r="R440" i="6" s="1"/>
  <c r="R418" i="6"/>
  <c r="D22" i="21"/>
  <c r="I255" i="6"/>
  <c r="I409" i="6"/>
  <c r="H431" i="6"/>
  <c r="H434" i="6"/>
  <c r="L412" i="6"/>
  <c r="I218" i="6"/>
  <c r="I220" i="6"/>
  <c r="I191" i="6" s="1"/>
  <c r="D12" i="21"/>
  <c r="I253" i="6"/>
  <c r="K411" i="6"/>
  <c r="L411" i="6" s="1"/>
  <c r="H433" i="6"/>
  <c r="I17" i="10"/>
  <c r="I26" i="10"/>
  <c r="I10" i="10"/>
  <c r="N414" i="6"/>
  <c r="O414" i="6" s="1"/>
  <c r="P414" i="6" s="1"/>
  <c r="H436" i="6"/>
  <c r="H432" i="6"/>
  <c r="J410" i="6"/>
  <c r="K410" i="6" s="1"/>
  <c r="P416" i="6"/>
  <c r="Q416" i="6" s="1"/>
  <c r="R416" i="6" s="1"/>
  <c r="H438" i="6"/>
  <c r="K214" i="6"/>
  <c r="K165" i="6"/>
  <c r="K140" i="6"/>
  <c r="J16" i="10" s="1"/>
  <c r="K137" i="6"/>
  <c r="J9" i="10"/>
  <c r="L136" i="6"/>
  <c r="H439" i="6"/>
  <c r="Q417" i="6"/>
  <c r="R417" i="6" s="1"/>
  <c r="H437" i="6"/>
  <c r="O415" i="6"/>
  <c r="P415" i="6" s="1"/>
  <c r="Q415" i="6" s="1"/>
  <c r="R415" i="6" s="1"/>
  <c r="D27" i="6"/>
  <c r="C10" i="25" s="1"/>
  <c r="J334" i="6"/>
  <c r="J186" i="6" s="1"/>
  <c r="E18" i="21" s="1"/>
  <c r="K449" i="6"/>
  <c r="K462" i="6" s="1"/>
  <c r="D12" i="25"/>
  <c r="C18" i="25"/>
  <c r="I12" i="25"/>
  <c r="I12" i="24"/>
  <c r="D12" i="24"/>
  <c r="N341" i="6"/>
  <c r="M349" i="6"/>
  <c r="C22" i="25"/>
  <c r="D11" i="25"/>
  <c r="D16" i="21"/>
  <c r="J183" i="6"/>
  <c r="M344" i="6"/>
  <c r="D13" i="13"/>
  <c r="I13" i="13"/>
  <c r="C19" i="21"/>
  <c r="K332" i="6" l="1"/>
  <c r="H36" i="17"/>
  <c r="H37" i="17" s="1"/>
  <c r="H38" i="17" s="1"/>
  <c r="H39" i="17" s="1"/>
  <c r="H40" i="17" s="1"/>
  <c r="H41" i="17" s="1"/>
  <c r="H49" i="17" s="1"/>
  <c r="H50" i="17" s="1"/>
  <c r="H51" i="17" s="1"/>
  <c r="H52" i="17" s="1"/>
  <c r="H53" i="17" s="1"/>
  <c r="H54" i="17" s="1"/>
  <c r="O413" i="6"/>
  <c r="P413" i="6" s="1"/>
  <c r="Q413" i="6" s="1"/>
  <c r="E10" i="21"/>
  <c r="Q436" i="6"/>
  <c r="P436" i="6"/>
  <c r="O436" i="6"/>
  <c r="R436" i="6"/>
  <c r="N436" i="6"/>
  <c r="K138" i="6"/>
  <c r="K161" i="6" s="1"/>
  <c r="J12" i="10"/>
  <c r="J13" i="10" s="1"/>
  <c r="J14" i="10" s="1"/>
  <c r="K215" i="6"/>
  <c r="Q414" i="6"/>
  <c r="R414" i="6" s="1"/>
  <c r="M411" i="6"/>
  <c r="N411" i="6" s="1"/>
  <c r="J409" i="6"/>
  <c r="J419" i="6" s="1"/>
  <c r="J161" i="6"/>
  <c r="L165" i="6"/>
  <c r="L137" i="6"/>
  <c r="L214" i="6"/>
  <c r="M136" i="6"/>
  <c r="L140" i="6"/>
  <c r="K16" i="10" s="1"/>
  <c r="K9" i="10"/>
  <c r="K10" i="10" s="1"/>
  <c r="R437" i="6"/>
  <c r="Q437" i="6"/>
  <c r="P437" i="6"/>
  <c r="O437" i="6"/>
  <c r="R439" i="6"/>
  <c r="Q439" i="6"/>
  <c r="R438" i="6"/>
  <c r="Q438" i="6"/>
  <c r="P438" i="6"/>
  <c r="L410" i="6"/>
  <c r="M410" i="6" s="1"/>
  <c r="Q433" i="6"/>
  <c r="O433" i="6"/>
  <c r="M433" i="6"/>
  <c r="K433" i="6"/>
  <c r="P433" i="6"/>
  <c r="N433" i="6"/>
  <c r="L433" i="6"/>
  <c r="R433" i="6"/>
  <c r="I193" i="6"/>
  <c r="D23" i="21" s="1"/>
  <c r="D21" i="21"/>
  <c r="I254" i="6"/>
  <c r="M412" i="6"/>
  <c r="N412" i="6" s="1"/>
  <c r="J431" i="6"/>
  <c r="P431" i="6"/>
  <c r="Q431" i="6"/>
  <c r="L431" i="6"/>
  <c r="R431" i="6"/>
  <c r="M431" i="6"/>
  <c r="O431" i="6"/>
  <c r="N431" i="6"/>
  <c r="I431" i="6"/>
  <c r="I441" i="6" s="1"/>
  <c r="I428" i="6" s="1"/>
  <c r="I461" i="6" s="1"/>
  <c r="K431" i="6"/>
  <c r="J255" i="6"/>
  <c r="E22" i="21"/>
  <c r="J220" i="6"/>
  <c r="J191" i="6" s="1"/>
  <c r="J218" i="6"/>
  <c r="I178" i="6"/>
  <c r="I223" i="6"/>
  <c r="I224" i="6" s="1"/>
  <c r="I228" i="6"/>
  <c r="O434" i="6"/>
  <c r="M434" i="6"/>
  <c r="R434" i="6"/>
  <c r="P434" i="6"/>
  <c r="N434" i="6"/>
  <c r="L434" i="6"/>
  <c r="Q434" i="6"/>
  <c r="I419" i="6"/>
  <c r="O435" i="6"/>
  <c r="Q435" i="6"/>
  <c r="P435" i="6"/>
  <c r="N435" i="6"/>
  <c r="M435" i="6"/>
  <c r="R435" i="6"/>
  <c r="J10" i="10"/>
  <c r="J26" i="10"/>
  <c r="J17" i="10"/>
  <c r="K219" i="6"/>
  <c r="K179" i="6" s="1"/>
  <c r="K221" i="6"/>
  <c r="K192" i="6" s="1"/>
  <c r="K217" i="6"/>
  <c r="K177" i="6" s="1"/>
  <c r="K251" i="6" s="1"/>
  <c r="L432" i="6"/>
  <c r="O432" i="6"/>
  <c r="J432" i="6"/>
  <c r="P432" i="6"/>
  <c r="K432" i="6"/>
  <c r="Q432" i="6"/>
  <c r="R432" i="6"/>
  <c r="M432" i="6"/>
  <c r="N432" i="6"/>
  <c r="K409" i="6"/>
  <c r="K419" i="6" s="1"/>
  <c r="E12" i="21"/>
  <c r="J253" i="6"/>
  <c r="C18" i="18"/>
  <c r="G19" i="18" s="1"/>
  <c r="E27" i="6"/>
  <c r="E28" i="6" s="1"/>
  <c r="E30" i="6" s="1"/>
  <c r="C10" i="24"/>
  <c r="D10" i="24" s="1"/>
  <c r="C17" i="25"/>
  <c r="C23" i="25" s="1"/>
  <c r="D10" i="25"/>
  <c r="C13" i="25"/>
  <c r="I8" i="25" s="1"/>
  <c r="I13" i="25" s="1"/>
  <c r="C14" i="25" s="1"/>
  <c r="C14" i="13"/>
  <c r="D28" i="6"/>
  <c r="L449" i="6"/>
  <c r="E16" i="21"/>
  <c r="K183" i="6"/>
  <c r="O341" i="6"/>
  <c r="N349" i="6"/>
  <c r="K333" i="6"/>
  <c r="K247" i="6" s="1"/>
  <c r="N344" i="6"/>
  <c r="E22" i="25"/>
  <c r="M348" i="6"/>
  <c r="E18" i="25"/>
  <c r="H58" i="17" l="1"/>
  <c r="H66" i="17" s="1"/>
  <c r="H71" i="17" s="1"/>
  <c r="F10" i="21"/>
  <c r="H23" i="17"/>
  <c r="O411" i="6"/>
  <c r="P411" i="6" s="1"/>
  <c r="Q411" i="6" s="1"/>
  <c r="R411" i="6" s="1"/>
  <c r="E20" i="25"/>
  <c r="F20" i="25" s="1"/>
  <c r="E19" i="25"/>
  <c r="C13" i="24"/>
  <c r="I8" i="24" s="1"/>
  <c r="I13" i="24" s="1"/>
  <c r="C14" i="24" s="1"/>
  <c r="D17" i="25"/>
  <c r="D18" i="25"/>
  <c r="F22" i="25"/>
  <c r="E21" i="25"/>
  <c r="F21" i="25" s="1"/>
  <c r="E17" i="25"/>
  <c r="I460" i="6"/>
  <c r="I154" i="6"/>
  <c r="I141" i="6"/>
  <c r="I142" i="6" s="1"/>
  <c r="E21" i="21"/>
  <c r="J254" i="6"/>
  <c r="J193" i="6"/>
  <c r="E23" i="21" s="1"/>
  <c r="J441" i="6"/>
  <c r="J428" i="6" s="1"/>
  <c r="J461" i="6" s="1"/>
  <c r="K26" i="10"/>
  <c r="K17" i="10"/>
  <c r="L138" i="6"/>
  <c r="L161" i="6" s="1"/>
  <c r="L215" i="6"/>
  <c r="K12" i="10"/>
  <c r="K13" i="10" s="1"/>
  <c r="K14" i="10" s="1"/>
  <c r="J154" i="6"/>
  <c r="J460" i="6"/>
  <c r="J141" i="6"/>
  <c r="J142" i="6" s="1"/>
  <c r="K220" i="6"/>
  <c r="K191" i="6" s="1"/>
  <c r="K218" i="6"/>
  <c r="K460" i="6"/>
  <c r="K154" i="6"/>
  <c r="K141" i="6"/>
  <c r="K142" i="6" s="1"/>
  <c r="K255" i="6"/>
  <c r="F22" i="21"/>
  <c r="R441" i="6"/>
  <c r="R428" i="6" s="1"/>
  <c r="R461" i="6" s="1"/>
  <c r="L441" i="6"/>
  <c r="L428" i="6" s="1"/>
  <c r="L461" i="6" s="1"/>
  <c r="R413" i="6"/>
  <c r="K253" i="6"/>
  <c r="F12" i="21"/>
  <c r="M441" i="6"/>
  <c r="M428" i="6" s="1"/>
  <c r="M461" i="6" s="1"/>
  <c r="I252" i="6"/>
  <c r="I256" i="6" s="1"/>
  <c r="I298" i="6"/>
  <c r="D11" i="21"/>
  <c r="O441" i="6"/>
  <c r="O428" i="6" s="1"/>
  <c r="O461" i="6" s="1"/>
  <c r="Q441" i="6"/>
  <c r="Q428" i="6" s="1"/>
  <c r="Q461" i="6" s="1"/>
  <c r="O412" i="6"/>
  <c r="P412" i="6" s="1"/>
  <c r="Q412" i="6" s="1"/>
  <c r="R412" i="6" s="1"/>
  <c r="N136" i="6"/>
  <c r="M165" i="6"/>
  <c r="L9" i="10"/>
  <c r="M140" i="6"/>
  <c r="L16" i="10" s="1"/>
  <c r="S136" i="6"/>
  <c r="M137" i="6"/>
  <c r="M214" i="6"/>
  <c r="N441" i="6"/>
  <c r="N428" i="6" s="1"/>
  <c r="N461" i="6" s="1"/>
  <c r="L409" i="6"/>
  <c r="J178" i="6"/>
  <c r="J228" i="6"/>
  <c r="J223" i="6"/>
  <c r="J224" i="6" s="1"/>
  <c r="K441" i="6"/>
  <c r="K428" i="6" s="1"/>
  <c r="K461" i="6" s="1"/>
  <c r="P441" i="6"/>
  <c r="P428" i="6" s="1"/>
  <c r="P461" i="6" s="1"/>
  <c r="L217" i="6"/>
  <c r="L177" i="6" s="1"/>
  <c r="L251" i="6" s="1"/>
  <c r="L221" i="6"/>
  <c r="L192" i="6" s="1"/>
  <c r="L219" i="6"/>
  <c r="L179" i="6" s="1"/>
  <c r="N410" i="6"/>
  <c r="D22" i="25"/>
  <c r="E12" i="13"/>
  <c r="D14" i="13"/>
  <c r="C15" i="13"/>
  <c r="I8" i="13" s="1"/>
  <c r="E14" i="13"/>
  <c r="E13" i="13"/>
  <c r="D30" i="6"/>
  <c r="I126" i="6"/>
  <c r="J126" i="6" s="1"/>
  <c r="F18" i="25"/>
  <c r="F19" i="25"/>
  <c r="H62" i="17"/>
  <c r="H63" i="17" s="1"/>
  <c r="O344" i="6"/>
  <c r="O348" i="6" s="1"/>
  <c r="N348" i="6"/>
  <c r="D23" i="25"/>
  <c r="D21" i="25"/>
  <c r="D19" i="25"/>
  <c r="D20" i="25"/>
  <c r="L462" i="6"/>
  <c r="M449" i="6"/>
  <c r="N449" i="6" s="1"/>
  <c r="N462" i="6" s="1"/>
  <c r="K334" i="6"/>
  <c r="O349" i="6"/>
  <c r="P341" i="6"/>
  <c r="F16" i="21"/>
  <c r="L183" i="6"/>
  <c r="I15" i="13" l="1"/>
  <c r="C16" i="13" s="1"/>
  <c r="C20" i="13"/>
  <c r="C21" i="13" s="1"/>
  <c r="G10" i="21"/>
  <c r="E23" i="25"/>
  <c r="F17" i="25"/>
  <c r="M221" i="6"/>
  <c r="M192" i="6" s="1"/>
  <c r="M219" i="6"/>
  <c r="M179" i="6" s="1"/>
  <c r="H12" i="21" s="1"/>
  <c r="M217" i="6"/>
  <c r="M177" i="6" s="1"/>
  <c r="M251" i="6" s="1"/>
  <c r="L10" i="10"/>
  <c r="P9" i="10"/>
  <c r="L17" i="10"/>
  <c r="L26" i="10"/>
  <c r="K178" i="6"/>
  <c r="K228" i="6"/>
  <c r="K223" i="6"/>
  <c r="K224" i="6" s="1"/>
  <c r="J164" i="6"/>
  <c r="J243" i="6"/>
  <c r="I19" i="10"/>
  <c r="I20" i="10" s="1"/>
  <c r="J397" i="6"/>
  <c r="O410" i="6"/>
  <c r="P410" i="6" s="1"/>
  <c r="Q410" i="6" s="1"/>
  <c r="J252" i="6"/>
  <c r="J256" i="6" s="1"/>
  <c r="J298" i="6"/>
  <c r="E11" i="21"/>
  <c r="M215" i="6"/>
  <c r="L12" i="10"/>
  <c r="L13" i="10" s="1"/>
  <c r="L14" i="10" s="1"/>
  <c r="M138" i="6"/>
  <c r="K163" i="6"/>
  <c r="K144" i="6"/>
  <c r="J27" i="10" s="1"/>
  <c r="K153" i="6"/>
  <c r="K156" i="6" s="1"/>
  <c r="K193" i="6"/>
  <c r="F23" i="21" s="1"/>
  <c r="F21" i="21"/>
  <c r="K254" i="6"/>
  <c r="L253" i="6"/>
  <c r="G12" i="21"/>
  <c r="M253" i="6"/>
  <c r="M409" i="6"/>
  <c r="L419" i="6"/>
  <c r="N165" i="6"/>
  <c r="N140" i="6"/>
  <c r="N137" i="6"/>
  <c r="N214" i="6"/>
  <c r="O136" i="6"/>
  <c r="K397" i="6"/>
  <c r="K164" i="6"/>
  <c r="J19" i="10"/>
  <c r="J20" i="10" s="1"/>
  <c r="K243" i="6"/>
  <c r="J163" i="6"/>
  <c r="J153" i="6"/>
  <c r="J156" i="6" s="1"/>
  <c r="J144" i="6"/>
  <c r="I27" i="10" s="1"/>
  <c r="L218" i="6"/>
  <c r="L220" i="6"/>
  <c r="L191" i="6" s="1"/>
  <c r="I153" i="6"/>
  <c r="I156" i="6" s="1"/>
  <c r="I163" i="6"/>
  <c r="I144" i="6"/>
  <c r="H27" i="10" s="1"/>
  <c r="G22" i="21"/>
  <c r="L255" i="6"/>
  <c r="H19" i="10"/>
  <c r="H20" i="10" s="1"/>
  <c r="I243" i="6"/>
  <c r="I164" i="6"/>
  <c r="I397" i="6"/>
  <c r="I399" i="6" s="1"/>
  <c r="J127" i="6"/>
  <c r="J128" i="6" s="1"/>
  <c r="J129" i="6" s="1"/>
  <c r="H205" i="6"/>
  <c r="F26" i="6"/>
  <c r="F20" i="6"/>
  <c r="F22" i="6"/>
  <c r="F25" i="6"/>
  <c r="F27" i="6"/>
  <c r="F21" i="6"/>
  <c r="G16" i="21"/>
  <c r="M183" i="6"/>
  <c r="L332" i="6"/>
  <c r="K186" i="6"/>
  <c r="F18" i="21" s="1"/>
  <c r="M462" i="6"/>
  <c r="O449" i="6"/>
  <c r="H73" i="17"/>
  <c r="Q341" i="6"/>
  <c r="P349" i="6"/>
  <c r="P344" i="6"/>
  <c r="P348" i="6" s="1"/>
  <c r="E25" i="25" l="1"/>
  <c r="F25" i="25" s="1"/>
  <c r="K20" i="25"/>
  <c r="K21" i="25" s="1"/>
  <c r="K22" i="25" s="1"/>
  <c r="F23" i="25"/>
  <c r="H10" i="21"/>
  <c r="J396" i="6"/>
  <c r="I182" i="6"/>
  <c r="D15" i="21" s="1"/>
  <c r="H22" i="10"/>
  <c r="I72" i="6"/>
  <c r="I10" i="17"/>
  <c r="I166" i="6"/>
  <c r="J10" i="17"/>
  <c r="J166" i="6"/>
  <c r="J72" i="6"/>
  <c r="I22" i="10"/>
  <c r="I23" i="10" s="1"/>
  <c r="N215" i="6"/>
  <c r="N138" i="6"/>
  <c r="M419" i="6"/>
  <c r="M218" i="6"/>
  <c r="M220" i="6"/>
  <c r="M191" i="6" s="1"/>
  <c r="R410" i="6"/>
  <c r="J399" i="6"/>
  <c r="G21" i="21"/>
  <c r="L254" i="6"/>
  <c r="L193" i="6"/>
  <c r="G23" i="21" s="1"/>
  <c r="H22" i="21"/>
  <c r="M255" i="6"/>
  <c r="L178" i="6"/>
  <c r="L228" i="6"/>
  <c r="L223" i="6"/>
  <c r="L224" i="6" s="1"/>
  <c r="O214" i="6"/>
  <c r="O165" i="6"/>
  <c r="O140" i="6"/>
  <c r="O137" i="6"/>
  <c r="P136" i="6"/>
  <c r="M161" i="6"/>
  <c r="K252" i="6"/>
  <c r="K256" i="6" s="1"/>
  <c r="F11" i="21"/>
  <c r="K298" i="6"/>
  <c r="N409" i="6"/>
  <c r="O409" i="6" s="1"/>
  <c r="O419" i="6" s="1"/>
  <c r="N219" i="6"/>
  <c r="N179" i="6" s="1"/>
  <c r="N253" i="6" s="1"/>
  <c r="N217" i="6"/>
  <c r="N221" i="6"/>
  <c r="N192" i="6" s="1"/>
  <c r="N255" i="6" s="1"/>
  <c r="L141" i="6"/>
  <c r="L142" i="6" s="1"/>
  <c r="L154" i="6"/>
  <c r="L460" i="6"/>
  <c r="K72" i="6"/>
  <c r="K166" i="6"/>
  <c r="J22" i="10"/>
  <c r="J23" i="10" s="1"/>
  <c r="K10" i="17"/>
  <c r="F23" i="6"/>
  <c r="F28" i="6"/>
  <c r="I388" i="6"/>
  <c r="H206" i="6"/>
  <c r="H207" i="6" s="1"/>
  <c r="C30" i="21"/>
  <c r="O462" i="6"/>
  <c r="P449" i="6"/>
  <c r="P462" i="6" s="1"/>
  <c r="H16" i="21"/>
  <c r="N183" i="6"/>
  <c r="O183" i="6" s="1"/>
  <c r="P183" i="6" s="1"/>
  <c r="Q183" i="6" s="1"/>
  <c r="R183" i="6" s="1"/>
  <c r="R341" i="6"/>
  <c r="Q349" i="6"/>
  <c r="H77" i="17"/>
  <c r="H75" i="17" s="1"/>
  <c r="H78" i="17"/>
  <c r="L333" i="6"/>
  <c r="L247" i="6" s="1"/>
  <c r="Q344" i="6"/>
  <c r="C25" i="25" l="1"/>
  <c r="D25" i="25" s="1"/>
  <c r="I28" i="10"/>
  <c r="K77" i="6"/>
  <c r="K494" i="6"/>
  <c r="J77" i="6"/>
  <c r="J494" i="6"/>
  <c r="I77" i="6"/>
  <c r="I494" i="6"/>
  <c r="L153" i="6"/>
  <c r="L156" i="6" s="1"/>
  <c r="L144" i="6"/>
  <c r="K27" i="10" s="1"/>
  <c r="L163" i="6"/>
  <c r="O215" i="6"/>
  <c r="O138" i="6"/>
  <c r="K396" i="6"/>
  <c r="K399" i="6" s="1"/>
  <c r="J182" i="6"/>
  <c r="E15" i="21" s="1"/>
  <c r="J28" i="10"/>
  <c r="N161" i="6"/>
  <c r="O141" i="6"/>
  <c r="O460" i="6"/>
  <c r="O154" i="6"/>
  <c r="N419" i="6"/>
  <c r="N218" i="6"/>
  <c r="N178" i="6" s="1"/>
  <c r="N220" i="6"/>
  <c r="N191" i="6" s="1"/>
  <c r="J27" i="17"/>
  <c r="J11" i="17"/>
  <c r="H28" i="10"/>
  <c r="H23" i="10"/>
  <c r="K11" i="17"/>
  <c r="K27" i="17"/>
  <c r="N177" i="6"/>
  <c r="L252" i="6"/>
  <c r="L256" i="6" s="1"/>
  <c r="L298" i="6"/>
  <c r="G11" i="21"/>
  <c r="H21" i="21"/>
  <c r="M254" i="6"/>
  <c r="M193" i="6"/>
  <c r="H23" i="21" s="1"/>
  <c r="P409" i="6"/>
  <c r="P419" i="6" s="1"/>
  <c r="L243" i="6"/>
  <c r="L164" i="6"/>
  <c r="K19" i="10"/>
  <c r="K20" i="10" s="1"/>
  <c r="L397" i="6"/>
  <c r="P214" i="6"/>
  <c r="P165" i="6"/>
  <c r="P140" i="6"/>
  <c r="P137" i="6"/>
  <c r="Q136" i="6"/>
  <c r="O219" i="6"/>
  <c r="O179" i="6" s="1"/>
  <c r="O253" i="6" s="1"/>
  <c r="O221" i="6"/>
  <c r="O192" i="6" s="1"/>
  <c r="O255" i="6" s="1"/>
  <c r="O217" i="6"/>
  <c r="M178" i="6"/>
  <c r="M228" i="6"/>
  <c r="M223" i="6"/>
  <c r="M224" i="6" s="1"/>
  <c r="M460" i="6"/>
  <c r="M154" i="6"/>
  <c r="M141" i="6"/>
  <c r="M142" i="6" s="1"/>
  <c r="I11" i="17"/>
  <c r="I27" i="17"/>
  <c r="C31" i="21"/>
  <c r="C32" i="21" s="1"/>
  <c r="H208" i="6"/>
  <c r="F30" i="6"/>
  <c r="Q449" i="6"/>
  <c r="R449" i="6" s="1"/>
  <c r="R462" i="6" s="1"/>
  <c r="R344" i="6"/>
  <c r="R348" i="6" s="1"/>
  <c r="Q348" i="6"/>
  <c r="L334" i="6"/>
  <c r="R349" i="6"/>
  <c r="N228" i="6" l="1"/>
  <c r="Q409" i="6"/>
  <c r="Q419" i="6" s="1"/>
  <c r="Q460" i="6" s="1"/>
  <c r="L19" i="10"/>
  <c r="L20" i="10" s="1"/>
  <c r="M397" i="6"/>
  <c r="M243" i="6"/>
  <c r="M164" i="6"/>
  <c r="M252" i="6"/>
  <c r="M256" i="6" s="1"/>
  <c r="H11" i="21"/>
  <c r="M298" i="6"/>
  <c r="N252" i="6"/>
  <c r="Q140" i="6"/>
  <c r="Q137" i="6"/>
  <c r="Q214" i="6"/>
  <c r="R136" i="6"/>
  <c r="Q165" i="6"/>
  <c r="P219" i="6"/>
  <c r="P179" i="6" s="1"/>
  <c r="P253" i="6" s="1"/>
  <c r="P221" i="6"/>
  <c r="P192" i="6" s="1"/>
  <c r="P255" i="6" s="1"/>
  <c r="P217" i="6"/>
  <c r="O218" i="6"/>
  <c r="O178" i="6" s="1"/>
  <c r="O252" i="6" s="1"/>
  <c r="O220" i="6"/>
  <c r="O191" i="6" s="1"/>
  <c r="O177" i="6"/>
  <c r="P215" i="6"/>
  <c r="P138" i="6"/>
  <c r="P460" i="6"/>
  <c r="P154" i="6"/>
  <c r="P141" i="6"/>
  <c r="N223" i="6"/>
  <c r="N224" i="6" s="1"/>
  <c r="N460" i="6"/>
  <c r="N154" i="6"/>
  <c r="N141" i="6"/>
  <c r="N142" i="6" s="1"/>
  <c r="K182" i="6"/>
  <c r="F15" i="21" s="1"/>
  <c r="L396" i="6"/>
  <c r="L399" i="6" s="1"/>
  <c r="M153" i="6"/>
  <c r="M156" i="6" s="1"/>
  <c r="M144" i="6"/>
  <c r="L27" i="10" s="1"/>
  <c r="M163" i="6"/>
  <c r="N251" i="6"/>
  <c r="N298" i="6"/>
  <c r="N254" i="6"/>
  <c r="N193" i="6"/>
  <c r="O164" i="6"/>
  <c r="O397" i="6"/>
  <c r="O243" i="6"/>
  <c r="O142" i="6"/>
  <c r="O161" i="6"/>
  <c r="L72" i="6"/>
  <c r="L166" i="6"/>
  <c r="K22" i="10"/>
  <c r="K23" i="10" s="1"/>
  <c r="L10" i="17"/>
  <c r="Q462" i="6"/>
  <c r="M332" i="6"/>
  <c r="L186" i="6"/>
  <c r="G18" i="21" s="1"/>
  <c r="R409" i="6" l="1"/>
  <c r="R419" i="6" s="1"/>
  <c r="R141" i="6" s="1"/>
  <c r="Q154" i="6"/>
  <c r="Q141" i="6"/>
  <c r="L77" i="6"/>
  <c r="L494" i="6"/>
  <c r="O223" i="6"/>
  <c r="O224" i="6" s="1"/>
  <c r="O144" i="6"/>
  <c r="O163" i="6"/>
  <c r="O153" i="6"/>
  <c r="O156" i="6" s="1"/>
  <c r="L182" i="6"/>
  <c r="G15" i="21" s="1"/>
  <c r="M396" i="6"/>
  <c r="M399" i="6" s="1"/>
  <c r="P142" i="6"/>
  <c r="P161" i="6"/>
  <c r="O228" i="6"/>
  <c r="P177" i="6"/>
  <c r="R137" i="6"/>
  <c r="R214" i="6"/>
  <c r="R165" i="6"/>
  <c r="R140" i="6"/>
  <c r="M72" i="6"/>
  <c r="L22" i="10"/>
  <c r="M166" i="6"/>
  <c r="S156" i="6"/>
  <c r="M10" i="17"/>
  <c r="N153" i="6"/>
  <c r="N156" i="6" s="1"/>
  <c r="N144" i="6"/>
  <c r="N163" i="6"/>
  <c r="P220" i="6"/>
  <c r="P191" i="6" s="1"/>
  <c r="P218" i="6"/>
  <c r="P178" i="6" s="1"/>
  <c r="O254" i="6"/>
  <c r="O193" i="6"/>
  <c r="Q217" i="6"/>
  <c r="Q219" i="6"/>
  <c r="Q179" i="6" s="1"/>
  <c r="Q253" i="6" s="1"/>
  <c r="Q221" i="6"/>
  <c r="Q192" i="6" s="1"/>
  <c r="Q255" i="6" s="1"/>
  <c r="L11" i="17"/>
  <c r="L27" i="17"/>
  <c r="N256" i="6"/>
  <c r="K28" i="10"/>
  <c r="N243" i="6"/>
  <c r="N164" i="6"/>
  <c r="N397" i="6"/>
  <c r="P243" i="6"/>
  <c r="P164" i="6"/>
  <c r="P397" i="6"/>
  <c r="O251" i="6"/>
  <c r="O298" i="6"/>
  <c r="P251" i="6"/>
  <c r="Q215" i="6"/>
  <c r="Q138" i="6"/>
  <c r="M333" i="6"/>
  <c r="M247" i="6" s="1"/>
  <c r="R154" i="6" l="1"/>
  <c r="R164" i="6" s="1"/>
  <c r="R460" i="6"/>
  <c r="O256" i="6"/>
  <c r="Q397" i="6"/>
  <c r="Q243" i="6"/>
  <c r="Q164" i="6"/>
  <c r="M77" i="6"/>
  <c r="M494" i="6"/>
  <c r="R243" i="6"/>
  <c r="P228" i="6"/>
  <c r="P298" i="6"/>
  <c r="P254" i="6"/>
  <c r="P193" i="6"/>
  <c r="M11" i="17"/>
  <c r="C8" i="18"/>
  <c r="M27" i="17"/>
  <c r="R217" i="6"/>
  <c r="R219" i="6"/>
  <c r="R179" i="6" s="1"/>
  <c r="R253" i="6" s="1"/>
  <c r="R221" i="6"/>
  <c r="R192" i="6" s="1"/>
  <c r="R255" i="6" s="1"/>
  <c r="M182" i="6"/>
  <c r="H15" i="21" s="1"/>
  <c r="N396" i="6"/>
  <c r="N399" i="6" s="1"/>
  <c r="R215" i="6"/>
  <c r="R138" i="6"/>
  <c r="Q142" i="6"/>
  <c r="Q161" i="6"/>
  <c r="P144" i="6"/>
  <c r="P163" i="6"/>
  <c r="P153" i="6"/>
  <c r="P156" i="6" s="1"/>
  <c r="O72" i="6"/>
  <c r="O77" i="6" s="1"/>
  <c r="O166" i="6"/>
  <c r="Q218" i="6"/>
  <c r="Q178" i="6" s="1"/>
  <c r="Q252" i="6" s="1"/>
  <c r="Q220" i="6"/>
  <c r="Q191" i="6" s="1"/>
  <c r="Q177" i="6"/>
  <c r="P252" i="6"/>
  <c r="N166" i="6"/>
  <c r="N72" i="6"/>
  <c r="N77" i="6" s="1"/>
  <c r="L23" i="10"/>
  <c r="P22" i="10"/>
  <c r="P223" i="6"/>
  <c r="P224" i="6" s="1"/>
  <c r="L28" i="10"/>
  <c r="M334" i="6"/>
  <c r="R397" i="6" l="1"/>
  <c r="P256" i="6"/>
  <c r="Q251" i="6"/>
  <c r="Q298" i="6"/>
  <c r="R142" i="6"/>
  <c r="R161" i="6"/>
  <c r="G8" i="18"/>
  <c r="G10" i="18" s="1"/>
  <c r="G12" i="18" s="1"/>
  <c r="C10" i="18"/>
  <c r="C12" i="18" s="1"/>
  <c r="Q228" i="6"/>
  <c r="R218" i="6"/>
  <c r="R178" i="6" s="1"/>
  <c r="R252" i="6" s="1"/>
  <c r="R220" i="6"/>
  <c r="R191" i="6" s="1"/>
  <c r="Q193" i="6"/>
  <c r="Q254" i="6"/>
  <c r="P72" i="6"/>
  <c r="P77" i="6" s="1"/>
  <c r="P166" i="6"/>
  <c r="Q144" i="6"/>
  <c r="Q153" i="6"/>
  <c r="Q156" i="6" s="1"/>
  <c r="Q163" i="6"/>
  <c r="N182" i="6"/>
  <c r="O396" i="6"/>
  <c r="O399" i="6" s="1"/>
  <c r="R177" i="6"/>
  <c r="Q223" i="6"/>
  <c r="Q224" i="6" s="1"/>
  <c r="N332" i="6"/>
  <c r="M186" i="6"/>
  <c r="H18" i="21" s="1"/>
  <c r="R228" i="6" l="1"/>
  <c r="Q256" i="6"/>
  <c r="R223" i="6"/>
  <c r="R224" i="6" s="1"/>
  <c r="Q72" i="6"/>
  <c r="Q77" i="6" s="1"/>
  <c r="Q166" i="6"/>
  <c r="R163" i="6"/>
  <c r="R153" i="6"/>
  <c r="R156" i="6" s="1"/>
  <c r="R144" i="6"/>
  <c r="O182" i="6"/>
  <c r="P396" i="6"/>
  <c r="P399" i="6" s="1"/>
  <c r="R298" i="6"/>
  <c r="R251" i="6"/>
  <c r="R193" i="6"/>
  <c r="R254" i="6"/>
  <c r="N333" i="6"/>
  <c r="N247" i="6" s="1"/>
  <c r="R256" i="6" l="1"/>
  <c r="R72" i="6"/>
  <c r="R77" i="6" s="1"/>
  <c r="R166" i="6"/>
  <c r="Q396" i="6"/>
  <c r="Q399" i="6" s="1"/>
  <c r="P182" i="6"/>
  <c r="N334" i="6"/>
  <c r="R396" i="6" l="1"/>
  <c r="R399" i="6" s="1"/>
  <c r="R182" i="6" s="1"/>
  <c r="Q182" i="6"/>
  <c r="O332" i="6"/>
  <c r="N186" i="6"/>
  <c r="O333" i="6" l="1"/>
  <c r="O247" i="6" s="1"/>
  <c r="O334" i="6" l="1"/>
  <c r="P332" i="6" l="1"/>
  <c r="O186" i="6"/>
  <c r="P333" i="6" l="1"/>
  <c r="P247" i="6" s="1"/>
  <c r="P334" i="6" l="1"/>
  <c r="Q332" i="6" l="1"/>
  <c r="P186" i="6"/>
  <c r="Q333" i="6" l="1"/>
  <c r="Q247" i="6" s="1"/>
  <c r="Q334" i="6" l="1"/>
  <c r="R332" i="6" l="1"/>
  <c r="Q186" i="6"/>
  <c r="R333" i="6" l="1"/>
  <c r="R247" i="6" s="1"/>
  <c r="R334" i="6" l="1"/>
  <c r="R186" i="6" s="1"/>
  <c r="D9" i="21"/>
  <c r="E9" i="21"/>
  <c r="F9" i="21"/>
  <c r="G9" i="21"/>
  <c r="H9" i="21"/>
  <c r="D13" i="21"/>
  <c r="E13" i="21"/>
  <c r="F13" i="21"/>
  <c r="G13" i="21"/>
  <c r="H13" i="21"/>
  <c r="D19" i="21"/>
  <c r="E19" i="21"/>
  <c r="F19" i="21"/>
  <c r="G19" i="21"/>
  <c r="H19" i="21"/>
  <c r="D25" i="21"/>
  <c r="E25" i="21"/>
  <c r="F25" i="21"/>
  <c r="G25" i="21"/>
  <c r="H25" i="21"/>
  <c r="D26" i="21"/>
  <c r="E26" i="21"/>
  <c r="F26" i="21"/>
  <c r="G26" i="21"/>
  <c r="H26" i="21"/>
  <c r="D27" i="21"/>
  <c r="E27" i="21"/>
  <c r="F27" i="21"/>
  <c r="G27" i="21"/>
  <c r="H27" i="21"/>
  <c r="D28" i="21"/>
  <c r="E28" i="21"/>
  <c r="F28" i="21"/>
  <c r="G28" i="21"/>
  <c r="H28" i="21"/>
  <c r="D30" i="21"/>
  <c r="E30" i="21"/>
  <c r="F30" i="21"/>
  <c r="G30" i="21"/>
  <c r="H30" i="21"/>
  <c r="D31" i="21"/>
  <c r="E31" i="21"/>
  <c r="F31" i="21"/>
  <c r="G31" i="21"/>
  <c r="H31" i="21"/>
  <c r="D32" i="21"/>
  <c r="E32" i="21"/>
  <c r="F32" i="21"/>
  <c r="G32" i="21"/>
  <c r="H32" i="21"/>
  <c r="R25" i="6"/>
  <c r="I68" i="6"/>
  <c r="J68" i="6"/>
  <c r="K68" i="6"/>
  <c r="L68" i="6"/>
  <c r="M68" i="6"/>
  <c r="N68" i="6"/>
  <c r="O68" i="6"/>
  <c r="P68" i="6"/>
  <c r="Q68" i="6"/>
  <c r="R68" i="6"/>
  <c r="I69" i="6"/>
  <c r="J69" i="6"/>
  <c r="K69" i="6"/>
  <c r="L69" i="6"/>
  <c r="M69" i="6"/>
  <c r="N69" i="6"/>
  <c r="O69" i="6"/>
  <c r="P69" i="6"/>
  <c r="Q69" i="6"/>
  <c r="R69" i="6"/>
  <c r="I70" i="6"/>
  <c r="J70" i="6"/>
  <c r="K70" i="6"/>
  <c r="L70" i="6"/>
  <c r="M70" i="6"/>
  <c r="N70" i="6"/>
  <c r="O70" i="6"/>
  <c r="P70" i="6"/>
  <c r="Q70" i="6"/>
  <c r="R70" i="6"/>
  <c r="I71" i="6"/>
  <c r="J71" i="6"/>
  <c r="K71" i="6"/>
  <c r="L71" i="6"/>
  <c r="M71" i="6"/>
  <c r="N71" i="6"/>
  <c r="O71" i="6"/>
  <c r="P71" i="6"/>
  <c r="Q71" i="6"/>
  <c r="R71" i="6"/>
  <c r="I74" i="6"/>
  <c r="J74" i="6"/>
  <c r="K74" i="6"/>
  <c r="L74" i="6"/>
  <c r="M74" i="6"/>
  <c r="N74" i="6"/>
  <c r="O74" i="6"/>
  <c r="P74" i="6"/>
  <c r="Q74" i="6"/>
  <c r="R74" i="6"/>
  <c r="I75" i="6"/>
  <c r="J75" i="6"/>
  <c r="K75" i="6"/>
  <c r="L75" i="6"/>
  <c r="M75" i="6"/>
  <c r="N75" i="6"/>
  <c r="O75" i="6"/>
  <c r="P75" i="6"/>
  <c r="Q75" i="6"/>
  <c r="R75" i="6"/>
  <c r="J76" i="6"/>
  <c r="K76" i="6"/>
  <c r="L76" i="6"/>
  <c r="M76" i="6"/>
  <c r="N76" i="6"/>
  <c r="O76" i="6"/>
  <c r="P76" i="6"/>
  <c r="Q76" i="6"/>
  <c r="R76" i="6"/>
  <c r="I79" i="6"/>
  <c r="J79" i="6"/>
  <c r="K79" i="6"/>
  <c r="L79" i="6"/>
  <c r="M79" i="6"/>
  <c r="N79" i="6"/>
  <c r="O79" i="6"/>
  <c r="P79" i="6"/>
  <c r="Q79" i="6"/>
  <c r="R79" i="6"/>
  <c r="I80" i="6"/>
  <c r="J80" i="6"/>
  <c r="K80" i="6"/>
  <c r="L80" i="6"/>
  <c r="M80" i="6"/>
  <c r="N80" i="6"/>
  <c r="O80" i="6"/>
  <c r="P80" i="6"/>
  <c r="Q80" i="6"/>
  <c r="R80" i="6"/>
  <c r="I82" i="6"/>
  <c r="J82" i="6"/>
  <c r="K82" i="6"/>
  <c r="L82" i="6"/>
  <c r="M82" i="6"/>
  <c r="N82" i="6"/>
  <c r="O82" i="6"/>
  <c r="P82" i="6"/>
  <c r="Q82" i="6"/>
  <c r="R82" i="6"/>
  <c r="I83" i="6"/>
  <c r="J83" i="6"/>
  <c r="K83" i="6"/>
  <c r="L83" i="6"/>
  <c r="M83" i="6"/>
  <c r="N83" i="6"/>
  <c r="O83" i="6"/>
  <c r="P83" i="6"/>
  <c r="Q83" i="6"/>
  <c r="R83" i="6"/>
  <c r="I84" i="6"/>
  <c r="J84" i="6"/>
  <c r="K84" i="6"/>
  <c r="L84" i="6"/>
  <c r="M84" i="6"/>
  <c r="N84" i="6"/>
  <c r="O84" i="6"/>
  <c r="P84" i="6"/>
  <c r="Q84" i="6"/>
  <c r="R84" i="6"/>
  <c r="I85" i="6"/>
  <c r="J85" i="6"/>
  <c r="K85" i="6"/>
  <c r="L85" i="6"/>
  <c r="M85" i="6"/>
  <c r="N85" i="6"/>
  <c r="O85" i="6"/>
  <c r="P85" i="6"/>
  <c r="Q85" i="6"/>
  <c r="R85" i="6"/>
  <c r="I86" i="6"/>
  <c r="J86" i="6"/>
  <c r="K86" i="6"/>
  <c r="L86" i="6"/>
  <c r="M86" i="6"/>
  <c r="N86" i="6"/>
  <c r="O86" i="6"/>
  <c r="P86" i="6"/>
  <c r="Q86" i="6"/>
  <c r="R86" i="6"/>
  <c r="I87" i="6"/>
  <c r="J87" i="6"/>
  <c r="K87" i="6"/>
  <c r="L87" i="6"/>
  <c r="M87" i="6"/>
  <c r="N87" i="6"/>
  <c r="O87" i="6"/>
  <c r="P87" i="6"/>
  <c r="Q87" i="6"/>
  <c r="R87" i="6"/>
  <c r="I145" i="6"/>
  <c r="J145" i="6"/>
  <c r="K145" i="6"/>
  <c r="L145" i="6"/>
  <c r="M145" i="6"/>
  <c r="N145" i="6"/>
  <c r="O145" i="6"/>
  <c r="P145" i="6"/>
  <c r="Q145" i="6"/>
  <c r="R145" i="6"/>
  <c r="I146" i="6"/>
  <c r="J146" i="6"/>
  <c r="K146" i="6"/>
  <c r="L146" i="6"/>
  <c r="M146" i="6"/>
  <c r="N146" i="6"/>
  <c r="O146" i="6"/>
  <c r="P146" i="6"/>
  <c r="Q146" i="6"/>
  <c r="R146" i="6"/>
  <c r="I147" i="6"/>
  <c r="J147" i="6"/>
  <c r="K147" i="6"/>
  <c r="L147" i="6"/>
  <c r="M147" i="6"/>
  <c r="N147" i="6"/>
  <c r="O147" i="6"/>
  <c r="P147" i="6"/>
  <c r="Q147" i="6"/>
  <c r="R147" i="6"/>
  <c r="I149" i="6"/>
  <c r="J149" i="6"/>
  <c r="K149" i="6"/>
  <c r="L149" i="6"/>
  <c r="M149" i="6"/>
  <c r="N149" i="6"/>
  <c r="O149" i="6"/>
  <c r="P149" i="6"/>
  <c r="Q149" i="6"/>
  <c r="R149" i="6"/>
  <c r="I151" i="6"/>
  <c r="J151" i="6"/>
  <c r="K151" i="6"/>
  <c r="L151" i="6"/>
  <c r="M151" i="6"/>
  <c r="N151" i="6"/>
  <c r="O151" i="6"/>
  <c r="P151" i="6"/>
  <c r="Q151" i="6"/>
  <c r="R151" i="6"/>
  <c r="I167" i="6"/>
  <c r="J167" i="6"/>
  <c r="K167" i="6"/>
  <c r="L167" i="6"/>
  <c r="M167" i="6"/>
  <c r="N167" i="6"/>
  <c r="O167" i="6"/>
  <c r="P167" i="6"/>
  <c r="Q167" i="6"/>
  <c r="R167" i="6"/>
  <c r="I168" i="6"/>
  <c r="J168" i="6"/>
  <c r="K168" i="6"/>
  <c r="L168" i="6"/>
  <c r="M168" i="6"/>
  <c r="N168" i="6"/>
  <c r="O168" i="6"/>
  <c r="P168" i="6"/>
  <c r="Q168" i="6"/>
  <c r="R168" i="6"/>
  <c r="I176" i="6"/>
  <c r="J176" i="6"/>
  <c r="K176" i="6"/>
  <c r="L176" i="6"/>
  <c r="M176" i="6"/>
  <c r="N176" i="6"/>
  <c r="O176" i="6"/>
  <c r="P176" i="6"/>
  <c r="Q176" i="6"/>
  <c r="R176" i="6"/>
  <c r="I180" i="6"/>
  <c r="J180" i="6"/>
  <c r="K180" i="6"/>
  <c r="L180" i="6"/>
  <c r="M180" i="6"/>
  <c r="N180" i="6"/>
  <c r="O180" i="6"/>
  <c r="P180" i="6"/>
  <c r="Q180" i="6"/>
  <c r="R180" i="6"/>
  <c r="I187" i="6"/>
  <c r="J187" i="6"/>
  <c r="K187" i="6"/>
  <c r="L187" i="6"/>
  <c r="M187" i="6"/>
  <c r="N187" i="6"/>
  <c r="O187" i="6"/>
  <c r="P187" i="6"/>
  <c r="Q187" i="6"/>
  <c r="R187" i="6"/>
  <c r="I196" i="6"/>
  <c r="J196" i="6"/>
  <c r="K196" i="6"/>
  <c r="L196" i="6"/>
  <c r="M196" i="6"/>
  <c r="N196" i="6"/>
  <c r="O196" i="6"/>
  <c r="P196" i="6"/>
  <c r="Q196" i="6"/>
  <c r="R196" i="6"/>
  <c r="I197" i="6"/>
  <c r="J197" i="6"/>
  <c r="K197" i="6"/>
  <c r="L197" i="6"/>
  <c r="M197" i="6"/>
  <c r="N197" i="6"/>
  <c r="O197" i="6"/>
  <c r="P197" i="6"/>
  <c r="Q197" i="6"/>
  <c r="R197" i="6"/>
  <c r="I198" i="6"/>
  <c r="J198" i="6"/>
  <c r="K198" i="6"/>
  <c r="L198" i="6"/>
  <c r="M198" i="6"/>
  <c r="N198" i="6"/>
  <c r="O198" i="6"/>
  <c r="P198" i="6"/>
  <c r="Q198" i="6"/>
  <c r="R198" i="6"/>
  <c r="I199" i="6"/>
  <c r="J199" i="6"/>
  <c r="K199" i="6"/>
  <c r="L199" i="6"/>
  <c r="M199" i="6"/>
  <c r="N199" i="6"/>
  <c r="O199" i="6"/>
  <c r="P199" i="6"/>
  <c r="Q199" i="6"/>
  <c r="R199" i="6"/>
  <c r="I203" i="6"/>
  <c r="J203" i="6"/>
  <c r="K203" i="6"/>
  <c r="L203" i="6"/>
  <c r="M203" i="6"/>
  <c r="N203" i="6"/>
  <c r="O203" i="6"/>
  <c r="P203" i="6"/>
  <c r="Q203" i="6"/>
  <c r="R203" i="6"/>
  <c r="I205" i="6"/>
  <c r="J205" i="6"/>
  <c r="K205" i="6"/>
  <c r="L205" i="6"/>
  <c r="M205" i="6"/>
  <c r="N205" i="6"/>
  <c r="O205" i="6"/>
  <c r="P205" i="6"/>
  <c r="Q205" i="6"/>
  <c r="R205" i="6"/>
  <c r="I206" i="6"/>
  <c r="J206" i="6"/>
  <c r="K206" i="6"/>
  <c r="L206" i="6"/>
  <c r="M206" i="6"/>
  <c r="N206" i="6"/>
  <c r="O206" i="6"/>
  <c r="P206" i="6"/>
  <c r="Q206" i="6"/>
  <c r="R206" i="6"/>
  <c r="I207" i="6"/>
  <c r="J207" i="6"/>
  <c r="K207" i="6"/>
  <c r="L207" i="6"/>
  <c r="M207" i="6"/>
  <c r="N207" i="6"/>
  <c r="O207" i="6"/>
  <c r="P207" i="6"/>
  <c r="Q207" i="6"/>
  <c r="R207" i="6"/>
  <c r="I208" i="6"/>
  <c r="J208" i="6"/>
  <c r="K208" i="6"/>
  <c r="L208" i="6"/>
  <c r="M208" i="6"/>
  <c r="N208" i="6"/>
  <c r="O208" i="6"/>
  <c r="P208" i="6"/>
  <c r="Q208" i="6"/>
  <c r="R208" i="6"/>
  <c r="I241" i="6"/>
  <c r="J241" i="6"/>
  <c r="K241" i="6"/>
  <c r="L241" i="6"/>
  <c r="M241" i="6"/>
  <c r="N241" i="6"/>
  <c r="O241" i="6"/>
  <c r="P241" i="6"/>
  <c r="Q241" i="6"/>
  <c r="R241" i="6"/>
  <c r="I246" i="6"/>
  <c r="J246" i="6"/>
  <c r="K246" i="6"/>
  <c r="L246" i="6"/>
  <c r="M246" i="6"/>
  <c r="N246" i="6"/>
  <c r="O246" i="6"/>
  <c r="P246" i="6"/>
  <c r="Q246" i="6"/>
  <c r="R246" i="6"/>
  <c r="I248" i="6"/>
  <c r="J248" i="6"/>
  <c r="K248" i="6"/>
  <c r="L248" i="6"/>
  <c r="M248" i="6"/>
  <c r="N248" i="6"/>
  <c r="O248" i="6"/>
  <c r="P248" i="6"/>
  <c r="Q248" i="6"/>
  <c r="R248" i="6"/>
  <c r="I258" i="6"/>
  <c r="J258" i="6"/>
  <c r="K258" i="6"/>
  <c r="L258" i="6"/>
  <c r="M258" i="6"/>
  <c r="N258" i="6"/>
  <c r="O258" i="6"/>
  <c r="P258" i="6"/>
  <c r="Q258" i="6"/>
  <c r="R258" i="6"/>
  <c r="I265" i="6"/>
  <c r="J265" i="6"/>
  <c r="K265" i="6"/>
  <c r="L265" i="6"/>
  <c r="M265" i="6"/>
  <c r="N265" i="6"/>
  <c r="O265" i="6"/>
  <c r="P265" i="6"/>
  <c r="Q265" i="6"/>
  <c r="R265" i="6"/>
  <c r="J268" i="6"/>
  <c r="K268" i="6"/>
  <c r="L268" i="6"/>
  <c r="M268" i="6"/>
  <c r="N268" i="6"/>
  <c r="O268" i="6"/>
  <c r="P268" i="6"/>
  <c r="Q268" i="6"/>
  <c r="R268" i="6"/>
  <c r="I269" i="6"/>
  <c r="J269" i="6"/>
  <c r="K269" i="6"/>
  <c r="L269" i="6"/>
  <c r="M269" i="6"/>
  <c r="N269" i="6"/>
  <c r="O269" i="6"/>
  <c r="P269" i="6"/>
  <c r="Q269" i="6"/>
  <c r="R269" i="6"/>
  <c r="I270" i="6"/>
  <c r="J270" i="6"/>
  <c r="K270" i="6"/>
  <c r="L270" i="6"/>
  <c r="M270" i="6"/>
  <c r="N270" i="6"/>
  <c r="O270" i="6"/>
  <c r="P270" i="6"/>
  <c r="Q270" i="6"/>
  <c r="R270" i="6"/>
  <c r="I271" i="6"/>
  <c r="J271" i="6"/>
  <c r="K271" i="6"/>
  <c r="L271" i="6"/>
  <c r="M271" i="6"/>
  <c r="N271" i="6"/>
  <c r="O271" i="6"/>
  <c r="P271" i="6"/>
  <c r="Q271" i="6"/>
  <c r="R271" i="6"/>
  <c r="J272" i="6"/>
  <c r="K272" i="6"/>
  <c r="L272" i="6"/>
  <c r="M272" i="6"/>
  <c r="N272" i="6"/>
  <c r="O272" i="6"/>
  <c r="P272" i="6"/>
  <c r="Q272" i="6"/>
  <c r="R272" i="6"/>
  <c r="I273" i="6"/>
  <c r="J273" i="6"/>
  <c r="K273" i="6"/>
  <c r="L273" i="6"/>
  <c r="M273" i="6"/>
  <c r="N273" i="6"/>
  <c r="O273" i="6"/>
  <c r="P273" i="6"/>
  <c r="Q273" i="6"/>
  <c r="R273" i="6"/>
  <c r="J275" i="6"/>
  <c r="K275" i="6"/>
  <c r="L275" i="6"/>
  <c r="M275" i="6"/>
  <c r="N275" i="6"/>
  <c r="O275" i="6"/>
  <c r="P275" i="6"/>
  <c r="Q275" i="6"/>
  <c r="R275" i="6"/>
  <c r="I276" i="6"/>
  <c r="J276" i="6"/>
  <c r="K276" i="6"/>
  <c r="L276" i="6"/>
  <c r="M276" i="6"/>
  <c r="N276" i="6"/>
  <c r="O276" i="6"/>
  <c r="P276" i="6"/>
  <c r="Q276" i="6"/>
  <c r="R276" i="6"/>
  <c r="I277" i="6"/>
  <c r="J277" i="6"/>
  <c r="K277" i="6"/>
  <c r="L277" i="6"/>
  <c r="M277" i="6"/>
  <c r="N277" i="6"/>
  <c r="O277" i="6"/>
  <c r="P277" i="6"/>
  <c r="Q277" i="6"/>
  <c r="R277" i="6"/>
  <c r="I284" i="6"/>
  <c r="J284" i="6"/>
  <c r="K284" i="6"/>
  <c r="L284" i="6"/>
  <c r="M284" i="6"/>
  <c r="N284" i="6"/>
  <c r="O284" i="6"/>
  <c r="P284" i="6"/>
  <c r="Q284" i="6"/>
  <c r="R284" i="6"/>
  <c r="J285" i="6"/>
  <c r="K285" i="6"/>
  <c r="L285" i="6"/>
  <c r="M285" i="6"/>
  <c r="N285" i="6"/>
  <c r="O285" i="6"/>
  <c r="P285" i="6"/>
  <c r="Q285" i="6"/>
  <c r="R285" i="6"/>
  <c r="J287" i="6"/>
  <c r="K287" i="6"/>
  <c r="L287" i="6"/>
  <c r="M287" i="6"/>
  <c r="N287" i="6"/>
  <c r="O287" i="6"/>
  <c r="P287" i="6"/>
  <c r="Q287" i="6"/>
  <c r="R287" i="6"/>
  <c r="I289" i="6"/>
  <c r="J289" i="6"/>
  <c r="K289" i="6"/>
  <c r="L289" i="6"/>
  <c r="M289" i="6"/>
  <c r="N289" i="6"/>
  <c r="O289" i="6"/>
  <c r="P289" i="6"/>
  <c r="Q289" i="6"/>
  <c r="R289" i="6"/>
  <c r="J292" i="6"/>
  <c r="K292" i="6"/>
  <c r="L292" i="6"/>
  <c r="M292" i="6"/>
  <c r="N292" i="6"/>
  <c r="O292" i="6"/>
  <c r="P292" i="6"/>
  <c r="Q292" i="6"/>
  <c r="R292" i="6"/>
  <c r="I293" i="6"/>
  <c r="J293" i="6"/>
  <c r="K293" i="6"/>
  <c r="L293" i="6"/>
  <c r="M293" i="6"/>
  <c r="N293" i="6"/>
  <c r="O293" i="6"/>
  <c r="P293" i="6"/>
  <c r="Q293" i="6"/>
  <c r="R293" i="6"/>
  <c r="I294" i="6"/>
  <c r="J294" i="6"/>
  <c r="K294" i="6"/>
  <c r="L294" i="6"/>
  <c r="M294" i="6"/>
  <c r="N294" i="6"/>
  <c r="O294" i="6"/>
  <c r="P294" i="6"/>
  <c r="Q294" i="6"/>
  <c r="R294" i="6"/>
  <c r="I295" i="6"/>
  <c r="J295" i="6"/>
  <c r="K295" i="6"/>
  <c r="L295" i="6"/>
  <c r="M295" i="6"/>
  <c r="N295" i="6"/>
  <c r="O295" i="6"/>
  <c r="P295" i="6"/>
  <c r="Q295" i="6"/>
  <c r="R295" i="6"/>
  <c r="I296" i="6"/>
  <c r="J296" i="6"/>
  <c r="K296" i="6"/>
  <c r="L296" i="6"/>
  <c r="M296" i="6"/>
  <c r="N296" i="6"/>
  <c r="O296" i="6"/>
  <c r="P296" i="6"/>
  <c r="Q296" i="6"/>
  <c r="R296" i="6"/>
  <c r="I299" i="6"/>
  <c r="J299" i="6"/>
  <c r="K299" i="6"/>
  <c r="L299" i="6"/>
  <c r="M299" i="6"/>
  <c r="N299" i="6"/>
  <c r="O299" i="6"/>
  <c r="P299" i="6"/>
  <c r="Q299" i="6"/>
  <c r="R299" i="6"/>
  <c r="I301" i="6"/>
  <c r="J301" i="6"/>
  <c r="K301" i="6"/>
  <c r="L301" i="6"/>
  <c r="M301" i="6"/>
  <c r="N301" i="6"/>
  <c r="O301" i="6"/>
  <c r="P301" i="6"/>
  <c r="Q301" i="6"/>
  <c r="R301" i="6"/>
  <c r="J304" i="6"/>
  <c r="K304" i="6"/>
  <c r="L304" i="6"/>
  <c r="M304" i="6"/>
  <c r="N304" i="6"/>
  <c r="O304" i="6"/>
  <c r="P304" i="6"/>
  <c r="Q304" i="6"/>
  <c r="R304" i="6"/>
  <c r="J306" i="6"/>
  <c r="K306" i="6"/>
  <c r="L306" i="6"/>
  <c r="M306" i="6"/>
  <c r="N306" i="6"/>
  <c r="O306" i="6"/>
  <c r="P306" i="6"/>
  <c r="Q306" i="6"/>
  <c r="R306" i="6"/>
  <c r="I307" i="6"/>
  <c r="J307" i="6"/>
  <c r="K307" i="6"/>
  <c r="L307" i="6"/>
  <c r="M307" i="6"/>
  <c r="N307" i="6"/>
  <c r="O307" i="6"/>
  <c r="P307" i="6"/>
  <c r="Q307" i="6"/>
  <c r="R307" i="6"/>
  <c r="I309" i="6"/>
  <c r="J309" i="6"/>
  <c r="K309" i="6"/>
  <c r="L309" i="6"/>
  <c r="M309" i="6"/>
  <c r="N309" i="6"/>
  <c r="O309" i="6"/>
  <c r="P309" i="6"/>
  <c r="Q309" i="6"/>
  <c r="R309" i="6"/>
  <c r="I310" i="6"/>
  <c r="J310" i="6"/>
  <c r="K310" i="6"/>
  <c r="L310" i="6"/>
  <c r="M310" i="6"/>
  <c r="N310" i="6"/>
  <c r="O310" i="6"/>
  <c r="P310" i="6"/>
  <c r="Q310" i="6"/>
  <c r="R310" i="6"/>
  <c r="I312" i="6"/>
  <c r="J312" i="6"/>
  <c r="K312" i="6"/>
  <c r="L312" i="6"/>
  <c r="M312" i="6"/>
  <c r="N312" i="6"/>
  <c r="O312" i="6"/>
  <c r="P312" i="6"/>
  <c r="Q312" i="6"/>
  <c r="R312" i="6"/>
  <c r="J315" i="6"/>
  <c r="K315" i="6"/>
  <c r="L315" i="6"/>
  <c r="M315" i="6"/>
  <c r="N315" i="6"/>
  <c r="O315" i="6"/>
  <c r="P315" i="6"/>
  <c r="Q315" i="6"/>
  <c r="R315" i="6"/>
  <c r="I318" i="6"/>
  <c r="J318" i="6"/>
  <c r="K318" i="6"/>
  <c r="L318" i="6"/>
  <c r="M318" i="6"/>
  <c r="N318" i="6"/>
  <c r="O318" i="6"/>
  <c r="P318" i="6"/>
  <c r="Q318" i="6"/>
  <c r="R318" i="6"/>
  <c r="I319" i="6"/>
  <c r="J319" i="6"/>
  <c r="K319" i="6"/>
  <c r="L319" i="6"/>
  <c r="M319" i="6"/>
  <c r="N319" i="6"/>
  <c r="O319" i="6"/>
  <c r="P319" i="6"/>
  <c r="Q319" i="6"/>
  <c r="R319" i="6"/>
  <c r="I320" i="6"/>
  <c r="J320" i="6"/>
  <c r="K320" i="6"/>
  <c r="L320" i="6"/>
  <c r="M320" i="6"/>
  <c r="N320" i="6"/>
  <c r="O320" i="6"/>
  <c r="P320" i="6"/>
  <c r="Q320" i="6"/>
  <c r="R320" i="6"/>
  <c r="I321" i="6"/>
  <c r="J321" i="6"/>
  <c r="K321" i="6"/>
  <c r="L321" i="6"/>
  <c r="M321" i="6"/>
  <c r="N321" i="6"/>
  <c r="O321" i="6"/>
  <c r="P321" i="6"/>
  <c r="Q321" i="6"/>
  <c r="R321" i="6"/>
  <c r="I323" i="6"/>
  <c r="J323" i="6"/>
  <c r="K323" i="6"/>
  <c r="L323" i="6"/>
  <c r="M323" i="6"/>
  <c r="N323" i="6"/>
  <c r="O323" i="6"/>
  <c r="P323" i="6"/>
  <c r="Q323" i="6"/>
  <c r="R323" i="6"/>
  <c r="J326" i="6"/>
  <c r="K326" i="6"/>
  <c r="L326" i="6"/>
  <c r="M326" i="6"/>
  <c r="N326" i="6"/>
  <c r="O326" i="6"/>
  <c r="P326" i="6"/>
  <c r="Q326" i="6"/>
  <c r="R326" i="6"/>
  <c r="J327" i="6"/>
  <c r="K327" i="6"/>
  <c r="L327" i="6"/>
  <c r="M327" i="6"/>
  <c r="N327" i="6"/>
  <c r="O327" i="6"/>
  <c r="P327" i="6"/>
  <c r="Q327" i="6"/>
  <c r="R327" i="6"/>
  <c r="I328" i="6"/>
  <c r="J328" i="6"/>
  <c r="K328" i="6"/>
  <c r="L328" i="6"/>
  <c r="M328" i="6"/>
  <c r="N328" i="6"/>
  <c r="O328" i="6"/>
  <c r="P328" i="6"/>
  <c r="Q328" i="6"/>
  <c r="R328" i="6"/>
  <c r="I329" i="6"/>
  <c r="J329" i="6"/>
  <c r="K329" i="6"/>
  <c r="L329" i="6"/>
  <c r="M329" i="6"/>
  <c r="N329" i="6"/>
  <c r="O329" i="6"/>
  <c r="P329" i="6"/>
  <c r="Q329" i="6"/>
  <c r="R329" i="6"/>
  <c r="I356" i="6"/>
  <c r="J356" i="6"/>
  <c r="K356" i="6"/>
  <c r="L356" i="6"/>
  <c r="M356" i="6"/>
  <c r="N356" i="6"/>
  <c r="O356" i="6"/>
  <c r="P356" i="6"/>
  <c r="Q356" i="6"/>
  <c r="R356" i="6"/>
  <c r="I357" i="6"/>
  <c r="J357" i="6"/>
  <c r="K357" i="6"/>
  <c r="L357" i="6"/>
  <c r="M357" i="6"/>
  <c r="N357" i="6"/>
  <c r="O357" i="6"/>
  <c r="P357" i="6"/>
  <c r="Q357" i="6"/>
  <c r="R357" i="6"/>
  <c r="I358" i="6"/>
  <c r="J358" i="6"/>
  <c r="K358" i="6"/>
  <c r="L358" i="6"/>
  <c r="M358" i="6"/>
  <c r="N358" i="6"/>
  <c r="O358" i="6"/>
  <c r="P358" i="6"/>
  <c r="Q358" i="6"/>
  <c r="R358" i="6"/>
  <c r="I360" i="6"/>
  <c r="J360" i="6"/>
  <c r="K360" i="6"/>
  <c r="L360" i="6"/>
  <c r="M360" i="6"/>
  <c r="N360" i="6"/>
  <c r="O360" i="6"/>
  <c r="P360" i="6"/>
  <c r="Q360" i="6"/>
  <c r="R360" i="6"/>
  <c r="I361" i="6"/>
  <c r="J361" i="6"/>
  <c r="K361" i="6"/>
  <c r="L361" i="6"/>
  <c r="M361" i="6"/>
  <c r="N361" i="6"/>
  <c r="O361" i="6"/>
  <c r="P361" i="6"/>
  <c r="Q361" i="6"/>
  <c r="R361" i="6"/>
  <c r="J362" i="6"/>
  <c r="K362" i="6"/>
  <c r="L362" i="6"/>
  <c r="M362" i="6"/>
  <c r="N362" i="6"/>
  <c r="O362" i="6"/>
  <c r="P362" i="6"/>
  <c r="Q362" i="6"/>
  <c r="R362" i="6"/>
  <c r="J363" i="6"/>
  <c r="K363" i="6"/>
  <c r="L363" i="6"/>
  <c r="M363" i="6"/>
  <c r="N363" i="6"/>
  <c r="O363" i="6"/>
  <c r="P363" i="6"/>
  <c r="Q363" i="6"/>
  <c r="R363" i="6"/>
  <c r="I364" i="6"/>
  <c r="J364" i="6"/>
  <c r="K364" i="6"/>
  <c r="L364" i="6"/>
  <c r="M364" i="6"/>
  <c r="N364" i="6"/>
  <c r="O364" i="6"/>
  <c r="P364" i="6"/>
  <c r="Q364" i="6"/>
  <c r="R364" i="6"/>
  <c r="I366" i="6"/>
  <c r="J366" i="6"/>
  <c r="K366" i="6"/>
  <c r="L366" i="6"/>
  <c r="M366" i="6"/>
  <c r="N366" i="6"/>
  <c r="O366" i="6"/>
  <c r="P366" i="6"/>
  <c r="Q366" i="6"/>
  <c r="R366" i="6"/>
  <c r="I367" i="6"/>
  <c r="J370" i="6"/>
  <c r="K370" i="6"/>
  <c r="L370" i="6"/>
  <c r="M370" i="6"/>
  <c r="N370" i="6"/>
  <c r="O370" i="6"/>
  <c r="P370" i="6"/>
  <c r="Q370" i="6"/>
  <c r="R370" i="6"/>
  <c r="I371" i="6"/>
  <c r="J371" i="6"/>
  <c r="K371" i="6"/>
  <c r="L371" i="6"/>
  <c r="M371" i="6"/>
  <c r="N371" i="6"/>
  <c r="O371" i="6"/>
  <c r="P371" i="6"/>
  <c r="Q371" i="6"/>
  <c r="R371" i="6"/>
  <c r="I372" i="6"/>
  <c r="J372" i="6"/>
  <c r="K372" i="6"/>
  <c r="L372" i="6"/>
  <c r="M372" i="6"/>
  <c r="N372" i="6"/>
  <c r="O372" i="6"/>
  <c r="P372" i="6"/>
  <c r="Q372" i="6"/>
  <c r="R372" i="6"/>
  <c r="I375" i="6"/>
  <c r="J375" i="6"/>
  <c r="K375" i="6"/>
  <c r="L375" i="6"/>
  <c r="M375" i="6"/>
  <c r="N375" i="6"/>
  <c r="O375" i="6"/>
  <c r="P375" i="6"/>
  <c r="Q375" i="6"/>
  <c r="R375" i="6"/>
  <c r="I380" i="6"/>
  <c r="J380" i="6"/>
  <c r="K380" i="6"/>
  <c r="L380" i="6"/>
  <c r="M380" i="6"/>
  <c r="N380" i="6"/>
  <c r="O380" i="6"/>
  <c r="P380" i="6"/>
  <c r="Q380" i="6"/>
  <c r="R380" i="6"/>
  <c r="I382" i="6"/>
  <c r="J382" i="6"/>
  <c r="K382" i="6"/>
  <c r="L382" i="6"/>
  <c r="M382" i="6"/>
  <c r="N382" i="6"/>
  <c r="O382" i="6"/>
  <c r="P382" i="6"/>
  <c r="Q382" i="6"/>
  <c r="R382" i="6"/>
  <c r="J388" i="6"/>
  <c r="K388" i="6"/>
  <c r="L388" i="6"/>
  <c r="M388" i="6"/>
  <c r="N388" i="6"/>
  <c r="O388" i="6"/>
  <c r="P388" i="6"/>
  <c r="Q388" i="6"/>
  <c r="R388" i="6"/>
  <c r="I389" i="6"/>
  <c r="J389" i="6"/>
  <c r="K389" i="6"/>
  <c r="L389" i="6"/>
  <c r="M389" i="6"/>
  <c r="N389" i="6"/>
  <c r="O389" i="6"/>
  <c r="P389" i="6"/>
  <c r="Q389" i="6"/>
  <c r="R389" i="6"/>
  <c r="I390" i="6"/>
  <c r="J390" i="6"/>
  <c r="K390" i="6"/>
  <c r="L390" i="6"/>
  <c r="M390" i="6"/>
  <c r="N390" i="6"/>
  <c r="O390" i="6"/>
  <c r="P390" i="6"/>
  <c r="Q390" i="6"/>
  <c r="R390" i="6"/>
  <c r="I391" i="6"/>
  <c r="J391" i="6"/>
  <c r="K391" i="6"/>
  <c r="L391" i="6"/>
  <c r="M391" i="6"/>
  <c r="N391" i="6"/>
  <c r="O391" i="6"/>
  <c r="P391" i="6"/>
  <c r="Q391" i="6"/>
  <c r="R391" i="6"/>
  <c r="I457" i="6"/>
  <c r="J457" i="6"/>
  <c r="K457" i="6"/>
  <c r="L457" i="6"/>
  <c r="M457" i="6"/>
  <c r="N457" i="6"/>
  <c r="O457" i="6"/>
  <c r="P457" i="6"/>
  <c r="Q457" i="6"/>
  <c r="R457" i="6"/>
  <c r="I463" i="6"/>
  <c r="J463" i="6"/>
  <c r="K463" i="6"/>
  <c r="L463" i="6"/>
  <c r="M463" i="6"/>
  <c r="N463" i="6"/>
  <c r="O463" i="6"/>
  <c r="P463" i="6"/>
  <c r="Q463" i="6"/>
  <c r="R463" i="6"/>
  <c r="I467" i="6"/>
  <c r="J467" i="6"/>
  <c r="K467" i="6"/>
  <c r="L467" i="6"/>
  <c r="M467" i="6"/>
  <c r="N467" i="6"/>
  <c r="O467" i="6"/>
  <c r="P467" i="6"/>
  <c r="Q467" i="6"/>
  <c r="R467" i="6"/>
  <c r="J470" i="6"/>
  <c r="K470" i="6"/>
  <c r="L470" i="6"/>
  <c r="M470" i="6"/>
  <c r="N470" i="6"/>
  <c r="O470" i="6"/>
  <c r="P470" i="6"/>
  <c r="Q470" i="6"/>
  <c r="R470" i="6"/>
  <c r="I471" i="6"/>
  <c r="J471" i="6"/>
  <c r="K471" i="6"/>
  <c r="L471" i="6"/>
  <c r="M471" i="6"/>
  <c r="N471" i="6"/>
  <c r="O471" i="6"/>
  <c r="P471" i="6"/>
  <c r="Q471" i="6"/>
  <c r="R471" i="6"/>
  <c r="I472" i="6"/>
  <c r="J472" i="6"/>
  <c r="K472" i="6"/>
  <c r="L472" i="6"/>
  <c r="M472" i="6"/>
  <c r="N472" i="6"/>
  <c r="O472" i="6"/>
  <c r="P472" i="6"/>
  <c r="Q472" i="6"/>
  <c r="R472" i="6"/>
  <c r="I473" i="6"/>
  <c r="J473" i="6"/>
  <c r="K473" i="6"/>
  <c r="L473" i="6"/>
  <c r="M473" i="6"/>
  <c r="N473" i="6"/>
  <c r="O473" i="6"/>
  <c r="P473" i="6"/>
  <c r="Q473" i="6"/>
  <c r="R473" i="6"/>
  <c r="I476" i="6"/>
  <c r="J476" i="6"/>
  <c r="K476" i="6"/>
  <c r="L476" i="6"/>
  <c r="M476" i="6"/>
  <c r="N476" i="6"/>
  <c r="O476" i="6"/>
  <c r="P476" i="6"/>
  <c r="Q476" i="6"/>
  <c r="R476" i="6"/>
  <c r="I477" i="6"/>
  <c r="J477" i="6"/>
  <c r="K477" i="6"/>
  <c r="L477" i="6"/>
  <c r="M477" i="6"/>
  <c r="N477" i="6"/>
  <c r="O477" i="6"/>
  <c r="P477" i="6"/>
  <c r="Q477" i="6"/>
  <c r="R477" i="6"/>
  <c r="I478" i="6"/>
  <c r="J478" i="6"/>
  <c r="K478" i="6"/>
  <c r="L478" i="6"/>
  <c r="M478" i="6"/>
  <c r="N478" i="6"/>
  <c r="O478" i="6"/>
  <c r="P478" i="6"/>
  <c r="Q478" i="6"/>
  <c r="R478" i="6"/>
  <c r="I480" i="6"/>
  <c r="J480" i="6"/>
  <c r="K480" i="6"/>
  <c r="L480" i="6"/>
  <c r="M480" i="6"/>
  <c r="N480" i="6"/>
  <c r="O480" i="6"/>
  <c r="P480" i="6"/>
  <c r="Q480" i="6"/>
  <c r="R480" i="6"/>
  <c r="I482" i="6"/>
  <c r="J482" i="6"/>
  <c r="K482" i="6"/>
  <c r="L482" i="6"/>
  <c r="M482" i="6"/>
  <c r="N482" i="6"/>
  <c r="O482" i="6"/>
  <c r="P482" i="6"/>
  <c r="Q482" i="6"/>
  <c r="R482" i="6"/>
  <c r="I483" i="6"/>
  <c r="J483" i="6"/>
  <c r="K483" i="6"/>
  <c r="L483" i="6"/>
  <c r="M483" i="6"/>
  <c r="N483" i="6"/>
  <c r="O483" i="6"/>
  <c r="P483" i="6"/>
  <c r="Q483" i="6"/>
  <c r="R483" i="6"/>
  <c r="J485" i="6"/>
  <c r="K485" i="6"/>
  <c r="L485" i="6"/>
  <c r="M485" i="6"/>
  <c r="N485" i="6"/>
  <c r="O485" i="6"/>
  <c r="P485" i="6"/>
  <c r="Q485" i="6"/>
  <c r="R485" i="6"/>
  <c r="I486" i="6"/>
  <c r="J486" i="6"/>
  <c r="K486" i="6"/>
  <c r="L486" i="6"/>
  <c r="M486" i="6"/>
  <c r="N486" i="6"/>
  <c r="O486" i="6"/>
  <c r="P486" i="6"/>
  <c r="Q486" i="6"/>
  <c r="R486" i="6"/>
  <c r="I487" i="6"/>
  <c r="J487" i="6"/>
  <c r="K487" i="6"/>
  <c r="L487" i="6"/>
  <c r="M487" i="6"/>
  <c r="N487" i="6"/>
  <c r="O487" i="6"/>
  <c r="P487" i="6"/>
  <c r="Q487" i="6"/>
  <c r="R487" i="6"/>
  <c r="I488" i="6"/>
  <c r="J488" i="6"/>
  <c r="K488" i="6"/>
  <c r="L488" i="6"/>
  <c r="M488" i="6"/>
  <c r="N488" i="6"/>
  <c r="O488" i="6"/>
  <c r="P488" i="6"/>
  <c r="Q488" i="6"/>
  <c r="R488" i="6"/>
  <c r="I12" i="17"/>
  <c r="J12" i="17"/>
  <c r="K12" i="17"/>
  <c r="L12" i="17"/>
  <c r="M12" i="17"/>
  <c r="I13" i="17"/>
  <c r="J13" i="17"/>
  <c r="K13" i="17"/>
  <c r="L13" i="17"/>
  <c r="M13" i="17"/>
  <c r="I15" i="17"/>
  <c r="J15" i="17"/>
  <c r="K15" i="17"/>
  <c r="L15" i="17"/>
  <c r="M15" i="17"/>
  <c r="I17" i="17"/>
  <c r="J17" i="17"/>
  <c r="K17" i="17"/>
  <c r="L17" i="17"/>
  <c r="M17" i="17"/>
  <c r="I18" i="17"/>
  <c r="J18" i="17"/>
  <c r="K18" i="17"/>
  <c r="L18" i="17"/>
  <c r="M18" i="17"/>
  <c r="I19" i="17"/>
  <c r="J19" i="17"/>
  <c r="K19" i="17"/>
  <c r="L19" i="17"/>
  <c r="M19" i="17"/>
  <c r="M23" i="17"/>
  <c r="M24" i="17"/>
  <c r="M25" i="17"/>
  <c r="M32" i="17"/>
  <c r="M33" i="17"/>
  <c r="M35" i="17"/>
  <c r="I36" i="17"/>
  <c r="J36" i="17"/>
  <c r="K36" i="17"/>
  <c r="L36" i="17"/>
  <c r="M36" i="17"/>
  <c r="I37" i="17"/>
  <c r="J38" i="17"/>
  <c r="K39" i="17"/>
  <c r="L40" i="17"/>
  <c r="L41" i="17"/>
  <c r="M41" i="17"/>
  <c r="M45" i="17"/>
  <c r="M46" i="17"/>
  <c r="I49" i="17"/>
  <c r="J49" i="17"/>
  <c r="K49" i="17"/>
  <c r="L49" i="17"/>
  <c r="M49" i="17"/>
  <c r="I50" i="17"/>
  <c r="I51" i="17"/>
  <c r="J51" i="17"/>
  <c r="I52" i="17"/>
  <c r="J52" i="17"/>
  <c r="K52" i="17"/>
  <c r="I53" i="17"/>
  <c r="J53" i="17"/>
  <c r="K53" i="17"/>
  <c r="L53" i="17"/>
  <c r="I54" i="17"/>
  <c r="J54" i="17"/>
  <c r="K54" i="17"/>
  <c r="L54" i="17"/>
  <c r="M54" i="17"/>
  <c r="I59" i="17"/>
  <c r="J59" i="17"/>
  <c r="K59" i="17"/>
  <c r="L59" i="17"/>
  <c r="M59" i="17"/>
  <c r="I60" i="17"/>
  <c r="J60" i="17"/>
  <c r="K60" i="17"/>
  <c r="L60" i="17"/>
  <c r="M60" i="17"/>
  <c r="M61" i="17"/>
  <c r="I62" i="17"/>
  <c r="J62" i="17"/>
  <c r="K62" i="17"/>
  <c r="L62" i="17"/>
  <c r="M62" i="17"/>
  <c r="I63" i="17"/>
  <c r="J63" i="17"/>
  <c r="K63" i="17"/>
  <c r="L63" i="17"/>
  <c r="M63" i="17"/>
  <c r="I68" i="17"/>
  <c r="J68" i="17"/>
  <c r="K68" i="17"/>
  <c r="L68" i="17"/>
  <c r="M68" i="17"/>
  <c r="I69" i="17"/>
  <c r="J69" i="17"/>
  <c r="K69" i="17"/>
  <c r="L69" i="17"/>
  <c r="M69" i="17"/>
  <c r="M70" i="17"/>
  <c r="I71" i="17"/>
  <c r="J71" i="17"/>
  <c r="K71" i="17"/>
  <c r="L71" i="17"/>
  <c r="M71" i="17"/>
  <c r="I73" i="17"/>
  <c r="J73" i="17"/>
  <c r="K73" i="17"/>
  <c r="L73" i="17"/>
  <c r="I75" i="17"/>
  <c r="J75" i="17"/>
  <c r="K75" i="17"/>
  <c r="L75" i="17"/>
  <c r="M75" i="17"/>
  <c r="I77" i="17"/>
  <c r="J77" i="17"/>
  <c r="K77" i="17"/>
  <c r="L77" i="17"/>
  <c r="M77" i="17"/>
  <c r="I78" i="17"/>
  <c r="J78" i="17"/>
  <c r="K78" i="17"/>
  <c r="L78" i="17"/>
  <c r="M78" i="17"/>
  <c r="C13" i="18"/>
  <c r="G13" i="18"/>
  <c r="G14" i="18"/>
  <c r="C15" i="18"/>
  <c r="G16" i="18"/>
  <c r="C19" i="18"/>
  <c r="C20" i="18"/>
  <c r="G20" i="18"/>
  <c r="G21" i="18"/>
  <c r="C22" i="18"/>
  <c r="G22" i="18"/>
  <c r="C23" i="18"/>
  <c r="G24" i="18"/>
  <c r="G25" i="18"/>
</calcChain>
</file>

<file path=xl/comments1.xml><?xml version="1.0" encoding="utf-8"?>
<comments xmlns="http://schemas.openxmlformats.org/spreadsheetml/2006/main">
  <authors>
    <author>graham.gilbert</author>
    <author>Graham.Gilbert</author>
  </authors>
  <commentList>
    <comment ref="R9" authorId="0" shapeId="0">
      <text>
        <r>
          <rPr>
            <b/>
            <sz val="9"/>
            <color indexed="81"/>
            <rFont val="Tahoma"/>
            <family val="2"/>
          </rPr>
          <t>Ashland:</t>
        </r>
        <r>
          <rPr>
            <sz val="9"/>
            <color indexed="81"/>
            <rFont val="Tahoma"/>
            <family val="2"/>
          </rPr>
          <t xml:space="preserve">
Type "Asset" or "Stock." Asset Deal assumes Goodwill Amortization for Tax Purposes</t>
        </r>
      </text>
    </comment>
    <comment ref="R11" authorId="1" shapeId="0">
      <text>
        <r>
          <rPr>
            <b/>
            <sz val="9"/>
            <color indexed="81"/>
            <rFont val="Tahoma"/>
            <family val="2"/>
          </rPr>
          <t>Ashland:</t>
        </r>
        <r>
          <rPr>
            <sz val="9"/>
            <color indexed="81"/>
            <rFont val="Tahoma"/>
            <family val="2"/>
          </rPr>
          <t xml:space="preserve">
Case Trigger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Ashland:</t>
        </r>
        <r>
          <rPr>
            <sz val="9"/>
            <color indexed="81"/>
            <rFont val="Tahoma"/>
            <family val="2"/>
          </rPr>
          <t xml:space="preserve">
Type "C-Corp" or "Flow Thru"</t>
        </r>
      </text>
    </comment>
  </commentList>
</comments>
</file>

<file path=xl/sharedStrings.xml><?xml version="1.0" encoding="utf-8"?>
<sst xmlns="http://schemas.openxmlformats.org/spreadsheetml/2006/main" count="859" uniqueCount="553">
  <si>
    <t>Financial Model</t>
  </si>
  <si>
    <t>Historical Balance Sheet</t>
  </si>
  <si>
    <t>Balance Sheet - As Reported</t>
  </si>
  <si>
    <t>Dollars</t>
  </si>
  <si>
    <t>Current Assets</t>
  </si>
  <si>
    <t>Cash</t>
  </si>
  <si>
    <t>Accounts Receivable</t>
  </si>
  <si>
    <t>Total Current Assets</t>
  </si>
  <si>
    <t>Long-Term Assets</t>
  </si>
  <si>
    <t>Gross Fixed Assets</t>
  </si>
  <si>
    <t>Accumulated Depreciation</t>
  </si>
  <si>
    <t>Fixed Assets, net</t>
  </si>
  <si>
    <t>Other Assets</t>
  </si>
  <si>
    <t>Total Other Assets</t>
  </si>
  <si>
    <t>Total Assets</t>
  </si>
  <si>
    <t>Current Liabilities</t>
  </si>
  <si>
    <t>Accounts Payable</t>
  </si>
  <si>
    <t>Accrued and Other Current Liabilities</t>
  </si>
  <si>
    <t>Total Current Liabilities</t>
  </si>
  <si>
    <t>Long-Term Liabilities</t>
  </si>
  <si>
    <t>Notes Payable</t>
  </si>
  <si>
    <t>Shareholders' Equity</t>
  </si>
  <si>
    <t>Total Liabilities and Equity</t>
  </si>
  <si>
    <t>Balance Check</t>
  </si>
  <si>
    <t>Revenue</t>
  </si>
  <si>
    <t>COGS</t>
  </si>
  <si>
    <t>Working Capital Statistics</t>
  </si>
  <si>
    <t>Accounts Receivable Days</t>
  </si>
  <si>
    <t>Inventory Days</t>
  </si>
  <si>
    <t>Other Long-Term Assets % of Revenue</t>
  </si>
  <si>
    <t>Accounts Payable Days</t>
  </si>
  <si>
    <t>Accrued and Other Current Liabilities % of COGS</t>
  </si>
  <si>
    <t>Historical Income Statement</t>
  </si>
  <si>
    <t>P&amp;L - As Reported</t>
  </si>
  <si>
    <t>Total Cost of Goods Sold</t>
  </si>
  <si>
    <t>Gross Profit</t>
  </si>
  <si>
    <t>Gross Margin</t>
  </si>
  <si>
    <t>Other</t>
  </si>
  <si>
    <t>Depreciation</t>
  </si>
  <si>
    <t>Total Operating Expenses</t>
  </si>
  <si>
    <t>Operating Income</t>
  </si>
  <si>
    <t>Operating Income Margin</t>
  </si>
  <si>
    <t>Depreciation &amp; Amortization</t>
  </si>
  <si>
    <t>Total Depreciation &amp; Amortization</t>
  </si>
  <si>
    <t>EBITDA</t>
  </si>
  <si>
    <t>EBITDA Margin</t>
  </si>
  <si>
    <t>Interest Expense</t>
  </si>
  <si>
    <t>Other Income (Expenses)</t>
  </si>
  <si>
    <t>Total Other Income (Expenses)</t>
  </si>
  <si>
    <t>Net Income (Loss)</t>
  </si>
  <si>
    <t>Model Inputs</t>
  </si>
  <si>
    <t>v</t>
  </si>
  <si>
    <t>Uses &amp; Fees</t>
  </si>
  <si>
    <t>Revolver Commitment Fees</t>
  </si>
  <si>
    <t>Senior Term Fees</t>
  </si>
  <si>
    <t>Sub. Debt Fees</t>
  </si>
  <si>
    <t>Minimum Cash Requirement</t>
  </si>
  <si>
    <t>Total Uses</t>
  </si>
  <si>
    <t>Ashland Fees</t>
  </si>
  <si>
    <t>Transaction Cap. Table</t>
  </si>
  <si>
    <t>$</t>
  </si>
  <si>
    <t>xEBITDA</t>
  </si>
  <si>
    <t>% of Cap.</t>
  </si>
  <si>
    <t>Revolver</t>
  </si>
  <si>
    <t>Senior Term</t>
  </si>
  <si>
    <t>Sub. Debt</t>
  </si>
  <si>
    <t>Total Debt</t>
  </si>
  <si>
    <t>Total Equity</t>
  </si>
  <si>
    <t>Total Capitalization</t>
  </si>
  <si>
    <t>Ashland Equity</t>
  </si>
  <si>
    <t>Goodwill Calculation</t>
  </si>
  <si>
    <t>Plus: Existing Goodwill</t>
  </si>
  <si>
    <t>Borrowing Base</t>
  </si>
  <si>
    <t>Advance</t>
  </si>
  <si>
    <t>BBC</t>
  </si>
  <si>
    <t>Borrowing Base (Rounded)</t>
  </si>
  <si>
    <t>Pricing, Fees &amp; Terms</t>
  </si>
  <si>
    <t>Active</t>
  </si>
  <si>
    <t>Case I</t>
  </si>
  <si>
    <t>Case II</t>
  </si>
  <si>
    <t>Purchase / Exit Multiples</t>
  </si>
  <si>
    <t>Exit Multiple</t>
  </si>
  <si>
    <t>Debt &amp; Equity Inputs</t>
  </si>
  <si>
    <t>Revolver Spread</t>
  </si>
  <si>
    <t>Revolver Unused Fee</t>
  </si>
  <si>
    <t>Revolver Comm. Fees</t>
  </si>
  <si>
    <t>Sub. Debt Cash</t>
  </si>
  <si>
    <t>Sub. Debt PIK</t>
  </si>
  <si>
    <t>Sub. Debt Commitment Fee</t>
  </si>
  <si>
    <t>Interest Earned</t>
  </si>
  <si>
    <t>Financing Fees Amortization</t>
  </si>
  <si>
    <t>Intangibles</t>
  </si>
  <si>
    <t>New Goodwill</t>
  </si>
  <si>
    <t>Case III</t>
  </si>
  <si>
    <t>Deal Type</t>
  </si>
  <si>
    <t>Asset</t>
  </si>
  <si>
    <t>Triggers</t>
  </si>
  <si>
    <t>Enterprise &amp; Equity Value</t>
  </si>
  <si>
    <t>(x) Purchase Multiple</t>
  </si>
  <si>
    <t>Initial Purchase Price</t>
  </si>
  <si>
    <t>Balance Checks</t>
  </si>
  <si>
    <t>Balance Sheet --&gt;</t>
  </si>
  <si>
    <t>Summary Credit Statistics</t>
  </si>
  <si>
    <t>Fiscal Year Periods</t>
  </si>
  <si>
    <t>Duration Since Transaction</t>
  </si>
  <si>
    <t>Credit Statistics</t>
  </si>
  <si>
    <t>Senior Debt</t>
  </si>
  <si>
    <t>Cash &amp; Equivalents</t>
  </si>
  <si>
    <t>Net Debt</t>
  </si>
  <si>
    <t>Adjusted EBITDA</t>
  </si>
  <si>
    <t>Capex</t>
  </si>
  <si>
    <t>Cash Interest Expense</t>
  </si>
  <si>
    <t>Cash Taxes</t>
  </si>
  <si>
    <t>Mandatory Amortization</t>
  </si>
  <si>
    <t>Total Debt / EBITDA</t>
  </si>
  <si>
    <t>Net Debt / EBITDA</t>
  </si>
  <si>
    <t>Cumulative Senior Debt Paid Down</t>
  </si>
  <si>
    <t>Cumulative Total Debt Paid Down</t>
  </si>
  <si>
    <t>% Senior Debt Paydown</t>
  </si>
  <si>
    <t>EBITDA / Interest Expense</t>
  </si>
  <si>
    <t>(EBITDA-Capex) / Interest Expense</t>
  </si>
  <si>
    <t>Fixed Charge Ratio</t>
  </si>
  <si>
    <t>Transaction Balance Sheet</t>
  </si>
  <si>
    <t>Adjustments</t>
  </si>
  <si>
    <t>Debits</t>
  </si>
  <si>
    <t>Credits</t>
  </si>
  <si>
    <t>Assets</t>
  </si>
  <si>
    <t>Prepaids &amp; Other</t>
  </si>
  <si>
    <t>PP&amp;E</t>
  </si>
  <si>
    <t>Goodwill</t>
  </si>
  <si>
    <t>Deferred Financing Fees</t>
  </si>
  <si>
    <t>Liabilities &amp; Stockholders' Equity</t>
  </si>
  <si>
    <t>Account Payable</t>
  </si>
  <si>
    <t>Accrued Expenses &amp; Other</t>
  </si>
  <si>
    <t>Debt Schedule</t>
  </si>
  <si>
    <t>Mezzanine Debt</t>
  </si>
  <si>
    <t>Other Liabilities</t>
  </si>
  <si>
    <t>Deferred Income Taxes</t>
  </si>
  <si>
    <t>Total Liabilities</t>
  </si>
  <si>
    <t>Stockholders' Equity</t>
  </si>
  <si>
    <t>Total Stockholders' Equity &amp; Liabilities</t>
  </si>
  <si>
    <t>check</t>
  </si>
  <si>
    <t>Term Loan</t>
  </si>
  <si>
    <t>Term Loan Spread</t>
  </si>
  <si>
    <t>Term Loan Commitment Fee</t>
  </si>
  <si>
    <t>Term Loan Term</t>
  </si>
  <si>
    <t>Historical &amp; Projected Income Statement</t>
  </si>
  <si>
    <t>CAGR</t>
  </si>
  <si>
    <t>EBIT</t>
  </si>
  <si>
    <t>Interest (Income)</t>
  </si>
  <si>
    <t>Pre-Tax Income</t>
  </si>
  <si>
    <t>Current Taxes</t>
  </si>
  <si>
    <t>Deferred Taxes</t>
  </si>
  <si>
    <t>Net Income</t>
  </si>
  <si>
    <t>Amortization of Intangibles</t>
  </si>
  <si>
    <t>Growth Rates and Margin</t>
  </si>
  <si>
    <t>Revenue Growth Rate</t>
  </si>
  <si>
    <t>COGS Margin</t>
  </si>
  <si>
    <t>EBIT Margin</t>
  </si>
  <si>
    <t>Depreciation (% Revenue)</t>
  </si>
  <si>
    <t>Amortization of Intangibles (% Revenue)</t>
  </si>
  <si>
    <t>Tax Rate</t>
  </si>
  <si>
    <t>Net Income (% Revenue)</t>
  </si>
  <si>
    <t>Selling, General &amp; Administrative</t>
  </si>
  <si>
    <t>Selling, General &amp; Administrative (% Revenue)</t>
  </si>
  <si>
    <t>Historical &amp; Projected Balance Sheet</t>
  </si>
  <si>
    <t>Capitalized Financing Fees</t>
  </si>
  <si>
    <t>Balance Sheet Drivers</t>
  </si>
  <si>
    <t>Net Working Capital</t>
  </si>
  <si>
    <t>Net Working Capital (% Revenue)</t>
  </si>
  <si>
    <t>Days Receivable (per Revenue)</t>
  </si>
  <si>
    <t>Inventory Turns (COGS / EOP Inventory)</t>
  </si>
  <si>
    <t>Days Payable (per COGS)</t>
  </si>
  <si>
    <t>Accrued Expenses (as % of Revenue)</t>
  </si>
  <si>
    <t>Days/Year</t>
  </si>
  <si>
    <t>Prepaids &amp; Other (as % of Revenue)</t>
  </si>
  <si>
    <t>Historical &amp; Projected Statement of Cash Flows</t>
  </si>
  <si>
    <t>Cash Flows from Operating Activities</t>
  </si>
  <si>
    <t>PIK Accrual on Mezzanine Debt</t>
  </si>
  <si>
    <t>Amortization of Deferred Financing Fees</t>
  </si>
  <si>
    <t>FFO</t>
  </si>
  <si>
    <t>Cash Flows from Working Capital</t>
  </si>
  <si>
    <t>Net Cash Flows from Working Capital</t>
  </si>
  <si>
    <t>Cash Flow from Operations</t>
  </si>
  <si>
    <t>Cash Flow from Investing Activities</t>
  </si>
  <si>
    <t>Capital Expenditures</t>
  </si>
  <si>
    <t>Purchase of Intangibles</t>
  </si>
  <si>
    <t>Net Cash Flows from Investing Activities</t>
  </si>
  <si>
    <t>Cash Flow Available to Service Debt</t>
  </si>
  <si>
    <t>Cash Flows from Financing Activities</t>
  </si>
  <si>
    <t>Mandatory Debt Repayments</t>
  </si>
  <si>
    <t>Debt Borrowings / (Repayments)</t>
  </si>
  <si>
    <t>Net Cash Flows from Financing Activities</t>
  </si>
  <si>
    <t>Beginning Cash Balance</t>
  </si>
  <si>
    <t>Change in Cash Position</t>
  </si>
  <si>
    <t>Ending Cash Balance</t>
  </si>
  <si>
    <t>Beginning Balance</t>
  </si>
  <si>
    <t>Minimum Cash Balance</t>
  </si>
  <si>
    <t>Mandatory Repayments</t>
  </si>
  <si>
    <t>Additional Borrowings</t>
  </si>
  <si>
    <t>Cash Available to Service Debt</t>
  </si>
  <si>
    <t>Optional Repayments</t>
  </si>
  <si>
    <t>Sweep</t>
  </si>
  <si>
    <t>Ending Balance</t>
  </si>
  <si>
    <t>Average Balance</t>
  </si>
  <si>
    <t>Average Interest?</t>
  </si>
  <si>
    <t>Addl' Borrowings/(Repay)</t>
  </si>
  <si>
    <t>Amortization Per Year</t>
  </si>
  <si>
    <t>Optional Repayments?</t>
  </si>
  <si>
    <t>Amortize?</t>
  </si>
  <si>
    <t>PIK Accrual</t>
  </si>
  <si>
    <t>Cash Available post Term Loan to service Mezzanine Debt</t>
  </si>
  <si>
    <t>Interest Schedule</t>
  </si>
  <si>
    <t>Spreads Over LIBOR</t>
  </si>
  <si>
    <t>Interest Rates</t>
  </si>
  <si>
    <t>Mezzanine Debt (Cash Portion)</t>
  </si>
  <si>
    <t>Mezzanine Debt (PIK Portion)</t>
  </si>
  <si>
    <t>Interest Expenses</t>
  </si>
  <si>
    <t>Interest Income</t>
  </si>
  <si>
    <t>Average Cash Balance</t>
  </si>
  <si>
    <t>Interest Rate on Cash</t>
  </si>
  <si>
    <t>Shareholders' Equity and PP&amp;E Schedule</t>
  </si>
  <si>
    <t>Shareholders' Equity Schedule</t>
  </si>
  <si>
    <t>PP&amp;E Schedule</t>
  </si>
  <si>
    <t>Less: Depreciation</t>
  </si>
  <si>
    <t>Plus: Capex</t>
  </si>
  <si>
    <t>Mid Year Convention?</t>
  </si>
  <si>
    <t>Yes</t>
  </si>
  <si>
    <t>Depreciation from Existing PP&amp;E</t>
  </si>
  <si>
    <t>Begin. Balance ---&gt;</t>
  </si>
  <si>
    <t>Years --&gt;</t>
  </si>
  <si>
    <t>Year</t>
  </si>
  <si>
    <t>CapEx</t>
  </si>
  <si>
    <t>Total Depreciation from Existing PP&amp;E and CapEx</t>
  </si>
  <si>
    <t>Book</t>
  </si>
  <si>
    <t>Tax</t>
  </si>
  <si>
    <t>Goodwill Amortization</t>
  </si>
  <si>
    <t>Incremental Depr. from Write-up to FMV</t>
  </si>
  <si>
    <t>Incremental Amort. from Write-up to FMV</t>
  </si>
  <si>
    <t>Begin. Balance</t>
  </si>
  <si>
    <t>Depreciation &amp; Amortization Schedule</t>
  </si>
  <si>
    <t>Tax Schedule</t>
  </si>
  <si>
    <t>Cash Income Tax Schedule</t>
  </si>
  <si>
    <t>Book Pre-Tax Income</t>
  </si>
  <si>
    <t>Adjusted Taxable Income</t>
  </si>
  <si>
    <t>Net Adjusted Taxable Income</t>
  </si>
  <si>
    <t>Cash Tax Provision</t>
  </si>
  <si>
    <t>Cash Tax NOL Calculation</t>
  </si>
  <si>
    <t>Beginning of Period NOL Carryforward</t>
  </si>
  <si>
    <t>Additions</t>
  </si>
  <si>
    <t>Subtractions</t>
  </si>
  <si>
    <t>End of Period NOL Carryforward</t>
  </si>
  <si>
    <t>Drivers</t>
  </si>
  <si>
    <t>Revenue Growth</t>
  </si>
  <si>
    <t>Base Case</t>
  </si>
  <si>
    <t>COGS (% of Revenue)</t>
  </si>
  <si>
    <t>Capex (% of Rev.)</t>
  </si>
  <si>
    <t>SG&amp;A (% of Rev.)</t>
  </si>
  <si>
    <t>Prepaid Expenses &amp; Other</t>
  </si>
  <si>
    <t>Adjusted</t>
  </si>
  <si>
    <t>*Expensed at Closing</t>
  </si>
  <si>
    <t>Less: Existing Book Value</t>
  </si>
  <si>
    <t>Total Allocable Purchase Price</t>
  </si>
  <si>
    <t>Less: Write-up of PP&amp;E</t>
  </si>
  <si>
    <t>Allocation</t>
  </si>
  <si>
    <t>Less: Amortization</t>
  </si>
  <si>
    <t>LIBOR Floor</t>
  </si>
  <si>
    <t>Revolver Commitment</t>
  </si>
  <si>
    <t>Amortization of Disc. On Term Loan A</t>
  </si>
  <si>
    <t>Amortization of Disc. On Term Loan</t>
  </si>
  <si>
    <t>Less: Tax Amortization</t>
  </si>
  <si>
    <t>Plus: Book Amortization</t>
  </si>
  <si>
    <t>Plus:  Book Depreciation</t>
  </si>
  <si>
    <t>Estimated Statutory Tax Rate</t>
  </si>
  <si>
    <t>Book Tax Expense / (Benefit)</t>
  </si>
  <si>
    <t>Cash Tax Calculation</t>
  </si>
  <si>
    <t>Taxable Income</t>
  </si>
  <si>
    <t>Application of NOL</t>
  </si>
  <si>
    <t>Dividends and Distributions</t>
  </si>
  <si>
    <t>Tax Distributions</t>
  </si>
  <si>
    <t>Dividends / Special Distributions</t>
  </si>
  <si>
    <t>Beginning Taxes Due</t>
  </si>
  <si>
    <t>Additional Taxes Due</t>
  </si>
  <si>
    <t>Tax Payments/Distributions</t>
  </si>
  <si>
    <t>Ending Income Taxes Payable</t>
  </si>
  <si>
    <t>Flow-Thru</t>
  </si>
  <si>
    <t>Entity Type</t>
  </si>
  <si>
    <t>Lists</t>
  </si>
  <si>
    <t>Stock</t>
  </si>
  <si>
    <t>C-Corp</t>
  </si>
  <si>
    <t xml:space="preserve">Cash Available post Revolver to service Term Loan (in excess of required amortization) </t>
  </si>
  <si>
    <t>Cash Available to Pay Dividends / Special Distributions</t>
  </si>
  <si>
    <t>Payout Percentage</t>
  </si>
  <si>
    <t>Less: Tax Depreciation</t>
  </si>
  <si>
    <t>Table B1 - Page 105</t>
  </si>
  <si>
    <r>
      <t>MACRS Schedules (</t>
    </r>
    <r>
      <rPr>
        <b/>
        <i/>
        <sz val="10"/>
        <color theme="1"/>
        <rFont val="Book Antiqua"/>
        <family val="1"/>
      </rPr>
      <t>Half-year Convention</t>
    </r>
    <r>
      <rPr>
        <b/>
        <sz val="10"/>
        <color theme="1"/>
        <rFont val="Book Antiqua"/>
        <family val="1"/>
      </rPr>
      <t>)</t>
    </r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</si>
  <si>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</si>
  <si>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</si>
  <si>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</si>
  <si>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</si>
  <si>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</si>
  <si>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</si>
  <si>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</si>
  <si>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</si>
  <si>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</si>
  <si>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</si>
  <si>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</si>
  <si>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</si>
  <si>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</si>
  <si>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</si>
  <si>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</si>
  <si>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</si>
  <si>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</si>
  <si>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</si>
  <si>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</si>
  <si>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</si>
  <si>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</si>
  <si>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</si>
  <si>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</si>
  <si>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</si>
  <si>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</si>
  <si>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</si>
  <si>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</si>
  <si>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</si>
  <si>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</si>
  <si>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</si>
  <si>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</si>
  <si>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</si>
  <si>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</si>
  <si>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</si>
  <si>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</si>
  <si>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</si>
  <si>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</si>
  <si>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</si>
  <si>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Returns Analysis</t>
  </si>
  <si>
    <t>Implied Enterprise Value</t>
  </si>
  <si>
    <t>Less: Debt</t>
  </si>
  <si>
    <t>Plus: Cash &amp; Equivalents</t>
  </si>
  <si>
    <t>Carried Interest</t>
  </si>
  <si>
    <t>Other Distributions</t>
  </si>
  <si>
    <t>Cash Equity</t>
  </si>
  <si>
    <t>Terminal Value</t>
  </si>
  <si>
    <t>Investor Economics - To Ashland (GP)</t>
  </si>
  <si>
    <t>Carry Factor</t>
  </si>
  <si>
    <t>Required Return</t>
  </si>
  <si>
    <t>Cumulative LP Cashflow</t>
  </si>
  <si>
    <t>Carry Value</t>
  </si>
  <si>
    <t>Ashland Transaction Fees*</t>
  </si>
  <si>
    <t>Transaction Fees</t>
  </si>
  <si>
    <t>Income Statement Summary</t>
  </si>
  <si>
    <t>Historical Fiscal Year Ending</t>
  </si>
  <si>
    <t>Estimated</t>
  </si>
  <si>
    <t>CAGRs</t>
  </si>
  <si>
    <t>Growth Rate %</t>
  </si>
  <si>
    <t>Gross Margin %</t>
  </si>
  <si>
    <t>% of Revenue</t>
  </si>
  <si>
    <t>EBITDA Margin %</t>
  </si>
  <si>
    <t>Income Statement Output</t>
  </si>
  <si>
    <t>SG&amp;A</t>
  </si>
  <si>
    <t>Sources &amp; Uses</t>
  </si>
  <si>
    <t>Sources</t>
  </si>
  <si>
    <t>Uses</t>
  </si>
  <si>
    <t>Purchase Price</t>
  </si>
  <si>
    <t>Total Sources</t>
  </si>
  <si>
    <t>Initial Balance</t>
  </si>
  <si>
    <t>Dollar Amount</t>
  </si>
  <si>
    <t>Spread</t>
  </si>
  <si>
    <t>Maturity</t>
  </si>
  <si>
    <t>Multiple of</t>
  </si>
  <si>
    <t>Implied Equity Value</t>
  </si>
  <si>
    <t>Circ Breaker ----------------------&gt;</t>
  </si>
  <si>
    <t>Total LP Cashflow</t>
  </si>
  <si>
    <t>LP Cashflow before tax distributions</t>
  </si>
  <si>
    <t>Total GP Cashflow</t>
  </si>
  <si>
    <t>GP Cashflow before tax distributions</t>
  </si>
  <si>
    <t>Equity</t>
  </si>
  <si>
    <t>w/o Management Fee &amp; Carry</t>
  </si>
  <si>
    <t>IRR to GP</t>
  </si>
  <si>
    <t>Return on Money</t>
  </si>
  <si>
    <t>with Carry</t>
  </si>
  <si>
    <t>IRR to LP</t>
  </si>
  <si>
    <t>Carry</t>
  </si>
  <si>
    <t>GP Returns</t>
  </si>
  <si>
    <t>LP Returns</t>
  </si>
  <si>
    <t xml:space="preserve">Investor Economics </t>
  </si>
  <si>
    <t>Investor Economics - To Ashland (LP) w/ Distributions</t>
  </si>
  <si>
    <t>Inventory</t>
  </si>
  <si>
    <t>Deferred Income Tax</t>
  </si>
  <si>
    <t>Total Revenue</t>
  </si>
  <si>
    <t>Inventory Days (per COGS)</t>
  </si>
  <si>
    <t>Revolver Availability</t>
  </si>
  <si>
    <t>Availability Check</t>
  </si>
  <si>
    <t>Transaction</t>
  </si>
  <si>
    <t>$ in thousands</t>
  </si>
  <si>
    <t>FYE</t>
  </si>
  <si>
    <t>x Exit Multiple</t>
  </si>
  <si>
    <t>Less: Total Debt</t>
  </si>
  <si>
    <t>Plus: Cash</t>
  </si>
  <si>
    <t>Initial Investment</t>
  </si>
  <si>
    <t>Internal Rate of Return (IRR)</t>
  </si>
  <si>
    <t>Cash-on-Cash Return</t>
  </si>
  <si>
    <t>Historical Year Ending 12/31</t>
  </si>
  <si>
    <t>Lender Equity</t>
  </si>
  <si>
    <t>Mgmt. Fee</t>
  </si>
  <si>
    <t>Less: Existing Debt</t>
  </si>
  <si>
    <t>Plus: Existing Cash</t>
  </si>
  <si>
    <t>Equity Value at Exit</t>
  </si>
  <si>
    <t>Returns to LP</t>
  </si>
  <si>
    <t>Sub Debt</t>
  </si>
  <si>
    <t>'16-'21</t>
  </si>
  <si>
    <t>Management Fee</t>
  </si>
  <si>
    <t>Board Fee</t>
  </si>
  <si>
    <t>per seat</t>
  </si>
  <si>
    <t>Investor Economics (after fees and carry)</t>
  </si>
  <si>
    <t>Cash Consideration</t>
  </si>
  <si>
    <t>Total Transaction Expenses</t>
  </si>
  <si>
    <t>% Margin</t>
  </si>
  <si>
    <t>Mgmt Equity</t>
  </si>
  <si>
    <t>Mgmt Equity %</t>
  </si>
  <si>
    <t>Price/Financing Case</t>
  </si>
  <si>
    <t>Operating Case</t>
  </si>
  <si>
    <t>Ashland Entry Fees*</t>
  </si>
  <si>
    <t>at Close</t>
  </si>
  <si>
    <t>Sponsor Management Fee</t>
  </si>
  <si>
    <t>Amort Schedule</t>
  </si>
  <si>
    <t>Amortization Case</t>
  </si>
  <si>
    <t>Amortization Schedule</t>
  </si>
  <si>
    <t>Projected</t>
  </si>
  <si>
    <t>Blended Interest Rate</t>
  </si>
  <si>
    <t>Growth</t>
  </si>
  <si>
    <t>Cash Available post Mezzanine Debt to service Preferred Equity</t>
  </si>
  <si>
    <t>Preferred Equity</t>
  </si>
  <si>
    <t>Preferred</t>
  </si>
  <si>
    <t>Preferred Cash</t>
  </si>
  <si>
    <t>Preferred PIK</t>
  </si>
  <si>
    <t>Preferred (PIK Portion)</t>
  </si>
  <si>
    <t>Preferred (Cash Portion)</t>
  </si>
  <si>
    <t>Preferred Distribution</t>
  </si>
  <si>
    <t>Tax Distribution, Dividends &amp; Preferred</t>
  </si>
  <si>
    <t>Commitment Fee</t>
  </si>
  <si>
    <t>Less: Preferred</t>
  </si>
  <si>
    <t>Less: Preferred Equity</t>
  </si>
  <si>
    <t>Total Deductible Interest Expense</t>
  </si>
  <si>
    <t>No Growth</t>
  </si>
  <si>
    <t>Pro Forma EBITDA</t>
  </si>
  <si>
    <t>Balance Sheet Summary</t>
  </si>
  <si>
    <t>Balance Sheet Output</t>
  </si>
  <si>
    <t>Prepaid Expenses</t>
  </si>
  <si>
    <t>Accrued Expenses</t>
  </si>
  <si>
    <t>Total Liabilities &amp; Shareholders' Equity</t>
  </si>
  <si>
    <t>10 Year</t>
  </si>
  <si>
    <t>12% Cash</t>
  </si>
  <si>
    <t>7 Year - Progressive</t>
  </si>
  <si>
    <t>12.5 Year</t>
  </si>
  <si>
    <t>Stonehendge Equity Ownership</t>
  </si>
  <si>
    <t>EBITDAR at Close</t>
  </si>
  <si>
    <t xml:space="preserve"> </t>
  </si>
  <si>
    <t>BOCCELLA PRECAST, LLC</t>
  </si>
  <si>
    <t>PROJECTED STATEMENTS OF REVENUE &amp; EXPENSES  - INCOME TAX BASIS</t>
  </si>
  <si>
    <t>Actual</t>
  </si>
  <si>
    <t>Forecast</t>
  </si>
  <si>
    <t>REVENUES</t>
  </si>
  <si>
    <t>Sales</t>
  </si>
  <si>
    <t>COST OF SALES</t>
  </si>
  <si>
    <t>Inventory -  Beginning</t>
  </si>
  <si>
    <t>Materials</t>
  </si>
  <si>
    <t>Wages</t>
  </si>
  <si>
    <t>Subcontractors</t>
  </si>
  <si>
    <t>Freight &amp; Hauling</t>
  </si>
  <si>
    <t>Fuel</t>
  </si>
  <si>
    <t>Equipment Rentals</t>
  </si>
  <si>
    <t>Engineering &amp; Drawings</t>
  </si>
  <si>
    <t>Less: Inventory - Ending</t>
  </si>
  <si>
    <t>TOTAL COST OF SALES</t>
  </si>
  <si>
    <t>GROSS PROFIT</t>
  </si>
  <si>
    <t>GENERAL &amp; ADMINISTRATIVE</t>
  </si>
  <si>
    <t>Amortization</t>
  </si>
  <si>
    <t>Accounting &amp; Legal</t>
  </si>
  <si>
    <t>Advertising &amp; Promotion</t>
  </si>
  <si>
    <t>Insurance and Employee Benefits</t>
  </si>
  <si>
    <t>Training</t>
  </si>
  <si>
    <t>Contributions</t>
  </si>
  <si>
    <t>Interest</t>
  </si>
  <si>
    <t>Licenses &amp; Fees</t>
  </si>
  <si>
    <t>Miscellaneous</t>
  </si>
  <si>
    <t>Office</t>
  </si>
  <si>
    <t>Other Taxes</t>
  </si>
  <si>
    <t>Payroll Taxes Expense</t>
  </si>
  <si>
    <t>Rent</t>
  </si>
  <si>
    <t>Repairs &amp; Maintenance</t>
  </si>
  <si>
    <t>Salaries - Administrative</t>
  </si>
  <si>
    <t>Telephone</t>
  </si>
  <si>
    <t>Utilities</t>
  </si>
  <si>
    <t>Trash Removal</t>
  </si>
  <si>
    <t>Truck Expense</t>
  </si>
  <si>
    <t>Bad Debts</t>
  </si>
  <si>
    <t>TOTAL GENERAL &amp; ADMINISTRATIVE</t>
  </si>
  <si>
    <t>Bad Debt (b)</t>
  </si>
  <si>
    <t>Sales Tax Audit Payment</t>
  </si>
  <si>
    <t>Officer's Salary (c)</t>
  </si>
  <si>
    <t>Adjusted EBITDAR</t>
  </si>
  <si>
    <t>NET INCOME BEFORE OTHER INCOME &amp; TAXES ON INCOME</t>
  </si>
  <si>
    <t xml:space="preserve">       Interest</t>
  </si>
  <si>
    <t>NET INCOME BEFORE TAXES ON INCOME</t>
  </si>
  <si>
    <t xml:space="preserve">       Taxes on Income</t>
  </si>
  <si>
    <t>NET INCOME</t>
  </si>
  <si>
    <t>2017E</t>
  </si>
  <si>
    <t>Total Interest</t>
  </si>
  <si>
    <t>Excludes Adjustments (and rent)</t>
  </si>
  <si>
    <t>ME</t>
  </si>
  <si>
    <t>Nov16</t>
  </si>
  <si>
    <t>Unitranche Leverage</t>
  </si>
  <si>
    <t>Main Street</t>
  </si>
  <si>
    <t>Seller Roll</t>
  </si>
  <si>
    <t>Equity Ownership %</t>
  </si>
  <si>
    <t>Ashland</t>
  </si>
  <si>
    <t>Based On CIM + RE Apr</t>
  </si>
  <si>
    <t>Boccella Precast</t>
  </si>
  <si>
    <t>Management Equity</t>
  </si>
  <si>
    <t>Less; Write up of Inventory</t>
  </si>
  <si>
    <t>Returns to LP - before distributions</t>
  </si>
  <si>
    <t>Management Rolled Equity</t>
  </si>
  <si>
    <t>Management Fees</t>
  </si>
  <si>
    <t>Management Fee Cap</t>
  </si>
  <si>
    <t>OPEX as Percent of Sales</t>
  </si>
  <si>
    <t>% of EBITDA</t>
  </si>
  <si>
    <t>Aggregate Tax Distributions</t>
  </si>
  <si>
    <t>Assumed Inventory at 2 Days</t>
  </si>
  <si>
    <t>MAIN Equity</t>
  </si>
  <si>
    <t>Historical Year Ending</t>
  </si>
  <si>
    <t>TTM</t>
  </si>
  <si>
    <t>FY 2021E EBITDA</t>
  </si>
  <si>
    <t>TEV</t>
  </si>
  <si>
    <t>Unitranche Facility</t>
  </si>
  <si>
    <t>Main Street Equity</t>
  </si>
  <si>
    <t>Boccella Rolled Equity</t>
  </si>
  <si>
    <t>Interest Rate</t>
  </si>
  <si>
    <t>5 years</t>
  </si>
  <si>
    <t>Libor + 10% (Cash)</t>
  </si>
  <si>
    <t>$000's</t>
  </si>
  <si>
    <t>%</t>
  </si>
  <si>
    <t>Pre Carry</t>
  </si>
  <si>
    <t>Total</t>
  </si>
  <si>
    <t>Post Carry</t>
  </si>
  <si>
    <t>Lorentzen Carried Interest</t>
  </si>
  <si>
    <t>Lynch Carried Interest</t>
  </si>
  <si>
    <t>Foster/Sigfusson Carried Interest</t>
  </si>
  <si>
    <t>Desired 5% Investor</t>
  </si>
  <si>
    <t>Apr17</t>
  </si>
  <si>
    <t>Total 10% Post Carry Value</t>
  </si>
  <si>
    <t>Cash Investment Value - Post Carry</t>
  </si>
  <si>
    <t>Cash Investment Value - Pre Carry</t>
  </si>
  <si>
    <t>Cash on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</si>
</sst>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4">
    <numFmt numFmtId="5" formatCode="&quot;$&quot;#,##0_);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;#,##0.0_);@_)"/>
    <numFmt numFmtId="165" formatCode="yyyy&quot;A&quot;"/>
    <numFmt numFmtId="166" formatCode="yyyy&quot;E&quot;"/>
    <numFmt numFmtId="167" formatCode="_(* #,##0_);_(* \(#,##0\);_(* &quot;-&quot;??_);_(@_)"/>
    <numFmt numFmtId="168" formatCode="_(&quot;$&quot;* #,##0_);_(&quot;$&quot;* \(#,##0\);_(&quot;$&quot;* &quot;-&quot;??_);_(@_)"/>
    <numFmt numFmtId="169" formatCode="0.0"/>
    <numFmt numFmtId="170" formatCode="0.0%"/>
    <numFmt numFmtId="171" formatCode="0.0%_);\(0.0%\)"/>
    <numFmt numFmtId="172" formatCode="#,##0.0_);\(#,##0.0\)"/>
    <numFmt numFmtId="173" formatCode="0.0\x_);\(0.0\x\)"/>
    <numFmt numFmtId="174" formatCode="0.00\x_);\(0.00\x\)"/>
    <numFmt numFmtId="175" formatCode="0.00%_);\(0.00%\)"/>
    <numFmt numFmtId="176" formatCode="0.0\ &quot;Years&quot;"/>
    <numFmt numFmtId="177" formatCode="0&quot;A&quot;"/>
    <numFmt numFmtId="178" formatCode="0&quot;PF&quot;"/>
    <numFmt numFmtId="179" formatCode="0&quot;E&quot;"/>
    <numFmt numFmtId="180" formatCode="0.0%;\(0.0%\)"/>
    <numFmt numFmtId="181" formatCode="_(* #,##0.0_);_(* \(#,##0.0\);_(* &quot;-&quot;?_);_(@_)"/>
    <numFmt numFmtId="182" formatCode="0.0%_);\(0.0%\);0.0%_);@_)"/>
    <numFmt numFmtId="183" formatCode="0.0\x;\(0.0\x\)"/>
    <numFmt numFmtId="184" formatCode="&quot;Yes&quot;;&quot;No&quot;;&quot;No&quot;;&quot;No&quot;"/>
    <numFmt numFmtId="185" formatCode="0.00%;\(0.00%\)"/>
    <numFmt numFmtId="186" formatCode="_(&quot;$&quot;* #,##0.0_);_(&quot;$&quot;* \(#,##0.0\);_(&quot;$&quot;* &quot;-&quot;?_);_(@_)"/>
    <numFmt numFmtId="187" formatCode="mm/yyyy"/>
    <numFmt numFmtId="188" formatCode="_(* #,##0_);_(* \(#,##0\);_(* &quot;-&quot;?_);_(@_)"/>
    <numFmt numFmtId="189" formatCode="#,##0_);\(#,##0\);#,##0_);@_)"/>
    <numFmt numFmtId="190" formatCode="yyyy&quot;PF&quot;"/>
    <numFmt numFmtId="191" formatCode="0.0\x_);\(0.0\x\);0.0\x_);@_)"/>
    <numFmt numFmtId="192" formatCode="##&quot; Year Property&quot;"/>
    <numFmt numFmtId="193" formatCode="##&quot; Year&quot;"/>
    <numFmt numFmtId="194" formatCode="0.00\x_);\(0.00\x\);0.00\x_);@_)"/>
    <numFmt numFmtId="195" formatCode="0.0\x"/>
    <numFmt numFmtId="196" formatCode="mmm\.\ yyyy"/>
    <numFmt numFmtId="197" formatCode="_(* #,##0.000_);_(* \(#,##0.000\);_(* &quot;-&quot;??_);_(@_)"/>
    <numFmt numFmtId="198" formatCode="_(&quot;$&quot;* #,##0.0_);_(&quot;$&quot;* \(#,##0.0\);_(&quot;$&quot;* &quot;-&quot;??_);_(@_)"/>
    <numFmt numFmtId="199" formatCode="mmmyy"/>
    <numFmt numFmtId="200" formatCode="0.00\x"/>
    <numFmt numFmtId="201" formatCode="_(* #,##0.0000_);_(* \(#,##0.0000\);_(* &quot;-&quot;??_);_(@_)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Book Antiqua"/>
      <family val="1"/>
    </font>
    <font>
      <sz val="10"/>
      <name val="Book Antiqua"/>
      <family val="1"/>
    </font>
    <font>
      <b/>
      <sz val="36"/>
      <color indexed="8"/>
      <name val="Book Antiqua"/>
      <family val="1"/>
    </font>
    <font>
      <b/>
      <sz val="18"/>
      <name val="Book Antiqua"/>
      <family val="1"/>
    </font>
    <font>
      <sz val="16"/>
      <name val="Book Antiqua"/>
      <family val="1"/>
    </font>
    <font>
      <b/>
      <sz val="16"/>
      <name val="Book Antiqua"/>
      <family val="1"/>
    </font>
    <font>
      <b/>
      <sz val="10"/>
      <name val="Book Antiqua"/>
      <family val="1"/>
    </font>
    <font>
      <sz val="11"/>
      <color theme="1"/>
      <name val="Book Antiqua"/>
      <family val="1"/>
    </font>
    <font>
      <b/>
      <sz val="16"/>
      <color theme="1"/>
      <name val="Book Antiqua"/>
      <family val="1"/>
    </font>
    <font>
      <b/>
      <sz val="10"/>
      <color theme="0"/>
      <name val="Book Antiqua"/>
      <family val="1"/>
    </font>
    <font>
      <i/>
      <sz val="10"/>
      <color rgb="FFFF0000"/>
      <name val="Book Antiqua"/>
      <family val="1"/>
    </font>
    <font>
      <i/>
      <sz val="10"/>
      <color theme="1"/>
      <name val="Book Antiqua"/>
      <family val="1"/>
    </font>
    <font>
      <b/>
      <sz val="10"/>
      <color rgb="FF0000FF"/>
      <name val="Book Antiqua"/>
      <family val="1"/>
    </font>
    <font>
      <b/>
      <sz val="10"/>
      <color theme="1"/>
      <name val="Book Antiqua"/>
      <family val="1"/>
    </font>
    <font>
      <i/>
      <u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rgb="FF0000FF"/>
      <name val="Book Antiqua"/>
      <family val="1"/>
    </font>
    <font>
      <sz val="10"/>
      <color rgb="FF00B050"/>
      <name val="Book Antiqua"/>
      <family val="1"/>
    </font>
    <font>
      <b/>
      <u/>
      <sz val="10"/>
      <color theme="1"/>
      <name val="Book Antiqua"/>
      <family val="1"/>
    </font>
    <font>
      <b/>
      <sz val="10"/>
      <color rgb="FF00B050"/>
      <name val="Book Antiqua"/>
      <family val="1"/>
    </font>
    <font>
      <b/>
      <sz val="10"/>
      <color rgb="FFFF0000"/>
      <name val="Book Antiqua"/>
      <family val="1"/>
    </font>
    <font>
      <b/>
      <i/>
      <sz val="10"/>
      <color theme="1"/>
      <name val="Book Antiqua"/>
      <family val="1"/>
    </font>
    <font>
      <sz val="10"/>
      <color theme="0"/>
      <name val="Book Antiqua"/>
      <family val="1"/>
    </font>
    <font>
      <sz val="10"/>
      <name val="Wingdings"/>
      <charset val="2"/>
    </font>
    <font>
      <u/>
      <sz val="10"/>
      <color theme="1"/>
      <name val="Book Antiqua"/>
      <family val="1"/>
    </font>
    <font>
      <sz val="10"/>
      <color rgb="FFFF0000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9"/>
      <name val="Book Antiqua"/>
      <family val="1"/>
    </font>
    <font>
      <b/>
      <sz val="10"/>
      <color indexed="8"/>
      <name val="Book Antiqua"/>
      <family val="1"/>
    </font>
    <font>
      <i/>
      <sz val="10"/>
      <color indexed="10"/>
      <name val="Book Antiqua"/>
      <family val="1"/>
    </font>
    <font>
      <i/>
      <sz val="10"/>
      <color indexed="12"/>
      <name val="Book Antiqua"/>
      <family val="1"/>
    </font>
    <font>
      <sz val="10"/>
      <color indexed="18"/>
      <name val="Frutiger 45 Light"/>
      <family val="2"/>
    </font>
    <font>
      <sz val="10"/>
      <color indexed="18"/>
      <name val="Book Antiqua"/>
      <family val="1"/>
    </font>
    <font>
      <sz val="10"/>
      <color indexed="58"/>
      <name val="Book Antiqua"/>
      <family val="1"/>
    </font>
    <font>
      <sz val="10"/>
      <color indexed="10"/>
      <name val="Book Antiqua"/>
      <family val="1"/>
    </font>
    <font>
      <sz val="10"/>
      <color indexed="12"/>
      <name val="Book Antiqua"/>
      <family val="1"/>
    </font>
    <font>
      <b/>
      <i/>
      <sz val="10"/>
      <name val="Book Antiqua"/>
      <family val="1"/>
    </font>
    <font>
      <b/>
      <sz val="10"/>
      <color indexed="18"/>
      <name val="Book Antiqua"/>
      <family val="1"/>
    </font>
    <font>
      <u/>
      <sz val="11"/>
      <color theme="10"/>
      <name val="Calibri"/>
      <family val="2"/>
      <scheme val="minor"/>
    </font>
    <font>
      <sz val="10"/>
      <color theme="1"/>
      <name val="Constantia"/>
      <family val="1"/>
    </font>
    <font>
      <u/>
      <sz val="10"/>
      <color theme="10"/>
      <name val="Book Antiqua"/>
      <family val="1"/>
    </font>
    <font>
      <sz val="10"/>
      <color rgb="FF0070C0"/>
      <name val="Constantia"/>
      <family val="1"/>
    </font>
    <font>
      <i/>
      <sz val="10"/>
      <name val="Book Antiqua"/>
      <family val="1"/>
    </font>
    <font>
      <b/>
      <i/>
      <u/>
      <sz val="10"/>
      <color theme="1"/>
      <name val="Book Antiqua"/>
      <family val="1"/>
    </font>
    <font>
      <b/>
      <sz val="7"/>
      <name val="Arial"/>
      <family val="2"/>
    </font>
    <font>
      <sz val="11"/>
      <color rgb="FF00B050"/>
      <name val="Book Antiqua"/>
      <family val="1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Book Antiqua"/>
      <family val="1"/>
    </font>
    <font>
      <b/>
      <sz val="11"/>
      <color theme="1"/>
      <name val="Book Antiqua"/>
      <family val="1"/>
    </font>
    <font>
      <b/>
      <u val="singleAccounting"/>
      <sz val="11"/>
      <color theme="1"/>
      <name val="Book Antiqua"/>
      <family val="1"/>
    </font>
    <font>
      <u/>
      <sz val="11"/>
      <name val="Book Antiqua"/>
      <family val="1"/>
    </font>
    <font>
      <sz val="11"/>
      <name val="Book Antiqua"/>
      <family val="1"/>
    </font>
    <font>
      <i/>
      <sz val="11"/>
      <color theme="1"/>
      <name val="Book Antiqua"/>
      <family val="1"/>
    </font>
    <font>
      <u val="doubleAccounting"/>
      <sz val="11"/>
      <color theme="1"/>
      <name val="Book Antiqua"/>
      <family val="1"/>
    </font>
    <font>
      <u val="singleAccounting"/>
      <sz val="11"/>
      <color theme="1"/>
      <name val="Book Antiqua"/>
      <family val="1"/>
    </font>
    <font>
      <b/>
      <u val="doubleAccounting"/>
      <sz val="11"/>
      <color theme="1"/>
      <name val="Book Antiqua"/>
      <family val="1"/>
    </font>
    <font>
      <sz val="10"/>
      <color rgb="FF006600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2"/>
      <name val="Wingdings"/>
      <charset val="2"/>
    </font>
    <font>
      <b/>
      <sz val="12"/>
      <color theme="0"/>
      <name val="Book Antiqua"/>
      <family val="1"/>
    </font>
    <font>
      <i/>
      <sz val="12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i/>
      <u/>
      <sz val="12"/>
      <color theme="1"/>
      <name val="Book Antiqua"/>
      <family val="1"/>
    </font>
    <font>
      <b/>
      <u val="singleAccounting"/>
      <sz val="10"/>
      <color theme="1"/>
      <name val="Book Antiqua"/>
      <family val="1"/>
    </font>
    <font>
      <b/>
      <i/>
      <sz val="11"/>
      <color theme="1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6F0FF"/>
        <bgColor indexed="64"/>
      </patternFill>
    </fill>
    <fill>
      <patternFill patternType="solid">
        <fgColor rgb="FF2834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medium">
        <color auto="1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indexed="28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42" fillId="0" borderId="0" applyNumberFormat="0" applyFill="0" applyBorder="0" applyAlignment="0" applyProtection="0"/>
    <xf numFmtId="0" fontId="48" fillId="0" borderId="17" applyNumberFormat="0" applyFont="0" applyFill="0" applyAlignment="0" applyProtection="0">
      <alignment horizontal="centerContinuous"/>
    </xf>
    <xf numFmtId="0" fontId="51" fillId="0" borderId="0"/>
    <xf numFmtId="44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9" fontId="51" fillId="0" borderId="0" applyFont="0" applyFill="0" applyBorder="0" applyAlignment="0" applyProtection="0"/>
  </cellStyleXfs>
  <cellXfs count="592">
    <xf numFmtId="0" fontId="0" fillId="0" borderId="0" xfId="0"/>
    <xf numFmtId="0" fontId="3" fillId="0" borderId="0" xfId="3" applyFont="1"/>
    <xf numFmtId="0" fontId="4" fillId="0" borderId="0" xfId="3" applyFont="1"/>
    <xf numFmtId="0" fontId="5" fillId="0" borderId="0" xfId="3" applyFont="1" applyFill="1" applyAlignment="1">
      <alignment horizontal="centerContinuous"/>
    </xf>
    <xf numFmtId="0" fontId="6" fillId="0" borderId="0" xfId="3" applyFont="1" applyAlignment="1">
      <alignment horizontal="centerContinuous"/>
    </xf>
    <xf numFmtId="0" fontId="7" fillId="0" borderId="0" xfId="3" applyFont="1" applyAlignment="1">
      <alignment horizontal="centerContinuous"/>
    </xf>
    <xf numFmtId="14" fontId="6" fillId="0" borderId="0" xfId="3" applyNumberFormat="1" applyFont="1" applyAlignment="1">
      <alignment horizontal="centerContinuous"/>
    </xf>
    <xf numFmtId="0" fontId="4" fillId="0" borderId="0" xfId="3" applyFont="1" applyAlignment="1">
      <alignment horizontal="centerContinuous"/>
    </xf>
    <xf numFmtId="0" fontId="8" fillId="0" borderId="0" xfId="3" applyFont="1" applyAlignment="1">
      <alignment horizontal="centerContinuous"/>
    </xf>
    <xf numFmtId="0" fontId="4" fillId="0" borderId="0" xfId="3" applyFont="1" applyBorder="1"/>
    <xf numFmtId="0" fontId="9" fillId="0" borderId="0" xfId="3" applyFont="1" applyBorder="1" applyAlignment="1">
      <alignment horizontal="center"/>
    </xf>
    <xf numFmtId="164" fontId="4" fillId="0" borderId="0" xfId="3" applyNumberFormat="1" applyFont="1" applyBorder="1"/>
    <xf numFmtId="0" fontId="9" fillId="0" borderId="0" xfId="3" applyFont="1" applyBorder="1"/>
    <xf numFmtId="0" fontId="4" fillId="0" borderId="0" xfId="3" applyFont="1" applyFill="1" applyBorder="1"/>
    <xf numFmtId="0" fontId="4" fillId="0" borderId="0" xfId="3" applyFont="1" applyFill="1"/>
    <xf numFmtId="0" fontId="10" fillId="0" borderId="0" xfId="0" applyFont="1"/>
    <xf numFmtId="0" fontId="10" fillId="0" borderId="1" xfId="0" applyFont="1" applyBorder="1"/>
    <xf numFmtId="0" fontId="11" fillId="0" borderId="1" xfId="0" applyFont="1" applyBorder="1"/>
    <xf numFmtId="0" fontId="13" fillId="0" borderId="0" xfId="0" applyFont="1"/>
    <xf numFmtId="0" fontId="12" fillId="2" borderId="0" xfId="0" applyFont="1" applyFill="1" applyAlignment="1">
      <alignment horizontal="centerContinuous"/>
    </xf>
    <xf numFmtId="0" fontId="14" fillId="0" borderId="0" xfId="0" applyFont="1"/>
    <xf numFmtId="165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7" fillId="0" borderId="0" xfId="0" applyFont="1"/>
    <xf numFmtId="41" fontId="18" fillId="0" borderId="0" xfId="0" applyNumberFormat="1" applyFont="1"/>
    <xf numFmtId="0" fontId="18" fillId="0" borderId="0" xfId="0" applyFont="1"/>
    <xf numFmtId="167" fontId="19" fillId="0" borderId="0" xfId="0" applyNumberFormat="1" applyFont="1"/>
    <xf numFmtId="168" fontId="19" fillId="0" borderId="0" xfId="0" applyNumberFormat="1" applyFont="1"/>
    <xf numFmtId="49" fontId="18" fillId="0" borderId="0" xfId="0" applyNumberFormat="1" applyFont="1"/>
    <xf numFmtId="41" fontId="18" fillId="0" borderId="2" xfId="0" applyNumberFormat="1" applyFont="1" applyBorder="1"/>
    <xf numFmtId="41" fontId="18" fillId="0" borderId="0" xfId="0" applyNumberFormat="1" applyFont="1" applyBorder="1"/>
    <xf numFmtId="167" fontId="19" fillId="0" borderId="3" xfId="0" applyNumberFormat="1" applyFont="1" applyBorder="1"/>
    <xf numFmtId="0" fontId="16" fillId="0" borderId="4" xfId="0" applyFont="1" applyBorder="1"/>
    <xf numFmtId="41" fontId="16" fillId="0" borderId="4" xfId="0" applyNumberFormat="1" applyFont="1" applyBorder="1"/>
    <xf numFmtId="41" fontId="19" fillId="0" borderId="0" xfId="0" applyNumberFormat="1" applyFont="1"/>
    <xf numFmtId="168" fontId="16" fillId="0" borderId="4" xfId="1" applyNumberFormat="1" applyFont="1" applyBorder="1"/>
    <xf numFmtId="0" fontId="13" fillId="0" borderId="0" xfId="0" applyFont="1" applyAlignment="1">
      <alignment horizontal="left" indent="1"/>
    </xf>
    <xf numFmtId="41" fontId="13" fillId="0" borderId="0" xfId="0" applyNumberFormat="1" applyFont="1"/>
    <xf numFmtId="41" fontId="20" fillId="0" borderId="0" xfId="0" applyNumberFormat="1" applyFont="1"/>
    <xf numFmtId="0" fontId="21" fillId="0" borderId="0" xfId="0" applyFont="1"/>
    <xf numFmtId="169" fontId="18" fillId="0" borderId="0" xfId="0" applyNumberFormat="1" applyFont="1"/>
    <xf numFmtId="170" fontId="18" fillId="0" borderId="0" xfId="2" applyNumberFormat="1" applyFont="1"/>
    <xf numFmtId="0" fontId="12" fillId="3" borderId="0" xfId="0" applyFont="1" applyFill="1"/>
    <xf numFmtId="0" fontId="10" fillId="0" borderId="0" xfId="0" applyFont="1" applyBorder="1"/>
    <xf numFmtId="0" fontId="18" fillId="0" borderId="1" xfId="0" applyFont="1" applyBorder="1"/>
    <xf numFmtId="165" fontId="22" fillId="0" borderId="1" xfId="0" applyNumberFormat="1" applyFont="1" applyBorder="1" applyAlignment="1">
      <alignment horizontal="center"/>
    </xf>
    <xf numFmtId="0" fontId="18" fillId="0" borderId="0" xfId="0" applyFont="1" applyBorder="1"/>
    <xf numFmtId="0" fontId="16" fillId="0" borderId="0" xfId="0" applyFont="1"/>
    <xf numFmtId="167" fontId="18" fillId="0" borderId="0" xfId="0" applyNumberFormat="1" applyFont="1"/>
    <xf numFmtId="41" fontId="16" fillId="0" borderId="2" xfId="0" applyNumberFormat="1" applyFont="1" applyBorder="1"/>
    <xf numFmtId="0" fontId="16" fillId="0" borderId="2" xfId="0" applyFont="1" applyBorder="1"/>
    <xf numFmtId="0" fontId="24" fillId="0" borderId="1" xfId="0" applyFont="1" applyBorder="1" applyAlignment="1">
      <alignment horizontal="left" indent="1"/>
    </xf>
    <xf numFmtId="171" fontId="24" fillId="0" borderId="1" xfId="0" applyNumberFormat="1" applyFont="1" applyBorder="1"/>
    <xf numFmtId="0" fontId="18" fillId="0" borderId="3" xfId="0" applyFont="1" applyBorder="1"/>
    <xf numFmtId="0" fontId="25" fillId="3" borderId="0" xfId="0" applyFont="1" applyFill="1"/>
    <xf numFmtId="0" fontId="26" fillId="0" borderId="0" xfId="3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4" xfId="0" applyFont="1" applyBorder="1"/>
    <xf numFmtId="41" fontId="18" fillId="0" borderId="4" xfId="0" applyNumberFormat="1" applyFont="1" applyBorder="1"/>
    <xf numFmtId="172" fontId="18" fillId="0" borderId="0" xfId="0" applyNumberFormat="1" applyFont="1"/>
    <xf numFmtId="171" fontId="18" fillId="0" borderId="0" xfId="0" applyNumberFormat="1" applyFont="1"/>
    <xf numFmtId="41" fontId="18" fillId="0" borderId="3" xfId="0" applyNumberFormat="1" applyFont="1" applyBorder="1"/>
    <xf numFmtId="171" fontId="18" fillId="0" borderId="3" xfId="0" applyNumberFormat="1" applyFont="1" applyBorder="1"/>
    <xf numFmtId="171" fontId="19" fillId="0" borderId="0" xfId="0" applyNumberFormat="1" applyFont="1"/>
    <xf numFmtId="0" fontId="18" fillId="0" borderId="0" xfId="0" applyFont="1" applyAlignment="1">
      <alignment horizontal="right"/>
    </xf>
    <xf numFmtId="174" fontId="18" fillId="0" borderId="0" xfId="0" applyNumberFormat="1" applyFont="1"/>
    <xf numFmtId="0" fontId="21" fillId="0" borderId="0" xfId="0" applyFont="1" applyAlignment="1">
      <alignment horizontal="center"/>
    </xf>
    <xf numFmtId="0" fontId="27" fillId="0" borderId="0" xfId="0" applyFont="1"/>
    <xf numFmtId="175" fontId="18" fillId="0" borderId="0" xfId="0" applyNumberFormat="1" applyFont="1"/>
    <xf numFmtId="175" fontId="19" fillId="0" borderId="0" xfId="0" applyNumberFormat="1" applyFont="1"/>
    <xf numFmtId="176" fontId="18" fillId="0" borderId="0" xfId="0" applyNumberFormat="1" applyFont="1"/>
    <xf numFmtId="176" fontId="19" fillId="0" borderId="0" xfId="0" applyNumberFormat="1" applyFont="1"/>
    <xf numFmtId="0" fontId="4" fillId="0" borderId="0" xfId="0" applyFont="1"/>
    <xf numFmtId="41" fontId="4" fillId="0" borderId="4" xfId="0" applyNumberFormat="1" applyFont="1" applyBorder="1"/>
    <xf numFmtId="0" fontId="18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28" fillId="0" borderId="0" xfId="0" applyFont="1"/>
    <xf numFmtId="180" fontId="18" fillId="0" borderId="0" xfId="0" applyNumberFormat="1" applyFont="1"/>
    <xf numFmtId="172" fontId="3" fillId="0" borderId="0" xfId="3" applyNumberFormat="1" applyFont="1" applyBorder="1"/>
    <xf numFmtId="172" fontId="3" fillId="0" borderId="6" xfId="3" applyNumberFormat="1" applyFont="1" applyBorder="1"/>
    <xf numFmtId="172" fontId="4" fillId="0" borderId="0" xfId="3" applyNumberFormat="1" applyFont="1" applyBorder="1"/>
    <xf numFmtId="0" fontId="9" fillId="0" borderId="2" xfId="3" applyFont="1" applyBorder="1" applyAlignment="1">
      <alignment horizontal="left"/>
    </xf>
    <xf numFmtId="0" fontId="9" fillId="0" borderId="0" xfId="3" applyFont="1" applyBorder="1" applyAlignment="1">
      <alignment horizontal="left"/>
    </xf>
    <xf numFmtId="0" fontId="4" fillId="0" borderId="2" xfId="3" applyFont="1" applyBorder="1" applyAlignment="1">
      <alignment horizontal="left"/>
    </xf>
    <xf numFmtId="172" fontId="3" fillId="0" borderId="2" xfId="3" applyNumberFormat="1" applyFont="1" applyBorder="1"/>
    <xf numFmtId="0" fontId="9" fillId="0" borderId="2" xfId="3" applyFont="1" applyBorder="1"/>
    <xf numFmtId="0" fontId="33" fillId="0" borderId="2" xfId="3" applyFont="1" applyBorder="1"/>
    <xf numFmtId="0" fontId="34" fillId="0" borderId="2" xfId="3" applyFont="1" applyBorder="1"/>
    <xf numFmtId="181" fontId="33" fillId="0" borderId="2" xfId="3" applyNumberFormat="1" applyFont="1" applyBorder="1"/>
    <xf numFmtId="0" fontId="3" fillId="0" borderId="0" xfId="3" applyFont="1" applyBorder="1"/>
    <xf numFmtId="0" fontId="18" fillId="0" borderId="0" xfId="3" applyFont="1" applyBorder="1"/>
    <xf numFmtId="0" fontId="18" fillId="0" borderId="2" xfId="3" applyFont="1" applyBorder="1"/>
    <xf numFmtId="0" fontId="18" fillId="0" borderId="2" xfId="3" applyFont="1" applyBorder="1" applyAlignment="1">
      <alignment horizontal="left"/>
    </xf>
    <xf numFmtId="0" fontId="18" fillId="0" borderId="0" xfId="3" applyFont="1" applyBorder="1" applyAlignment="1">
      <alignment horizontal="left" indent="1"/>
    </xf>
    <xf numFmtId="0" fontId="18" fillId="0" borderId="6" xfId="3" applyFont="1" applyBorder="1"/>
    <xf numFmtId="172" fontId="18" fillId="0" borderId="0" xfId="3" applyNumberFormat="1" applyFont="1" applyBorder="1"/>
    <xf numFmtId="172" fontId="18" fillId="0" borderId="2" xfId="3" applyNumberFormat="1" applyFont="1" applyBorder="1"/>
    <xf numFmtId="0" fontId="18" fillId="0" borderId="6" xfId="3" applyFont="1" applyBorder="1" applyAlignment="1">
      <alignment horizontal="left"/>
    </xf>
    <xf numFmtId="0" fontId="18" fillId="0" borderId="7" xfId="3" applyFont="1" applyBorder="1"/>
    <xf numFmtId="0" fontId="4" fillId="0" borderId="0" xfId="3" applyFont="1" applyBorder="1" applyAlignment="1"/>
    <xf numFmtId="0" fontId="9" fillId="0" borderId="0" xfId="3" applyFont="1" applyBorder="1" applyAlignment="1">
      <alignment horizontal="centerContinuous"/>
    </xf>
    <xf numFmtId="0" fontId="9" fillId="0" borderId="0" xfId="3" quotePrefix="1" applyFont="1" applyAlignment="1">
      <alignment horizontal="center"/>
    </xf>
    <xf numFmtId="164" fontId="36" fillId="0" borderId="0" xfId="3" applyNumberFormat="1" applyFont="1" applyBorder="1"/>
    <xf numFmtId="164" fontId="3" fillId="0" borderId="0" xfId="3" applyNumberFormat="1" applyFont="1" applyBorder="1"/>
    <xf numFmtId="180" fontId="32" fillId="0" borderId="0" xfId="3" applyNumberFormat="1" applyFont="1"/>
    <xf numFmtId="0" fontId="9" fillId="0" borderId="6" xfId="3" applyFont="1" applyBorder="1" applyAlignment="1">
      <alignment horizontal="left" indent="1"/>
    </xf>
    <xf numFmtId="0" fontId="9" fillId="0" borderId="6" xfId="3" applyFont="1" applyBorder="1"/>
    <xf numFmtId="180" fontId="3" fillId="0" borderId="0" xfId="3" applyNumberFormat="1" applyFont="1"/>
    <xf numFmtId="172" fontId="9" fillId="0" borderId="6" xfId="3" applyNumberFormat="1" applyFont="1" applyBorder="1"/>
    <xf numFmtId="164" fontId="3" fillId="0" borderId="6" xfId="3" applyNumberFormat="1" applyFont="1" applyBorder="1"/>
    <xf numFmtId="0" fontId="9" fillId="0" borderId="10" xfId="3" applyFont="1" applyBorder="1"/>
    <xf numFmtId="0" fontId="9" fillId="0" borderId="3" xfId="3" applyFont="1" applyBorder="1"/>
    <xf numFmtId="182" fontId="32" fillId="0" borderId="0" xfId="3" applyNumberFormat="1" applyFont="1" applyBorder="1" applyAlignment="1">
      <alignment horizontal="right"/>
    </xf>
    <xf numFmtId="182" fontId="9" fillId="0" borderId="0" xfId="3" applyNumberFormat="1" applyFont="1" applyBorder="1"/>
    <xf numFmtId="182" fontId="3" fillId="0" borderId="0" xfId="3" applyNumberFormat="1" applyFont="1" applyBorder="1" applyAlignment="1">
      <alignment horizontal="right"/>
    </xf>
    <xf numFmtId="182" fontId="3" fillId="0" borderId="0" xfId="3" applyNumberFormat="1" applyFont="1" applyBorder="1"/>
    <xf numFmtId="182" fontId="37" fillId="0" borderId="0" xfId="3" applyNumberFormat="1" applyFont="1" applyBorder="1"/>
    <xf numFmtId="182" fontId="32" fillId="0" borderId="0" xfId="3" applyNumberFormat="1" applyFont="1" applyBorder="1"/>
    <xf numFmtId="182" fontId="3" fillId="0" borderId="3" xfId="3" applyNumberFormat="1" applyFont="1" applyBorder="1"/>
    <xf numFmtId="164" fontId="18" fillId="0" borderId="0" xfId="3" applyNumberFormat="1" applyFont="1" applyBorder="1"/>
    <xf numFmtId="0" fontId="18" fillId="0" borderId="0" xfId="3" applyFont="1" applyFill="1" applyBorder="1"/>
    <xf numFmtId="0" fontId="18" fillId="0" borderId="6" xfId="3" applyFont="1" applyBorder="1" applyAlignment="1">
      <alignment horizontal="left" indent="1"/>
    </xf>
    <xf numFmtId="0" fontId="18" fillId="0" borderId="3" xfId="3" applyFont="1" applyBorder="1"/>
    <xf numFmtId="0" fontId="28" fillId="0" borderId="0" xfId="0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Font="1" applyFill="1"/>
    <xf numFmtId="172" fontId="36" fillId="0" borderId="0" xfId="3" applyNumberFormat="1" applyFont="1" applyBorder="1"/>
    <xf numFmtId="179" fontId="31" fillId="0" borderId="0" xfId="3" applyNumberFormat="1" applyFont="1" applyFill="1" applyBorder="1" applyAlignment="1">
      <alignment horizontal="center"/>
    </xf>
    <xf numFmtId="172" fontId="38" fillId="0" borderId="0" xfId="3" applyNumberFormat="1" applyFont="1" applyBorder="1"/>
    <xf numFmtId="0" fontId="3" fillId="0" borderId="6" xfId="3" applyFont="1" applyBorder="1"/>
    <xf numFmtId="0" fontId="3" fillId="0" borderId="11" xfId="3" applyFont="1" applyBorder="1"/>
    <xf numFmtId="180" fontId="4" fillId="0" borderId="11" xfId="3" applyNumberFormat="1" applyFont="1" applyBorder="1"/>
    <xf numFmtId="180" fontId="3" fillId="0" borderId="11" xfId="3" applyNumberFormat="1" applyFont="1" applyBorder="1"/>
    <xf numFmtId="180" fontId="3" fillId="0" borderId="0" xfId="3" applyNumberFormat="1" applyFont="1" applyBorder="1"/>
    <xf numFmtId="0" fontId="3" fillId="0" borderId="3" xfId="3" applyFont="1" applyBorder="1"/>
    <xf numFmtId="0" fontId="18" fillId="0" borderId="11" xfId="3" applyFont="1" applyBorder="1"/>
    <xf numFmtId="183" fontId="18" fillId="0" borderId="0" xfId="3" applyNumberFormat="1" applyFont="1" applyBorder="1"/>
    <xf numFmtId="172" fontId="37" fillId="0" borderId="0" xfId="3" applyNumberFormat="1" applyFont="1" applyBorder="1"/>
    <xf numFmtId="0" fontId="18" fillId="0" borderId="2" xfId="3" applyFont="1" applyFill="1" applyBorder="1"/>
    <xf numFmtId="0" fontId="18" fillId="0" borderId="3" xfId="3" applyFont="1" applyFill="1" applyBorder="1"/>
    <xf numFmtId="0" fontId="32" fillId="0" borderId="0" xfId="3" applyFont="1" applyBorder="1"/>
    <xf numFmtId="180" fontId="36" fillId="0" borderId="0" xfId="3" applyNumberFormat="1" applyFont="1" applyBorder="1" applyAlignment="1">
      <alignment horizontal="center"/>
    </xf>
    <xf numFmtId="184" fontId="36" fillId="0" borderId="0" xfId="3" applyNumberFormat="1" applyFont="1" applyBorder="1" applyAlignment="1">
      <alignment horizontal="center"/>
    </xf>
    <xf numFmtId="0" fontId="3" fillId="0" borderId="0" xfId="3" applyFont="1" applyFill="1" applyBorder="1"/>
    <xf numFmtId="0" fontId="36" fillId="0" borderId="0" xfId="3" applyFont="1" applyBorder="1" applyAlignment="1">
      <alignment horizontal="center"/>
    </xf>
    <xf numFmtId="0" fontId="36" fillId="0" borderId="2" xfId="3" applyFont="1" applyBorder="1"/>
    <xf numFmtId="184" fontId="39" fillId="0" borderId="3" xfId="3" applyNumberFormat="1" applyFont="1" applyBorder="1" applyAlignment="1">
      <alignment horizontal="center"/>
    </xf>
    <xf numFmtId="0" fontId="18" fillId="0" borderId="2" xfId="3" applyFont="1" applyBorder="1" applyAlignment="1">
      <alignment horizontal="left" indent="1"/>
    </xf>
    <xf numFmtId="179" fontId="32" fillId="0" borderId="2" xfId="3" applyNumberFormat="1" applyFont="1" applyBorder="1" applyAlignment="1">
      <alignment horizontal="center"/>
    </xf>
    <xf numFmtId="185" fontId="36" fillId="0" borderId="0" xfId="3" applyNumberFormat="1" applyFont="1" applyBorder="1"/>
    <xf numFmtId="185" fontId="32" fillId="0" borderId="0" xfId="3" applyNumberFormat="1" applyFont="1" applyBorder="1" applyAlignment="1">
      <alignment horizontal="center"/>
    </xf>
    <xf numFmtId="185" fontId="37" fillId="0" borderId="0" xfId="3" applyNumberFormat="1" applyFont="1" applyBorder="1"/>
    <xf numFmtId="185" fontId="4" fillId="0" borderId="0" xfId="3" applyNumberFormat="1" applyFont="1" applyBorder="1"/>
    <xf numFmtId="179" fontId="32" fillId="0" borderId="0" xfId="3" applyNumberFormat="1" applyFont="1" applyBorder="1" applyAlignment="1">
      <alignment horizontal="center"/>
    </xf>
    <xf numFmtId="0" fontId="3" fillId="0" borderId="2" xfId="3" applyFont="1" applyBorder="1"/>
    <xf numFmtId="0" fontId="3" fillId="0" borderId="6" xfId="3" applyFont="1" applyFill="1" applyBorder="1"/>
    <xf numFmtId="180" fontId="37" fillId="0" borderId="0" xfId="3" applyNumberFormat="1" applyFont="1" applyBorder="1"/>
    <xf numFmtId="0" fontId="3" fillId="0" borderId="3" xfId="3" applyFont="1" applyFill="1" applyBorder="1"/>
    <xf numFmtId="180" fontId="18" fillId="0" borderId="0" xfId="3" applyNumberFormat="1" applyFont="1" applyBorder="1"/>
    <xf numFmtId="0" fontId="4" fillId="0" borderId="6" xfId="3" applyFont="1" applyBorder="1"/>
    <xf numFmtId="164" fontId="18" fillId="0" borderId="6" xfId="3" applyNumberFormat="1" applyFont="1" applyBorder="1"/>
    <xf numFmtId="186" fontId="18" fillId="0" borderId="0" xfId="0" applyNumberFormat="1" applyFont="1"/>
    <xf numFmtId="0" fontId="18" fillId="0" borderId="0" xfId="0" applyFont="1" applyFill="1"/>
    <xf numFmtId="0" fontId="14" fillId="0" borderId="0" xfId="0" applyFont="1" applyAlignment="1">
      <alignment horizontal="right"/>
    </xf>
    <xf numFmtId="0" fontId="16" fillId="0" borderId="3" xfId="0" applyFont="1" applyBorder="1" applyAlignment="1">
      <alignment horizontal="center"/>
    </xf>
    <xf numFmtId="187" fontId="18" fillId="0" borderId="0" xfId="0" applyNumberFormat="1" applyFont="1" applyAlignment="1">
      <alignment horizontal="center"/>
    </xf>
    <xf numFmtId="0" fontId="12" fillId="0" borderId="0" xfId="0" applyFont="1" applyFill="1" applyBorder="1" applyAlignment="1">
      <alignment horizontal="centerContinuous"/>
    </xf>
    <xf numFmtId="0" fontId="12" fillId="0" borderId="0" xfId="0" applyFont="1" applyFill="1" applyAlignment="1">
      <alignment horizontal="centerContinuous"/>
    </xf>
    <xf numFmtId="181" fontId="19" fillId="0" borderId="0" xfId="0" applyNumberFormat="1" applyFont="1" applyFill="1"/>
    <xf numFmtId="0" fontId="40" fillId="0" borderId="0" xfId="3" applyFont="1" applyBorder="1"/>
    <xf numFmtId="0" fontId="36" fillId="0" borderId="0" xfId="3" applyFont="1" applyBorder="1"/>
    <xf numFmtId="0" fontId="9" fillId="0" borderId="0" xfId="3" applyFont="1" applyFill="1" applyBorder="1"/>
    <xf numFmtId="0" fontId="40" fillId="0" borderId="0" xfId="3" applyFont="1" applyFill="1" applyBorder="1"/>
    <xf numFmtId="164" fontId="18" fillId="0" borderId="3" xfId="3" applyNumberFormat="1" applyFont="1" applyBorder="1"/>
    <xf numFmtId="182" fontId="18" fillId="0" borderId="3" xfId="3" applyNumberFormat="1" applyFont="1" applyBorder="1"/>
    <xf numFmtId="172" fontId="18" fillId="0" borderId="3" xfId="3" applyNumberFormat="1" applyFont="1" applyBorder="1"/>
    <xf numFmtId="0" fontId="3" fillId="0" borderId="8" xfId="3" applyFont="1" applyBorder="1"/>
    <xf numFmtId="180" fontId="3" fillId="0" borderId="7" xfId="3" applyNumberFormat="1" applyFont="1" applyBorder="1"/>
    <xf numFmtId="0" fontId="3" fillId="0" borderId="9" xfId="3" applyFont="1" applyBorder="1" applyAlignment="1">
      <alignment horizontal="center"/>
    </xf>
    <xf numFmtId="180" fontId="36" fillId="0" borderId="0" xfId="3" applyNumberFormat="1" applyFont="1" applyBorder="1"/>
    <xf numFmtId="179" fontId="32" fillId="0" borderId="3" xfId="3" applyNumberFormat="1" applyFont="1" applyBorder="1" applyAlignment="1">
      <alignment horizontal="center"/>
    </xf>
    <xf numFmtId="0" fontId="18" fillId="0" borderId="5" xfId="3" applyFont="1" applyBorder="1"/>
    <xf numFmtId="0" fontId="18" fillId="0" borderId="8" xfId="3" applyFont="1" applyBorder="1"/>
    <xf numFmtId="0" fontId="35" fillId="4" borderId="5" xfId="3" applyFont="1" applyFill="1" applyBorder="1" applyAlignment="1">
      <alignment horizontal="center"/>
    </xf>
    <xf numFmtId="180" fontId="19" fillId="0" borderId="0" xfId="3" applyNumberFormat="1" applyFont="1" applyBorder="1"/>
    <xf numFmtId="0" fontId="41" fillId="4" borderId="5" xfId="3" applyFont="1" applyFill="1" applyBorder="1" applyAlignment="1">
      <alignment horizontal="center"/>
    </xf>
    <xf numFmtId="170" fontId="15" fillId="4" borderId="5" xfId="2" applyNumberFormat="1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9" fillId="0" borderId="0" xfId="3" applyFont="1" applyFill="1" applyBorder="1" applyAlignment="1">
      <alignment horizontal="center"/>
    </xf>
    <xf numFmtId="177" fontId="9" fillId="0" borderId="1" xfId="3" applyNumberFormat="1" applyFont="1" applyFill="1" applyBorder="1" applyAlignment="1">
      <alignment horizontal="center"/>
    </xf>
    <xf numFmtId="0" fontId="9" fillId="0" borderId="1" xfId="3" applyFont="1" applyBorder="1" applyAlignment="1">
      <alignment horizontal="center"/>
    </xf>
    <xf numFmtId="0" fontId="4" fillId="0" borderId="1" xfId="3" applyFont="1" applyBorder="1"/>
    <xf numFmtId="0" fontId="18" fillId="0" borderId="1" xfId="3" applyFont="1" applyBorder="1"/>
    <xf numFmtId="0" fontId="3" fillId="0" borderId="1" xfId="3" applyFont="1" applyBorder="1"/>
    <xf numFmtId="0" fontId="9" fillId="0" borderId="3" xfId="3" applyFont="1" applyFill="1" applyBorder="1" applyAlignment="1">
      <alignment horizontal="centerContinuous"/>
    </xf>
    <xf numFmtId="0" fontId="4" fillId="0" borderId="3" xfId="3" applyFont="1" applyFill="1" applyBorder="1" applyAlignment="1">
      <alignment horizontal="centerContinuous"/>
    </xf>
    <xf numFmtId="0" fontId="4" fillId="0" borderId="1" xfId="3" applyFont="1" applyFill="1" applyBorder="1"/>
    <xf numFmtId="0" fontId="32" fillId="0" borderId="1" xfId="3" applyFont="1" applyBorder="1"/>
    <xf numFmtId="41" fontId="19" fillId="5" borderId="0" xfId="0" applyNumberFormat="1" applyFont="1" applyFill="1"/>
    <xf numFmtId="41" fontId="4" fillId="0" borderId="0" xfId="0" applyNumberFormat="1" applyFont="1"/>
    <xf numFmtId="171" fontId="16" fillId="0" borderId="4" xfId="0" applyNumberFormat="1" applyFont="1" applyBorder="1"/>
    <xf numFmtId="178" fontId="15" fillId="0" borderId="1" xfId="3" applyNumberFormat="1" applyFont="1" applyFill="1" applyBorder="1" applyAlignment="1">
      <alignment horizontal="center"/>
    </xf>
    <xf numFmtId="0" fontId="28" fillId="0" borderId="0" xfId="0" applyFont="1" applyAlignment="1">
      <alignment horizontal="right"/>
    </xf>
    <xf numFmtId="37" fontId="19" fillId="0" borderId="0" xfId="3" applyNumberFormat="1" applyFont="1" applyBorder="1"/>
    <xf numFmtId="41" fontId="20" fillId="0" borderId="0" xfId="3" applyNumberFormat="1" applyFont="1" applyBorder="1"/>
    <xf numFmtId="41" fontId="3" fillId="0" borderId="6" xfId="3" applyNumberFormat="1" applyFont="1" applyBorder="1"/>
    <xf numFmtId="41" fontId="18" fillId="0" borderId="0" xfId="3" applyNumberFormat="1" applyFont="1" applyBorder="1"/>
    <xf numFmtId="41" fontId="19" fillId="0" borderId="0" xfId="3" applyNumberFormat="1" applyFont="1" applyBorder="1"/>
    <xf numFmtId="41" fontId="32" fillId="0" borderId="2" xfId="3" applyNumberFormat="1" applyFont="1" applyBorder="1"/>
    <xf numFmtId="188" fontId="36" fillId="0" borderId="0" xfId="3" applyNumberFormat="1" applyFont="1" applyBorder="1"/>
    <xf numFmtId="188" fontId="3" fillId="0" borderId="6" xfId="3" applyNumberFormat="1" applyFont="1" applyBorder="1"/>
    <xf numFmtId="188" fontId="18" fillId="0" borderId="0" xfId="3" applyNumberFormat="1" applyFont="1" applyBorder="1"/>
    <xf numFmtId="188" fontId="3" fillId="0" borderId="2" xfId="3" applyNumberFormat="1" applyFont="1" applyBorder="1"/>
    <xf numFmtId="188" fontId="20" fillId="0" borderId="0" xfId="3" applyNumberFormat="1" applyFont="1" applyBorder="1"/>
    <xf numFmtId="37" fontId="3" fillId="0" borderId="7" xfId="3" applyNumberFormat="1" applyFont="1" applyBorder="1"/>
    <xf numFmtId="37" fontId="32" fillId="0" borderId="7" xfId="3" applyNumberFormat="1" applyFont="1" applyBorder="1"/>
    <xf numFmtId="41" fontId="32" fillId="0" borderId="6" xfId="3" applyNumberFormat="1" applyFont="1" applyBorder="1"/>
    <xf numFmtId="41" fontId="4" fillId="0" borderId="0" xfId="3" applyNumberFormat="1" applyFont="1" applyBorder="1"/>
    <xf numFmtId="41" fontId="32" fillId="0" borderId="10" xfId="3" applyNumberFormat="1" applyFont="1" applyBorder="1"/>
    <xf numFmtId="41" fontId="3" fillId="0" borderId="0" xfId="3" applyNumberFormat="1" applyFont="1" applyBorder="1"/>
    <xf numFmtId="41" fontId="32" fillId="0" borderId="0" xfId="3" applyNumberFormat="1" applyFont="1" applyBorder="1"/>
    <xf numFmtId="41" fontId="18" fillId="0" borderId="2" xfId="3" applyNumberFormat="1" applyFont="1" applyBorder="1"/>
    <xf numFmtId="41" fontId="3" fillId="0" borderId="2" xfId="3" applyNumberFormat="1" applyFont="1" applyBorder="1"/>
    <xf numFmtId="41" fontId="3" fillId="0" borderId="7" xfId="3" applyNumberFormat="1" applyFont="1" applyBorder="1"/>
    <xf numFmtId="182" fontId="4" fillId="0" borderId="0" xfId="3" applyNumberFormat="1" applyFont="1" applyBorder="1"/>
    <xf numFmtId="167" fontId="18" fillId="0" borderId="0" xfId="0" applyNumberFormat="1" applyFont="1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1" fontId="32" fillId="0" borderId="7" xfId="3" applyNumberFormat="1" applyFont="1" applyBorder="1"/>
    <xf numFmtId="41" fontId="38" fillId="0" borderId="0" xfId="3" applyNumberFormat="1" applyFont="1" applyBorder="1"/>
    <xf numFmtId="41" fontId="4" fillId="0" borderId="6" xfId="3" applyNumberFormat="1" applyFont="1" applyBorder="1"/>
    <xf numFmtId="37" fontId="3" fillId="0" borderId="0" xfId="3" applyNumberFormat="1" applyFont="1" applyBorder="1"/>
    <xf numFmtId="0" fontId="16" fillId="0" borderId="0" xfId="3" applyFont="1" applyBorder="1"/>
    <xf numFmtId="184" fontId="36" fillId="0" borderId="3" xfId="3" applyNumberFormat="1" applyFont="1" applyBorder="1" applyAlignment="1">
      <alignment horizontal="center"/>
    </xf>
    <xf numFmtId="172" fontId="3" fillId="0" borderId="3" xfId="3" applyNumberFormat="1" applyFont="1" applyBorder="1"/>
    <xf numFmtId="166" fontId="9" fillId="0" borderId="1" xfId="3" applyNumberFormat="1" applyFont="1" applyFill="1" applyBorder="1" applyAlignment="1">
      <alignment horizontal="center"/>
    </xf>
    <xf numFmtId="165" fontId="9" fillId="0" borderId="1" xfId="3" applyNumberFormat="1" applyFont="1" applyFill="1" applyBorder="1" applyAlignment="1">
      <alignment horizontal="center"/>
    </xf>
    <xf numFmtId="190" fontId="9" fillId="0" borderId="1" xfId="3" applyNumberFormat="1" applyFont="1" applyFill="1" applyBorder="1" applyAlignment="1">
      <alignment horizontal="center"/>
    </xf>
    <xf numFmtId="165" fontId="22" fillId="0" borderId="1" xfId="3" applyNumberFormat="1" applyFont="1" applyFill="1" applyBorder="1" applyAlignment="1">
      <alignment horizontal="center"/>
    </xf>
    <xf numFmtId="0" fontId="15" fillId="4" borderId="5" xfId="3" applyFont="1" applyFill="1" applyBorder="1" applyAlignment="1">
      <alignment horizontal="center"/>
    </xf>
    <xf numFmtId="41" fontId="37" fillId="0" borderId="0" xfId="3" applyNumberFormat="1" applyFont="1" applyBorder="1"/>
    <xf numFmtId="176" fontId="18" fillId="0" borderId="0" xfId="0" applyNumberFormat="1" applyFont="1" applyAlignment="1">
      <alignment horizontal="center"/>
    </xf>
    <xf numFmtId="180" fontId="19" fillId="0" borderId="0" xfId="3" applyNumberFormat="1" applyFont="1" applyBorder="1" applyAlignment="1">
      <alignment horizontal="center"/>
    </xf>
    <xf numFmtId="184" fontId="19" fillId="0" borderId="0" xfId="3" applyNumberFormat="1" applyFont="1" applyBorder="1" applyAlignment="1">
      <alignment horizontal="center"/>
    </xf>
    <xf numFmtId="41" fontId="3" fillId="0" borderId="3" xfId="3" applyNumberFormat="1" applyFont="1" applyBorder="1"/>
    <xf numFmtId="41" fontId="4" fillId="0" borderId="2" xfId="3" applyNumberFormat="1" applyFont="1" applyBorder="1"/>
    <xf numFmtId="167" fontId="19" fillId="0" borderId="0" xfId="4" applyNumberFormat="1" applyFont="1"/>
    <xf numFmtId="37" fontId="3" fillId="0" borderId="6" xfId="3" applyNumberFormat="1" applyFont="1" applyBorder="1"/>
    <xf numFmtId="182" fontId="4" fillId="0" borderId="0" xfId="3" applyNumberFormat="1" applyFont="1" applyFill="1" applyBorder="1" applyAlignment="1">
      <alignment horizontal="right"/>
    </xf>
    <xf numFmtId="191" fontId="4" fillId="0" borderId="0" xfId="3" applyNumberFormat="1" applyFont="1" applyBorder="1" applyAlignment="1">
      <alignment horizontal="right"/>
    </xf>
    <xf numFmtId="189" fontId="4" fillId="0" borderId="0" xfId="3" applyNumberFormat="1" applyFont="1" applyFill="1" applyBorder="1" applyAlignment="1"/>
    <xf numFmtId="37" fontId="18" fillId="0" borderId="0" xfId="3" applyNumberFormat="1" applyFont="1" applyBorder="1"/>
    <xf numFmtId="41" fontId="18" fillId="0" borderId="0" xfId="3" applyNumberFormat="1" applyFont="1"/>
    <xf numFmtId="41" fontId="3" fillId="0" borderId="0" xfId="3" applyNumberFormat="1" applyFont="1" applyFill="1" applyBorder="1"/>
    <xf numFmtId="167" fontId="18" fillId="0" borderId="0" xfId="4" applyNumberFormat="1" applyFont="1" applyBorder="1"/>
    <xf numFmtId="167" fontId="18" fillId="0" borderId="3" xfId="4" applyNumberFormat="1" applyFont="1" applyBorder="1"/>
    <xf numFmtId="188" fontId="19" fillId="0" borderId="0" xfId="0" applyNumberFormat="1" applyFont="1" applyFill="1"/>
    <xf numFmtId="9" fontId="18" fillId="0" borderId="3" xfId="2" applyFont="1" applyBorder="1"/>
    <xf numFmtId="0" fontId="16" fillId="0" borderId="0" xfId="0" applyFont="1" applyAlignment="1">
      <alignment horizontal="left"/>
    </xf>
    <xf numFmtId="9" fontId="4" fillId="0" borderId="0" xfId="2" applyFont="1" applyFill="1"/>
    <xf numFmtId="9" fontId="19" fillId="0" borderId="3" xfId="2" applyFont="1" applyBorder="1"/>
    <xf numFmtId="0" fontId="44" fillId="0" borderId="0" xfId="6" applyFont="1"/>
    <xf numFmtId="167" fontId="43" fillId="0" borderId="0" xfId="4" applyNumberFormat="1" applyFont="1"/>
    <xf numFmtId="170" fontId="45" fillId="0" borderId="0" xfId="2" applyNumberFormat="1" applyFont="1"/>
    <xf numFmtId="167" fontId="45" fillId="0" borderId="0" xfId="4" applyNumberFormat="1" applyFont="1"/>
    <xf numFmtId="10" fontId="45" fillId="0" borderId="0" xfId="2" applyNumberFormat="1" applyFont="1"/>
    <xf numFmtId="0" fontId="18" fillId="0" borderId="0" xfId="0" applyFont="1" applyAlignment="1">
      <alignment horizontal="left" vertical="top"/>
    </xf>
    <xf numFmtId="192" fontId="18" fillId="0" borderId="0" xfId="0" applyNumberFormat="1" applyFont="1" applyAlignment="1">
      <alignment horizontal="left" vertical="top"/>
    </xf>
    <xf numFmtId="192" fontId="18" fillId="0" borderId="0" xfId="0" applyNumberFormat="1" applyFont="1" applyAlignment="1">
      <alignment horizontal="centerContinuous" vertical="top"/>
    </xf>
    <xf numFmtId="193" fontId="18" fillId="0" borderId="0" xfId="0" applyNumberFormat="1" applyFont="1" applyAlignment="1">
      <alignment horizontal="left" vertical="top"/>
    </xf>
    <xf numFmtId="167" fontId="18" fillId="0" borderId="0" xfId="4" applyNumberFormat="1" applyFont="1"/>
    <xf numFmtId="37" fontId="4" fillId="0" borderId="0" xfId="3" applyNumberFormat="1" applyFont="1" applyBorder="1"/>
    <xf numFmtId="9" fontId="20" fillId="0" borderId="0" xfId="2" applyFont="1" applyFill="1"/>
    <xf numFmtId="185" fontId="20" fillId="0" borderId="0" xfId="3" applyNumberFormat="1" applyFont="1" applyBorder="1"/>
    <xf numFmtId="183" fontId="37" fillId="0" borderId="0" xfId="3" applyNumberFormat="1" applyFont="1" applyBorder="1"/>
    <xf numFmtId="191" fontId="37" fillId="0" borderId="0" xfId="3" applyNumberFormat="1" applyFont="1" applyBorder="1"/>
    <xf numFmtId="172" fontId="38" fillId="0" borderId="3" xfId="3" applyNumberFormat="1" applyFont="1" applyBorder="1"/>
    <xf numFmtId="41" fontId="20" fillId="0" borderId="3" xfId="3" applyNumberFormat="1" applyFont="1" applyBorder="1"/>
    <xf numFmtId="0" fontId="9" fillId="0" borderId="7" xfId="3" applyFont="1" applyFill="1" applyBorder="1"/>
    <xf numFmtId="0" fontId="9" fillId="0" borderId="7" xfId="3" applyFont="1" applyBorder="1"/>
    <xf numFmtId="172" fontId="9" fillId="0" borderId="7" xfId="3" applyNumberFormat="1" applyFont="1" applyBorder="1"/>
    <xf numFmtId="41" fontId="9" fillId="0" borderId="7" xfId="3" applyNumberFormat="1" applyFont="1" applyBorder="1"/>
    <xf numFmtId="0" fontId="9" fillId="0" borderId="3" xfId="3" applyFont="1" applyFill="1" applyBorder="1"/>
    <xf numFmtId="194" fontId="4" fillId="0" borderId="0" xfId="3" applyNumberFormat="1" applyFont="1" applyBorder="1"/>
    <xf numFmtId="43" fontId="18" fillId="0" borderId="0" xfId="4" applyNumberFormat="1" applyFont="1"/>
    <xf numFmtId="9" fontId="18" fillId="0" borderId="0" xfId="2" applyFont="1" applyBorder="1"/>
    <xf numFmtId="0" fontId="16" fillId="0" borderId="0" xfId="3" applyFont="1" applyFill="1" applyBorder="1"/>
    <xf numFmtId="172" fontId="9" fillId="0" borderId="3" xfId="3" applyNumberFormat="1" applyFont="1" applyBorder="1"/>
    <xf numFmtId="167" fontId="9" fillId="0" borderId="3" xfId="4" applyNumberFormat="1" applyFont="1" applyBorder="1"/>
    <xf numFmtId="172" fontId="20" fillId="0" borderId="0" xfId="3" applyNumberFormat="1" applyFont="1" applyBorder="1"/>
    <xf numFmtId="180" fontId="20" fillId="0" borderId="0" xfId="3" applyNumberFormat="1" applyFont="1" applyBorder="1"/>
    <xf numFmtId="180" fontId="32" fillId="0" borderId="0" xfId="3" applyNumberFormat="1" applyFont="1" applyFill="1"/>
    <xf numFmtId="0" fontId="0" fillId="0" borderId="1" xfId="0" applyBorder="1"/>
    <xf numFmtId="0" fontId="12" fillId="2" borderId="0" xfId="0" applyFont="1" applyFill="1" applyBorder="1" applyAlignment="1">
      <alignment horizontal="centerContinuous"/>
    </xf>
    <xf numFmtId="0" fontId="16" fillId="0" borderId="1" xfId="0" applyFont="1" applyBorder="1" applyAlignment="1">
      <alignment horizontal="center"/>
    </xf>
    <xf numFmtId="0" fontId="12" fillId="2" borderId="13" xfId="0" applyFont="1" applyFill="1" applyBorder="1" applyAlignment="1">
      <alignment horizontal="centerContinuous"/>
    </xf>
    <xf numFmtId="166" fontId="9" fillId="0" borderId="1" xfId="0" applyNumberFormat="1" applyFont="1" applyBorder="1" applyAlignment="1">
      <alignment horizontal="center"/>
    </xf>
    <xf numFmtId="42" fontId="4" fillId="0" borderId="0" xfId="0" applyNumberFormat="1" applyFont="1"/>
    <xf numFmtId="42" fontId="4" fillId="0" borderId="0" xfId="0" applyNumberFormat="1" applyFont="1" applyBorder="1"/>
    <xf numFmtId="41" fontId="4" fillId="0" borderId="0" xfId="0" applyNumberFormat="1" applyFont="1" applyBorder="1"/>
    <xf numFmtId="196" fontId="9" fillId="0" borderId="0" xfId="0" applyNumberFormat="1" applyFont="1" applyFill="1" applyBorder="1" applyAlignment="1">
      <alignment horizontal="center"/>
    </xf>
    <xf numFmtId="42" fontId="16" fillId="0" borderId="4" xfId="0" applyNumberFormat="1" applyFont="1" applyBorder="1"/>
    <xf numFmtId="42" fontId="28" fillId="0" borderId="0" xfId="0" applyNumberFormat="1" applyFont="1"/>
    <xf numFmtId="0" fontId="16" fillId="0" borderId="0" xfId="0" applyFont="1" applyBorder="1" applyAlignment="1">
      <alignment horizontal="center"/>
    </xf>
    <xf numFmtId="170" fontId="18" fillId="0" borderId="0" xfId="2" applyNumberFormat="1" applyFont="1" applyAlignment="1">
      <alignment horizontal="center"/>
    </xf>
    <xf numFmtId="195" fontId="18" fillId="0" borderId="0" xfId="0" applyNumberFormat="1" applyFont="1" applyAlignment="1">
      <alignment horizontal="center"/>
    </xf>
    <xf numFmtId="37" fontId="19" fillId="0" borderId="0" xfId="0" applyNumberFormat="1" applyFont="1"/>
    <xf numFmtId="190" fontId="15" fillId="0" borderId="1" xfId="3" applyNumberFormat="1" applyFont="1" applyFill="1" applyBorder="1" applyAlignment="1">
      <alignment horizontal="center"/>
    </xf>
    <xf numFmtId="172" fontId="9" fillId="0" borderId="0" xfId="3" applyNumberFormat="1" applyFont="1" applyBorder="1"/>
    <xf numFmtId="167" fontId="9" fillId="0" borderId="0" xfId="4" applyNumberFormat="1" applyFont="1" applyBorder="1"/>
    <xf numFmtId="0" fontId="9" fillId="0" borderId="2" xfId="3" applyFont="1" applyFill="1" applyBorder="1"/>
    <xf numFmtId="172" fontId="9" fillId="0" borderId="2" xfId="3" applyNumberFormat="1" applyFont="1" applyBorder="1"/>
    <xf numFmtId="37" fontId="9" fillId="0" borderId="2" xfId="3" applyNumberFormat="1" applyFont="1" applyBorder="1"/>
    <xf numFmtId="0" fontId="16" fillId="0" borderId="3" xfId="3" applyFont="1" applyFill="1" applyBorder="1"/>
    <xf numFmtId="0" fontId="16" fillId="0" borderId="2" xfId="0" applyFont="1" applyFill="1" applyBorder="1"/>
    <xf numFmtId="41" fontId="16" fillId="0" borderId="2" xfId="0" applyNumberFormat="1" applyFont="1" applyFill="1" applyBorder="1"/>
    <xf numFmtId="0" fontId="24" fillId="0" borderId="1" xfId="0" applyFont="1" applyFill="1" applyBorder="1"/>
    <xf numFmtId="171" fontId="24" fillId="0" borderId="1" xfId="0" applyNumberFormat="1" applyFont="1" applyFill="1" applyBorder="1"/>
    <xf numFmtId="0" fontId="24" fillId="0" borderId="1" xfId="0" applyFont="1" applyFill="1" applyBorder="1" applyAlignment="1">
      <alignment horizontal="left" indent="1"/>
    </xf>
    <xf numFmtId="0" fontId="9" fillId="0" borderId="0" xfId="3" applyFont="1" applyFill="1" applyBorder="1" applyAlignment="1">
      <alignment horizontal="centerContinuous"/>
    </xf>
    <xf numFmtId="0" fontId="4" fillId="0" borderId="0" xfId="3" applyFont="1" applyFill="1" applyBorder="1" applyAlignment="1">
      <alignment horizontal="centerContinuous"/>
    </xf>
    <xf numFmtId="165" fontId="9" fillId="0" borderId="0" xfId="3" applyNumberFormat="1" applyFont="1" applyFill="1" applyBorder="1" applyAlignment="1">
      <alignment horizontal="center"/>
    </xf>
    <xf numFmtId="177" fontId="9" fillId="0" borderId="0" xfId="3" applyNumberFormat="1" applyFont="1" applyFill="1" applyBorder="1" applyAlignment="1">
      <alignment horizontal="center"/>
    </xf>
    <xf numFmtId="190" fontId="9" fillId="0" borderId="0" xfId="3" applyNumberFormat="1" applyFont="1" applyFill="1" applyBorder="1" applyAlignment="1">
      <alignment horizontal="center"/>
    </xf>
    <xf numFmtId="172" fontId="18" fillId="0" borderId="0" xfId="0" applyNumberFormat="1" applyFont="1" applyBorder="1"/>
    <xf numFmtId="180" fontId="18" fillId="0" borderId="0" xfId="0" applyNumberFormat="1" applyFont="1" applyBorder="1"/>
    <xf numFmtId="181" fontId="33" fillId="0" borderId="0" xfId="3" applyNumberFormat="1" applyFont="1" applyBorder="1"/>
    <xf numFmtId="0" fontId="12" fillId="8" borderId="0" xfId="0" applyFont="1" applyFill="1"/>
    <xf numFmtId="0" fontId="23" fillId="8" borderId="0" xfId="0" applyFont="1" applyFill="1" applyAlignment="1"/>
    <xf numFmtId="0" fontId="25" fillId="8" borderId="0" xfId="0" applyFont="1" applyFill="1"/>
    <xf numFmtId="167" fontId="18" fillId="0" borderId="0" xfId="3" applyNumberFormat="1" applyFont="1" applyBorder="1"/>
    <xf numFmtId="0" fontId="18" fillId="0" borderId="7" xfId="3" applyFont="1" applyFill="1" applyBorder="1"/>
    <xf numFmtId="167" fontId="18" fillId="0" borderId="7" xfId="3" applyNumberFormat="1" applyFont="1" applyBorder="1"/>
    <xf numFmtId="170" fontId="18" fillId="0" borderId="0" xfId="2" applyNumberFormat="1" applyFont="1" applyBorder="1"/>
    <xf numFmtId="195" fontId="18" fillId="0" borderId="3" xfId="3" applyNumberFormat="1" applyFont="1" applyBorder="1"/>
    <xf numFmtId="0" fontId="18" fillId="0" borderId="18" xfId="3" applyFont="1" applyBorder="1"/>
    <xf numFmtId="167" fontId="18" fillId="0" borderId="0" xfId="3" applyNumberFormat="1" applyFont="1" applyFill="1" applyBorder="1"/>
    <xf numFmtId="0" fontId="18" fillId="0" borderId="19" xfId="3" applyFont="1" applyBorder="1"/>
    <xf numFmtId="167" fontId="18" fillId="0" borderId="3" xfId="3" applyNumberFormat="1" applyFont="1" applyBorder="1"/>
    <xf numFmtId="166" fontId="18" fillId="0" borderId="2" xfId="3" applyNumberFormat="1" applyFont="1" applyBorder="1" applyAlignment="1">
      <alignment horizontal="center"/>
    </xf>
    <xf numFmtId="166" fontId="18" fillId="0" borderId="0" xfId="3" applyNumberFormat="1" applyFont="1" applyBorder="1" applyAlignment="1">
      <alignment horizontal="center"/>
    </xf>
    <xf numFmtId="197" fontId="18" fillId="0" borderId="0" xfId="0" applyNumberFormat="1" applyFont="1"/>
    <xf numFmtId="41" fontId="4" fillId="0" borderId="3" xfId="3" applyNumberFormat="1" applyFont="1" applyBorder="1"/>
    <xf numFmtId="43" fontId="18" fillId="0" borderId="0" xfId="4" applyNumberFormat="1" applyFont="1" applyBorder="1"/>
    <xf numFmtId="170" fontId="25" fillId="8" borderId="0" xfId="2" applyNumberFormat="1" applyFont="1" applyFill="1" applyBorder="1"/>
    <xf numFmtId="42" fontId="49" fillId="0" borderId="0" xfId="0" applyNumberFormat="1" applyFont="1"/>
    <xf numFmtId="167" fontId="4" fillId="0" borderId="0" xfId="0" applyNumberFormat="1" applyFont="1"/>
    <xf numFmtId="171" fontId="14" fillId="0" borderId="0" xfId="0" applyNumberFormat="1" applyFont="1" applyFill="1" applyBorder="1"/>
    <xf numFmtId="0" fontId="18" fillId="0" borderId="0" xfId="3" applyFont="1" applyBorder="1" applyAlignment="1">
      <alignment horizontal="left"/>
    </xf>
    <xf numFmtId="167" fontId="4" fillId="0" borderId="0" xfId="3" applyNumberFormat="1" applyFont="1" applyBorder="1"/>
    <xf numFmtId="41" fontId="9" fillId="0" borderId="0" xfId="3" applyNumberFormat="1" applyFont="1" applyBorder="1"/>
    <xf numFmtId="0" fontId="16" fillId="0" borderId="0" xfId="0" applyFont="1" applyBorder="1" applyAlignment="1">
      <alignment horizontal="right"/>
    </xf>
    <xf numFmtId="0" fontId="13" fillId="0" borderId="0" xfId="3" applyFont="1" applyFill="1" applyBorder="1"/>
    <xf numFmtId="0" fontId="13" fillId="0" borderId="0" xfId="3" applyFont="1" applyBorder="1"/>
    <xf numFmtId="41" fontId="13" fillId="0" borderId="0" xfId="3" applyNumberFormat="1" applyFont="1" applyBorder="1" applyAlignment="1">
      <alignment horizontal="right"/>
    </xf>
    <xf numFmtId="43" fontId="18" fillId="0" borderId="0" xfId="0" applyNumberFormat="1" applyFont="1"/>
    <xf numFmtId="0" fontId="10" fillId="0" borderId="0" xfId="0" applyFont="1" applyFill="1" applyBorder="1"/>
    <xf numFmtId="0" fontId="12" fillId="0" borderId="0" xfId="0" applyFont="1" applyFill="1" applyBorder="1"/>
    <xf numFmtId="167" fontId="18" fillId="0" borderId="0" xfId="0" applyNumberFormat="1" applyFont="1" applyFill="1" applyBorder="1"/>
    <xf numFmtId="0" fontId="25" fillId="2" borderId="0" xfId="0" applyFont="1" applyFill="1" applyBorder="1" applyAlignment="1">
      <alignment horizontal="center"/>
    </xf>
    <xf numFmtId="39" fontId="18" fillId="0" borderId="0" xfId="0" applyNumberFormat="1" applyFont="1" applyBorder="1"/>
    <xf numFmtId="39" fontId="18" fillId="0" borderId="0" xfId="0" applyNumberFormat="1" applyFont="1"/>
    <xf numFmtId="0" fontId="12" fillId="8" borderId="0" xfId="0" applyFont="1" applyFill="1" applyAlignment="1">
      <alignment horizontal="center"/>
    </xf>
    <xf numFmtId="174" fontId="4" fillId="0" borderId="0" xfId="0" applyNumberFormat="1" applyFont="1"/>
    <xf numFmtId="181" fontId="18" fillId="0" borderId="0" xfId="0" applyNumberFormat="1" applyFont="1"/>
    <xf numFmtId="0" fontId="4" fillId="0" borderId="0" xfId="0" applyFont="1" applyBorder="1"/>
    <xf numFmtId="0" fontId="47" fillId="0" borderId="0" xfId="0" applyFont="1" applyBorder="1"/>
    <xf numFmtId="167" fontId="4" fillId="0" borderId="0" xfId="4" applyNumberFormat="1" applyFont="1" applyBorder="1"/>
    <xf numFmtId="167" fontId="10" fillId="0" borderId="0" xfId="4" applyNumberFormat="1" applyFont="1"/>
    <xf numFmtId="10" fontId="10" fillId="0" borderId="0" xfId="2" applyNumberFormat="1" applyFont="1"/>
    <xf numFmtId="167" fontId="4" fillId="0" borderId="0" xfId="0" applyNumberFormat="1" applyFont="1" applyBorder="1"/>
    <xf numFmtId="0" fontId="18" fillId="9" borderId="0" xfId="0" applyFont="1" applyFill="1"/>
    <xf numFmtId="167" fontId="28" fillId="0" borderId="0" xfId="0" applyNumberFormat="1" applyFont="1"/>
    <xf numFmtId="8" fontId="18" fillId="0" borderId="0" xfId="0" applyNumberFormat="1" applyFont="1"/>
    <xf numFmtId="10" fontId="18" fillId="0" borderId="0" xfId="0" applyNumberFormat="1" applyFont="1"/>
    <xf numFmtId="168" fontId="19" fillId="0" borderId="0" xfId="1" applyNumberFormat="1" applyFont="1"/>
    <xf numFmtId="41" fontId="9" fillId="0" borderId="2" xfId="0" applyNumberFormat="1" applyFont="1" applyFill="1" applyBorder="1"/>
    <xf numFmtId="41" fontId="9" fillId="0" borderId="4" xfId="0" applyNumberFormat="1" applyFont="1" applyBorder="1"/>
    <xf numFmtId="41" fontId="4" fillId="0" borderId="0" xfId="0" applyNumberFormat="1" applyFont="1" applyFill="1"/>
    <xf numFmtId="37" fontId="18" fillId="0" borderId="0" xfId="0" applyNumberFormat="1" applyFont="1"/>
    <xf numFmtId="197" fontId="18" fillId="0" borderId="0" xfId="0" applyNumberFormat="1" applyFont="1" applyFill="1" applyBorder="1"/>
    <xf numFmtId="41" fontId="19" fillId="0" borderId="2" xfId="0" applyNumberFormat="1" applyFont="1" applyBorder="1"/>
    <xf numFmtId="167" fontId="19" fillId="0" borderId="0" xfId="0" applyNumberFormat="1" applyFont="1" applyFill="1"/>
    <xf numFmtId="195" fontId="18" fillId="0" borderId="0" xfId="3" applyNumberFormat="1" applyFont="1" applyBorder="1"/>
    <xf numFmtId="168" fontId="18" fillId="0" borderId="0" xfId="1" applyNumberFormat="1" applyFont="1" applyBorder="1"/>
    <xf numFmtId="0" fontId="16" fillId="0" borderId="0" xfId="0" applyFont="1" applyBorder="1" applyAlignment="1">
      <alignment horizontal="center"/>
    </xf>
    <xf numFmtId="3" fontId="18" fillId="0" borderId="0" xfId="0" applyNumberFormat="1" applyFont="1"/>
    <xf numFmtId="41" fontId="19" fillId="0" borderId="0" xfId="0" applyNumberFormat="1" applyFont="1" applyFill="1"/>
    <xf numFmtId="0" fontId="19" fillId="0" borderId="0" xfId="3" applyFont="1" applyBorder="1"/>
    <xf numFmtId="42" fontId="16" fillId="0" borderId="0" xfId="0" applyNumberFormat="1" applyFont="1" applyBorder="1"/>
    <xf numFmtId="43" fontId="18" fillId="0" borderId="0" xfId="0" applyNumberFormat="1" applyFont="1" applyFill="1" applyBorder="1"/>
    <xf numFmtId="167" fontId="3" fillId="0" borderId="7" xfId="4" applyNumberFormat="1" applyFont="1" applyBorder="1"/>
    <xf numFmtId="167" fontId="19" fillId="0" borderId="0" xfId="4" applyNumberFormat="1" applyFont="1" applyBorder="1"/>
    <xf numFmtId="9" fontId="19" fillId="0" borderId="0" xfId="2" applyNumberFormat="1" applyFont="1" applyBorder="1"/>
    <xf numFmtId="9" fontId="3" fillId="0" borderId="7" xfId="2" applyNumberFormat="1" applyFont="1" applyBorder="1"/>
    <xf numFmtId="170" fontId="20" fillId="0" borderId="20" xfId="2" applyNumberFormat="1" applyFont="1" applyBorder="1" applyAlignment="1">
      <alignment horizontal="center"/>
    </xf>
    <xf numFmtId="170" fontId="4" fillId="0" borderId="20" xfId="2" applyNumberFormat="1" applyFont="1" applyBorder="1" applyAlignment="1">
      <alignment horizontal="center"/>
    </xf>
    <xf numFmtId="198" fontId="19" fillId="0" borderId="0" xfId="1" applyNumberFormat="1" applyFont="1" applyBorder="1" applyAlignment="1">
      <alignment horizontal="center"/>
    </xf>
    <xf numFmtId="41" fontId="18" fillId="0" borderId="0" xfId="0" applyNumberFormat="1" applyFont="1" applyFill="1" applyBorder="1"/>
    <xf numFmtId="168" fontId="18" fillId="0" borderId="0" xfId="3" applyNumberFormat="1" applyFont="1" applyBorder="1"/>
    <xf numFmtId="170" fontId="18" fillId="0" borderId="3" xfId="2" applyNumberFormat="1" applyFont="1" applyBorder="1"/>
    <xf numFmtId="43" fontId="10" fillId="0" borderId="0" xfId="0" applyNumberFormat="1" applyFont="1"/>
    <xf numFmtId="194" fontId="4" fillId="0" borderId="0" xfId="3" applyNumberFormat="1" applyFont="1" applyBorder="1" applyAlignment="1">
      <alignment horizontal="right"/>
    </xf>
    <xf numFmtId="2" fontId="18" fillId="0" borderId="0" xfId="0" applyNumberFormat="1" applyFont="1"/>
    <xf numFmtId="2" fontId="19" fillId="0" borderId="0" xfId="0" applyNumberFormat="1" applyFont="1"/>
    <xf numFmtId="194" fontId="19" fillId="0" borderId="0" xfId="3" applyNumberFormat="1" applyFont="1" applyBorder="1"/>
    <xf numFmtId="172" fontId="3" fillId="0" borderId="0" xfId="3" applyNumberFormat="1" applyFont="1" applyBorder="1" applyAlignment="1">
      <alignment horizontal="right"/>
    </xf>
    <xf numFmtId="176" fontId="4" fillId="0" borderId="0" xfId="0" applyNumberFormat="1" applyFont="1" applyAlignment="1">
      <alignment horizontal="center"/>
    </xf>
    <xf numFmtId="174" fontId="18" fillId="0" borderId="3" xfId="0" applyNumberFormat="1" applyFont="1" applyBorder="1"/>
    <xf numFmtId="174" fontId="16" fillId="0" borderId="4" xfId="0" applyNumberFormat="1" applyFont="1" applyBorder="1"/>
    <xf numFmtId="9" fontId="18" fillId="0" borderId="0" xfId="2" applyFont="1"/>
    <xf numFmtId="0" fontId="4" fillId="0" borderId="0" xfId="3" applyNumberFormat="1" applyFont="1" applyBorder="1" applyAlignment="1">
      <alignment horizontal="center"/>
    </xf>
    <xf numFmtId="0" fontId="16" fillId="0" borderId="1" xfId="3" applyFont="1" applyBorder="1" applyAlignment="1">
      <alignment horizontal="center"/>
    </xf>
    <xf numFmtId="170" fontId="19" fillId="0" borderId="0" xfId="2" applyNumberFormat="1" applyFont="1" applyBorder="1"/>
    <xf numFmtId="170" fontId="4" fillId="0" borderId="0" xfId="2" applyNumberFormat="1" applyFont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25" fillId="2" borderId="1" xfId="0" applyFont="1" applyFill="1" applyBorder="1"/>
    <xf numFmtId="165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right"/>
    </xf>
    <xf numFmtId="168" fontId="18" fillId="0" borderId="0" xfId="1" applyNumberFormat="1" applyFont="1"/>
    <xf numFmtId="170" fontId="3" fillId="0" borderId="0" xfId="2" applyNumberFormat="1" applyFont="1" applyBorder="1"/>
    <xf numFmtId="10" fontId="3" fillId="0" borderId="0" xfId="2" applyNumberFormat="1" applyFont="1" applyBorder="1"/>
    <xf numFmtId="43" fontId="18" fillId="0" borderId="0" xfId="3" applyNumberFormat="1" applyFont="1" applyBorder="1"/>
    <xf numFmtId="168" fontId="18" fillId="0" borderId="0" xfId="0" applyNumberFormat="1" applyFont="1"/>
    <xf numFmtId="166" fontId="22" fillId="0" borderId="1" xfId="0" applyNumberFormat="1" applyFont="1" applyBorder="1" applyAlignment="1">
      <alignment horizontal="center"/>
    </xf>
    <xf numFmtId="166" fontId="12" fillId="2" borderId="0" xfId="0" applyNumberFormat="1" applyFont="1" applyFill="1" applyBorder="1" applyAlignment="1">
      <alignment horizontal="right"/>
    </xf>
    <xf numFmtId="9" fontId="19" fillId="0" borderId="0" xfId="2" applyFont="1" applyBorder="1"/>
    <xf numFmtId="166" fontId="9" fillId="0" borderId="1" xfId="0" applyNumberFormat="1" applyFont="1" applyFill="1" applyBorder="1" applyAlignment="1">
      <alignment horizontal="center"/>
    </xf>
    <xf numFmtId="0" fontId="25" fillId="10" borderId="0" xfId="3" applyFont="1" applyFill="1" applyBorder="1" applyAlignment="1">
      <alignment horizontal="center"/>
    </xf>
    <xf numFmtId="37" fontId="19" fillId="0" borderId="0" xfId="1" applyNumberFormat="1" applyFont="1"/>
    <xf numFmtId="172" fontId="19" fillId="0" borderId="0" xfId="3" applyNumberFormat="1" applyFont="1" applyBorder="1"/>
    <xf numFmtId="180" fontId="20" fillId="0" borderId="0" xfId="3" applyNumberFormat="1" applyFont="1" applyBorder="1" applyAlignment="1">
      <alignment horizontal="center"/>
    </xf>
    <xf numFmtId="0" fontId="20" fillId="0" borderId="0" xfId="0" applyFont="1" applyBorder="1"/>
    <xf numFmtId="0" fontId="28" fillId="0" borderId="0" xfId="0" applyFont="1" applyBorder="1"/>
    <xf numFmtId="0" fontId="9" fillId="0" borderId="4" xfId="0" applyFont="1" applyBorder="1"/>
    <xf numFmtId="190" fontId="9" fillId="0" borderId="14" xfId="0" applyNumberFormat="1" applyFont="1" applyBorder="1" applyAlignment="1">
      <alignment horizontal="center"/>
    </xf>
    <xf numFmtId="190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41" fontId="50" fillId="0" borderId="0" xfId="0" applyNumberFormat="1" applyFont="1"/>
    <xf numFmtId="170" fontId="19" fillId="0" borderId="0" xfId="2" applyNumberFormat="1" applyFont="1"/>
    <xf numFmtId="170" fontId="20" fillId="0" borderId="0" xfId="2" applyNumberFormat="1" applyFont="1" applyBorder="1" applyAlignment="1">
      <alignment horizontal="center"/>
    </xf>
    <xf numFmtId="0" fontId="52" fillId="0" borderId="0" xfId="8" applyFont="1" applyProtection="1"/>
    <xf numFmtId="0" fontId="10" fillId="0" borderId="0" xfId="8" applyFont="1"/>
    <xf numFmtId="0" fontId="10" fillId="0" borderId="0" xfId="8" applyFont="1" applyProtection="1"/>
    <xf numFmtId="0" fontId="54" fillId="0" borderId="0" xfId="8" applyFont="1" applyAlignment="1">
      <alignment horizontal="centerContinuous"/>
    </xf>
    <xf numFmtId="0" fontId="55" fillId="0" borderId="0" xfId="8" applyFont="1" applyProtection="1"/>
    <xf numFmtId="199" fontId="53" fillId="0" borderId="0" xfId="8" applyNumberFormat="1" applyFont="1" applyAlignment="1">
      <alignment horizontal="center"/>
    </xf>
    <xf numFmtId="168" fontId="53" fillId="0" borderId="0" xfId="9" applyNumberFormat="1" applyFont="1"/>
    <xf numFmtId="168" fontId="53" fillId="0" borderId="0" xfId="9" applyNumberFormat="1" applyFont="1" applyProtection="1"/>
    <xf numFmtId="167" fontId="10" fillId="0" borderId="0" xfId="10" applyNumberFormat="1" applyFont="1"/>
    <xf numFmtId="37" fontId="10" fillId="0" borderId="0" xfId="8" applyNumberFormat="1" applyFont="1" applyProtection="1"/>
    <xf numFmtId="167" fontId="10" fillId="0" borderId="0" xfId="10" applyNumberFormat="1" applyFont="1" applyProtection="1"/>
    <xf numFmtId="167" fontId="56" fillId="0" borderId="0" xfId="10" applyNumberFormat="1" applyFont="1" applyProtection="1"/>
    <xf numFmtId="167" fontId="55" fillId="0" borderId="0" xfId="10" applyNumberFormat="1" applyFont="1" applyProtection="1"/>
    <xf numFmtId="170" fontId="57" fillId="0" borderId="0" xfId="11" applyNumberFormat="1" applyFont="1"/>
    <xf numFmtId="37" fontId="10" fillId="0" borderId="0" xfId="8" applyNumberFormat="1" applyFont="1"/>
    <xf numFmtId="37" fontId="56" fillId="0" borderId="0" xfId="8" applyNumberFormat="1" applyFont="1" applyProtection="1"/>
    <xf numFmtId="167" fontId="58" fillId="0" borderId="0" xfId="10" applyNumberFormat="1" applyFont="1"/>
    <xf numFmtId="167" fontId="59" fillId="0" borderId="0" xfId="10" applyNumberFormat="1" applyFont="1"/>
    <xf numFmtId="167" fontId="59" fillId="0" borderId="0" xfId="10" applyNumberFormat="1" applyFont="1" applyProtection="1"/>
    <xf numFmtId="0" fontId="53" fillId="0" borderId="0" xfId="8" applyFont="1" applyProtection="1"/>
    <xf numFmtId="167" fontId="60" fillId="0" borderId="0" xfId="10" applyNumberFormat="1" applyFont="1"/>
    <xf numFmtId="170" fontId="10" fillId="0" borderId="0" xfId="11" applyNumberFormat="1" applyFont="1"/>
    <xf numFmtId="37" fontId="55" fillId="0" borderId="0" xfId="8" applyNumberFormat="1" applyFont="1" applyProtection="1"/>
    <xf numFmtId="5" fontId="55" fillId="0" borderId="0" xfId="8" applyNumberFormat="1" applyFont="1" applyProtection="1"/>
    <xf numFmtId="3" fontId="10" fillId="0" borderId="0" xfId="8" applyNumberFormat="1" applyFont="1"/>
    <xf numFmtId="37" fontId="20" fillId="0" borderId="0" xfId="0" applyNumberFormat="1" applyFont="1"/>
    <xf numFmtId="167" fontId="20" fillId="0" borderId="0" xfId="4" applyNumberFormat="1" applyFont="1"/>
    <xf numFmtId="0" fontId="54" fillId="0" borderId="0" xfId="8" applyNumberFormat="1" applyFont="1" applyAlignment="1">
      <alignment horizontal="centerContinuous"/>
    </xf>
    <xf numFmtId="0" fontId="10" fillId="0" borderId="0" xfId="8" applyNumberFormat="1" applyFont="1" applyAlignment="1">
      <alignment horizontal="centerContinuous"/>
    </xf>
    <xf numFmtId="37" fontId="20" fillId="0" borderId="0" xfId="1" applyNumberFormat="1" applyFont="1"/>
    <xf numFmtId="168" fontId="20" fillId="0" borderId="0" xfId="1" applyNumberFormat="1" applyFont="1"/>
    <xf numFmtId="167" fontId="20" fillId="0" borderId="0" xfId="0" applyNumberFormat="1" applyFont="1"/>
    <xf numFmtId="165" fontId="16" fillId="0" borderId="1" xfId="0" quotePrefix="1" applyNumberFormat="1" applyFont="1" applyBorder="1" applyAlignment="1">
      <alignment horizontal="center"/>
    </xf>
    <xf numFmtId="200" fontId="15" fillId="9" borderId="5" xfId="2" applyNumberFormat="1" applyFont="1" applyFill="1" applyBorder="1"/>
    <xf numFmtId="10" fontId="19" fillId="0" borderId="0" xfId="2" applyNumberFormat="1" applyFont="1"/>
    <xf numFmtId="180" fontId="19" fillId="0" borderId="0" xfId="0" applyNumberFormat="1" applyFont="1" applyBorder="1" applyAlignment="1">
      <alignment horizontal="left"/>
    </xf>
    <xf numFmtId="43" fontId="32" fillId="0" borderId="0" xfId="3" applyNumberFormat="1" applyFont="1" applyBorder="1"/>
    <xf numFmtId="10" fontId="18" fillId="0" borderId="0" xfId="2" applyNumberFormat="1" applyFont="1"/>
    <xf numFmtId="170" fontId="14" fillId="0" borderId="0" xfId="2" applyNumberFormat="1" applyFont="1" applyAlignment="1">
      <alignment horizontal="center"/>
    </xf>
    <xf numFmtId="10" fontId="10" fillId="0" borderId="0" xfId="2" applyNumberFormat="1" applyFont="1" applyProtection="1"/>
    <xf numFmtId="37" fontId="16" fillId="0" borderId="2" xfId="0" applyNumberFormat="1" applyFont="1" applyBorder="1"/>
    <xf numFmtId="9" fontId="18" fillId="0" borderId="0" xfId="0" applyNumberFormat="1" applyFont="1"/>
    <xf numFmtId="0" fontId="18" fillId="9" borderId="0" xfId="0" applyFont="1" applyFill="1" applyBorder="1"/>
    <xf numFmtId="167" fontId="18" fillId="9" borderId="0" xfId="4" applyNumberFormat="1" applyFont="1" applyFill="1" applyBorder="1"/>
    <xf numFmtId="0" fontId="12" fillId="2" borderId="0" xfId="0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" xfId="0" quotePrefix="1" applyNumberFormat="1" applyFont="1" applyBorder="1" applyAlignment="1">
      <alignment horizontal="center"/>
    </xf>
    <xf numFmtId="42" fontId="4" fillId="0" borderId="22" xfId="0" applyNumberFormat="1" applyFont="1" applyBorder="1"/>
    <xf numFmtId="42" fontId="4" fillId="0" borderId="0" xfId="0" applyNumberFormat="1" applyFont="1" applyFill="1" applyBorder="1"/>
    <xf numFmtId="0" fontId="46" fillId="0" borderId="0" xfId="0" applyFont="1" applyAlignment="1">
      <alignment horizontal="left" indent="1"/>
    </xf>
    <xf numFmtId="171" fontId="46" fillId="0" borderId="0" xfId="0" applyNumberFormat="1" applyFont="1" applyFill="1" applyBorder="1" applyAlignment="1">
      <alignment horizontal="right"/>
    </xf>
    <xf numFmtId="171" fontId="14" fillId="0" borderId="0" xfId="0" applyNumberFormat="1" applyFont="1"/>
    <xf numFmtId="171" fontId="14" fillId="0" borderId="23" xfId="0" applyNumberFormat="1" applyFont="1" applyBorder="1"/>
    <xf numFmtId="0" fontId="18" fillId="0" borderId="23" xfId="0" applyFont="1" applyBorder="1"/>
    <xf numFmtId="41" fontId="4" fillId="0" borderId="23" xfId="0" applyNumberFormat="1" applyFont="1" applyBorder="1"/>
    <xf numFmtId="41" fontId="4" fillId="0" borderId="0" xfId="0" applyNumberFormat="1" applyFont="1" applyFill="1" applyBorder="1"/>
    <xf numFmtId="167" fontId="18" fillId="0" borderId="2" xfId="4" applyNumberFormat="1" applyFont="1" applyBorder="1"/>
    <xf numFmtId="167" fontId="18" fillId="0" borderId="24" xfId="4" applyNumberFormat="1" applyFont="1" applyBorder="1"/>
    <xf numFmtId="167" fontId="18" fillId="0" borderId="2" xfId="4" applyNumberFormat="1" applyFont="1" applyFill="1" applyBorder="1"/>
    <xf numFmtId="41" fontId="61" fillId="0" borderId="0" xfId="0" applyNumberFormat="1" applyFont="1"/>
    <xf numFmtId="41" fontId="61" fillId="0" borderId="0" xfId="0" applyNumberFormat="1" applyFont="1" applyBorder="1"/>
    <xf numFmtId="41" fontId="61" fillId="0" borderId="23" xfId="0" applyNumberFormat="1" applyFont="1" applyBorder="1"/>
    <xf numFmtId="41" fontId="61" fillId="0" borderId="0" xfId="0" applyNumberFormat="1" applyFont="1" applyFill="1" applyBorder="1"/>
    <xf numFmtId="0" fontId="61" fillId="0" borderId="0" xfId="0" applyFont="1"/>
    <xf numFmtId="0" fontId="9" fillId="7" borderId="2" xfId="0" applyFont="1" applyFill="1" applyBorder="1"/>
    <xf numFmtId="42" fontId="9" fillId="7" borderId="2" xfId="0" applyNumberFormat="1" applyFont="1" applyFill="1" applyBorder="1"/>
    <xf numFmtId="42" fontId="9" fillId="7" borderId="15" xfId="0" applyNumberFormat="1" applyFont="1" applyFill="1" applyBorder="1"/>
    <xf numFmtId="0" fontId="40" fillId="7" borderId="3" xfId="0" applyFont="1" applyFill="1" applyBorder="1" applyAlignment="1">
      <alignment horizontal="left" indent="1"/>
    </xf>
    <xf numFmtId="171" fontId="40" fillId="7" borderId="3" xfId="0" applyNumberFormat="1" applyFont="1" applyFill="1" applyBorder="1"/>
    <xf numFmtId="171" fontId="40" fillId="7" borderId="16" xfId="0" applyNumberFormat="1" applyFont="1" applyFill="1" applyBorder="1"/>
    <xf numFmtId="167" fontId="9" fillId="0" borderId="0" xfId="4" applyNumberFormat="1" applyFont="1"/>
    <xf numFmtId="42" fontId="9" fillId="0" borderId="0" xfId="0" applyNumberFormat="1" applyFont="1" applyBorder="1"/>
    <xf numFmtId="171" fontId="14" fillId="0" borderId="13" xfId="0" applyNumberFormat="1" applyFont="1" applyBorder="1"/>
    <xf numFmtId="171" fontId="14" fillId="0" borderId="0" xfId="0" applyNumberFormat="1" applyFont="1" applyBorder="1"/>
    <xf numFmtId="0" fontId="4" fillId="0" borderId="0" xfId="3" applyFont="1" applyBorder="1" applyAlignment="1">
      <alignment horizontal="center"/>
    </xf>
    <xf numFmtId="0" fontId="12" fillId="0" borderId="0" xfId="0" applyFont="1" applyFill="1"/>
    <xf numFmtId="0" fontId="12" fillId="0" borderId="0" xfId="0" applyFont="1" applyFill="1" applyBorder="1" applyAlignment="1"/>
    <xf numFmtId="166" fontId="9" fillId="0" borderId="0" xfId="0" applyNumberFormat="1" applyFont="1" applyFill="1" applyBorder="1" applyAlignment="1">
      <alignment horizontal="center"/>
    </xf>
    <xf numFmtId="171" fontId="46" fillId="0" borderId="0" xfId="0" applyNumberFormat="1" applyFont="1"/>
    <xf numFmtId="171" fontId="46" fillId="0" borderId="0" xfId="0" applyNumberFormat="1" applyFont="1" applyBorder="1"/>
    <xf numFmtId="167" fontId="18" fillId="0" borderId="0" xfId="4" applyNumberFormat="1" applyFont="1" applyFill="1" applyBorder="1"/>
    <xf numFmtId="42" fontId="9" fillId="0" borderId="0" xfId="0" applyNumberFormat="1" applyFont="1" applyFill="1" applyBorder="1"/>
    <xf numFmtId="170" fontId="40" fillId="7" borderId="2" xfId="2" applyNumberFormat="1" applyFont="1" applyFill="1" applyBorder="1"/>
    <xf numFmtId="171" fontId="40" fillId="7" borderId="2" xfId="0" applyNumberFormat="1" applyFont="1" applyFill="1" applyBorder="1"/>
    <xf numFmtId="171" fontId="40" fillId="0" borderId="0" xfId="0" applyNumberFormat="1" applyFont="1" applyFill="1" applyBorder="1"/>
    <xf numFmtId="171" fontId="24" fillId="0" borderId="0" xfId="0" applyNumberFormat="1" applyFont="1"/>
    <xf numFmtId="171" fontId="24" fillId="0" borderId="12" xfId="0" applyNumberFormat="1" applyFont="1" applyBorder="1"/>
    <xf numFmtId="171" fontId="24" fillId="0" borderId="0" xfId="0" applyNumberFormat="1" applyFont="1" applyBorder="1"/>
    <xf numFmtId="167" fontId="10" fillId="0" borderId="0" xfId="0" applyNumberFormat="1" applyFont="1"/>
    <xf numFmtId="201" fontId="10" fillId="0" borderId="0" xfId="4" applyNumberFormat="1" applyFont="1"/>
    <xf numFmtId="44" fontId="0" fillId="0" borderId="0" xfId="0" applyNumberFormat="1"/>
    <xf numFmtId="0" fontId="62" fillId="0" borderId="1" xfId="0" applyFont="1" applyBorder="1"/>
    <xf numFmtId="0" fontId="63" fillId="0" borderId="1" xfId="0" applyFont="1" applyBorder="1"/>
    <xf numFmtId="0" fontId="63" fillId="0" borderId="0" xfId="0" applyFont="1"/>
    <xf numFmtId="0" fontId="64" fillId="0" borderId="0" xfId="3" applyFont="1" applyBorder="1" applyAlignment="1">
      <alignment horizontal="center"/>
    </xf>
    <xf numFmtId="0" fontId="63" fillId="0" borderId="0" xfId="3" applyFont="1" applyFill="1" applyBorder="1"/>
    <xf numFmtId="0" fontId="63" fillId="0" borderId="0" xfId="3" applyFont="1" applyBorder="1"/>
    <xf numFmtId="0" fontId="66" fillId="0" borderId="0" xfId="0" applyFont="1" applyAlignment="1">
      <alignment horizontal="left"/>
    </xf>
    <xf numFmtId="0" fontId="65" fillId="8" borderId="0" xfId="0" applyFont="1" applyFill="1" applyAlignment="1">
      <alignment horizontal="centerContinuous"/>
    </xf>
    <xf numFmtId="166" fontId="67" fillId="0" borderId="1" xfId="3" applyNumberFormat="1" applyFont="1" applyFill="1" applyBorder="1" applyAlignment="1">
      <alignment horizontal="center"/>
    </xf>
    <xf numFmtId="42" fontId="68" fillId="0" borderId="0" xfId="0" applyNumberFormat="1" applyFont="1"/>
    <xf numFmtId="173" fontId="68" fillId="0" borderId="0" xfId="0" applyNumberFormat="1" applyFont="1"/>
    <xf numFmtId="167" fontId="68" fillId="0" borderId="2" xfId="4" applyNumberFormat="1" applyFont="1" applyBorder="1"/>
    <xf numFmtId="0" fontId="68" fillId="0" borderId="0" xfId="0" applyFont="1"/>
    <xf numFmtId="167" fontId="68" fillId="0" borderId="0" xfId="4" applyNumberFormat="1" applyFont="1"/>
    <xf numFmtId="167" fontId="68" fillId="0" borderId="0" xfId="0" applyNumberFormat="1" applyFont="1"/>
    <xf numFmtId="41" fontId="63" fillId="0" borderId="0" xfId="0" applyNumberFormat="1" applyFont="1"/>
    <xf numFmtId="0" fontId="62" fillId="0" borderId="4" xfId="0" applyFont="1" applyBorder="1"/>
    <xf numFmtId="167" fontId="67" fillId="0" borderId="4" xfId="4" applyNumberFormat="1" applyFont="1" applyBorder="1"/>
    <xf numFmtId="0" fontId="69" fillId="0" borderId="0" xfId="0" applyFont="1"/>
    <xf numFmtId="41" fontId="68" fillId="0" borderId="0" xfId="0" applyNumberFormat="1" applyFont="1"/>
    <xf numFmtId="43" fontId="63" fillId="0" borderId="0" xfId="0" applyNumberFormat="1" applyFont="1"/>
    <xf numFmtId="168" fontId="68" fillId="0" borderId="0" xfId="1" applyNumberFormat="1" applyFont="1"/>
    <xf numFmtId="168" fontId="63" fillId="0" borderId="0" xfId="0" applyNumberFormat="1" applyFont="1"/>
    <xf numFmtId="0" fontId="65" fillId="8" borderId="0" xfId="0" applyFont="1" applyFill="1"/>
    <xf numFmtId="171" fontId="65" fillId="8" borderId="2" xfId="0" applyNumberFormat="1" applyFont="1" applyFill="1" applyBorder="1"/>
    <xf numFmtId="173" fontId="65" fillId="8" borderId="1" xfId="0" applyNumberFormat="1" applyFont="1" applyFill="1" applyBorder="1"/>
    <xf numFmtId="167" fontId="10" fillId="0" borderId="3" xfId="4" applyNumberFormat="1" applyFont="1" applyBorder="1"/>
    <xf numFmtId="170" fontId="57" fillId="0" borderId="3" xfId="0" applyNumberFormat="1" applyFont="1" applyBorder="1"/>
    <xf numFmtId="43" fontId="0" fillId="0" borderId="0" xfId="0" applyNumberFormat="1"/>
    <xf numFmtId="0" fontId="10" fillId="0" borderId="25" xfId="0" applyFont="1" applyBorder="1"/>
    <xf numFmtId="0" fontId="70" fillId="0" borderId="26" xfId="0" applyFont="1" applyBorder="1" applyAlignment="1">
      <alignment horizontal="centerContinuous"/>
    </xf>
    <xf numFmtId="0" fontId="59" fillId="0" borderId="26" xfId="0" applyFont="1" applyBorder="1" applyAlignment="1">
      <alignment horizontal="centerContinuous"/>
    </xf>
    <xf numFmtId="0" fontId="59" fillId="0" borderId="27" xfId="0" applyFont="1" applyBorder="1" applyAlignment="1">
      <alignment horizontal="centerContinuous"/>
    </xf>
    <xf numFmtId="0" fontId="10" fillId="0" borderId="28" xfId="0" applyFont="1" applyBorder="1"/>
    <xf numFmtId="0" fontId="16" fillId="0" borderId="29" xfId="0" applyFont="1" applyBorder="1" applyAlignment="1">
      <alignment horizontal="center"/>
    </xf>
    <xf numFmtId="168" fontId="10" fillId="0" borderId="0" xfId="1" applyNumberFormat="1" applyFont="1" applyBorder="1"/>
    <xf numFmtId="170" fontId="57" fillId="0" borderId="0" xfId="2" applyNumberFormat="1" applyFont="1" applyBorder="1"/>
    <xf numFmtId="170" fontId="57" fillId="0" borderId="30" xfId="2" applyNumberFormat="1" applyFont="1" applyBorder="1"/>
    <xf numFmtId="167" fontId="10" fillId="0" borderId="0" xfId="4" applyNumberFormat="1" applyFont="1" applyBorder="1"/>
    <xf numFmtId="170" fontId="57" fillId="0" borderId="0" xfId="0" applyNumberFormat="1" applyFont="1" applyBorder="1"/>
    <xf numFmtId="170" fontId="57" fillId="0" borderId="30" xfId="0" applyNumberFormat="1" applyFont="1" applyBorder="1"/>
    <xf numFmtId="170" fontId="57" fillId="0" borderId="31" xfId="0" applyNumberFormat="1" applyFont="1" applyBorder="1"/>
    <xf numFmtId="0" fontId="53" fillId="0" borderId="28" xfId="0" applyFont="1" applyBorder="1"/>
    <xf numFmtId="168" fontId="53" fillId="0" borderId="0" xfId="1" applyNumberFormat="1" applyFont="1" applyBorder="1"/>
    <xf numFmtId="170" fontId="71" fillId="0" borderId="0" xfId="2" applyNumberFormat="1" applyFont="1" applyBorder="1"/>
    <xf numFmtId="170" fontId="71" fillId="0" borderId="30" xfId="2" applyNumberFormat="1" applyFont="1" applyBorder="1"/>
    <xf numFmtId="0" fontId="0" fillId="0" borderId="30" xfId="0" applyBorder="1"/>
    <xf numFmtId="0" fontId="53" fillId="0" borderId="32" xfId="0" applyFont="1" applyBorder="1"/>
    <xf numFmtId="168" fontId="53" fillId="0" borderId="1" xfId="1" applyNumberFormat="1" applyFont="1" applyBorder="1"/>
    <xf numFmtId="170" fontId="71" fillId="0" borderId="1" xfId="2" applyNumberFormat="1" applyFont="1" applyBorder="1"/>
    <xf numFmtId="170" fontId="71" fillId="0" borderId="29" xfId="2" applyNumberFormat="1" applyFont="1" applyBorder="1"/>
    <xf numFmtId="186" fontId="0" fillId="0" borderId="0" xfId="0" applyNumberFormat="1"/>
    <xf numFmtId="0" fontId="65" fillId="8" borderId="0" xfId="0" applyFont="1" applyFill="1" applyAlignment="1">
      <alignment horizontal="center"/>
    </xf>
    <xf numFmtId="0" fontId="12" fillId="6" borderId="21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53" fillId="0" borderId="0" xfId="8" applyFont="1" applyAlignment="1" applyProtection="1">
      <alignment horizontal="center"/>
    </xf>
    <xf numFmtId="201" fontId="4" fillId="0" borderId="0" xfId="4" applyNumberFormat="1" applyFont="1" applyBorder="1"/>
  </cellXfs>
  <cellStyles count="12">
    <cellStyle name="=C:\WINNT35\SYSTEM32\COMMAND.COM" xfId="3"/>
    <cellStyle name="Border Thin" xfId="7"/>
    <cellStyle name="Comma" xfId="4" builtinId="3"/>
    <cellStyle name="Comma 2" xfId="10"/>
    <cellStyle name="Currency" xfId="1" builtinId="4"/>
    <cellStyle name="Currency 2" xfId="9"/>
    <cellStyle name="Hyperlink" xfId="6" builtinId="8"/>
    <cellStyle name="Normal" xfId="0" builtinId="0"/>
    <cellStyle name="Normal 2" xfId="8"/>
    <cellStyle name="Normal 3" xfId="5"/>
    <cellStyle name="Percent" xfId="2" builtinId="5"/>
    <cellStyle name="Percent 2" xfId="11"/>
  </cellStyles>
  <dxfs count="0"/>
  <tableStyles count="0" defaultTableStyle="TableStyleMedium2" defaultPivotStyle="PivotStyleLight16"/>
  <colors>
    <mruColors>
      <color rgb="FF0000FF"/>
      <color rgb="FF28343C"/>
      <color rgb="FFE6F0FF"/>
      <color rgb="FFE6F0FA"/>
      <color rgb="FFECF1FE"/>
      <color rgb="FFE1E5F9"/>
      <color rgb="FFCC3300"/>
      <color rgb="FF7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rs.gov/pub/irs-pdf/p946.pdf" TargetMode="Externa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view="pageBreakPreview" zoomScale="80" zoomScaleNormal="100" zoomScaleSheetLayoutView="80" workbookViewId="0">
      <selection activeCell="B2" sqref="B2"/>
    </sheetView>
  </sheetViews>
  <sheetFormatPr defaultColWidth="9.15625" defaultRowHeight="12.9"/>
  <cols>
    <col min="1" max="1" width="12.68359375" style="2" customWidth="1"/>
    <col min="2" max="2" width="31.83984375" style="2" customWidth="1"/>
    <col min="3" max="3" width="10.578125" style="2" bestFit="1" customWidth="1"/>
    <col min="4" max="13" width="11.26171875" style="2" customWidth="1"/>
    <col min="14" max="256" width="9.15625" style="2"/>
    <col min="257" max="257" width="12.68359375" style="2" customWidth="1"/>
    <col min="258" max="258" width="31.83984375" style="2" customWidth="1"/>
    <col min="259" max="259" width="10.578125" style="2" bestFit="1" customWidth="1"/>
    <col min="260" max="269" width="11.26171875" style="2" customWidth="1"/>
    <col min="270" max="512" width="9.15625" style="2"/>
    <col min="513" max="513" width="12.68359375" style="2" customWidth="1"/>
    <col min="514" max="514" width="31.83984375" style="2" customWidth="1"/>
    <col min="515" max="515" width="10.578125" style="2" bestFit="1" customWidth="1"/>
    <col min="516" max="525" width="11.26171875" style="2" customWidth="1"/>
    <col min="526" max="768" width="9.15625" style="2"/>
    <col min="769" max="769" width="12.68359375" style="2" customWidth="1"/>
    <col min="770" max="770" width="31.83984375" style="2" customWidth="1"/>
    <col min="771" max="771" width="10.578125" style="2" bestFit="1" customWidth="1"/>
    <col min="772" max="781" width="11.26171875" style="2" customWidth="1"/>
    <col min="782" max="1024" width="9.15625" style="2"/>
    <col min="1025" max="1025" width="12.68359375" style="2" customWidth="1"/>
    <col min="1026" max="1026" width="31.83984375" style="2" customWidth="1"/>
    <col min="1027" max="1027" width="10.578125" style="2" bestFit="1" customWidth="1"/>
    <col min="1028" max="1037" width="11.26171875" style="2" customWidth="1"/>
    <col min="1038" max="1280" width="9.15625" style="2"/>
    <col min="1281" max="1281" width="12.68359375" style="2" customWidth="1"/>
    <col min="1282" max="1282" width="31.83984375" style="2" customWidth="1"/>
    <col min="1283" max="1283" width="10.578125" style="2" bestFit="1" customWidth="1"/>
    <col min="1284" max="1293" width="11.26171875" style="2" customWidth="1"/>
    <col min="1294" max="1536" width="9.15625" style="2"/>
    <col min="1537" max="1537" width="12.68359375" style="2" customWidth="1"/>
    <col min="1538" max="1538" width="31.83984375" style="2" customWidth="1"/>
    <col min="1539" max="1539" width="10.578125" style="2" bestFit="1" customWidth="1"/>
    <col min="1540" max="1549" width="11.26171875" style="2" customWidth="1"/>
    <col min="1550" max="1792" width="9.15625" style="2"/>
    <col min="1793" max="1793" width="12.68359375" style="2" customWidth="1"/>
    <col min="1794" max="1794" width="31.83984375" style="2" customWidth="1"/>
    <col min="1795" max="1795" width="10.578125" style="2" bestFit="1" customWidth="1"/>
    <col min="1796" max="1805" width="11.26171875" style="2" customWidth="1"/>
    <col min="1806" max="2048" width="9.15625" style="2"/>
    <col min="2049" max="2049" width="12.68359375" style="2" customWidth="1"/>
    <col min="2050" max="2050" width="31.83984375" style="2" customWidth="1"/>
    <col min="2051" max="2051" width="10.578125" style="2" bestFit="1" customWidth="1"/>
    <col min="2052" max="2061" width="11.26171875" style="2" customWidth="1"/>
    <col min="2062" max="2304" width="9.15625" style="2"/>
    <col min="2305" max="2305" width="12.68359375" style="2" customWidth="1"/>
    <col min="2306" max="2306" width="31.83984375" style="2" customWidth="1"/>
    <col min="2307" max="2307" width="10.578125" style="2" bestFit="1" customWidth="1"/>
    <col min="2308" max="2317" width="11.26171875" style="2" customWidth="1"/>
    <col min="2318" max="2560" width="9.15625" style="2"/>
    <col min="2561" max="2561" width="12.68359375" style="2" customWidth="1"/>
    <col min="2562" max="2562" width="31.83984375" style="2" customWidth="1"/>
    <col min="2563" max="2563" width="10.578125" style="2" bestFit="1" customWidth="1"/>
    <col min="2564" max="2573" width="11.26171875" style="2" customWidth="1"/>
    <col min="2574" max="2816" width="9.15625" style="2"/>
    <col min="2817" max="2817" width="12.68359375" style="2" customWidth="1"/>
    <col min="2818" max="2818" width="31.83984375" style="2" customWidth="1"/>
    <col min="2819" max="2819" width="10.578125" style="2" bestFit="1" customWidth="1"/>
    <col min="2820" max="2829" width="11.26171875" style="2" customWidth="1"/>
    <col min="2830" max="3072" width="9.15625" style="2"/>
    <col min="3073" max="3073" width="12.68359375" style="2" customWidth="1"/>
    <col min="3074" max="3074" width="31.83984375" style="2" customWidth="1"/>
    <col min="3075" max="3075" width="10.578125" style="2" bestFit="1" customWidth="1"/>
    <col min="3076" max="3085" width="11.26171875" style="2" customWidth="1"/>
    <col min="3086" max="3328" width="9.15625" style="2"/>
    <col min="3329" max="3329" width="12.68359375" style="2" customWidth="1"/>
    <col min="3330" max="3330" width="31.83984375" style="2" customWidth="1"/>
    <col min="3331" max="3331" width="10.578125" style="2" bestFit="1" customWidth="1"/>
    <col min="3332" max="3341" width="11.26171875" style="2" customWidth="1"/>
    <col min="3342" max="3584" width="9.15625" style="2"/>
    <col min="3585" max="3585" width="12.68359375" style="2" customWidth="1"/>
    <col min="3586" max="3586" width="31.83984375" style="2" customWidth="1"/>
    <col min="3587" max="3587" width="10.578125" style="2" bestFit="1" customWidth="1"/>
    <col min="3588" max="3597" width="11.26171875" style="2" customWidth="1"/>
    <col min="3598" max="3840" width="9.15625" style="2"/>
    <col min="3841" max="3841" width="12.68359375" style="2" customWidth="1"/>
    <col min="3842" max="3842" width="31.83984375" style="2" customWidth="1"/>
    <col min="3843" max="3843" width="10.578125" style="2" bestFit="1" customWidth="1"/>
    <col min="3844" max="3853" width="11.26171875" style="2" customWidth="1"/>
    <col min="3854" max="4096" width="9.15625" style="2"/>
    <col min="4097" max="4097" width="12.68359375" style="2" customWidth="1"/>
    <col min="4098" max="4098" width="31.83984375" style="2" customWidth="1"/>
    <col min="4099" max="4099" width="10.578125" style="2" bestFit="1" customWidth="1"/>
    <col min="4100" max="4109" width="11.26171875" style="2" customWidth="1"/>
    <col min="4110" max="4352" width="9.15625" style="2"/>
    <col min="4353" max="4353" width="12.68359375" style="2" customWidth="1"/>
    <col min="4354" max="4354" width="31.83984375" style="2" customWidth="1"/>
    <col min="4355" max="4355" width="10.578125" style="2" bestFit="1" customWidth="1"/>
    <col min="4356" max="4365" width="11.26171875" style="2" customWidth="1"/>
    <col min="4366" max="4608" width="9.15625" style="2"/>
    <col min="4609" max="4609" width="12.68359375" style="2" customWidth="1"/>
    <col min="4610" max="4610" width="31.83984375" style="2" customWidth="1"/>
    <col min="4611" max="4611" width="10.578125" style="2" bestFit="1" customWidth="1"/>
    <col min="4612" max="4621" width="11.26171875" style="2" customWidth="1"/>
    <col min="4622" max="4864" width="9.15625" style="2"/>
    <col min="4865" max="4865" width="12.68359375" style="2" customWidth="1"/>
    <col min="4866" max="4866" width="31.83984375" style="2" customWidth="1"/>
    <col min="4867" max="4867" width="10.578125" style="2" bestFit="1" customWidth="1"/>
    <col min="4868" max="4877" width="11.26171875" style="2" customWidth="1"/>
    <col min="4878" max="5120" width="9.15625" style="2"/>
    <col min="5121" max="5121" width="12.68359375" style="2" customWidth="1"/>
    <col min="5122" max="5122" width="31.83984375" style="2" customWidth="1"/>
    <col min="5123" max="5123" width="10.578125" style="2" bestFit="1" customWidth="1"/>
    <col min="5124" max="5133" width="11.26171875" style="2" customWidth="1"/>
    <col min="5134" max="5376" width="9.15625" style="2"/>
    <col min="5377" max="5377" width="12.68359375" style="2" customWidth="1"/>
    <col min="5378" max="5378" width="31.83984375" style="2" customWidth="1"/>
    <col min="5379" max="5379" width="10.578125" style="2" bestFit="1" customWidth="1"/>
    <col min="5380" max="5389" width="11.26171875" style="2" customWidth="1"/>
    <col min="5390" max="5632" width="9.15625" style="2"/>
    <col min="5633" max="5633" width="12.68359375" style="2" customWidth="1"/>
    <col min="5634" max="5634" width="31.83984375" style="2" customWidth="1"/>
    <col min="5635" max="5635" width="10.578125" style="2" bestFit="1" customWidth="1"/>
    <col min="5636" max="5645" width="11.26171875" style="2" customWidth="1"/>
    <col min="5646" max="5888" width="9.15625" style="2"/>
    <col min="5889" max="5889" width="12.68359375" style="2" customWidth="1"/>
    <col min="5890" max="5890" width="31.83984375" style="2" customWidth="1"/>
    <col min="5891" max="5891" width="10.578125" style="2" bestFit="1" customWidth="1"/>
    <col min="5892" max="5901" width="11.26171875" style="2" customWidth="1"/>
    <col min="5902" max="6144" width="9.15625" style="2"/>
    <col min="6145" max="6145" width="12.68359375" style="2" customWidth="1"/>
    <col min="6146" max="6146" width="31.83984375" style="2" customWidth="1"/>
    <col min="6147" max="6147" width="10.578125" style="2" bestFit="1" customWidth="1"/>
    <col min="6148" max="6157" width="11.26171875" style="2" customWidth="1"/>
    <col min="6158" max="6400" width="9.15625" style="2"/>
    <col min="6401" max="6401" width="12.68359375" style="2" customWidth="1"/>
    <col min="6402" max="6402" width="31.83984375" style="2" customWidth="1"/>
    <col min="6403" max="6403" width="10.578125" style="2" bestFit="1" customWidth="1"/>
    <col min="6404" max="6413" width="11.26171875" style="2" customWidth="1"/>
    <col min="6414" max="6656" width="9.15625" style="2"/>
    <col min="6657" max="6657" width="12.68359375" style="2" customWidth="1"/>
    <col min="6658" max="6658" width="31.83984375" style="2" customWidth="1"/>
    <col min="6659" max="6659" width="10.578125" style="2" bestFit="1" customWidth="1"/>
    <col min="6660" max="6669" width="11.26171875" style="2" customWidth="1"/>
    <col min="6670" max="6912" width="9.15625" style="2"/>
    <col min="6913" max="6913" width="12.68359375" style="2" customWidth="1"/>
    <col min="6914" max="6914" width="31.83984375" style="2" customWidth="1"/>
    <col min="6915" max="6915" width="10.578125" style="2" bestFit="1" customWidth="1"/>
    <col min="6916" max="6925" width="11.26171875" style="2" customWidth="1"/>
    <col min="6926" max="7168" width="9.15625" style="2"/>
    <col min="7169" max="7169" width="12.68359375" style="2" customWidth="1"/>
    <col min="7170" max="7170" width="31.83984375" style="2" customWidth="1"/>
    <col min="7171" max="7171" width="10.578125" style="2" bestFit="1" customWidth="1"/>
    <col min="7172" max="7181" width="11.26171875" style="2" customWidth="1"/>
    <col min="7182" max="7424" width="9.15625" style="2"/>
    <col min="7425" max="7425" width="12.68359375" style="2" customWidth="1"/>
    <col min="7426" max="7426" width="31.83984375" style="2" customWidth="1"/>
    <col min="7427" max="7427" width="10.578125" style="2" bestFit="1" customWidth="1"/>
    <col min="7428" max="7437" width="11.26171875" style="2" customWidth="1"/>
    <col min="7438" max="7680" width="9.15625" style="2"/>
    <col min="7681" max="7681" width="12.68359375" style="2" customWidth="1"/>
    <col min="7682" max="7682" width="31.83984375" style="2" customWidth="1"/>
    <col min="7683" max="7683" width="10.578125" style="2" bestFit="1" customWidth="1"/>
    <col min="7684" max="7693" width="11.26171875" style="2" customWidth="1"/>
    <col min="7694" max="7936" width="9.15625" style="2"/>
    <col min="7937" max="7937" width="12.68359375" style="2" customWidth="1"/>
    <col min="7938" max="7938" width="31.83984375" style="2" customWidth="1"/>
    <col min="7939" max="7939" width="10.578125" style="2" bestFit="1" customWidth="1"/>
    <col min="7940" max="7949" width="11.26171875" style="2" customWidth="1"/>
    <col min="7950" max="8192" width="9.15625" style="2"/>
    <col min="8193" max="8193" width="12.68359375" style="2" customWidth="1"/>
    <col min="8194" max="8194" width="31.83984375" style="2" customWidth="1"/>
    <col min="8195" max="8195" width="10.578125" style="2" bestFit="1" customWidth="1"/>
    <col min="8196" max="8205" width="11.26171875" style="2" customWidth="1"/>
    <col min="8206" max="8448" width="9.15625" style="2"/>
    <col min="8449" max="8449" width="12.68359375" style="2" customWidth="1"/>
    <col min="8450" max="8450" width="31.83984375" style="2" customWidth="1"/>
    <col min="8451" max="8451" width="10.578125" style="2" bestFit="1" customWidth="1"/>
    <col min="8452" max="8461" width="11.26171875" style="2" customWidth="1"/>
    <col min="8462" max="8704" width="9.15625" style="2"/>
    <col min="8705" max="8705" width="12.68359375" style="2" customWidth="1"/>
    <col min="8706" max="8706" width="31.83984375" style="2" customWidth="1"/>
    <col min="8707" max="8707" width="10.578125" style="2" bestFit="1" customWidth="1"/>
    <col min="8708" max="8717" width="11.26171875" style="2" customWidth="1"/>
    <col min="8718" max="8960" width="9.15625" style="2"/>
    <col min="8961" max="8961" width="12.68359375" style="2" customWidth="1"/>
    <col min="8962" max="8962" width="31.83984375" style="2" customWidth="1"/>
    <col min="8963" max="8963" width="10.578125" style="2" bestFit="1" customWidth="1"/>
    <col min="8964" max="8973" width="11.26171875" style="2" customWidth="1"/>
    <col min="8974" max="9216" width="9.15625" style="2"/>
    <col min="9217" max="9217" width="12.68359375" style="2" customWidth="1"/>
    <col min="9218" max="9218" width="31.83984375" style="2" customWidth="1"/>
    <col min="9219" max="9219" width="10.578125" style="2" bestFit="1" customWidth="1"/>
    <col min="9220" max="9229" width="11.26171875" style="2" customWidth="1"/>
    <col min="9230" max="9472" width="9.15625" style="2"/>
    <col min="9473" max="9473" width="12.68359375" style="2" customWidth="1"/>
    <col min="9474" max="9474" width="31.83984375" style="2" customWidth="1"/>
    <col min="9475" max="9475" width="10.578125" style="2" bestFit="1" customWidth="1"/>
    <col min="9476" max="9485" width="11.26171875" style="2" customWidth="1"/>
    <col min="9486" max="9728" width="9.15625" style="2"/>
    <col min="9729" max="9729" width="12.68359375" style="2" customWidth="1"/>
    <col min="9730" max="9730" width="31.83984375" style="2" customWidth="1"/>
    <col min="9731" max="9731" width="10.578125" style="2" bestFit="1" customWidth="1"/>
    <col min="9732" max="9741" width="11.26171875" style="2" customWidth="1"/>
    <col min="9742" max="9984" width="9.15625" style="2"/>
    <col min="9985" max="9985" width="12.68359375" style="2" customWidth="1"/>
    <col min="9986" max="9986" width="31.83984375" style="2" customWidth="1"/>
    <col min="9987" max="9987" width="10.578125" style="2" bestFit="1" customWidth="1"/>
    <col min="9988" max="9997" width="11.26171875" style="2" customWidth="1"/>
    <col min="9998" max="10240" width="9.15625" style="2"/>
    <col min="10241" max="10241" width="12.68359375" style="2" customWidth="1"/>
    <col min="10242" max="10242" width="31.83984375" style="2" customWidth="1"/>
    <col min="10243" max="10243" width="10.578125" style="2" bestFit="1" customWidth="1"/>
    <col min="10244" max="10253" width="11.26171875" style="2" customWidth="1"/>
    <col min="10254" max="10496" width="9.15625" style="2"/>
    <col min="10497" max="10497" width="12.68359375" style="2" customWidth="1"/>
    <col min="10498" max="10498" width="31.83984375" style="2" customWidth="1"/>
    <col min="10499" max="10499" width="10.578125" style="2" bestFit="1" customWidth="1"/>
    <col min="10500" max="10509" width="11.26171875" style="2" customWidth="1"/>
    <col min="10510" max="10752" width="9.15625" style="2"/>
    <col min="10753" max="10753" width="12.68359375" style="2" customWidth="1"/>
    <col min="10754" max="10754" width="31.83984375" style="2" customWidth="1"/>
    <col min="10755" max="10755" width="10.578125" style="2" bestFit="1" customWidth="1"/>
    <col min="10756" max="10765" width="11.26171875" style="2" customWidth="1"/>
    <col min="10766" max="11008" width="9.15625" style="2"/>
    <col min="11009" max="11009" width="12.68359375" style="2" customWidth="1"/>
    <col min="11010" max="11010" width="31.83984375" style="2" customWidth="1"/>
    <col min="11011" max="11011" width="10.578125" style="2" bestFit="1" customWidth="1"/>
    <col min="11012" max="11021" width="11.26171875" style="2" customWidth="1"/>
    <col min="11022" max="11264" width="9.15625" style="2"/>
    <col min="11265" max="11265" width="12.68359375" style="2" customWidth="1"/>
    <col min="11266" max="11266" width="31.83984375" style="2" customWidth="1"/>
    <col min="11267" max="11267" width="10.578125" style="2" bestFit="1" customWidth="1"/>
    <col min="11268" max="11277" width="11.26171875" style="2" customWidth="1"/>
    <col min="11278" max="11520" width="9.15625" style="2"/>
    <col min="11521" max="11521" width="12.68359375" style="2" customWidth="1"/>
    <col min="11522" max="11522" width="31.83984375" style="2" customWidth="1"/>
    <col min="11523" max="11523" width="10.578125" style="2" bestFit="1" customWidth="1"/>
    <col min="11524" max="11533" width="11.26171875" style="2" customWidth="1"/>
    <col min="11534" max="11776" width="9.15625" style="2"/>
    <col min="11777" max="11777" width="12.68359375" style="2" customWidth="1"/>
    <col min="11778" max="11778" width="31.83984375" style="2" customWidth="1"/>
    <col min="11779" max="11779" width="10.578125" style="2" bestFit="1" customWidth="1"/>
    <col min="11780" max="11789" width="11.26171875" style="2" customWidth="1"/>
    <col min="11790" max="12032" width="9.15625" style="2"/>
    <col min="12033" max="12033" width="12.68359375" style="2" customWidth="1"/>
    <col min="12034" max="12034" width="31.83984375" style="2" customWidth="1"/>
    <col min="12035" max="12035" width="10.578125" style="2" bestFit="1" customWidth="1"/>
    <col min="12036" max="12045" width="11.26171875" style="2" customWidth="1"/>
    <col min="12046" max="12288" width="9.15625" style="2"/>
    <col min="12289" max="12289" width="12.68359375" style="2" customWidth="1"/>
    <col min="12290" max="12290" width="31.83984375" style="2" customWidth="1"/>
    <col min="12291" max="12291" width="10.578125" style="2" bestFit="1" customWidth="1"/>
    <col min="12292" max="12301" width="11.26171875" style="2" customWidth="1"/>
    <col min="12302" max="12544" width="9.15625" style="2"/>
    <col min="12545" max="12545" width="12.68359375" style="2" customWidth="1"/>
    <col min="12546" max="12546" width="31.83984375" style="2" customWidth="1"/>
    <col min="12547" max="12547" width="10.578125" style="2" bestFit="1" customWidth="1"/>
    <col min="12548" max="12557" width="11.26171875" style="2" customWidth="1"/>
    <col min="12558" max="12800" width="9.15625" style="2"/>
    <col min="12801" max="12801" width="12.68359375" style="2" customWidth="1"/>
    <col min="12802" max="12802" width="31.83984375" style="2" customWidth="1"/>
    <col min="12803" max="12803" width="10.578125" style="2" bestFit="1" customWidth="1"/>
    <col min="12804" max="12813" width="11.26171875" style="2" customWidth="1"/>
    <col min="12814" max="13056" width="9.15625" style="2"/>
    <col min="13057" max="13057" width="12.68359375" style="2" customWidth="1"/>
    <col min="13058" max="13058" width="31.83984375" style="2" customWidth="1"/>
    <col min="13059" max="13059" width="10.578125" style="2" bestFit="1" customWidth="1"/>
    <col min="13060" max="13069" width="11.26171875" style="2" customWidth="1"/>
    <col min="13070" max="13312" width="9.15625" style="2"/>
    <col min="13313" max="13313" width="12.68359375" style="2" customWidth="1"/>
    <col min="13314" max="13314" width="31.83984375" style="2" customWidth="1"/>
    <col min="13315" max="13315" width="10.578125" style="2" bestFit="1" customWidth="1"/>
    <col min="13316" max="13325" width="11.26171875" style="2" customWidth="1"/>
    <col min="13326" max="13568" width="9.15625" style="2"/>
    <col min="13569" max="13569" width="12.68359375" style="2" customWidth="1"/>
    <col min="13570" max="13570" width="31.83984375" style="2" customWidth="1"/>
    <col min="13571" max="13571" width="10.578125" style="2" bestFit="1" customWidth="1"/>
    <col min="13572" max="13581" width="11.26171875" style="2" customWidth="1"/>
    <col min="13582" max="13824" width="9.15625" style="2"/>
    <col min="13825" max="13825" width="12.68359375" style="2" customWidth="1"/>
    <col min="13826" max="13826" width="31.83984375" style="2" customWidth="1"/>
    <col min="13827" max="13827" width="10.578125" style="2" bestFit="1" customWidth="1"/>
    <col min="13828" max="13837" width="11.26171875" style="2" customWidth="1"/>
    <col min="13838" max="14080" width="9.15625" style="2"/>
    <col min="14081" max="14081" width="12.68359375" style="2" customWidth="1"/>
    <col min="14082" max="14082" width="31.83984375" style="2" customWidth="1"/>
    <col min="14083" max="14083" width="10.578125" style="2" bestFit="1" customWidth="1"/>
    <col min="14084" max="14093" width="11.26171875" style="2" customWidth="1"/>
    <col min="14094" max="14336" width="9.15625" style="2"/>
    <col min="14337" max="14337" width="12.68359375" style="2" customWidth="1"/>
    <col min="14338" max="14338" width="31.83984375" style="2" customWidth="1"/>
    <col min="14339" max="14339" width="10.578125" style="2" bestFit="1" customWidth="1"/>
    <col min="14340" max="14349" width="11.26171875" style="2" customWidth="1"/>
    <col min="14350" max="14592" width="9.15625" style="2"/>
    <col min="14593" max="14593" width="12.68359375" style="2" customWidth="1"/>
    <col min="14594" max="14594" width="31.83984375" style="2" customWidth="1"/>
    <col min="14595" max="14595" width="10.578125" style="2" bestFit="1" customWidth="1"/>
    <col min="14596" max="14605" width="11.26171875" style="2" customWidth="1"/>
    <col min="14606" max="14848" width="9.15625" style="2"/>
    <col min="14849" max="14849" width="12.68359375" style="2" customWidth="1"/>
    <col min="14850" max="14850" width="31.83984375" style="2" customWidth="1"/>
    <col min="14851" max="14851" width="10.578125" style="2" bestFit="1" customWidth="1"/>
    <col min="14852" max="14861" width="11.26171875" style="2" customWidth="1"/>
    <col min="14862" max="15104" width="9.15625" style="2"/>
    <col min="15105" max="15105" width="12.68359375" style="2" customWidth="1"/>
    <col min="15106" max="15106" width="31.83984375" style="2" customWidth="1"/>
    <col min="15107" max="15107" width="10.578125" style="2" bestFit="1" customWidth="1"/>
    <col min="15108" max="15117" width="11.26171875" style="2" customWidth="1"/>
    <col min="15118" max="15360" width="9.15625" style="2"/>
    <col min="15361" max="15361" width="12.68359375" style="2" customWidth="1"/>
    <col min="15362" max="15362" width="31.83984375" style="2" customWidth="1"/>
    <col min="15363" max="15363" width="10.578125" style="2" bestFit="1" customWidth="1"/>
    <col min="15364" max="15373" width="11.26171875" style="2" customWidth="1"/>
    <col min="15374" max="15616" width="9.15625" style="2"/>
    <col min="15617" max="15617" width="12.68359375" style="2" customWidth="1"/>
    <col min="15618" max="15618" width="31.83984375" style="2" customWidth="1"/>
    <col min="15619" max="15619" width="10.578125" style="2" bestFit="1" customWidth="1"/>
    <col min="15620" max="15629" width="11.26171875" style="2" customWidth="1"/>
    <col min="15630" max="15872" width="9.15625" style="2"/>
    <col min="15873" max="15873" width="12.68359375" style="2" customWidth="1"/>
    <col min="15874" max="15874" width="31.83984375" style="2" customWidth="1"/>
    <col min="15875" max="15875" width="10.578125" style="2" bestFit="1" customWidth="1"/>
    <col min="15876" max="15885" width="11.26171875" style="2" customWidth="1"/>
    <col min="15886" max="16128" width="9.15625" style="2"/>
    <col min="16129" max="16129" width="12.68359375" style="2" customWidth="1"/>
    <col min="16130" max="16130" width="31.83984375" style="2" customWidth="1"/>
    <col min="16131" max="16131" width="10.578125" style="2" bestFit="1" customWidth="1"/>
    <col min="16132" max="16141" width="11.26171875" style="2" customWidth="1"/>
    <col min="16142" max="16384" width="9.15625" style="2"/>
  </cols>
  <sheetData>
    <row r="1" spans="1:1">
      <c r="A1" s="1"/>
    </row>
    <row r="17" spans="2:13" ht="45.6">
      <c r="B17" s="3" t="s">
        <v>517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9" spans="2:13" ht="23.1">
      <c r="B19" s="4" t="s">
        <v>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1" spans="2:13" ht="23.1">
      <c r="B21" s="6">
        <f ca="1">TODAY()</f>
        <v>42914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3" spans="2:13" ht="20.100000000000001">
      <c r="B23" s="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44" spans="2:13"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</row>
    <row r="45" spans="2:1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2:13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2:1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13">
      <c r="B49" s="9"/>
      <c r="C49" s="9"/>
      <c r="D49" s="9"/>
      <c r="E49" s="11"/>
      <c r="F49" s="9"/>
      <c r="G49" s="9"/>
      <c r="H49" s="9"/>
      <c r="I49" s="9"/>
      <c r="J49" s="9"/>
      <c r="K49" s="9"/>
      <c r="L49" s="9"/>
      <c r="M49" s="9"/>
    </row>
    <row r="50" spans="2:13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2:13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2:13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2:13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2:13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2:13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2:13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2:13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2:13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2:13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2:13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2:13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2:13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2:13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2:13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2:13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2:13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2:13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2:13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2:13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2:13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2:13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2:13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2:13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2:13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2:13" ht="5.0999999999999996" customHeight="1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2:13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2:13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2:13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2:14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2:14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2:14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2:14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4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2:14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2:14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2:14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2:14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2:14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2:14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2:14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2:14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2:14">
      <c r="B94" s="9"/>
      <c r="C94" s="9"/>
      <c r="D94" s="9"/>
      <c r="E94" s="13"/>
      <c r="F94" s="13"/>
      <c r="G94" s="13"/>
      <c r="H94" s="13"/>
      <c r="I94" s="13"/>
      <c r="J94" s="13"/>
      <c r="K94" s="13"/>
      <c r="L94" s="13"/>
      <c r="M94" s="13"/>
      <c r="N94" s="14"/>
    </row>
    <row r="95" spans="2:14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2:14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13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2:13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2:13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2:13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2:13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2:13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13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13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13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2:13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2:13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</sheetData>
  <pageMargins left="0.7" right="0.7" top="0.75" bottom="0.75" header="0.3" footer="0.3"/>
  <pageSetup scale="50" orientation="landscape" r:id="rId1"/>
  <colBreaks count="1" manualBreakCount="1">
    <brk id="14" max="728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topLeftCell="A4" zoomScale="80" zoomScaleNormal="80" workbookViewId="0">
      <selection activeCell="K22" sqref="K22"/>
    </sheetView>
  </sheetViews>
  <sheetFormatPr defaultColWidth="8.83984375" defaultRowHeight="14.4"/>
  <cols>
    <col min="1" max="1" width="2.68359375" style="15" customWidth="1"/>
    <col min="2" max="2" width="30.05078125" style="15" bestFit="1" customWidth="1"/>
    <col min="3" max="3" width="15.578125" style="15" customWidth="1"/>
    <col min="4" max="4" width="10.15625" style="15" customWidth="1"/>
    <col min="5" max="5" width="16" style="15" customWidth="1"/>
    <col min="6" max="6" width="8" customWidth="1"/>
    <col min="7" max="7" width="2.578125" customWidth="1"/>
    <col min="8" max="8" width="25.68359375" customWidth="1"/>
    <col min="9" max="9" width="13.26171875" customWidth="1"/>
    <col min="10" max="10" width="1.41796875" customWidth="1"/>
    <col min="11" max="14" width="12.68359375" customWidth="1"/>
    <col min="15" max="15" width="9.15625" customWidth="1"/>
    <col min="16" max="16384" width="8.83984375" style="15"/>
  </cols>
  <sheetData>
    <row r="1" spans="1:15" ht="20.399999999999999" thickBot="1">
      <c r="A1" s="17" t="str">
        <f>Cover!$B$17</f>
        <v>Boccella Precast</v>
      </c>
      <c r="B1" s="16"/>
      <c r="C1" s="16"/>
      <c r="D1" s="16"/>
      <c r="E1" s="16"/>
      <c r="F1" s="16"/>
      <c r="G1" s="16"/>
      <c r="H1" s="16"/>
      <c r="I1" s="16"/>
      <c r="J1" s="15"/>
      <c r="K1" s="15"/>
      <c r="L1" s="15"/>
      <c r="M1" s="15"/>
      <c r="N1" s="15"/>
      <c r="O1" s="15"/>
    </row>
    <row r="2" spans="1:15">
      <c r="A2" s="25" t="s">
        <v>359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>
      <c r="A3" s="2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>
      <c r="A4" s="55" t="s">
        <v>51</v>
      </c>
      <c r="B4" s="327" t="s">
        <v>359</v>
      </c>
      <c r="C4" s="329"/>
      <c r="D4" s="329"/>
      <c r="E4" s="329"/>
      <c r="F4" s="329"/>
      <c r="G4" s="329"/>
      <c r="H4" s="329"/>
      <c r="I4" s="329"/>
      <c r="J4" s="15"/>
      <c r="K4" s="15"/>
      <c r="L4" s="15"/>
      <c r="M4" s="15"/>
      <c r="N4" s="15"/>
      <c r="O4" s="15"/>
    </row>
    <row r="5" spans="1:15" ht="14.5" customHeight="1">
      <c r="B5" s="18"/>
      <c r="C5" s="300"/>
    </row>
    <row r="6" spans="1:15" ht="14.5" customHeight="1" thickBot="1">
      <c r="B6" s="25"/>
      <c r="C6" s="300"/>
      <c r="D6" s="385" t="s">
        <v>368</v>
      </c>
      <c r="F6" s="15"/>
      <c r="G6" s="15"/>
      <c r="H6" s="15"/>
      <c r="I6" s="15"/>
      <c r="K6" s="294" t="s">
        <v>44</v>
      </c>
      <c r="L6" s="294" t="s">
        <v>532</v>
      </c>
    </row>
    <row r="7" spans="1:15" ht="14.5" customHeight="1" thickBot="1">
      <c r="B7" s="366" t="s">
        <v>360</v>
      </c>
      <c r="C7" s="294" t="s">
        <v>364</v>
      </c>
      <c r="D7" s="294" t="s">
        <v>44</v>
      </c>
      <c r="E7" s="294" t="s">
        <v>536</v>
      </c>
      <c r="F7" s="294" t="s">
        <v>367</v>
      </c>
      <c r="G7" s="385"/>
      <c r="H7" s="366" t="s">
        <v>361</v>
      </c>
      <c r="I7" s="294" t="s">
        <v>365</v>
      </c>
      <c r="K7" s="345">
        <v>7550</v>
      </c>
      <c r="L7">
        <v>30000</v>
      </c>
      <c r="M7" s="532">
        <f>L7/K7</f>
        <v>3.9735099337748343</v>
      </c>
    </row>
    <row r="8" spans="1:15" ht="16" customHeight="1">
      <c r="B8" s="365" t="s">
        <v>533</v>
      </c>
      <c r="C8" s="367">
        <f ca="1">Model!D22</f>
        <v>20500</v>
      </c>
      <c r="D8" s="305">
        <f ca="1">C8/$K$7</f>
        <v>2.7152317880794703</v>
      </c>
      <c r="E8" s="304" t="s">
        <v>538</v>
      </c>
      <c r="F8" s="56" t="s">
        <v>537</v>
      </c>
      <c r="G8" s="56"/>
      <c r="H8" s="365" t="s">
        <v>414</v>
      </c>
      <c r="I8" s="298">
        <f ca="1">C13-I9-I12</f>
        <v>27437.5</v>
      </c>
    </row>
    <row r="9" spans="1:15" ht="16" customHeight="1">
      <c r="F9" s="241"/>
      <c r="G9" s="241"/>
      <c r="H9" s="365" t="s">
        <v>348</v>
      </c>
      <c r="I9" s="299">
        <f ca="1">SUM(Model!F9:F13)</f>
        <v>1500</v>
      </c>
    </row>
    <row r="10" spans="1:15" ht="16" customHeight="1">
      <c r="B10" s="25" t="s">
        <v>69</v>
      </c>
      <c r="C10" s="367">
        <f ca="1">Model!D27</f>
        <v>5737.5</v>
      </c>
      <c r="D10" s="305">
        <f ca="1">C10/$K$7</f>
        <v>0.75993377483443714</v>
      </c>
      <c r="E10" s="479"/>
      <c r="F10" s="241"/>
      <c r="G10" s="241"/>
      <c r="H10" s="365"/>
      <c r="I10" s="299"/>
    </row>
    <row r="11" spans="1:15" ht="16" customHeight="1">
      <c r="B11" s="365" t="s">
        <v>534</v>
      </c>
      <c r="C11" s="367">
        <f ca="1">Model!D25</f>
        <v>2700</v>
      </c>
      <c r="D11" s="305">
        <f ca="1">C11/$K$7</f>
        <v>0.35761589403973509</v>
      </c>
      <c r="E11" s="479"/>
      <c r="F11" s="241"/>
      <c r="G11" s="241"/>
      <c r="H11" s="15"/>
      <c r="I11" s="15"/>
      <c r="M11">
        <v>19000</v>
      </c>
    </row>
    <row r="12" spans="1:15" ht="16" customHeight="1">
      <c r="B12" s="25" t="s">
        <v>535</v>
      </c>
      <c r="C12" s="367">
        <f ca="1">Model!D26</f>
        <v>2812.5</v>
      </c>
      <c r="D12" s="305">
        <f ca="1">C12/$K$7</f>
        <v>0.37251655629139074</v>
      </c>
      <c r="E12" s="479"/>
      <c r="F12" s="56"/>
      <c r="G12" s="56"/>
      <c r="H12" s="365" t="str">
        <f>B12</f>
        <v>Boccella Rolled Equity</v>
      </c>
      <c r="I12" s="299">
        <f ca="1">C12</f>
        <v>2812.5</v>
      </c>
      <c r="M12">
        <f>M11*0.0225</f>
        <v>427.5</v>
      </c>
    </row>
    <row r="13" spans="1:15" ht="16" customHeight="1" thickBot="1">
      <c r="B13" s="32" t="s">
        <v>363</v>
      </c>
      <c r="C13" s="301">
        <f ca="1">SUM(C8:C12)</f>
        <v>31750</v>
      </c>
      <c r="D13" s="301"/>
      <c r="E13" s="301"/>
      <c r="F13" s="301"/>
      <c r="G13" s="389"/>
      <c r="H13" s="32" t="s">
        <v>57</v>
      </c>
      <c r="I13" s="301">
        <f ca="1">SUM(I8:I12)</f>
        <v>31750</v>
      </c>
    </row>
    <row r="14" spans="1:15" ht="14.7" thickBot="1">
      <c r="C14" s="302">
        <f ca="1">C13-I13</f>
        <v>0</v>
      </c>
      <c r="H14" s="25"/>
    </row>
    <row r="15" spans="1:15" ht="16.2">
      <c r="B15" s="562"/>
      <c r="C15" s="563" t="s">
        <v>541</v>
      </c>
      <c r="D15" s="564"/>
      <c r="E15" s="563" t="s">
        <v>543</v>
      </c>
      <c r="F15" s="565"/>
    </row>
    <row r="16" spans="1:15" ht="14.7" thickBot="1">
      <c r="B16" s="566"/>
      <c r="C16" s="294" t="s">
        <v>539</v>
      </c>
      <c r="D16" s="294" t="s">
        <v>540</v>
      </c>
      <c r="E16" s="294" t="s">
        <v>539</v>
      </c>
      <c r="F16" s="567" t="s">
        <v>540</v>
      </c>
    </row>
    <row r="17" spans="2:11">
      <c r="B17" s="566" t="s">
        <v>69</v>
      </c>
      <c r="C17" s="568">
        <f ca="1">C10</f>
        <v>5737.5</v>
      </c>
      <c r="D17" s="569">
        <f ca="1">C17/$C$23</f>
        <v>0.51</v>
      </c>
      <c r="E17" s="568">
        <f ca="1">C17*0.8</f>
        <v>4590</v>
      </c>
      <c r="F17" s="570">
        <f ca="1">E17/$C$23</f>
        <v>0.40799999999999997</v>
      </c>
      <c r="H17" s="561"/>
    </row>
    <row r="18" spans="2:11">
      <c r="B18" s="566" t="s">
        <v>535</v>
      </c>
      <c r="C18" s="571">
        <f ca="1">C12</f>
        <v>2812.5</v>
      </c>
      <c r="D18" s="569">
        <f t="shared" ref="D18:F22" ca="1" si="0">C18/$C$23</f>
        <v>0.25</v>
      </c>
      <c r="E18" s="571">
        <f ca="1">C18*0.8</f>
        <v>2250</v>
      </c>
      <c r="F18" s="570">
        <f t="shared" ca="1" si="0"/>
        <v>0.2</v>
      </c>
    </row>
    <row r="19" spans="2:11">
      <c r="B19" s="566" t="s">
        <v>544</v>
      </c>
      <c r="C19" s="571">
        <v>0</v>
      </c>
      <c r="D19" s="572">
        <f t="shared" ca="1" si="0"/>
        <v>0</v>
      </c>
      <c r="E19" s="571">
        <f ca="1">SUM($C$17:$C$18)*0.2*0.375</f>
        <v>641.25</v>
      </c>
      <c r="F19" s="573">
        <f t="shared" ca="1" si="0"/>
        <v>5.7000000000000002E-2</v>
      </c>
    </row>
    <row r="20" spans="2:11">
      <c r="B20" s="566" t="s">
        <v>545</v>
      </c>
      <c r="C20" s="571">
        <v>0</v>
      </c>
      <c r="D20" s="572">
        <f t="shared" ca="1" si="0"/>
        <v>0</v>
      </c>
      <c r="E20" s="571">
        <f ca="1">SUM($C$17:$C$18)*0.2*0.375</f>
        <v>641.25</v>
      </c>
      <c r="F20" s="573">
        <f t="shared" ca="1" si="0"/>
        <v>5.7000000000000002E-2</v>
      </c>
      <c r="H20" t="s">
        <v>549</v>
      </c>
      <c r="K20" s="584">
        <f ca="1">E23*0.1</f>
        <v>1125</v>
      </c>
    </row>
    <row r="21" spans="2:11">
      <c r="B21" s="566" t="s">
        <v>546</v>
      </c>
      <c r="C21" s="571">
        <v>0</v>
      </c>
      <c r="D21" s="572">
        <f t="shared" ca="1" si="0"/>
        <v>0</v>
      </c>
      <c r="E21" s="571">
        <f ca="1">SUM($C$17:$C$18)*0.2*0.25</f>
        <v>427.5</v>
      </c>
      <c r="F21" s="573">
        <f t="shared" ca="1" si="0"/>
        <v>3.7999999999999999E-2</v>
      </c>
      <c r="H21" t="s">
        <v>550</v>
      </c>
      <c r="K21" s="584">
        <f ca="1">K20-E20</f>
        <v>483.75</v>
      </c>
    </row>
    <row r="22" spans="2:11">
      <c r="B22" s="566" t="s">
        <v>534</v>
      </c>
      <c r="C22" s="559">
        <f ca="1">C11</f>
        <v>2700</v>
      </c>
      <c r="D22" s="560">
        <f t="shared" ca="1" si="0"/>
        <v>0.24</v>
      </c>
      <c r="E22" s="559">
        <f ca="1">C22</f>
        <v>2700</v>
      </c>
      <c r="F22" s="574">
        <f t="shared" ca="1" si="0"/>
        <v>0.24</v>
      </c>
      <c r="H22" t="s">
        <v>551</v>
      </c>
      <c r="K22" s="532">
        <f ca="1">K21/0.8</f>
        <v>604.6875</v>
      </c>
    </row>
    <row r="23" spans="2:11">
      <c r="B23" s="575" t="s">
        <v>542</v>
      </c>
      <c r="C23" s="576">
        <f ca="1">SUM(C17:C22)</f>
        <v>11250</v>
      </c>
      <c r="D23" s="577">
        <f ca="1">C23/$C$23</f>
        <v>1</v>
      </c>
      <c r="E23" s="576">
        <f ca="1">SUM(E17:E22)</f>
        <v>11250</v>
      </c>
      <c r="F23" s="578">
        <f ca="1">E23/$C$23</f>
        <v>1</v>
      </c>
    </row>
    <row r="24" spans="2:11">
      <c r="B24" s="566"/>
      <c r="C24" s="43"/>
      <c r="D24" s="43"/>
      <c r="E24" s="43"/>
      <c r="F24" s="579"/>
    </row>
    <row r="25" spans="2:11" ht="14.7" thickBot="1">
      <c r="B25" s="580" t="s">
        <v>547</v>
      </c>
      <c r="C25" s="581">
        <f ca="1">E25/0.8</f>
        <v>703.125</v>
      </c>
      <c r="D25" s="582">
        <f ca="1">C25/C23</f>
        <v>6.25E-2</v>
      </c>
      <c r="E25" s="581">
        <f ca="1">E23*0.05</f>
        <v>562.5</v>
      </c>
      <c r="F25" s="583">
        <f ca="1">E25/E23</f>
        <v>0.05</v>
      </c>
    </row>
  </sheetData>
  <pageMargins left="0.7" right="0.7" top="0.75" bottom="0.75" header="0.3" footer="0.3"/>
  <pageSetup scale="88" orientation="landscape" r:id="rId1"/>
  <ignoredErrors>
    <ignoredError sqref="E17:E2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zoomScale="80" zoomScaleNormal="80" workbookViewId="0">
      <selection activeCell="M29" sqref="M29"/>
    </sheetView>
  </sheetViews>
  <sheetFormatPr defaultColWidth="8.83984375" defaultRowHeight="14.4" outlineLevelRow="1"/>
  <cols>
    <col min="1" max="1" width="3.83984375" style="15" customWidth="1"/>
    <col min="2" max="3" width="12.68359375" style="15" customWidth="1"/>
    <col min="4" max="13" width="12.83984375" style="15" customWidth="1"/>
    <col min="14" max="15" width="12.578125" style="15" customWidth="1"/>
    <col min="16" max="25" width="10.578125" style="15" customWidth="1"/>
    <col min="26" max="16384" width="8.83984375" style="15"/>
  </cols>
  <sheetData>
    <row r="1" spans="1:22" ht="20.399999999999999" thickBot="1">
      <c r="A1" s="17" t="str">
        <f>Cover!$B$17</f>
        <v>Boccella Precast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2">
      <c r="A2" s="25" t="s">
        <v>334</v>
      </c>
    </row>
    <row r="4" spans="1:22">
      <c r="A4" s="55" t="s">
        <v>51</v>
      </c>
      <c r="B4" s="327" t="s">
        <v>334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</row>
    <row r="5" spans="1:22" s="25" customFormat="1" ht="12.9">
      <c r="H5" s="25">
        <v>0</v>
      </c>
      <c r="I5" s="25">
        <v>1</v>
      </c>
      <c r="J5" s="25">
        <v>2</v>
      </c>
      <c r="K5" s="25">
        <v>3</v>
      </c>
      <c r="L5" s="25">
        <v>4</v>
      </c>
      <c r="M5" s="25">
        <v>5</v>
      </c>
    </row>
    <row r="6" spans="1:22" s="25" customFormat="1" ht="13.2" outlineLevel="1" thickBot="1">
      <c r="H6" s="307">
        <v>42735</v>
      </c>
      <c r="I6" s="235">
        <f>EOMONTH(H6,12)</f>
        <v>43100</v>
      </c>
      <c r="J6" s="235">
        <f>EOMONTH(I6,12)</f>
        <v>43465</v>
      </c>
      <c r="K6" s="235">
        <f>EOMONTH(J6,12)</f>
        <v>43830</v>
      </c>
      <c r="L6" s="235">
        <f>EOMONTH(K6,12)</f>
        <v>44196</v>
      </c>
      <c r="M6" s="235">
        <f>EOMONTH(L6,12)</f>
        <v>44561</v>
      </c>
    </row>
    <row r="7" spans="1:22" s="25" customFormat="1" ht="13.2" thickBot="1">
      <c r="B7" s="192"/>
      <c r="C7" s="192"/>
      <c r="D7" s="192"/>
      <c r="E7" s="192"/>
      <c r="F7" s="192"/>
      <c r="G7" s="192"/>
      <c r="H7" s="192"/>
      <c r="I7" s="412" t="s">
        <v>296</v>
      </c>
      <c r="J7" s="412" t="s">
        <v>297</v>
      </c>
      <c r="K7" s="412" t="s">
        <v>298</v>
      </c>
      <c r="L7" s="412" t="s">
        <v>299</v>
      </c>
      <c r="M7" s="412" t="s">
        <v>300</v>
      </c>
    </row>
    <row r="8" spans="1:22" s="25" customFormat="1" ht="12.9">
      <c r="B8" s="90"/>
      <c r="C8" s="90"/>
      <c r="D8" s="90"/>
      <c r="E8" s="90"/>
      <c r="F8" s="90"/>
      <c r="G8" s="90"/>
      <c r="H8" s="90"/>
      <c r="I8" s="91"/>
      <c r="J8" s="91"/>
      <c r="K8" s="90"/>
      <c r="L8" s="90"/>
      <c r="M8" s="90"/>
    </row>
    <row r="9" spans="1:22" s="25" customFormat="1" ht="12.9">
      <c r="B9" s="90" t="s">
        <v>81</v>
      </c>
      <c r="C9" s="90"/>
      <c r="D9" s="90"/>
      <c r="E9" s="90"/>
      <c r="F9" s="90"/>
      <c r="G9" s="274"/>
      <c r="H9" s="275"/>
      <c r="I9" s="405">
        <v>5</v>
      </c>
      <c r="J9" s="283">
        <f>I9</f>
        <v>5</v>
      </c>
      <c r="K9" s="283">
        <f>J9</f>
        <v>5</v>
      </c>
      <c r="L9" s="283">
        <f>K9</f>
        <v>5</v>
      </c>
      <c r="M9" s="283">
        <f>L9</f>
        <v>5</v>
      </c>
    </row>
    <row r="10" spans="1:22" s="25" customFormat="1" ht="12.9">
      <c r="B10" s="122" t="s">
        <v>109</v>
      </c>
      <c r="C10" s="122"/>
      <c r="D10" s="122"/>
      <c r="E10" s="122"/>
      <c r="F10" s="122"/>
      <c r="G10" s="175"/>
      <c r="H10" s="276"/>
      <c r="I10" s="277">
        <f ca="1">Model!I156</f>
        <v>8536.8000000000011</v>
      </c>
      <c r="J10" s="277">
        <f ca="1">Model!J156</f>
        <v>9390.4800000000014</v>
      </c>
      <c r="K10" s="277">
        <f ca="1">Model!K156</f>
        <v>10329.528</v>
      </c>
      <c r="L10" s="277">
        <f ca="1">Model!L156</f>
        <v>11155.890240000004</v>
      </c>
      <c r="M10" s="277">
        <f ca="1">Model!M156</f>
        <v>12048.361459200009</v>
      </c>
      <c r="O10" s="355"/>
      <c r="P10" s="355"/>
      <c r="Q10" s="355"/>
      <c r="R10" s="355"/>
      <c r="S10" s="355"/>
    </row>
    <row r="11" spans="1:22" s="25" customFormat="1" ht="12.9">
      <c r="B11" s="12" t="s">
        <v>335</v>
      </c>
      <c r="C11" s="12"/>
      <c r="D11" s="12"/>
      <c r="E11" s="12"/>
      <c r="F11" s="90"/>
      <c r="G11" s="96"/>
      <c r="H11" s="96"/>
      <c r="I11" s="245">
        <f ca="1">I9*I10</f>
        <v>42684.000000000007</v>
      </c>
      <c r="J11" s="245">
        <f ca="1">J9*J10</f>
        <v>46952.400000000009</v>
      </c>
      <c r="K11" s="245">
        <f ca="1">K9*K10</f>
        <v>51647.64</v>
      </c>
      <c r="L11" s="245">
        <f ca="1">L9*L10</f>
        <v>55779.451200000025</v>
      </c>
      <c r="M11" s="245">
        <f ca="1">M9*M10</f>
        <v>60241.807296000043</v>
      </c>
      <c r="P11" s="355"/>
      <c r="Q11" s="355"/>
      <c r="T11" s="284"/>
    </row>
    <row r="12" spans="1:22" s="25" customFormat="1" ht="12.9">
      <c r="B12" s="120" t="s">
        <v>336</v>
      </c>
      <c r="C12" s="90"/>
      <c r="D12" s="90"/>
      <c r="E12" s="90"/>
      <c r="F12" s="90"/>
      <c r="G12" s="95"/>
      <c r="H12" s="128"/>
      <c r="I12" s="204">
        <f ca="1">-Model!I199</f>
        <v>-18714.604811918332</v>
      </c>
      <c r="J12" s="204">
        <f ca="1">-Model!J199</f>
        <v>-14205.456320349418</v>
      </c>
      <c r="K12" s="204">
        <f ca="1">-Model!K199</f>
        <v>-10041.385444201256</v>
      </c>
      <c r="L12" s="204">
        <f ca="1">-Model!L199</f>
        <v>-4151.3852474778851</v>
      </c>
      <c r="M12" s="204">
        <f ca="1">-Model!M199</f>
        <v>0</v>
      </c>
      <c r="R12" s="204"/>
    </row>
    <row r="13" spans="1:22" s="25" customFormat="1" ht="12.9">
      <c r="B13" s="120" t="s">
        <v>440</v>
      </c>
      <c r="C13" s="90"/>
      <c r="D13" s="90"/>
      <c r="E13" s="90"/>
      <c r="F13" s="90"/>
      <c r="G13" s="95"/>
      <c r="H13" s="128"/>
      <c r="I13" s="204">
        <f ca="1">-Model!I329</f>
        <v>0</v>
      </c>
      <c r="J13" s="204">
        <f ca="1">-Model!J329</f>
        <v>0</v>
      </c>
      <c r="K13" s="204">
        <f ca="1">-Model!K329</f>
        <v>0</v>
      </c>
      <c r="L13" s="204">
        <f ca="1">-Model!L329</f>
        <v>0</v>
      </c>
      <c r="M13" s="204">
        <f ca="1">-Model!M329</f>
        <v>0</v>
      </c>
      <c r="R13" s="204"/>
    </row>
    <row r="14" spans="1:22" s="25" customFormat="1" ht="12.9">
      <c r="B14" s="120" t="s">
        <v>337</v>
      </c>
      <c r="C14" s="90"/>
      <c r="D14" s="90"/>
      <c r="E14" s="90"/>
      <c r="F14" s="90"/>
      <c r="G14" s="95"/>
      <c r="H14" s="128"/>
      <c r="I14" s="204">
        <v>0</v>
      </c>
      <c r="J14" s="204">
        <v>0</v>
      </c>
      <c r="K14" s="204">
        <v>0</v>
      </c>
      <c r="L14" s="204">
        <v>0</v>
      </c>
      <c r="M14" s="204">
        <v>0</v>
      </c>
      <c r="T14" s="24"/>
    </row>
    <row r="15" spans="1:22" s="25" customFormat="1" ht="12.9">
      <c r="B15" s="278" t="s">
        <v>369</v>
      </c>
      <c r="C15" s="279"/>
      <c r="D15" s="279"/>
      <c r="E15" s="279"/>
      <c r="F15" s="98"/>
      <c r="G15" s="280"/>
      <c r="H15" s="280"/>
      <c r="I15" s="281">
        <f ca="1">SUM(I11:I14)</f>
        <v>23969.395188081675</v>
      </c>
      <c r="J15" s="281">
        <f ca="1">SUM(J11:J14)</f>
        <v>32746.943679650591</v>
      </c>
      <c r="K15" s="281">
        <f ca="1">SUM(K11:K14)</f>
        <v>41606.254555798747</v>
      </c>
      <c r="L15" s="281">
        <f ca="1">SUM(L11:L14)</f>
        <v>51628.065952522142</v>
      </c>
      <c r="M15" s="281">
        <f ca="1">SUM(M11:M14)</f>
        <v>60241.807296000043</v>
      </c>
      <c r="O15" s="355"/>
      <c r="P15" s="46"/>
      <c r="Q15" s="46"/>
      <c r="R15" s="46"/>
      <c r="S15" s="46"/>
      <c r="T15" s="46"/>
      <c r="U15" s="46"/>
      <c r="V15" s="46"/>
    </row>
    <row r="16" spans="1:22" s="25" customFormat="1" ht="12.9">
      <c r="B16" s="171"/>
      <c r="C16" s="12"/>
      <c r="D16" s="12"/>
      <c r="E16" s="12"/>
      <c r="F16" s="90"/>
      <c r="G16" s="308"/>
      <c r="H16" s="308"/>
      <c r="I16" s="350"/>
      <c r="J16" s="350"/>
      <c r="K16" s="350"/>
      <c r="L16" s="350"/>
      <c r="M16" s="350"/>
      <c r="P16" s="46"/>
      <c r="Q16" s="46"/>
      <c r="R16" s="46"/>
      <c r="S16" s="46"/>
      <c r="T16" s="46"/>
      <c r="U16" s="46"/>
      <c r="V16" s="46"/>
    </row>
    <row r="17" spans="2:22" s="25" customFormat="1" ht="12.9">
      <c r="B17" s="171" t="s">
        <v>69</v>
      </c>
      <c r="C17" s="12"/>
      <c r="D17" s="395">
        <v>0.51</v>
      </c>
      <c r="E17" s="12"/>
      <c r="F17" s="90"/>
      <c r="G17" s="308"/>
      <c r="H17" s="308"/>
      <c r="I17" s="217">
        <f ca="1">I$15*$D17</f>
        <v>12224.391545921655</v>
      </c>
      <c r="J17" s="217">
        <f ca="1">J15*$D$17</f>
        <v>16700.941276621801</v>
      </c>
      <c r="K17" s="217">
        <f ca="1">K15*$D$17</f>
        <v>21219.18982345736</v>
      </c>
      <c r="L17" s="217">
        <f ca="1">L15*$D$17</f>
        <v>26330.313635786293</v>
      </c>
      <c r="M17" s="217">
        <f ca="1">M15*$D$17</f>
        <v>30723.321720960023</v>
      </c>
      <c r="N17" s="355"/>
      <c r="O17" s="355"/>
      <c r="P17" s="46"/>
      <c r="Q17" s="46"/>
      <c r="R17" s="46"/>
      <c r="S17" s="46"/>
      <c r="T17" s="46"/>
      <c r="U17" s="46"/>
      <c r="V17" s="46"/>
    </row>
    <row r="18" spans="2:22" s="25" customFormat="1" ht="12.9">
      <c r="B18" s="171" t="s">
        <v>528</v>
      </c>
      <c r="C18" s="12"/>
      <c r="D18" s="395">
        <f ca="1">Model!R28</f>
        <v>0.24</v>
      </c>
      <c r="E18" s="12"/>
      <c r="F18" s="90"/>
      <c r="G18" s="308"/>
      <c r="H18" s="308"/>
      <c r="I18" s="217">
        <f ca="1">I$15*$D18</f>
        <v>5752.654845139602</v>
      </c>
      <c r="J18" s="217">
        <f ca="1">J$15*$D18</f>
        <v>7859.2664831161419</v>
      </c>
      <c r="K18" s="217">
        <f ca="1">K$15*$D18</f>
        <v>9985.5010933916983</v>
      </c>
      <c r="L18" s="217">
        <f ca="1">L$15*$D18</f>
        <v>12390.735828605313</v>
      </c>
      <c r="M18" s="217">
        <f ca="1">M$15*$D18</f>
        <v>14458.03375104001</v>
      </c>
      <c r="N18" s="355"/>
      <c r="P18" s="46"/>
      <c r="Q18" s="46"/>
      <c r="R18" s="46"/>
      <c r="S18" s="46"/>
      <c r="T18" s="46"/>
      <c r="U18" s="46"/>
      <c r="V18" s="46"/>
    </row>
    <row r="19" spans="2:22" s="25" customFormat="1" ht="12.9">
      <c r="B19" s="171" t="s">
        <v>417</v>
      </c>
      <c r="C19" s="90"/>
      <c r="D19" s="395">
        <f>Model!R29</f>
        <v>0.25</v>
      </c>
      <c r="E19" s="90"/>
      <c r="F19" s="90"/>
      <c r="G19" s="90"/>
      <c r="H19" s="90"/>
      <c r="I19" s="217">
        <f ca="1">I15*$D$19</f>
        <v>5992.3487970204187</v>
      </c>
      <c r="J19" s="217">
        <f ca="1">J15*$D$19</f>
        <v>8186.7359199126477</v>
      </c>
      <c r="K19" s="217">
        <f ca="1">K15*$D$19</f>
        <v>10401.563638949687</v>
      </c>
      <c r="L19" s="217">
        <f ca="1">L15*$D$19</f>
        <v>12907.016488130535</v>
      </c>
      <c r="M19" s="217">
        <f ca="1">M15*$D$19</f>
        <v>15060.451824000011</v>
      </c>
      <c r="O19" s="373"/>
      <c r="P19" s="46"/>
      <c r="Q19" s="46"/>
      <c r="R19" s="46"/>
      <c r="S19" s="46"/>
      <c r="T19" s="46"/>
      <c r="U19" s="46"/>
      <c r="V19" s="46"/>
    </row>
    <row r="20" spans="2:22" s="25" customFormat="1" ht="12.9">
      <c r="B20" s="90"/>
      <c r="C20" s="90"/>
      <c r="D20" s="90"/>
      <c r="E20" s="90"/>
      <c r="F20" s="90"/>
      <c r="G20" s="90"/>
      <c r="H20" s="90"/>
      <c r="I20" s="217"/>
      <c r="J20" s="217"/>
      <c r="K20" s="217"/>
      <c r="L20" s="217"/>
      <c r="M20" s="217"/>
      <c r="P20" s="46"/>
      <c r="Q20" s="351"/>
      <c r="R20" s="46"/>
      <c r="S20" s="46"/>
      <c r="T20" s="46"/>
      <c r="U20" s="46"/>
      <c r="V20" s="46"/>
    </row>
    <row r="21" spans="2:22" s="25" customFormat="1" ht="12.9">
      <c r="B21" s="171"/>
      <c r="C21" s="90"/>
      <c r="D21" s="440"/>
      <c r="E21" s="90"/>
      <c r="F21" s="90"/>
      <c r="G21" s="90"/>
      <c r="H21" s="90"/>
      <c r="I21" s="217"/>
      <c r="J21" s="217"/>
      <c r="K21" s="217"/>
      <c r="L21" s="217"/>
      <c r="M21" s="217"/>
      <c r="P21" s="46"/>
      <c r="Q21" s="351"/>
      <c r="R21" s="46"/>
      <c r="S21" s="46"/>
      <c r="T21" s="46"/>
      <c r="U21" s="46"/>
      <c r="V21" s="46"/>
    </row>
    <row r="22" spans="2:22" s="25" customFormat="1" ht="12.9">
      <c r="B22" s="282" t="s">
        <v>342</v>
      </c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</row>
    <row r="23" spans="2:22" s="25" customFormat="1" ht="12.9">
      <c r="B23" s="331" t="s">
        <v>376</v>
      </c>
      <c r="C23" s="98"/>
      <c r="D23" s="98"/>
      <c r="E23" s="98"/>
      <c r="F23" s="98"/>
      <c r="G23" s="98"/>
      <c r="H23" s="332">
        <f ca="1">H36</f>
        <v>-5737.5</v>
      </c>
      <c r="I23" s="332">
        <v>0</v>
      </c>
      <c r="J23" s="332">
        <v>0</v>
      </c>
      <c r="K23" s="332">
        <v>0</v>
      </c>
      <c r="L23" s="332">
        <v>0</v>
      </c>
      <c r="M23" s="332">
        <f ca="1">M17</f>
        <v>30723.321720960023</v>
      </c>
      <c r="O23" s="482"/>
    </row>
    <row r="24" spans="2:22" s="25" customFormat="1" ht="12.9">
      <c r="B24" s="120" t="s">
        <v>377</v>
      </c>
      <c r="C24" s="90"/>
      <c r="D24" s="90"/>
      <c r="E24" s="90"/>
      <c r="F24" s="90"/>
      <c r="G24" s="90"/>
      <c r="H24" s="90"/>
      <c r="I24" s="333"/>
      <c r="J24" s="333"/>
      <c r="K24" s="333"/>
      <c r="L24" s="333"/>
      <c r="M24" s="344">
        <f ca="1">XIRR(H23:M23,H6:M6)</f>
        <v>0.39852190613746641</v>
      </c>
      <c r="N24" s="25" t="s">
        <v>382</v>
      </c>
    </row>
    <row r="25" spans="2:22" s="25" customFormat="1" ht="12.9">
      <c r="B25" s="139" t="s">
        <v>378</v>
      </c>
      <c r="C25" s="122"/>
      <c r="D25" s="122"/>
      <c r="E25" s="122"/>
      <c r="F25" s="122"/>
      <c r="G25" s="122"/>
      <c r="H25" s="122"/>
      <c r="I25" s="334"/>
      <c r="J25" s="334"/>
      <c r="K25" s="334"/>
      <c r="L25" s="334"/>
      <c r="M25" s="334">
        <f ca="1">$M$23/(Model!$D$26+Model!$D$27)</f>
        <v>3.5933709615157921</v>
      </c>
    </row>
    <row r="26" spans="2:22" s="25" customFormat="1" ht="12.9">
      <c r="B26" s="120"/>
      <c r="C26" s="90"/>
      <c r="D26" s="90"/>
      <c r="E26" s="90"/>
      <c r="F26" s="90"/>
      <c r="G26" s="90"/>
      <c r="H26" s="90"/>
      <c r="I26" s="383"/>
      <c r="J26" s="383"/>
      <c r="K26" s="383"/>
      <c r="L26" s="383"/>
      <c r="M26" s="383"/>
    </row>
    <row r="27" spans="2:22" s="25" customFormat="1" ht="12.9">
      <c r="B27" s="120" t="s">
        <v>410</v>
      </c>
      <c r="C27" s="90"/>
      <c r="D27" s="396">
        <f ca="1">Model!K49</f>
        <v>0.05</v>
      </c>
      <c r="E27" s="90"/>
      <c r="F27" s="90"/>
      <c r="G27" s="90"/>
      <c r="H27" s="90"/>
      <c r="I27" s="384">
        <f ca="1">I10*$D$27</f>
        <v>426.84000000000009</v>
      </c>
      <c r="J27" s="384">
        <f ca="1">J10*$D$27</f>
        <v>469.52400000000011</v>
      </c>
      <c r="K27" s="384">
        <f ca="1">K10*$D$27</f>
        <v>516.47640000000001</v>
      </c>
      <c r="L27" s="384">
        <f ca="1">L10*$D$27</f>
        <v>557.79451200000028</v>
      </c>
      <c r="M27" s="384">
        <f ca="1">M10*$D$27</f>
        <v>602.41807296000047</v>
      </c>
    </row>
    <row r="28" spans="2:22" s="25" customFormat="1" ht="12.9">
      <c r="B28" s="120" t="s">
        <v>411</v>
      </c>
      <c r="C28" s="90"/>
      <c r="D28" s="397">
        <v>3</v>
      </c>
      <c r="E28" s="90" t="s">
        <v>412</v>
      </c>
      <c r="F28" s="388">
        <v>3</v>
      </c>
      <c r="G28" s="90"/>
      <c r="H28" s="90"/>
      <c r="I28" s="384">
        <f>($D$28*$F$28)*12</f>
        <v>108</v>
      </c>
      <c r="J28" s="384">
        <f>($D$28*$F$28)*12</f>
        <v>108</v>
      </c>
      <c r="K28" s="384">
        <f>($D$28*$F$28)*12</f>
        <v>108</v>
      </c>
      <c r="L28" s="384">
        <f>($D$28*$F$28)*12</f>
        <v>108</v>
      </c>
      <c r="M28" s="384">
        <f>($D$28*$F$28)*12</f>
        <v>108</v>
      </c>
    </row>
    <row r="29" spans="2:22" s="25" customFormat="1" ht="12.9">
      <c r="B29" s="120"/>
      <c r="C29" s="90"/>
      <c r="D29" s="90"/>
      <c r="E29" s="90"/>
      <c r="F29" s="90"/>
      <c r="G29" s="90"/>
      <c r="H29" s="90"/>
      <c r="I29" s="399"/>
      <c r="J29" s="399"/>
      <c r="K29" s="399"/>
      <c r="L29" s="399"/>
      <c r="M29" s="399"/>
    </row>
    <row r="30" spans="2:22" s="25" customFormat="1" ht="12.9">
      <c r="B30" s="282" t="s">
        <v>413</v>
      </c>
      <c r="C30" s="122"/>
      <c r="D30" s="122"/>
      <c r="E30" s="122"/>
      <c r="F30" s="122"/>
      <c r="G30" s="122"/>
      <c r="H30" s="122"/>
      <c r="I30" s="400"/>
      <c r="J30" s="400"/>
      <c r="K30" s="400"/>
      <c r="L30" s="400"/>
      <c r="M30" s="400"/>
    </row>
    <row r="31" spans="2:22" s="25" customFormat="1" ht="12.9">
      <c r="B31" s="139" t="s">
        <v>379</v>
      </c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</row>
    <row r="32" spans="2:22" s="25" customFormat="1" ht="12.9">
      <c r="B32" s="120" t="s">
        <v>380</v>
      </c>
      <c r="C32" s="90"/>
      <c r="D32" s="90"/>
      <c r="E32" s="90"/>
      <c r="F32" s="90"/>
      <c r="G32" s="90"/>
      <c r="H32" s="90"/>
      <c r="I32" s="333"/>
      <c r="J32" s="333"/>
      <c r="K32" s="333"/>
      <c r="L32" s="333"/>
      <c r="M32" s="344">
        <f ca="1">+XIRR($H$41:$M$41,$H$6:$M$6)</f>
        <v>0.3238967716693878</v>
      </c>
      <c r="N32" s="25" t="s">
        <v>383</v>
      </c>
      <c r="R32" s="46"/>
      <c r="S32" s="46"/>
      <c r="T32" s="46"/>
      <c r="U32" s="46"/>
      <c r="V32" s="46"/>
    </row>
    <row r="33" spans="2:22" s="25" customFormat="1" ht="12.9">
      <c r="B33" s="139" t="s">
        <v>378</v>
      </c>
      <c r="C33" s="122"/>
      <c r="D33" s="122"/>
      <c r="E33" s="122"/>
      <c r="F33" s="122"/>
      <c r="G33" s="122"/>
      <c r="H33" s="122"/>
      <c r="I33" s="334"/>
      <c r="J33" s="334"/>
      <c r="K33" s="334"/>
      <c r="L33" s="334"/>
      <c r="M33" s="334">
        <f ca="1">$M$41/(Model!$D$26+Model!$D$27)</f>
        <v>2.7312473937100874</v>
      </c>
      <c r="R33" s="46"/>
      <c r="S33" s="46"/>
      <c r="T33" s="46"/>
      <c r="U33" s="46"/>
      <c r="V33" s="46"/>
    </row>
    <row r="34" spans="2:22" s="25" customFormat="1" ht="12.9">
      <c r="B34" s="12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R34" s="46"/>
      <c r="S34" s="46"/>
      <c r="T34" s="46"/>
      <c r="U34" s="46"/>
      <c r="V34" s="46"/>
    </row>
    <row r="35" spans="2:22" s="25" customFormat="1" ht="12.9">
      <c r="B35" s="120"/>
      <c r="C35" s="90"/>
      <c r="D35" s="90"/>
      <c r="E35" s="90"/>
      <c r="F35" s="90"/>
      <c r="G35" s="335" t="s">
        <v>381</v>
      </c>
      <c r="H35" s="90"/>
      <c r="I35" s="330"/>
      <c r="J35" s="330"/>
      <c r="K35" s="330"/>
      <c r="L35" s="330"/>
      <c r="M35" s="336">
        <f ca="1">-M75</f>
        <v>-7371.1565047387749</v>
      </c>
      <c r="N35" s="355"/>
      <c r="O35" s="355"/>
    </row>
    <row r="36" spans="2:22" s="25" customFormat="1" ht="12.9">
      <c r="B36" s="120"/>
      <c r="C36" s="90"/>
      <c r="D36" s="90"/>
      <c r="E36" s="90"/>
      <c r="F36" s="90"/>
      <c r="G36" s="337" t="s">
        <v>375</v>
      </c>
      <c r="H36" s="255">
        <f ca="1">-(Model!D27)</f>
        <v>-5737.5</v>
      </c>
      <c r="I36" s="338">
        <f ca="1">I17-SUM(I27:I28)</f>
        <v>11689.551545921655</v>
      </c>
      <c r="J36" s="338">
        <f ca="1">J17-SUM(J27:J28)</f>
        <v>16123.417276621802</v>
      </c>
      <c r="K36" s="338">
        <f ca="1">K17-SUM(K27:K28)</f>
        <v>20594.71342345736</v>
      </c>
      <c r="L36" s="338">
        <f ca="1">L17-SUM(L27:L28)</f>
        <v>25664.519123786293</v>
      </c>
      <c r="M36" s="338">
        <f ca="1">M23</f>
        <v>30723.321720960023</v>
      </c>
    </row>
    <row r="37" spans="2:22" s="25" customFormat="1" ht="12.9">
      <c r="B37" s="120"/>
      <c r="C37" s="90"/>
      <c r="D37" s="90"/>
      <c r="E37" s="90"/>
      <c r="F37" s="90"/>
      <c r="G37" s="339">
        <v>42735</v>
      </c>
      <c r="H37" s="330">
        <f ca="1">H36</f>
        <v>-5737.5</v>
      </c>
      <c r="I37" s="330">
        <f ca="1">I36</f>
        <v>11689.551545921655</v>
      </c>
      <c r="J37" s="330"/>
      <c r="K37" s="90"/>
      <c r="L37" s="90"/>
      <c r="M37" s="90"/>
    </row>
    <row r="38" spans="2:22" s="25" customFormat="1" ht="12.9">
      <c r="B38" s="120"/>
      <c r="C38" s="90"/>
      <c r="D38" s="90"/>
      <c r="E38" s="90"/>
      <c r="F38" s="90"/>
      <c r="G38" s="340">
        <v>43100</v>
      </c>
      <c r="H38" s="330">
        <f ca="1">H37</f>
        <v>-5737.5</v>
      </c>
      <c r="I38" s="206"/>
      <c r="J38" s="330">
        <f ca="1">J36</f>
        <v>16123.417276621802</v>
      </c>
      <c r="K38" s="330"/>
      <c r="L38" s="90"/>
      <c r="M38" s="90"/>
    </row>
    <row r="39" spans="2:22" s="25" customFormat="1" ht="12.9">
      <c r="B39" s="120"/>
      <c r="C39" s="90"/>
      <c r="D39" s="90"/>
      <c r="E39" s="90"/>
      <c r="F39" s="90"/>
      <c r="G39" s="340">
        <v>43465</v>
      </c>
      <c r="H39" s="330">
        <f ca="1">H38</f>
        <v>-5737.5</v>
      </c>
      <c r="I39" s="206"/>
      <c r="J39" s="206"/>
      <c r="K39" s="330">
        <f ca="1">K36</f>
        <v>20594.71342345736</v>
      </c>
      <c r="L39" s="330"/>
      <c r="M39" s="90"/>
    </row>
    <row r="40" spans="2:22" s="25" customFormat="1" ht="12.9">
      <c r="B40" s="120"/>
      <c r="C40" s="90"/>
      <c r="D40" s="90"/>
      <c r="E40" s="90"/>
      <c r="F40" s="90"/>
      <c r="G40" s="340">
        <v>43830</v>
      </c>
      <c r="H40" s="330">
        <f ca="1">H39</f>
        <v>-5737.5</v>
      </c>
      <c r="I40" s="206"/>
      <c r="J40" s="206"/>
      <c r="K40" s="206"/>
      <c r="L40" s="330">
        <f ca="1">L36</f>
        <v>25664.519123786293</v>
      </c>
      <c r="M40" s="330"/>
    </row>
    <row r="41" spans="2:22" s="25" customFormat="1" ht="12.9">
      <c r="B41" s="120"/>
      <c r="C41" s="90"/>
      <c r="D41" s="90"/>
      <c r="E41" s="90"/>
      <c r="F41" s="90"/>
      <c r="G41" s="340">
        <v>44196</v>
      </c>
      <c r="H41" s="330">
        <f ca="1">H40</f>
        <v>-5737.5</v>
      </c>
      <c r="I41" s="206"/>
      <c r="J41" s="206"/>
      <c r="K41" s="206"/>
      <c r="L41" s="206">
        <f ca="1">L60</f>
        <v>0</v>
      </c>
      <c r="M41" s="330">
        <f ca="1">SUM(M35:M40)+M60</f>
        <v>23352.165216221249</v>
      </c>
      <c r="N41" s="341"/>
    </row>
    <row r="42" spans="2:22" s="25" customFormat="1" ht="12.9">
      <c r="B42" s="12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</row>
    <row r="43" spans="2:22" s="25" customFormat="1" ht="12.9">
      <c r="B43" s="282" t="s">
        <v>385</v>
      </c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</row>
    <row r="44" spans="2:22" s="25" customFormat="1" ht="12.9">
      <c r="B44" s="139" t="s">
        <v>379</v>
      </c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</row>
    <row r="45" spans="2:22" s="25" customFormat="1" ht="12.9">
      <c r="B45" s="120" t="s">
        <v>380</v>
      </c>
      <c r="C45" s="90"/>
      <c r="D45" s="90"/>
      <c r="E45" s="90"/>
      <c r="F45" s="90"/>
      <c r="G45" s="90"/>
      <c r="H45" s="90"/>
      <c r="I45" s="333"/>
      <c r="J45" s="333"/>
      <c r="K45" s="333"/>
      <c r="L45" s="333"/>
      <c r="M45" s="344">
        <f ca="1">+XIRR($H$54:$M$54,$H$6:$M$6)</f>
        <v>0.53922021985054025</v>
      </c>
      <c r="N45" s="25" t="s">
        <v>383</v>
      </c>
    </row>
    <row r="46" spans="2:22" s="25" customFormat="1" ht="12.9">
      <c r="B46" s="139" t="s">
        <v>378</v>
      </c>
      <c r="C46" s="122"/>
      <c r="D46" s="122"/>
      <c r="E46" s="122"/>
      <c r="F46" s="122"/>
      <c r="G46" s="122"/>
      <c r="H46" s="122"/>
      <c r="I46" s="334"/>
      <c r="J46" s="334"/>
      <c r="K46" s="334"/>
      <c r="L46" s="334"/>
      <c r="M46" s="334">
        <f ca="1">(SUM(I54:L54)+M54)/(Model!$D$27+Model!$D$25)</f>
        <v>4.1744741948391235</v>
      </c>
    </row>
    <row r="47" spans="2:22" s="25" customFormat="1" ht="12.9">
      <c r="B47" s="12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</row>
    <row r="48" spans="2:22" s="25" customFormat="1" ht="12.9">
      <c r="B48" s="120"/>
      <c r="C48" s="90"/>
      <c r="D48" s="90"/>
      <c r="E48" s="90"/>
      <c r="F48" s="90"/>
      <c r="G48" s="335" t="s">
        <v>381</v>
      </c>
      <c r="H48" s="90"/>
      <c r="I48" s="330"/>
      <c r="J48" s="330"/>
      <c r="K48" s="330"/>
      <c r="L48" s="330"/>
      <c r="M48" s="336"/>
    </row>
    <row r="49" spans="2:14" s="25" customFormat="1" ht="12.9">
      <c r="B49" s="120"/>
      <c r="C49" s="90"/>
      <c r="D49" s="90"/>
      <c r="E49" s="90"/>
      <c r="F49" s="90"/>
      <c r="G49" s="337" t="s">
        <v>375</v>
      </c>
      <c r="H49" s="255">
        <f ca="1">H41</f>
        <v>-5737.5</v>
      </c>
      <c r="I49" s="255">
        <f ca="1">I36</f>
        <v>11689.551545921655</v>
      </c>
      <c r="J49" s="255">
        <f ca="1">J36</f>
        <v>16123.417276621802</v>
      </c>
      <c r="K49" s="255">
        <f ca="1">K36</f>
        <v>20594.71342345736</v>
      </c>
      <c r="L49" s="255">
        <f ca="1">L36</f>
        <v>25664.519123786293</v>
      </c>
      <c r="M49" s="255">
        <f ca="1">M36</f>
        <v>30723.321720960023</v>
      </c>
    </row>
    <row r="50" spans="2:14" s="25" customFormat="1" ht="12.9">
      <c r="B50" s="120"/>
      <c r="C50" s="90"/>
      <c r="D50" s="90"/>
      <c r="E50" s="90"/>
      <c r="F50" s="90"/>
      <c r="G50" s="339">
        <f>G37</f>
        <v>42735</v>
      </c>
      <c r="H50" s="330">
        <f ca="1">H49</f>
        <v>-5737.5</v>
      </c>
      <c r="I50" s="251">
        <f ca="1">I37</f>
        <v>11689.551545921655</v>
      </c>
      <c r="J50" s="330"/>
      <c r="K50" s="90"/>
      <c r="L50" s="90"/>
      <c r="M50" s="90"/>
    </row>
    <row r="51" spans="2:14" s="25" customFormat="1" ht="12.9">
      <c r="B51" s="120"/>
      <c r="C51" s="90"/>
      <c r="D51" s="90"/>
      <c r="E51" s="90"/>
      <c r="F51" s="90"/>
      <c r="G51" s="340">
        <f>G38</f>
        <v>43100</v>
      </c>
      <c r="H51" s="330">
        <f ca="1">H50</f>
        <v>-5737.5</v>
      </c>
      <c r="I51" s="206">
        <f ca="1">$I$62</f>
        <v>1182.3694706874826</v>
      </c>
      <c r="J51" s="251">
        <f ca="1">J38</f>
        <v>16123.417276621802</v>
      </c>
      <c r="K51" s="330"/>
      <c r="L51" s="90"/>
      <c r="M51" s="90"/>
    </row>
    <row r="52" spans="2:14" s="25" customFormat="1" ht="12.9">
      <c r="B52" s="120"/>
      <c r="C52" s="90"/>
      <c r="D52" s="90"/>
      <c r="E52" s="90"/>
      <c r="F52" s="90"/>
      <c r="G52" s="340">
        <f>G39</f>
        <v>43465</v>
      </c>
      <c r="H52" s="330">
        <f ca="1">H51</f>
        <v>-5737.5</v>
      </c>
      <c r="I52" s="206">
        <f ca="1">$I$62</f>
        <v>1182.3694706874826</v>
      </c>
      <c r="J52" s="206">
        <f ca="1">$J$62</f>
        <v>1579.9819270878672</v>
      </c>
      <c r="K52" s="251">
        <f ca="1">K39</f>
        <v>20594.71342345736</v>
      </c>
      <c r="L52" s="330"/>
      <c r="M52" s="90"/>
    </row>
    <row r="53" spans="2:14" s="25" customFormat="1" ht="12.9">
      <c r="B53" s="120"/>
      <c r="C53" s="90"/>
      <c r="D53" s="90"/>
      <c r="E53" s="90"/>
      <c r="F53" s="90"/>
      <c r="G53" s="340">
        <f>G40</f>
        <v>43830</v>
      </c>
      <c r="H53" s="330">
        <f ca="1">H52</f>
        <v>-5737.5</v>
      </c>
      <c r="I53" s="206">
        <f ca="1">$I$62</f>
        <v>1182.3694706874826</v>
      </c>
      <c r="J53" s="206">
        <f ca="1">$J$62</f>
        <v>1579.9819270878672</v>
      </c>
      <c r="K53" s="206">
        <f ca="1">$K$62</f>
        <v>2282.5849858262109</v>
      </c>
      <c r="L53" s="251">
        <f ca="1">L40</f>
        <v>25664.519123786293</v>
      </c>
      <c r="M53" s="330"/>
    </row>
    <row r="54" spans="2:14" s="25" customFormat="1" ht="12.9">
      <c r="B54" s="120"/>
      <c r="C54" s="90"/>
      <c r="D54" s="90"/>
      <c r="E54" s="90"/>
      <c r="F54" s="90"/>
      <c r="G54" s="340">
        <f>G41</f>
        <v>44196</v>
      </c>
      <c r="H54" s="330">
        <f ca="1">H53</f>
        <v>-5737.5</v>
      </c>
      <c r="I54" s="206">
        <f ca="1">$I$62</f>
        <v>1182.3694706874826</v>
      </c>
      <c r="J54" s="206">
        <f ca="1">$J$62</f>
        <v>1579.9819270878672</v>
      </c>
      <c r="K54" s="206">
        <f ca="1">$K$62</f>
        <v>2282.5849858262109</v>
      </c>
      <c r="L54" s="206">
        <f ca="1">L62</f>
        <v>3013.2773151759757</v>
      </c>
      <c r="M54" s="251">
        <f ca="1">SUM(M35:M36)+M59+M60</f>
        <v>27163.912320177569</v>
      </c>
      <c r="N54" s="341"/>
    </row>
    <row r="55" spans="2:14" s="25" customFormat="1" ht="12.9">
      <c r="B55" s="12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</row>
    <row r="56" spans="2:14" s="25" customFormat="1" ht="12.9">
      <c r="B56" s="12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</row>
    <row r="57" spans="2:14" s="25" customFormat="1" ht="12.9">
      <c r="B57" s="282" t="s">
        <v>384</v>
      </c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</row>
    <row r="58" spans="2:14" s="25" customFormat="1" ht="12.9">
      <c r="B58" s="13" t="s">
        <v>340</v>
      </c>
      <c r="C58" s="90"/>
      <c r="D58" s="90"/>
      <c r="E58" s="90"/>
      <c r="F58" s="90"/>
      <c r="G58" s="90"/>
      <c r="H58" s="206">
        <f ca="1">H41</f>
        <v>-5737.5</v>
      </c>
      <c r="J58" s="90"/>
      <c r="K58" s="90"/>
      <c r="L58" s="90"/>
      <c r="M58" s="90"/>
    </row>
    <row r="59" spans="2:14" s="25" customFormat="1" ht="12.9">
      <c r="B59" s="120" t="s">
        <v>279</v>
      </c>
      <c r="C59" s="90"/>
      <c r="D59" s="90"/>
      <c r="E59" s="90"/>
      <c r="F59" s="90"/>
      <c r="G59" s="90"/>
      <c r="H59" s="207"/>
      <c r="I59" s="204">
        <f ca="1">-Model!I270</f>
        <v>1182.3694706874826</v>
      </c>
      <c r="J59" s="204">
        <f ca="1">-Model!J270</f>
        <v>1579.9819270878672</v>
      </c>
      <c r="K59" s="204">
        <f ca="1">-Model!K270</f>
        <v>2282.5849858262109</v>
      </c>
      <c r="L59" s="204">
        <f ca="1">-Model!L270</f>
        <v>3013.2773151759757</v>
      </c>
      <c r="M59" s="204">
        <f ca="1">-Model!M270</f>
        <v>3811.7471039563206</v>
      </c>
    </row>
    <row r="60" spans="2:14" s="25" customFormat="1" ht="12.9">
      <c r="B60" s="120" t="s">
        <v>339</v>
      </c>
      <c r="C60" s="90"/>
      <c r="D60" s="90"/>
      <c r="E60" s="90"/>
      <c r="F60" s="90"/>
      <c r="G60" s="90"/>
      <c r="H60" s="206"/>
      <c r="I60" s="204">
        <f ca="1">-Model!I271</f>
        <v>0</v>
      </c>
      <c r="J60" s="204">
        <f ca="1">-Model!J271</f>
        <v>0</v>
      </c>
      <c r="K60" s="204">
        <f ca="1">-Model!K271</f>
        <v>0</v>
      </c>
      <c r="L60" s="204">
        <f ca="1">-Model!L271</f>
        <v>0</v>
      </c>
      <c r="M60" s="204">
        <f ca="1">-Model!M271</f>
        <v>0</v>
      </c>
    </row>
    <row r="61" spans="2:14" s="25" customFormat="1" ht="12.9">
      <c r="B61" s="120" t="s">
        <v>341</v>
      </c>
      <c r="C61" s="90"/>
      <c r="D61" s="90"/>
      <c r="E61" s="90"/>
      <c r="F61" s="90"/>
      <c r="G61" s="95"/>
      <c r="H61" s="128"/>
      <c r="I61" s="204"/>
      <c r="J61" s="204"/>
      <c r="K61" s="204"/>
      <c r="L61" s="204"/>
      <c r="M61" s="217">
        <f ca="1">M17</f>
        <v>30723.321720960023</v>
      </c>
    </row>
    <row r="62" spans="2:14" s="25" customFormat="1" ht="12.9">
      <c r="B62" s="310" t="s">
        <v>373</v>
      </c>
      <c r="C62" s="85"/>
      <c r="D62" s="85"/>
      <c r="E62" s="85"/>
      <c r="F62" s="91"/>
      <c r="G62" s="311"/>
      <c r="H62" s="312">
        <f t="shared" ref="H62:M62" ca="1" si="0">SUM(H58:H61)</f>
        <v>-5737.5</v>
      </c>
      <c r="I62" s="312">
        <f t="shared" ca="1" si="0"/>
        <v>1182.3694706874826</v>
      </c>
      <c r="J62" s="312">
        <f t="shared" ca="1" si="0"/>
        <v>1579.9819270878672</v>
      </c>
      <c r="K62" s="312">
        <f t="shared" ca="1" si="0"/>
        <v>2282.5849858262109</v>
      </c>
      <c r="L62" s="312">
        <f t="shared" ca="1" si="0"/>
        <v>3013.2773151759757</v>
      </c>
      <c r="M62" s="312">
        <f t="shared" ca="1" si="0"/>
        <v>34535.068824916343</v>
      </c>
    </row>
    <row r="63" spans="2:14" s="25" customFormat="1" ht="12.9">
      <c r="B63" s="171" t="s">
        <v>374</v>
      </c>
      <c r="C63" s="90"/>
      <c r="D63" s="90"/>
      <c r="E63" s="90"/>
      <c r="F63" s="90"/>
      <c r="G63" s="90"/>
      <c r="H63" s="254">
        <f ca="1">H59-H62</f>
        <v>5737.5</v>
      </c>
      <c r="I63" s="254">
        <f ca="1">I59-I62</f>
        <v>0</v>
      </c>
      <c r="J63" s="254">
        <f ca="1">J59-J62</f>
        <v>0</v>
      </c>
      <c r="K63" s="254">
        <f ca="1">K59-K62</f>
        <v>0</v>
      </c>
      <c r="L63" s="254">
        <f ca="1">L59-L62</f>
        <v>0</v>
      </c>
      <c r="M63" s="254">
        <f ca="1">M62-M59</f>
        <v>30723.321720960023</v>
      </c>
    </row>
    <row r="64" spans="2:14" s="25" customFormat="1" ht="12.9">
      <c r="B64" s="12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</row>
    <row r="65" spans="2:14" s="25" customFormat="1" ht="12.9">
      <c r="B65" s="282" t="s">
        <v>338</v>
      </c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</row>
    <row r="66" spans="2:14" s="25" customFormat="1" ht="12.9">
      <c r="B66" s="13" t="s">
        <v>340</v>
      </c>
      <c r="C66" s="90"/>
      <c r="D66" s="90"/>
      <c r="E66" s="90"/>
      <c r="F66" s="90"/>
      <c r="G66" s="90"/>
      <c r="H66" s="206">
        <f ca="1">H58</f>
        <v>-5737.5</v>
      </c>
      <c r="I66" s="90"/>
      <c r="J66" s="90"/>
      <c r="K66" s="90"/>
      <c r="L66" s="90"/>
      <c r="M66" s="90"/>
    </row>
    <row r="67" spans="2:14" s="25" customFormat="1" ht="12.9">
      <c r="B67" s="13" t="s">
        <v>344</v>
      </c>
      <c r="C67" s="90"/>
      <c r="D67" s="90"/>
      <c r="E67" s="90"/>
      <c r="F67" s="90"/>
      <c r="G67" s="90"/>
      <c r="H67" s="285"/>
      <c r="I67" s="206"/>
      <c r="J67" s="206"/>
      <c r="K67" s="206"/>
      <c r="L67" s="206"/>
      <c r="M67" s="206"/>
    </row>
    <row r="68" spans="2:14" s="25" customFormat="1" ht="12.9">
      <c r="B68" s="120" t="s">
        <v>279</v>
      </c>
      <c r="C68" s="90"/>
      <c r="D68" s="90"/>
      <c r="E68" s="90"/>
      <c r="F68" s="90"/>
      <c r="G68" s="90"/>
      <c r="H68" s="206"/>
      <c r="I68" s="206">
        <f t="shared" ref="I68:M69" ca="1" si="1">I59</f>
        <v>1182.3694706874826</v>
      </c>
      <c r="J68" s="206">
        <f t="shared" ca="1" si="1"/>
        <v>1579.9819270878672</v>
      </c>
      <c r="K68" s="206">
        <f t="shared" ca="1" si="1"/>
        <v>2282.5849858262109</v>
      </c>
      <c r="L68" s="206">
        <f t="shared" ca="1" si="1"/>
        <v>3013.2773151759757</v>
      </c>
      <c r="M68" s="206">
        <f t="shared" ca="1" si="1"/>
        <v>3811.7471039563206</v>
      </c>
    </row>
    <row r="69" spans="2:14" s="25" customFormat="1" ht="12.9">
      <c r="B69" s="120" t="s">
        <v>339</v>
      </c>
      <c r="C69" s="90"/>
      <c r="D69" s="90"/>
      <c r="E69" s="90"/>
      <c r="F69" s="90"/>
      <c r="G69" s="90"/>
      <c r="H69" s="206"/>
      <c r="I69" s="206">
        <f t="shared" ca="1" si="1"/>
        <v>0</v>
      </c>
      <c r="J69" s="206">
        <f t="shared" ca="1" si="1"/>
        <v>0</v>
      </c>
      <c r="K69" s="206">
        <f t="shared" ca="1" si="1"/>
        <v>0</v>
      </c>
      <c r="L69" s="206">
        <f t="shared" ca="1" si="1"/>
        <v>0</v>
      </c>
      <c r="M69" s="206">
        <f t="shared" ca="1" si="1"/>
        <v>0</v>
      </c>
    </row>
    <row r="70" spans="2:14" s="25" customFormat="1" ht="12.9">
      <c r="B70" s="139" t="s">
        <v>341</v>
      </c>
      <c r="C70" s="122"/>
      <c r="D70" s="122"/>
      <c r="E70" s="122"/>
      <c r="F70" s="122"/>
      <c r="G70" s="175"/>
      <c r="H70" s="276"/>
      <c r="I70" s="277"/>
      <c r="J70" s="277"/>
      <c r="K70" s="277"/>
      <c r="L70" s="277"/>
      <c r="M70" s="342">
        <f ca="1">M61</f>
        <v>30723.321720960023</v>
      </c>
      <c r="N70" s="24"/>
    </row>
    <row r="71" spans="2:14" s="25" customFormat="1" ht="12.9">
      <c r="B71" s="282" t="s">
        <v>345</v>
      </c>
      <c r="C71" s="111"/>
      <c r="D71" s="111"/>
      <c r="E71" s="111"/>
      <c r="F71" s="122"/>
      <c r="G71" s="287"/>
      <c r="H71" s="288">
        <f ca="1">SUM(H66:H70)</f>
        <v>-5737.5</v>
      </c>
      <c r="I71" s="288">
        <f ca="1">H71+SUM(I66:I70)</f>
        <v>-4555.130529312517</v>
      </c>
      <c r="J71" s="288">
        <f ca="1">I71+SUM(J66:J70)</f>
        <v>-2975.1486022246499</v>
      </c>
      <c r="K71" s="288">
        <f ca="1">J71+SUM(K66:K70)</f>
        <v>-692.56361639843908</v>
      </c>
      <c r="L71" s="288">
        <f ca="1">K71+SUM(L66:L70)</f>
        <v>2320.7136987775366</v>
      </c>
      <c r="M71" s="288">
        <f ca="1">L71+SUM(M66:M70)</f>
        <v>36855.782523693881</v>
      </c>
      <c r="N71" s="355"/>
    </row>
    <row r="72" spans="2:14" s="25" customFormat="1" ht="12.9">
      <c r="B72" s="12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</row>
    <row r="73" spans="2:14" s="25" customFormat="1" ht="12.9">
      <c r="B73" s="120" t="s">
        <v>343</v>
      </c>
      <c r="C73" s="90"/>
      <c r="D73" s="90"/>
      <c r="E73" s="90"/>
      <c r="F73" s="90"/>
      <c r="G73" s="90"/>
      <c r="H73" s="285">
        <f ca="1">+IF(H71&lt;0,1,IF(G71&gt;0,1-Model!$K$51,(ABS(G71)/(ABS(G71)+H71))+H71/(ABS(G71)+H71)*(1-Model!$K$51)))</f>
        <v>1</v>
      </c>
      <c r="I73" s="285">
        <f ca="1">+IF(I71&lt;0,1,IF(H71&gt;0,1-Model!$K$51,(ABS(H71)/(ABS(H71)+I71))+I71/(ABS(H71)+I71)*(1-Model!$K$51)))</f>
        <v>1</v>
      </c>
      <c r="J73" s="285">
        <f ca="1">+IF(J71&lt;0,1,IF(I71&gt;0,1-Model!$K$51,(ABS(I71)/(ABS(I71)+J71))+J71/(ABS(I71)+J71)*(1-Model!$K$51)))</f>
        <v>1</v>
      </c>
      <c r="K73" s="285">
        <f ca="1">+IF(K71&lt;0,1,IF(J71&gt;0,1-Model!$K$51,(ABS(J71)/(ABS(J71)+K71))+K71/(ABS(J71)+K71)*(1-Model!$K$51)))</f>
        <v>1</v>
      </c>
      <c r="L73" s="285">
        <f ca="1">+IF(L71&lt;0,1,IF(K71&gt;0,1-Model!$K$51,(ABS(K71)/(ABS(K71)+L71))+L71/(ABS(K71)+L71)*(1-Model!$K$51)))</f>
        <v>0.84596746624749297</v>
      </c>
      <c r="M73" s="426">
        <v>0.8</v>
      </c>
    </row>
    <row r="74" spans="2:14" s="25" customFormat="1" ht="12.9">
      <c r="B74" s="120"/>
      <c r="C74" s="90"/>
      <c r="D74" s="90"/>
      <c r="E74" s="90"/>
      <c r="F74" s="90"/>
      <c r="G74" s="90"/>
      <c r="H74" s="285"/>
      <c r="I74" s="285"/>
      <c r="J74" s="285"/>
      <c r="K74" s="285"/>
      <c r="L74" s="285"/>
      <c r="M74" s="285"/>
    </row>
    <row r="75" spans="2:14" s="25" customFormat="1" ht="12.9">
      <c r="B75" s="286" t="s">
        <v>346</v>
      </c>
      <c r="C75" s="90"/>
      <c r="D75" s="90"/>
      <c r="E75" s="90"/>
      <c r="F75" s="90"/>
      <c r="G75" s="90"/>
      <c r="H75" s="343">
        <f ca="1">H77/H73*(1-H73)</f>
        <v>0</v>
      </c>
      <c r="I75" s="343">
        <f ca="1">I77/I73*(1-I73)</f>
        <v>0</v>
      </c>
      <c r="J75" s="343">
        <f ca="1">J77/J73*(1-J73)</f>
        <v>0</v>
      </c>
      <c r="K75" s="343">
        <f ca="1">K77/K73*(1-K73)</f>
        <v>0</v>
      </c>
      <c r="L75" s="254">
        <f ca="1">L77/L73*(1-L73)</f>
        <v>464.14273975550725</v>
      </c>
      <c r="M75" s="254">
        <f ca="1">M71*(1-M73)</f>
        <v>7371.1565047387749</v>
      </c>
      <c r="N75" s="48"/>
    </row>
    <row r="76" spans="2:14" s="25" customFormat="1" ht="12.9">
      <c r="B76" s="313"/>
      <c r="C76" s="122"/>
      <c r="D76" s="122"/>
      <c r="E76" s="122"/>
      <c r="F76" s="122"/>
      <c r="G76" s="122"/>
      <c r="H76" s="255"/>
      <c r="I76" s="53"/>
      <c r="J76" s="53"/>
      <c r="K76" s="53"/>
      <c r="L76" s="53"/>
      <c r="M76" s="53"/>
    </row>
    <row r="77" spans="2:14" s="25" customFormat="1" ht="12.9">
      <c r="B77" s="171" t="s">
        <v>371</v>
      </c>
      <c r="C77" s="12"/>
      <c r="D77" s="12"/>
      <c r="E77" s="12"/>
      <c r="F77" s="90"/>
      <c r="G77" s="308"/>
      <c r="H77" s="309">
        <f t="shared" ref="H77:M77" ca="1" si="2">SUM(H66,H68:H70)*H73</f>
        <v>-5737.5</v>
      </c>
      <c r="I77" s="309">
        <f t="shared" ca="1" si="2"/>
        <v>1182.3694706874826</v>
      </c>
      <c r="J77" s="309">
        <f t="shared" ca="1" si="2"/>
        <v>1579.9819270878672</v>
      </c>
      <c r="K77" s="309">
        <f t="shared" ca="1" si="2"/>
        <v>2282.5849858262109</v>
      </c>
      <c r="L77" s="309">
        <f t="shared" ca="1" si="2"/>
        <v>2549.1345754204685</v>
      </c>
      <c r="M77" s="309">
        <f t="shared" ca="1" si="2"/>
        <v>27628.055059933075</v>
      </c>
      <c r="N77" s="355"/>
    </row>
    <row r="78" spans="2:14" s="25" customFormat="1" ht="12.9">
      <c r="B78" s="171" t="s">
        <v>372</v>
      </c>
      <c r="C78" s="12"/>
      <c r="D78" s="12"/>
      <c r="E78" s="12"/>
      <c r="F78" s="90"/>
      <c r="G78" s="308"/>
      <c r="H78" s="309">
        <f t="shared" ref="H78:M78" ca="1" si="3">SUM(H66,H69:H70)*H73</f>
        <v>-5737.5</v>
      </c>
      <c r="I78" s="309">
        <f t="shared" ca="1" si="3"/>
        <v>0</v>
      </c>
      <c r="J78" s="309">
        <f t="shared" ca="1" si="3"/>
        <v>0</v>
      </c>
      <c r="K78" s="309">
        <f t="shared" ca="1" si="3"/>
        <v>0</v>
      </c>
      <c r="L78" s="309">
        <f t="shared" ca="1" si="3"/>
        <v>0</v>
      </c>
      <c r="M78" s="309">
        <f t="shared" ca="1" si="3"/>
        <v>24578.65737676802</v>
      </c>
    </row>
    <row r="79" spans="2:14" s="25" customFormat="1" ht="18" customHeight="1">
      <c r="B79" s="12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343C"/>
  </sheetPr>
  <dimension ref="A1"/>
  <sheetViews>
    <sheetView zoomScale="80" zoomScaleNormal="80" workbookViewId="0"/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A6" zoomScale="80" zoomScaleNormal="80" workbookViewId="0">
      <selection activeCell="L16" sqref="L16"/>
    </sheetView>
  </sheetViews>
  <sheetFormatPr defaultColWidth="8.83984375" defaultRowHeight="15.6"/>
  <cols>
    <col min="1" max="1" width="3.83984375" style="535" customWidth="1"/>
    <col min="2" max="2" width="30.578125" style="535" customWidth="1"/>
    <col min="3" max="3" width="15.68359375" style="535" customWidth="1"/>
    <col min="4" max="4" width="4.41796875" style="535" customWidth="1"/>
    <col min="5" max="5" width="3.68359375" style="535" bestFit="1" customWidth="1"/>
    <col min="6" max="6" width="29.41796875" style="535" bestFit="1" customWidth="1"/>
    <col min="7" max="7" width="15.68359375" style="535" customWidth="1"/>
    <col min="8" max="8" width="4" style="535" customWidth="1"/>
    <col min="9" max="13" width="10.578125" style="535" customWidth="1"/>
    <col min="14" max="16384" width="8.83984375" style="535"/>
  </cols>
  <sheetData>
    <row r="1" spans="1:12" ht="15.9" thickBot="1">
      <c r="A1" s="533" t="str">
        <f>Cover!$B$17</f>
        <v>Boccella Precast</v>
      </c>
      <c r="B1" s="534"/>
      <c r="C1" s="534"/>
      <c r="D1" s="534"/>
      <c r="E1" s="534"/>
      <c r="F1" s="534"/>
      <c r="G1" s="534"/>
    </row>
    <row r="2" spans="1:12">
      <c r="A2" s="535" t="s">
        <v>334</v>
      </c>
    </row>
    <row r="4" spans="1:12">
      <c r="A4" s="536" t="s">
        <v>51</v>
      </c>
      <c r="B4" s="585" t="s">
        <v>520</v>
      </c>
      <c r="C4" s="585"/>
      <c r="E4" s="536" t="s">
        <v>51</v>
      </c>
      <c r="F4" s="585" t="s">
        <v>407</v>
      </c>
      <c r="G4" s="585"/>
    </row>
    <row r="5" spans="1:12">
      <c r="B5" s="537"/>
      <c r="C5" s="538"/>
      <c r="F5" s="537"/>
      <c r="G5" s="538"/>
    </row>
    <row r="6" spans="1:12" ht="14.25" customHeight="1">
      <c r="B6" s="539" t="s">
        <v>393</v>
      </c>
      <c r="C6" s="540" t="s">
        <v>394</v>
      </c>
      <c r="F6" s="539" t="s">
        <v>393</v>
      </c>
      <c r="G6" s="540" t="s">
        <v>394</v>
      </c>
    </row>
    <row r="7" spans="1:12" ht="15.9" thickBot="1">
      <c r="C7" s="541">
        <f>'Returns Analysis - 5 Year'!M6</f>
        <v>44561</v>
      </c>
      <c r="G7" s="541">
        <f>C7</f>
        <v>44561</v>
      </c>
    </row>
    <row r="8" spans="1:12" ht="18" customHeight="1">
      <c r="B8" s="535" t="s">
        <v>531</v>
      </c>
      <c r="C8" s="542">
        <f ca="1">'Returns Analysis - 5 Year'!M10</f>
        <v>12048.361459200009</v>
      </c>
      <c r="F8" s="535" t="s">
        <v>531</v>
      </c>
      <c r="G8" s="542">
        <f ca="1">C8</f>
        <v>12048.361459200009</v>
      </c>
    </row>
    <row r="9" spans="1:12" ht="18" customHeight="1">
      <c r="B9" s="535" t="s">
        <v>395</v>
      </c>
      <c r="C9" s="543">
        <f>'Returns Analysis - 5 Year'!M9</f>
        <v>5</v>
      </c>
      <c r="F9" s="535" t="s">
        <v>395</v>
      </c>
      <c r="G9" s="543">
        <f>C9</f>
        <v>5</v>
      </c>
    </row>
    <row r="10" spans="1:12" ht="18" customHeight="1">
      <c r="B10" s="535" t="s">
        <v>335</v>
      </c>
      <c r="C10" s="544">
        <f ca="1">C8*C9</f>
        <v>60241.807296000043</v>
      </c>
      <c r="F10" s="535" t="s">
        <v>335</v>
      </c>
      <c r="G10" s="544">
        <f ca="1">G8*G9</f>
        <v>60241.807296000043</v>
      </c>
    </row>
    <row r="11" spans="1:12" ht="18" customHeight="1">
      <c r="C11" s="545"/>
      <c r="G11" s="545"/>
    </row>
    <row r="12" spans="1:12" ht="18" customHeight="1">
      <c r="B12" s="535" t="s">
        <v>335</v>
      </c>
      <c r="C12" s="546">
        <f ca="1">C10</f>
        <v>60241.807296000043</v>
      </c>
      <c r="F12" s="535" t="s">
        <v>335</v>
      </c>
      <c r="G12" s="546">
        <f ca="1">G10</f>
        <v>60241.807296000043</v>
      </c>
    </row>
    <row r="13" spans="1:12" ht="18" customHeight="1">
      <c r="B13" s="535" t="s">
        <v>396</v>
      </c>
      <c r="C13" s="547">
        <f ca="1">'Returns Analysis - 5 Year'!M12</f>
        <v>0</v>
      </c>
      <c r="F13" s="535" t="s">
        <v>396</v>
      </c>
      <c r="G13" s="547">
        <f ca="1">C13</f>
        <v>0</v>
      </c>
    </row>
    <row r="14" spans="1:12" ht="18" customHeight="1">
      <c r="B14" s="535" t="s">
        <v>397</v>
      </c>
      <c r="C14" s="547">
        <f>'Returns Analysis - 5 Year'!M14</f>
        <v>0</v>
      </c>
      <c r="F14" s="535" t="s">
        <v>441</v>
      </c>
      <c r="G14" s="548">
        <f ca="1">'Returns Analysis - 5 Year'!M13</f>
        <v>0</v>
      </c>
      <c r="L14" s="535">
        <v>5.7380000000000004</v>
      </c>
    </row>
    <row r="15" spans="1:12" ht="18" customHeight="1" thickBot="1">
      <c r="B15" s="549" t="s">
        <v>369</v>
      </c>
      <c r="C15" s="550">
        <f ca="1">SUM(C12:C14)</f>
        <v>60241.807296000043</v>
      </c>
      <c r="F15" s="535" t="s">
        <v>397</v>
      </c>
      <c r="G15" s="547">
        <f>C14</f>
        <v>0</v>
      </c>
      <c r="L15" s="535">
        <v>2.8130000000000002</v>
      </c>
    </row>
    <row r="16" spans="1:12" ht="18" customHeight="1" thickBot="1">
      <c r="C16" s="545"/>
      <c r="F16" s="549" t="s">
        <v>369</v>
      </c>
      <c r="G16" s="550">
        <f ca="1">SUM(G12:G15)</f>
        <v>60241.807296000043</v>
      </c>
      <c r="L16" s="535">
        <f>L14/SUM(L14:L15)</f>
        <v>0.67103262776283479</v>
      </c>
    </row>
    <row r="17" spans="2:8" ht="18" customHeight="1">
      <c r="B17" s="551" t="s">
        <v>383</v>
      </c>
      <c r="C17" s="545"/>
      <c r="G17" s="545"/>
    </row>
    <row r="18" spans="2:8" ht="18" customHeight="1">
      <c r="B18" s="535" t="s">
        <v>398</v>
      </c>
      <c r="C18" s="546">
        <f ca="1">-'Returns Analysis - 5 Year'!H36</f>
        <v>5737.5</v>
      </c>
      <c r="F18" s="551" t="s">
        <v>383</v>
      </c>
      <c r="G18" s="545"/>
    </row>
    <row r="19" spans="2:8" ht="18" customHeight="1">
      <c r="B19" s="535" t="s">
        <v>338</v>
      </c>
      <c r="C19" s="552">
        <f ca="1">'Returns Analysis - 5 Year'!M35</f>
        <v>-7371.1565047387749</v>
      </c>
      <c r="D19" s="553"/>
      <c r="F19" s="535" t="s">
        <v>398</v>
      </c>
      <c r="G19" s="546">
        <f ca="1">C18</f>
        <v>5737.5</v>
      </c>
    </row>
    <row r="20" spans="2:8" ht="18" customHeight="1">
      <c r="B20" s="535" t="s">
        <v>406</v>
      </c>
      <c r="C20" s="554">
        <f ca="1">'Returns Analysis - 5 Year'!M17</f>
        <v>30723.321720960023</v>
      </c>
      <c r="D20" s="555"/>
      <c r="F20" s="535" t="s">
        <v>338</v>
      </c>
      <c r="G20" s="552">
        <f ca="1">C19</f>
        <v>-7371.1565047387749</v>
      </c>
      <c r="H20" s="553"/>
    </row>
    <row r="21" spans="2:8" ht="18" customHeight="1">
      <c r="F21" s="535" t="s">
        <v>526</v>
      </c>
      <c r="G21" s="548">
        <f ca="1">SUM('Returns Analysis - 5 Year'!I59:M59)</f>
        <v>11869.960802733858</v>
      </c>
    </row>
    <row r="22" spans="2:8" ht="18" customHeight="1">
      <c r="B22" s="556" t="s">
        <v>399</v>
      </c>
      <c r="C22" s="557">
        <f ca="1">'Returns Analysis - 5 Year'!M32</f>
        <v>0.3238967716693878</v>
      </c>
      <c r="F22" s="535" t="s">
        <v>406</v>
      </c>
      <c r="G22" s="554">
        <f ca="1">C20</f>
        <v>30723.321720960023</v>
      </c>
    </row>
    <row r="23" spans="2:8" ht="18" customHeight="1" thickBot="1">
      <c r="B23" s="556" t="s">
        <v>400</v>
      </c>
      <c r="C23" s="558">
        <f ca="1">+IF(C18=0,0,(C20+C19)/C18)</f>
        <v>4.0700941553326793</v>
      </c>
    </row>
    <row r="24" spans="2:8" ht="18" customHeight="1">
      <c r="F24" s="556" t="s">
        <v>399</v>
      </c>
      <c r="G24" s="557">
        <f ca="1">'Returns Analysis - 5 Year'!M45</f>
        <v>0.53922021985054025</v>
      </c>
    </row>
    <row r="25" spans="2:8" ht="15.9" thickBot="1">
      <c r="F25" s="556" t="s">
        <v>400</v>
      </c>
      <c r="G25" s="558">
        <f ca="1">+IF(G19=0,0,(G22+G20+G21)/G19)</f>
        <v>6.1389326394693002</v>
      </c>
    </row>
  </sheetData>
  <mergeCells count="2">
    <mergeCell ref="B4:C4"/>
    <mergeCell ref="F4:G4"/>
  </mergeCells>
  <pageMargins left="0.7" right="0.7" top="0.75" bottom="0.75" header="0.3" footer="0.3"/>
  <pageSetup scale="8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opLeftCell="A5" zoomScale="80" zoomScaleNormal="80" zoomScaleSheetLayoutView="100" workbookViewId="0">
      <selection activeCell="B6" sqref="B6:L26"/>
    </sheetView>
  </sheetViews>
  <sheetFormatPr defaultColWidth="8.83984375" defaultRowHeight="14.4" outlineLevelRow="1"/>
  <cols>
    <col min="1" max="1" width="2.68359375" style="15" customWidth="1"/>
    <col min="2" max="2" width="21.68359375" style="15" bestFit="1" customWidth="1"/>
    <col min="3" max="3" width="13.578125" style="15" hidden="1" customWidth="1"/>
    <col min="4" max="12" width="13.578125" style="15" customWidth="1"/>
    <col min="13" max="13" width="1.68359375" style="15" customWidth="1"/>
    <col min="14" max="14" width="11.26171875" style="15" bestFit="1" customWidth="1"/>
    <col min="15" max="15" width="2.68359375" style="15" customWidth="1"/>
    <col min="16" max="16" width="10.83984375" style="15" bestFit="1" customWidth="1"/>
    <col min="17" max="16384" width="8.83984375" style="15"/>
  </cols>
  <sheetData>
    <row r="1" spans="1:16" ht="20.399999999999999" thickBot="1">
      <c r="A1" s="17" t="str">
        <f>Cover!$B$17</f>
        <v>Boccella Precast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tr">
        <f>IF(Model!R13=1,"No Growth",(IF(Model!R13=2,"Base","Growth")))</f>
        <v>Growth</v>
      </c>
      <c r="O1" s="16"/>
      <c r="P1" s="16"/>
    </row>
    <row r="2" spans="1:16">
      <c r="A2" s="25" t="s">
        <v>349</v>
      </c>
    </row>
    <row r="3" spans="1:16">
      <c r="A3" s="25"/>
    </row>
    <row r="4" spans="1:16">
      <c r="A4" s="516"/>
      <c r="B4" s="327" t="s">
        <v>357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</row>
    <row r="5" spans="1:16">
      <c r="A5" s="516"/>
      <c r="B5" s="517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</row>
    <row r="6" spans="1:16" s="25" customFormat="1" ht="15" customHeight="1">
      <c r="B6" s="18"/>
      <c r="C6" s="485" t="s">
        <v>350</v>
      </c>
      <c r="D6" s="588" t="s">
        <v>529</v>
      </c>
      <c r="E6" s="588"/>
      <c r="F6" s="589"/>
      <c r="G6" s="485" t="s">
        <v>530</v>
      </c>
      <c r="H6" s="586" t="s">
        <v>427</v>
      </c>
      <c r="I6" s="587"/>
      <c r="J6" s="587"/>
      <c r="K6" s="587"/>
      <c r="L6" s="587"/>
      <c r="M6" s="518"/>
      <c r="N6" s="293" t="s">
        <v>352</v>
      </c>
      <c r="O6" s="293"/>
      <c r="P6" s="293"/>
    </row>
    <row r="7" spans="1:16" s="25" customFormat="1" ht="13.2" hidden="1" outlineLevel="1" thickBot="1">
      <c r="B7" s="18"/>
      <c r="C7" s="486">
        <f>'Income Statement'!C7</f>
        <v>41639</v>
      </c>
      <c r="D7" s="486">
        <f>'Income Statement'!D7</f>
        <v>42004</v>
      </c>
      <c r="E7" s="486">
        <f>'Income Statement'!E7</f>
        <v>42369</v>
      </c>
      <c r="F7" s="486">
        <f>'Income Statement'!F7</f>
        <v>42370</v>
      </c>
      <c r="G7" s="486"/>
      <c r="H7" s="296">
        <f>Model!I62</f>
        <v>43100</v>
      </c>
      <c r="I7" s="296">
        <f>Model!J62</f>
        <v>43465</v>
      </c>
      <c r="J7" s="296">
        <f>Model!K62</f>
        <v>43830</v>
      </c>
      <c r="K7" s="296">
        <f>Model!L62</f>
        <v>44196</v>
      </c>
      <c r="L7" s="296">
        <f>Model!M62</f>
        <v>44561</v>
      </c>
      <c r="M7" s="519"/>
    </row>
    <row r="8" spans="1:16" s="25" customFormat="1" ht="13.2" collapsed="1" thickBot="1">
      <c r="C8" s="486">
        <f>C7</f>
        <v>41639</v>
      </c>
      <c r="D8" s="486">
        <f>D7</f>
        <v>42004</v>
      </c>
      <c r="E8" s="486">
        <f>E7</f>
        <v>42369</v>
      </c>
      <c r="F8" s="487">
        <f>Model!G134</f>
        <v>42735</v>
      </c>
      <c r="G8" s="488" t="s">
        <v>548</v>
      </c>
      <c r="H8" s="296">
        <f>H7</f>
        <v>43100</v>
      </c>
      <c r="I8" s="296">
        <f>I7</f>
        <v>43465</v>
      </c>
      <c r="J8" s="296">
        <f>J7</f>
        <v>43830</v>
      </c>
      <c r="K8" s="296">
        <f>K7</f>
        <v>44196</v>
      </c>
      <c r="L8" s="296">
        <f>L7</f>
        <v>44561</v>
      </c>
      <c r="M8" s="519"/>
      <c r="N8" s="294" t="str">
        <f>TEXT(D7,"'yy")&amp;" - "&amp;TEXT(F7,"'yy")</f>
        <v>'14 - '16</v>
      </c>
      <c r="P8" s="294" t="str">
        <f>TEXT(H8,"'yy")&amp;" - "&amp;TEXT(L7,"'yy")</f>
        <v>'17 - '21</v>
      </c>
    </row>
    <row r="9" spans="1:16" s="25" customFormat="1" ht="12.9">
      <c r="B9" s="72" t="s">
        <v>24</v>
      </c>
      <c r="C9" s="297">
        <f>'Income Statement'!C8</f>
        <v>0</v>
      </c>
      <c r="D9" s="297">
        <f>'Income Statement'!D8</f>
        <v>11022.367</v>
      </c>
      <c r="E9" s="297">
        <f>'Income Statement'!E8</f>
        <v>16064.5</v>
      </c>
      <c r="F9" s="489">
        <f>Model!G136</f>
        <v>23605</v>
      </c>
      <c r="G9" s="298">
        <v>31411</v>
      </c>
      <c r="H9" s="490">
        <f ca="1">Model!I136</f>
        <v>37768</v>
      </c>
      <c r="I9" s="490">
        <f ca="1">Model!J136</f>
        <v>41544.800000000003</v>
      </c>
      <c r="J9" s="490">
        <f ca="1">Model!K136</f>
        <v>45699.280000000006</v>
      </c>
      <c r="K9" s="490">
        <f ca="1">Model!L136</f>
        <v>49355.222400000013</v>
      </c>
      <c r="L9" s="490">
        <f ca="1">Model!M136</f>
        <v>53303.640192000021</v>
      </c>
      <c r="M9" s="490"/>
      <c r="N9" s="520">
        <f>+IF(D9=0,0,(F9/D9)^(1/(DAYS360(D$7,F$7)/360))-1)</f>
        <v>1.1370416694204248</v>
      </c>
      <c r="P9" s="520">
        <f ca="1">+IF(H9=0,0,(L9/H9)^(1/(DAYS360(H$7,L$7)/360))-1)</f>
        <v>8.9954127475097012E-2</v>
      </c>
    </row>
    <row r="10" spans="1:16" s="25" customFormat="1" ht="12.9">
      <c r="B10" s="491" t="s">
        <v>353</v>
      </c>
      <c r="C10" s="492"/>
      <c r="D10" s="493">
        <f t="shared" ref="D10:L10" si="0">IF(C9=0,0,D9/C9-1)</f>
        <v>0</v>
      </c>
      <c r="E10" s="493">
        <f t="shared" si="0"/>
        <v>0.45744557407678399</v>
      </c>
      <c r="F10" s="494">
        <f t="shared" si="0"/>
        <v>0.46938902549098938</v>
      </c>
      <c r="G10" s="494">
        <f>IF(F9=0,0,G9/F9-1)</f>
        <v>0.33069264986231728</v>
      </c>
      <c r="H10" s="347">
        <f ca="1">IF(F9=0,0,H9/F9-1)</f>
        <v>0.60000000000000009</v>
      </c>
      <c r="I10" s="347">
        <f t="shared" ca="1" si="0"/>
        <v>0.10000000000000009</v>
      </c>
      <c r="J10" s="347">
        <f t="shared" ca="1" si="0"/>
        <v>0.10000000000000009</v>
      </c>
      <c r="K10" s="347">
        <f t="shared" ca="1" si="0"/>
        <v>8.0000000000000071E-2</v>
      </c>
      <c r="L10" s="347">
        <f t="shared" ca="1" si="0"/>
        <v>8.0000000000000071E-2</v>
      </c>
      <c r="M10" s="347"/>
      <c r="P10" s="72"/>
    </row>
    <row r="11" spans="1:16" s="25" customFormat="1" ht="12.9">
      <c r="B11" s="72"/>
      <c r="E11" s="46"/>
      <c r="F11" s="495"/>
      <c r="G11" s="46"/>
      <c r="H11" s="162"/>
      <c r="I11" s="162"/>
      <c r="J11" s="162"/>
      <c r="K11" s="162"/>
      <c r="L11" s="162"/>
      <c r="M11" s="74"/>
      <c r="P11" s="72"/>
    </row>
    <row r="12" spans="1:16" s="25" customFormat="1" ht="12.9">
      <c r="B12" s="72" t="s">
        <v>25</v>
      </c>
      <c r="C12" s="199">
        <f>'Income Statement'!C10</f>
        <v>0</v>
      </c>
      <c r="D12" s="199">
        <f>'Income Statement'!D10</f>
        <v>7623.8909999999996</v>
      </c>
      <c r="E12" s="199">
        <f>'Income Statement'!E10</f>
        <v>11921</v>
      </c>
      <c r="F12" s="496">
        <f>Model!G137</f>
        <v>15909</v>
      </c>
      <c r="G12" s="299">
        <v>21005</v>
      </c>
      <c r="H12" s="497">
        <f ca="1">Model!I137</f>
        <v>25454.399999999998</v>
      </c>
      <c r="I12" s="497">
        <f ca="1">Model!J137</f>
        <v>27999.84</v>
      </c>
      <c r="J12" s="497">
        <f ca="1">Model!K137</f>
        <v>30799.824000000004</v>
      </c>
      <c r="K12" s="497">
        <f ca="1">Model!L137</f>
        <v>33263.809920000007</v>
      </c>
      <c r="L12" s="497">
        <f ca="1">Model!M137</f>
        <v>35924.91471360001</v>
      </c>
      <c r="M12" s="497"/>
      <c r="N12" s="521"/>
      <c r="O12" s="46"/>
      <c r="P12" s="521"/>
    </row>
    <row r="13" spans="1:16" s="25" customFormat="1" ht="12.9">
      <c r="B13" s="72" t="s">
        <v>35</v>
      </c>
      <c r="C13" s="498">
        <f t="shared" ref="C13:L13" si="1">C9-C12</f>
        <v>0</v>
      </c>
      <c r="D13" s="498">
        <f t="shared" si="1"/>
        <v>3398.4760000000006</v>
      </c>
      <c r="E13" s="498">
        <f t="shared" si="1"/>
        <v>4143.5</v>
      </c>
      <c r="F13" s="499">
        <f t="shared" si="1"/>
        <v>7696</v>
      </c>
      <c r="G13" s="499">
        <f>G9-G12</f>
        <v>10406</v>
      </c>
      <c r="H13" s="500">
        <f t="shared" ca="1" si="1"/>
        <v>12313.600000000002</v>
      </c>
      <c r="I13" s="500">
        <f t="shared" ca="1" si="1"/>
        <v>13544.960000000003</v>
      </c>
      <c r="J13" s="500">
        <f t="shared" ca="1" si="1"/>
        <v>14899.456000000002</v>
      </c>
      <c r="K13" s="500">
        <f t="shared" ca="1" si="1"/>
        <v>16091.412480000006</v>
      </c>
      <c r="L13" s="500">
        <f t="shared" ca="1" si="1"/>
        <v>17378.725478400011</v>
      </c>
      <c r="M13" s="522"/>
      <c r="N13" s="521"/>
      <c r="P13" s="521"/>
    </row>
    <row r="14" spans="1:16" s="25" customFormat="1" ht="12.9">
      <c r="B14" s="491" t="s">
        <v>354</v>
      </c>
      <c r="C14" s="493">
        <f t="shared" ref="C14:L14" si="2">IF(C$9=0,0,C13/C$9)</f>
        <v>0</v>
      </c>
      <c r="D14" s="493">
        <f t="shared" si="2"/>
        <v>0.30832542592711715</v>
      </c>
      <c r="E14" s="493">
        <f t="shared" si="2"/>
        <v>0.25792897382427094</v>
      </c>
      <c r="F14" s="494">
        <f t="shared" si="2"/>
        <v>0.32603262020758311</v>
      </c>
      <c r="G14" s="494">
        <f>IF(G$9=0,0,G13/G$9)</f>
        <v>0.33128521855400972</v>
      </c>
      <c r="H14" s="347">
        <f t="shared" ca="1" si="2"/>
        <v>0.32603262020758322</v>
      </c>
      <c r="I14" s="347">
        <f t="shared" ca="1" si="2"/>
        <v>0.32603262020758317</v>
      </c>
      <c r="J14" s="347">
        <f t="shared" ca="1" si="2"/>
        <v>0.32603262020758311</v>
      </c>
      <c r="K14" s="347">
        <f t="shared" ca="1" si="2"/>
        <v>0.32603262020758317</v>
      </c>
      <c r="L14" s="347">
        <f t="shared" ca="1" si="2"/>
        <v>0.32603262020758322</v>
      </c>
      <c r="M14" s="347"/>
      <c r="N14" s="72"/>
      <c r="P14" s="72"/>
    </row>
    <row r="15" spans="1:16" s="25" customFormat="1" ht="12.9">
      <c r="B15" s="72"/>
      <c r="E15" s="46"/>
      <c r="F15" s="495"/>
      <c r="G15" s="46"/>
      <c r="H15" s="74"/>
      <c r="I15" s="74"/>
      <c r="J15" s="74"/>
      <c r="K15" s="74"/>
      <c r="L15" s="74"/>
      <c r="M15" s="74"/>
      <c r="N15" s="72"/>
      <c r="P15" s="72"/>
    </row>
    <row r="16" spans="1:16" s="25" customFormat="1" ht="12.9">
      <c r="B16" s="72" t="s">
        <v>358</v>
      </c>
      <c r="C16" s="199">
        <f>'Income Statement'!C15</f>
        <v>0</v>
      </c>
      <c r="D16" s="199">
        <f>'Income Statement'!D15</f>
        <v>1160.806</v>
      </c>
      <c r="E16" s="496">
        <f>Model!F140+Model!F141</f>
        <v>1860.5</v>
      </c>
      <c r="F16" s="496">
        <f>Model!G140+Model!G141</f>
        <v>3007</v>
      </c>
      <c r="G16" s="299">
        <f>G13-7552+G19</f>
        <v>3193</v>
      </c>
      <c r="H16" s="497">
        <f ca="1">Model!I140</f>
        <v>3776.8</v>
      </c>
      <c r="I16" s="497">
        <f ca="1">Model!J140</f>
        <v>4154.4800000000005</v>
      </c>
      <c r="J16" s="497">
        <f ca="1">Model!K140</f>
        <v>4569.9280000000008</v>
      </c>
      <c r="K16" s="497">
        <f ca="1">Model!L140</f>
        <v>4935.5222400000021</v>
      </c>
      <c r="L16" s="497">
        <f ca="1">Model!M140</f>
        <v>5330.3640192000021</v>
      </c>
      <c r="M16" s="497"/>
      <c r="N16" s="520"/>
      <c r="P16" s="520"/>
    </row>
    <row r="17" spans="2:16" s="25" customFormat="1" ht="12.9">
      <c r="B17" s="491" t="s">
        <v>355</v>
      </c>
      <c r="C17" s="493">
        <f t="shared" ref="C17:L17" si="3">IF(C$9=0,0,C16/C$9)</f>
        <v>0</v>
      </c>
      <c r="D17" s="493">
        <f t="shared" si="3"/>
        <v>0.10531367718022817</v>
      </c>
      <c r="E17" s="493">
        <f t="shared" si="3"/>
        <v>0.11581437330760372</v>
      </c>
      <c r="F17" s="494">
        <f t="shared" si="3"/>
        <v>0.12738826519805127</v>
      </c>
      <c r="G17" s="494">
        <f t="shared" si="3"/>
        <v>0.1016522874152367</v>
      </c>
      <c r="H17" s="347">
        <f t="shared" ca="1" si="3"/>
        <v>0.1</v>
      </c>
      <c r="I17" s="347">
        <f t="shared" ca="1" si="3"/>
        <v>0.1</v>
      </c>
      <c r="J17" s="347">
        <f t="shared" ca="1" si="3"/>
        <v>0.1</v>
      </c>
      <c r="K17" s="347">
        <f t="shared" ca="1" si="3"/>
        <v>0.10000000000000002</v>
      </c>
      <c r="L17" s="347">
        <f t="shared" ca="1" si="3"/>
        <v>0.1</v>
      </c>
      <c r="M17" s="347"/>
      <c r="N17" s="520"/>
      <c r="P17" s="520"/>
    </row>
    <row r="18" spans="2:16" s="25" customFormat="1" ht="12.9">
      <c r="B18" s="72"/>
      <c r="C18" s="501"/>
      <c r="D18" s="501"/>
      <c r="E18" s="502"/>
      <c r="F18" s="503"/>
      <c r="G18" s="502"/>
      <c r="H18" s="504"/>
      <c r="I18" s="504"/>
      <c r="J18" s="504"/>
      <c r="K18" s="504"/>
      <c r="L18" s="504"/>
      <c r="M18" s="504"/>
      <c r="N18" s="520"/>
      <c r="P18" s="520"/>
    </row>
    <row r="19" spans="2:16" s="25" customFormat="1" ht="12.9">
      <c r="B19" s="72" t="s">
        <v>38</v>
      </c>
      <c r="C19" s="199">
        <f>'Income Statement'!C28</f>
        <v>0</v>
      </c>
      <c r="D19" s="199">
        <f>'Income Statement'!D28</f>
        <v>41.999000000000002</v>
      </c>
      <c r="E19" s="199">
        <f>'Income Statement'!E28</f>
        <v>0</v>
      </c>
      <c r="F19" s="496">
        <f>Model!G154</f>
        <v>339</v>
      </c>
      <c r="G19" s="299">
        <v>339</v>
      </c>
      <c r="H19" s="497">
        <f ca="1">Model!I154</f>
        <v>1059.2629000000002</v>
      </c>
      <c r="I19" s="497">
        <f ca="1">Model!J154</f>
        <v>1134.2629000000002</v>
      </c>
      <c r="J19" s="497">
        <f ca="1">Model!K154</f>
        <v>1284.2629000000002</v>
      </c>
      <c r="K19" s="497">
        <f ca="1">Model!L154</f>
        <v>1434.2629000000002</v>
      </c>
      <c r="L19" s="497">
        <f ca="1">Model!M154</f>
        <v>1521.7629000000002</v>
      </c>
      <c r="M19" s="497"/>
      <c r="N19" s="520"/>
      <c r="P19" s="520"/>
    </row>
    <row r="20" spans="2:16" s="25" customFormat="1" ht="12.9">
      <c r="B20" s="491" t="s">
        <v>355</v>
      </c>
      <c r="C20" s="493">
        <f t="shared" ref="C20:L20" si="4">IF(C$9=0,0,C19/C$9)</f>
        <v>0</v>
      </c>
      <c r="D20" s="493">
        <f t="shared" si="4"/>
        <v>3.8103430959974386E-3</v>
      </c>
      <c r="E20" s="493">
        <f t="shared" si="4"/>
        <v>0</v>
      </c>
      <c r="F20" s="494">
        <f t="shared" si="4"/>
        <v>1.4361364117771658E-2</v>
      </c>
      <c r="G20" s="494">
        <f t="shared" si="4"/>
        <v>1.079239756773105E-2</v>
      </c>
      <c r="H20" s="347">
        <f t="shared" ca="1" si="4"/>
        <v>2.8046571171362004E-2</v>
      </c>
      <c r="I20" s="347">
        <f t="shared" ca="1" si="4"/>
        <v>2.7302162966243673E-2</v>
      </c>
      <c r="J20" s="347">
        <f t="shared" ca="1" si="4"/>
        <v>2.8102475575107529E-2</v>
      </c>
      <c r="K20" s="347">
        <f t="shared" ca="1" si="4"/>
        <v>2.9060002776930043E-2</v>
      </c>
      <c r="L20" s="347">
        <f t="shared" ca="1" si="4"/>
        <v>2.8548948899523585E-2</v>
      </c>
      <c r="M20" s="347"/>
      <c r="N20" s="493"/>
      <c r="P20" s="493"/>
    </row>
    <row r="21" spans="2:16" s="25" customFormat="1" ht="12.9">
      <c r="B21" s="505"/>
      <c r="C21" s="501"/>
      <c r="D21" s="501"/>
      <c r="E21" s="501"/>
      <c r="F21" s="501"/>
      <c r="G21" s="502"/>
      <c r="H21" s="504"/>
      <c r="I21" s="504"/>
      <c r="J21" s="504"/>
      <c r="K21" s="504"/>
      <c r="L21" s="504"/>
      <c r="M21" s="504"/>
      <c r="N21" s="493"/>
      <c r="P21" s="493"/>
    </row>
    <row r="22" spans="2:16" s="25" customFormat="1" ht="12.9">
      <c r="B22" s="506" t="s">
        <v>444</v>
      </c>
      <c r="C22" s="507">
        <f>C13-C16+C19</f>
        <v>0</v>
      </c>
      <c r="D22" s="507">
        <f>D13-D16+D19</f>
        <v>2279.6690000000003</v>
      </c>
      <c r="E22" s="507">
        <f>E13-E16+E19</f>
        <v>2283</v>
      </c>
      <c r="F22" s="507">
        <f>F13-F16+F19</f>
        <v>5028</v>
      </c>
      <c r="G22" s="508">
        <f>G13-G16+G19</f>
        <v>7552</v>
      </c>
      <c r="H22" s="507">
        <f ca="1">Model!I156</f>
        <v>8536.8000000000011</v>
      </c>
      <c r="I22" s="507">
        <f ca="1">Model!J156</f>
        <v>9390.4800000000014</v>
      </c>
      <c r="J22" s="507">
        <f ca="1">Model!K156</f>
        <v>10329.528</v>
      </c>
      <c r="K22" s="507">
        <f ca="1">Model!L156</f>
        <v>11155.890240000004</v>
      </c>
      <c r="L22" s="507">
        <f ca="1">Model!M156</f>
        <v>12048.361459200009</v>
      </c>
      <c r="M22" s="523"/>
      <c r="N22" s="524">
        <f>+IF(D22=0,0,(F22/D22)^(1/(DAYS360(D$7,F$7)/360))-1)</f>
        <v>1.2007559612092553</v>
      </c>
      <c r="O22" s="525"/>
      <c r="P22" s="525">
        <f ca="1">+IF(H22=0,0,(L22/H22)^(1/(DAYS360(H$7,L$7)/360))-1)</f>
        <v>8.9954127475097234E-2</v>
      </c>
    </row>
    <row r="23" spans="2:16" s="25" customFormat="1" ht="12.9">
      <c r="B23" s="509" t="s">
        <v>356</v>
      </c>
      <c r="C23" s="510">
        <f t="shared" ref="C23:L23" si="5">IF(C$9=0,0,C22/C$9)</f>
        <v>0</v>
      </c>
      <c r="D23" s="510">
        <f t="shared" si="5"/>
        <v>0.20682209184288641</v>
      </c>
      <c r="E23" s="510">
        <f t="shared" si="5"/>
        <v>0.14211460051666719</v>
      </c>
      <c r="F23" s="510">
        <f t="shared" si="5"/>
        <v>0.21300571912730354</v>
      </c>
      <c r="G23" s="511">
        <f>IF(G$9=0,0,G22/G$9)</f>
        <v>0.2404253287065041</v>
      </c>
      <c r="H23" s="510">
        <f t="shared" ca="1" si="5"/>
        <v>0.22603262020758316</v>
      </c>
      <c r="I23" s="510">
        <f t="shared" ca="1" si="5"/>
        <v>0.22603262020758316</v>
      </c>
      <c r="J23" s="510">
        <f t="shared" ca="1" si="5"/>
        <v>0.22603262020758311</v>
      </c>
      <c r="K23" s="510">
        <f t="shared" ca="1" si="5"/>
        <v>0.22603262020758316</v>
      </c>
      <c r="L23" s="510">
        <f t="shared" ca="1" si="5"/>
        <v>0.22603262020758322</v>
      </c>
      <c r="M23" s="526"/>
      <c r="N23" s="510"/>
      <c r="O23" s="510"/>
      <c r="P23" s="510"/>
    </row>
    <row r="24" spans="2:16" s="25" customFormat="1" ht="12.9">
      <c r="D24" s="46"/>
      <c r="E24" s="46"/>
      <c r="F24" s="46"/>
      <c r="G24" s="46"/>
      <c r="H24" s="46"/>
      <c r="I24" s="46"/>
      <c r="J24" s="46"/>
      <c r="K24" s="46"/>
      <c r="L24" s="46"/>
      <c r="M24" s="74"/>
    </row>
    <row r="25" spans="2:16" s="25" customFormat="1" ht="12.9">
      <c r="B25" s="47" t="s">
        <v>185</v>
      </c>
      <c r="C25" s="512">
        <f>'Income Statement'!C35</f>
        <v>0</v>
      </c>
      <c r="D25" s="512">
        <f>'Income Statement'!D35</f>
        <v>2082</v>
      </c>
      <c r="E25" s="512">
        <f>'Income Statement'!E35</f>
        <v>987</v>
      </c>
      <c r="F25" s="513">
        <f ca="1">Model!I398</f>
        <v>500</v>
      </c>
      <c r="G25" s="513">
        <v>350</v>
      </c>
      <c r="H25" s="513">
        <f ca="1">Model!I398</f>
        <v>500</v>
      </c>
      <c r="I25" s="513">
        <f ca="1">Model!J398</f>
        <v>1000</v>
      </c>
      <c r="J25" s="513">
        <f ca="1">Model!K398</f>
        <v>2000</v>
      </c>
      <c r="K25" s="513">
        <f ca="1">Model!L398</f>
        <v>1000</v>
      </c>
      <c r="L25" s="513">
        <f ca="1">Model!M398</f>
        <v>750</v>
      </c>
      <c r="M25" s="490"/>
    </row>
    <row r="26" spans="2:16" s="25" customFormat="1" ht="12.9">
      <c r="B26" s="491" t="s">
        <v>355</v>
      </c>
      <c r="C26" s="493">
        <f t="shared" ref="C26:L26" si="6">IF(C$9=0,0,C25/C$9)</f>
        <v>0</v>
      </c>
      <c r="D26" s="493">
        <f t="shared" si="6"/>
        <v>0.18888864796463409</v>
      </c>
      <c r="E26" s="493">
        <f t="shared" si="6"/>
        <v>6.143982072271157E-2</v>
      </c>
      <c r="F26" s="514">
        <f t="shared" ca="1" si="6"/>
        <v>2.1181952976064393E-2</v>
      </c>
      <c r="G26" s="514">
        <f>IF(G$9=0,0,G25/G$9)</f>
        <v>1.1142593359014357E-2</v>
      </c>
      <c r="H26" s="515">
        <f t="shared" ca="1" si="6"/>
        <v>1.3238720610040246E-2</v>
      </c>
      <c r="I26" s="515">
        <f t="shared" ca="1" si="6"/>
        <v>2.4070401109164082E-2</v>
      </c>
      <c r="J26" s="515">
        <f t="shared" ca="1" si="6"/>
        <v>4.3764365653025598E-2</v>
      </c>
      <c r="K26" s="515">
        <f t="shared" ca="1" si="6"/>
        <v>2.0261280394919257E-2</v>
      </c>
      <c r="L26" s="515">
        <f t="shared" ca="1" si="6"/>
        <v>1.4070333607582815E-2</v>
      </c>
      <c r="M26" s="347"/>
    </row>
    <row r="27" spans="2:16" s="25" customFormat="1" ht="12.9">
      <c r="B27" s="47" t="s">
        <v>522</v>
      </c>
      <c r="C27" s="527"/>
      <c r="D27" s="527"/>
      <c r="E27" s="528"/>
      <c r="F27" s="529"/>
      <c r="G27" s="529"/>
      <c r="H27" s="513">
        <f ca="1">Model!I144</f>
        <v>350</v>
      </c>
      <c r="I27" s="513">
        <f ca="1">Model!J144</f>
        <v>350</v>
      </c>
      <c r="J27" s="513">
        <f ca="1">Model!K144</f>
        <v>350</v>
      </c>
      <c r="K27" s="513">
        <f ca="1">Model!L144</f>
        <v>350</v>
      </c>
      <c r="L27" s="513">
        <f ca="1">Model!M144</f>
        <v>350</v>
      </c>
    </row>
    <row r="28" spans="2:16">
      <c r="B28" s="491" t="s">
        <v>525</v>
      </c>
      <c r="H28" s="515">
        <f ca="1">H27/H22</f>
        <v>4.0998969168775178E-2</v>
      </c>
      <c r="I28" s="515">
        <f ca="1">I27/I22</f>
        <v>3.7271790153431981E-2</v>
      </c>
      <c r="J28" s="515">
        <f ca="1">J27/J22</f>
        <v>3.3883445594029081E-2</v>
      </c>
      <c r="K28" s="515">
        <f ca="1">K27/K22</f>
        <v>3.1373560735212101E-2</v>
      </c>
      <c r="L28" s="515">
        <f ca="1">L27/L22</f>
        <v>2.9049593273344526E-2</v>
      </c>
    </row>
    <row r="30" spans="2:16">
      <c r="F30" s="530"/>
      <c r="G30" s="530"/>
    </row>
  </sheetData>
  <mergeCells count="2">
    <mergeCell ref="H6:L6"/>
    <mergeCell ref="D6:F6"/>
  </mergeCells>
  <pageMargins left="0.7" right="0.7" top="0.75" bottom="0.75" header="0.3" footer="0.3"/>
  <pageSetup scale="71" orientation="landscape" r:id="rId1"/>
  <ignoredErrors>
    <ignoredError sqref="F8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view="pageBreakPreview" zoomScale="60" zoomScaleNormal="80" workbookViewId="0">
      <selection activeCell="H20" sqref="H20"/>
    </sheetView>
  </sheetViews>
  <sheetFormatPr defaultRowHeight="14.4"/>
  <cols>
    <col min="1" max="1" width="2.83984375" customWidth="1"/>
    <col min="2" max="2" width="34.83984375" bestFit="1" customWidth="1"/>
    <col min="3" max="8" width="12.578125" customWidth="1"/>
  </cols>
  <sheetData>
    <row r="1" spans="1:8" ht="20.399999999999999" thickBot="1">
      <c r="A1" s="17" t="str">
        <f>Cover!$B$17</f>
        <v>Boccella Precast</v>
      </c>
      <c r="B1" s="292"/>
      <c r="C1" s="292"/>
      <c r="D1" s="292"/>
      <c r="E1" s="292"/>
      <c r="F1" s="292"/>
      <c r="G1" s="292"/>
      <c r="H1" s="292"/>
    </row>
    <row r="2" spans="1:8">
      <c r="A2" s="25" t="s">
        <v>445</v>
      </c>
    </row>
    <row r="4" spans="1:8">
      <c r="A4" s="55" t="s">
        <v>51</v>
      </c>
      <c r="B4" s="327" t="s">
        <v>446</v>
      </c>
      <c r="C4" s="329"/>
      <c r="D4" s="329"/>
      <c r="E4" s="329"/>
      <c r="F4" s="329"/>
      <c r="G4" s="329"/>
      <c r="H4" s="329"/>
    </row>
    <row r="6" spans="1:8">
      <c r="B6" s="25"/>
      <c r="C6" s="295" t="s">
        <v>351</v>
      </c>
      <c r="D6" s="586" t="s">
        <v>427</v>
      </c>
      <c r="E6" s="587"/>
      <c r="F6" s="587"/>
      <c r="G6" s="587"/>
      <c r="H6" s="587"/>
    </row>
    <row r="7" spans="1:8" ht="14.7" thickBot="1">
      <c r="B7" s="25"/>
      <c r="C7" s="435">
        <f>+'IS Summary'!F8</f>
        <v>42735</v>
      </c>
      <c r="D7" s="296">
        <f>+'IS Summary'!H8</f>
        <v>43100</v>
      </c>
      <c r="E7" s="296">
        <f>+'IS Summary'!I8</f>
        <v>43465</v>
      </c>
      <c r="F7" s="296">
        <f>+'IS Summary'!J8</f>
        <v>43830</v>
      </c>
      <c r="G7" s="296">
        <f>+'IS Summary'!K8</f>
        <v>44196</v>
      </c>
      <c r="H7" s="296">
        <f>+'IS Summary'!L8</f>
        <v>44561</v>
      </c>
    </row>
    <row r="8" spans="1:8" ht="5.0999999999999996" customHeight="1">
      <c r="B8" s="25"/>
      <c r="C8" s="436"/>
      <c r="D8" s="437"/>
      <c r="E8" s="437"/>
      <c r="F8" s="437"/>
      <c r="G8" s="437"/>
      <c r="H8" s="437"/>
    </row>
    <row r="9" spans="1:8">
      <c r="B9" s="46" t="s">
        <v>5</v>
      </c>
      <c r="C9" s="24">
        <f>+Model!H176</f>
        <v>0</v>
      </c>
      <c r="D9" s="24">
        <f ca="1">+Model!I176</f>
        <v>250</v>
      </c>
      <c r="E9" s="24">
        <f ca="1">+Model!J176</f>
        <v>250</v>
      </c>
      <c r="F9" s="24">
        <f ca="1">+Model!K176</f>
        <v>250</v>
      </c>
      <c r="G9" s="24">
        <f ca="1">+Model!L176</f>
        <v>250</v>
      </c>
      <c r="H9" s="24">
        <f ca="1">+Model!M176</f>
        <v>2852.5645747653798</v>
      </c>
    </row>
    <row r="10" spans="1:8">
      <c r="B10" s="46" t="s">
        <v>6</v>
      </c>
      <c r="C10" s="24">
        <f>+Model!H177</f>
        <v>6801.8630000000003</v>
      </c>
      <c r="D10" s="24">
        <f ca="1">+Model!I177</f>
        <v>12084.725260273974</v>
      </c>
      <c r="E10" s="24">
        <f ca="1">+Model!J177</f>
        <v>13293.197786301373</v>
      </c>
      <c r="F10" s="24">
        <f ca="1">+Model!K177</f>
        <v>14622.51756493151</v>
      </c>
      <c r="G10" s="24">
        <f ca="1">+Model!L177</f>
        <v>15792.318970126034</v>
      </c>
      <c r="H10" s="24">
        <f ca="1">+Model!M177</f>
        <v>17055.704487736119</v>
      </c>
    </row>
    <row r="11" spans="1:8">
      <c r="B11" s="365" t="s">
        <v>386</v>
      </c>
      <c r="C11" s="24">
        <f>+Model!H178</f>
        <v>130.75890410958905</v>
      </c>
      <c r="D11" s="24">
        <f ca="1">+Model!I178</f>
        <v>209.21424657534246</v>
      </c>
      <c r="E11" s="24">
        <f ca="1">+Model!J178</f>
        <v>230.13567123287672</v>
      </c>
      <c r="F11" s="24">
        <f ca="1">+Model!K178</f>
        <v>253.1492383561644</v>
      </c>
      <c r="G11" s="24">
        <f ca="1">+Model!L178</f>
        <v>273.40117742465759</v>
      </c>
      <c r="H11" s="24">
        <f ca="1">+Model!M178</f>
        <v>295.27327161863025</v>
      </c>
    </row>
    <row r="12" spans="1:8">
      <c r="B12" s="365" t="s">
        <v>447</v>
      </c>
      <c r="C12" s="61">
        <f>+Model!H179</f>
        <v>0.29499999999999998</v>
      </c>
      <c r="D12" s="61">
        <f ca="1">+Model!I179</f>
        <v>0.47199999999999998</v>
      </c>
      <c r="E12" s="61">
        <f ca="1">+Model!J179</f>
        <v>0.51919999999999999</v>
      </c>
      <c r="F12" s="61">
        <f ca="1">+Model!K179</f>
        <v>0.57112000000000007</v>
      </c>
      <c r="G12" s="61">
        <f ca="1">+Model!L179</f>
        <v>0.61680960000000018</v>
      </c>
      <c r="H12" s="61">
        <f ca="1">+Model!M179</f>
        <v>0.66615436800000027</v>
      </c>
    </row>
    <row r="13" spans="1:8">
      <c r="B13" s="365" t="s">
        <v>7</v>
      </c>
      <c r="C13" s="24">
        <f>+Model!H180</f>
        <v>6932.9169041095893</v>
      </c>
      <c r="D13" s="24">
        <f ca="1">+Model!I180</f>
        <v>12544.411506849316</v>
      </c>
      <c r="E13" s="24">
        <f ca="1">+Model!J180</f>
        <v>13773.852657534249</v>
      </c>
      <c r="F13" s="24">
        <f ca="1">+Model!K180</f>
        <v>15126.237923287674</v>
      </c>
      <c r="G13" s="24">
        <f ca="1">+Model!L180</f>
        <v>16316.336957150692</v>
      </c>
      <c r="H13" s="24">
        <f ca="1">+Model!M180</f>
        <v>20204.208488488126</v>
      </c>
    </row>
    <row r="14" spans="1:8">
      <c r="B14" s="365"/>
      <c r="C14" s="25"/>
      <c r="D14" s="25"/>
      <c r="E14" s="25"/>
      <c r="F14" s="25"/>
      <c r="G14" s="25"/>
      <c r="H14" s="25"/>
    </row>
    <row r="15" spans="1:8">
      <c r="B15" s="365" t="s">
        <v>128</v>
      </c>
      <c r="C15" s="24">
        <f>+Model!H182</f>
        <v>10342.629000000001</v>
      </c>
      <c r="D15" s="24">
        <f ca="1">+Model!I182</f>
        <v>9783.3661000000011</v>
      </c>
      <c r="E15" s="24">
        <f ca="1">+Model!J182</f>
        <v>9649.1032000000014</v>
      </c>
      <c r="F15" s="24">
        <f ca="1">+Model!K182</f>
        <v>10364.840300000002</v>
      </c>
      <c r="G15" s="24">
        <f ca="1">+Model!L182</f>
        <v>9930.5774000000019</v>
      </c>
      <c r="H15" s="24">
        <f ca="1">+Model!M182</f>
        <v>9158.8145000000022</v>
      </c>
    </row>
    <row r="16" spans="1:8">
      <c r="B16" s="365" t="s">
        <v>129</v>
      </c>
      <c r="C16" s="24">
        <f ca="1">+Model!H183</f>
        <v>14677.77151589041</v>
      </c>
      <c r="D16" s="24">
        <f ca="1">+Model!I183</f>
        <v>14677.77151589041</v>
      </c>
      <c r="E16" s="24">
        <f ca="1">+Model!J183</f>
        <v>14677.77151589041</v>
      </c>
      <c r="F16" s="24">
        <f ca="1">+Model!K183</f>
        <v>14677.77151589041</v>
      </c>
      <c r="G16" s="24">
        <f ca="1">+Model!L183</f>
        <v>14677.77151589041</v>
      </c>
      <c r="H16" s="24">
        <f ca="1">+Model!M183</f>
        <v>14677.77151589041</v>
      </c>
    </row>
    <row r="17" spans="2:8">
      <c r="B17" s="365" t="s">
        <v>12</v>
      </c>
      <c r="C17" s="24">
        <f>+Model!H185</f>
        <v>1530.3693699999999</v>
      </c>
      <c r="D17" s="24">
        <f>+Model!I185</f>
        <v>1530.3693699999999</v>
      </c>
      <c r="E17" s="24">
        <f>+Model!J185</f>
        <v>1530.3693699999999</v>
      </c>
      <c r="F17" s="24">
        <f>+Model!K185</f>
        <v>1530.3693699999999</v>
      </c>
      <c r="G17" s="24">
        <f>+Model!L185</f>
        <v>1530.3693699999999</v>
      </c>
      <c r="H17" s="24">
        <f>+Model!M185</f>
        <v>1530.3693699999999</v>
      </c>
    </row>
    <row r="18" spans="2:8">
      <c r="B18" s="365" t="s">
        <v>166</v>
      </c>
      <c r="C18" s="24">
        <f ca="1">+Model!H186</f>
        <v>461.25</v>
      </c>
      <c r="D18" s="24">
        <f ca="1">+Model!I186</f>
        <v>369</v>
      </c>
      <c r="E18" s="24">
        <f ca="1">+Model!J186</f>
        <v>276.75</v>
      </c>
      <c r="F18" s="24">
        <f ca="1">+Model!K186</f>
        <v>184.5</v>
      </c>
      <c r="G18" s="24">
        <f ca="1">+Model!L186</f>
        <v>92.25</v>
      </c>
      <c r="H18" s="24">
        <f ca="1">+Model!M186</f>
        <v>0</v>
      </c>
    </row>
    <row r="19" spans="2:8" ht="14.7" thickBot="1">
      <c r="B19" s="434" t="s">
        <v>14</v>
      </c>
      <c r="C19" s="33">
        <f ca="1">+Model!H187</f>
        <v>33944.93679</v>
      </c>
      <c r="D19" s="33">
        <f ca="1">+Model!I187</f>
        <v>38904.918492739729</v>
      </c>
      <c r="E19" s="33">
        <f ca="1">+Model!J187</f>
        <v>39907.846743424663</v>
      </c>
      <c r="F19" s="33">
        <f ca="1">+Model!K187</f>
        <v>41883.719109178084</v>
      </c>
      <c r="G19" s="33">
        <f ca="1">+Model!L187</f>
        <v>42547.305243041104</v>
      </c>
      <c r="H19" s="33">
        <f ca="1">+Model!M187</f>
        <v>45571.163874378537</v>
      </c>
    </row>
    <row r="20" spans="2:8">
      <c r="B20" s="432"/>
      <c r="C20" s="25"/>
      <c r="D20" s="25"/>
      <c r="E20" s="25"/>
      <c r="F20" s="25"/>
      <c r="G20" s="25"/>
      <c r="H20" s="25"/>
    </row>
    <row r="21" spans="2:8">
      <c r="B21" s="46" t="s">
        <v>16</v>
      </c>
      <c r="C21" s="24">
        <f>+Model!H191</f>
        <v>3423.6409399999998</v>
      </c>
      <c r="D21" s="24">
        <f ca="1">+Model!I191</f>
        <v>6343.3759561643819</v>
      </c>
      <c r="E21" s="24">
        <f ca="1">+Model!J191</f>
        <v>6977.713551780821</v>
      </c>
      <c r="F21" s="24">
        <f ca="1">+Model!K191</f>
        <v>7675.4849069589045</v>
      </c>
      <c r="G21" s="24">
        <f ca="1">+Model!L191</f>
        <v>8289.5236995156174</v>
      </c>
      <c r="H21" s="24">
        <f ca="1">+Model!M191</f>
        <v>8952.6855954768671</v>
      </c>
    </row>
    <row r="22" spans="2:8">
      <c r="B22" s="46" t="s">
        <v>448</v>
      </c>
      <c r="C22" s="61">
        <f>+Model!H192</f>
        <v>60.045850000000428</v>
      </c>
      <c r="D22" s="61">
        <f ca="1">+Model!I192</f>
        <v>96.073360000000676</v>
      </c>
      <c r="E22" s="61">
        <f ca="1">+Model!J192</f>
        <v>105.68069600000075</v>
      </c>
      <c r="F22" s="61">
        <f ca="1">+Model!K192</f>
        <v>116.24876560000084</v>
      </c>
      <c r="G22" s="61">
        <f ca="1">+Model!L192</f>
        <v>125.54866684800092</v>
      </c>
      <c r="H22" s="61">
        <f ca="1">+Model!M192</f>
        <v>135.592560195841</v>
      </c>
    </row>
    <row r="23" spans="2:8">
      <c r="B23" s="365" t="s">
        <v>18</v>
      </c>
      <c r="C23" s="24">
        <f>+Model!H193</f>
        <v>3483.6867900000002</v>
      </c>
      <c r="D23" s="24">
        <f ca="1">+Model!I193</f>
        <v>6439.4493161643823</v>
      </c>
      <c r="E23" s="24">
        <f ca="1">+Model!J193</f>
        <v>7083.3942477808214</v>
      </c>
      <c r="F23" s="24">
        <f ca="1">+Model!K193</f>
        <v>7791.7336725589057</v>
      </c>
      <c r="G23" s="24">
        <f ca="1">+Model!L193</f>
        <v>8415.0723663636181</v>
      </c>
      <c r="H23" s="24">
        <f ca="1">+Model!M193</f>
        <v>9088.2781556727077</v>
      </c>
    </row>
    <row r="24" spans="2:8">
      <c r="B24" s="365"/>
      <c r="C24" s="25"/>
      <c r="D24" s="25"/>
      <c r="E24" s="25"/>
      <c r="F24" s="25"/>
      <c r="G24" s="25"/>
      <c r="H24" s="25"/>
    </row>
    <row r="25" spans="2:8">
      <c r="B25" s="365" t="s">
        <v>63</v>
      </c>
      <c r="C25" s="24">
        <f ca="1">+Model!H196</f>
        <v>0</v>
      </c>
      <c r="D25" s="24">
        <f ca="1">+Model!I196</f>
        <v>0</v>
      </c>
      <c r="E25" s="24">
        <f ca="1">+Model!J196</f>
        <v>0</v>
      </c>
      <c r="F25" s="24">
        <f ca="1">+Model!K196</f>
        <v>0</v>
      </c>
      <c r="G25" s="24">
        <f ca="1">+Model!L196</f>
        <v>0</v>
      </c>
      <c r="H25" s="24">
        <f ca="1">+Model!M196</f>
        <v>0</v>
      </c>
    </row>
    <row r="26" spans="2:8">
      <c r="B26" s="365" t="s">
        <v>64</v>
      </c>
      <c r="C26" s="24">
        <f ca="1">+Model!H197</f>
        <v>0</v>
      </c>
      <c r="D26" s="24">
        <f ca="1">+Model!I197</f>
        <v>0</v>
      </c>
      <c r="E26" s="24">
        <f ca="1">+Model!J197</f>
        <v>0</v>
      </c>
      <c r="F26" s="24">
        <f ca="1">+Model!K197</f>
        <v>0</v>
      </c>
      <c r="G26" s="24">
        <f ca="1">+Model!L197</f>
        <v>0</v>
      </c>
      <c r="H26" s="24">
        <f ca="1">+Model!M197</f>
        <v>0</v>
      </c>
    </row>
    <row r="27" spans="2:8">
      <c r="B27" s="365" t="s">
        <v>65</v>
      </c>
      <c r="C27" s="61">
        <f ca="1">+Model!H198</f>
        <v>20500</v>
      </c>
      <c r="D27" s="61">
        <f ca="1">+Model!I198</f>
        <v>18714.604811918332</v>
      </c>
      <c r="E27" s="61">
        <f ca="1">+Model!J198</f>
        <v>14205.456320349418</v>
      </c>
      <c r="F27" s="61">
        <f ca="1">+Model!K198</f>
        <v>10041.385444201256</v>
      </c>
      <c r="G27" s="61">
        <f ca="1">+Model!L198</f>
        <v>4151.3852474778851</v>
      </c>
      <c r="H27" s="61">
        <f ca="1">+Model!M198</f>
        <v>0</v>
      </c>
    </row>
    <row r="28" spans="2:8">
      <c r="B28" s="365" t="s">
        <v>66</v>
      </c>
      <c r="C28" s="24">
        <f ca="1">+Model!H199</f>
        <v>20500</v>
      </c>
      <c r="D28" s="24">
        <f ca="1">+Model!I199</f>
        <v>18714.604811918332</v>
      </c>
      <c r="E28" s="24">
        <f ca="1">+Model!J199</f>
        <v>14205.456320349418</v>
      </c>
      <c r="F28" s="24">
        <f ca="1">+Model!K199</f>
        <v>10041.385444201256</v>
      </c>
      <c r="G28" s="24">
        <f ca="1">+Model!L199</f>
        <v>4151.3852474778851</v>
      </c>
      <c r="H28" s="24">
        <f ca="1">+Model!M199</f>
        <v>0</v>
      </c>
    </row>
    <row r="29" spans="2:8">
      <c r="B29" s="365"/>
      <c r="C29" s="25"/>
      <c r="D29" s="25"/>
      <c r="E29" s="25"/>
      <c r="F29" s="25"/>
      <c r="G29" s="25"/>
      <c r="H29" s="25"/>
    </row>
    <row r="30" spans="2:8">
      <c r="B30" s="365" t="s">
        <v>21</v>
      </c>
      <c r="C30" s="24">
        <f ca="1">+Model!H205</f>
        <v>10211.25</v>
      </c>
      <c r="D30" s="24">
        <f ca="1">+Model!I205</f>
        <v>14000.864364657011</v>
      </c>
      <c r="E30" s="24">
        <f ca="1">+Model!J205</f>
        <v>18868.996175294418</v>
      </c>
      <c r="F30" s="24">
        <f ca="1">+Model!K205</f>
        <v>24300.59999241792</v>
      </c>
      <c r="G30" s="24">
        <f ca="1">+Model!L205</f>
        <v>30230.847629199598</v>
      </c>
      <c r="H30" s="24">
        <f ca="1">+Model!M205</f>
        <v>36732.885718705831</v>
      </c>
    </row>
    <row r="31" spans="2:8" ht="14.7" thickBot="1">
      <c r="B31" s="434" t="s">
        <v>449</v>
      </c>
      <c r="C31" s="33">
        <f ca="1">+Model!H207</f>
        <v>34194.93679</v>
      </c>
      <c r="D31" s="33">
        <f ca="1">+Model!I207</f>
        <v>39154.918492739729</v>
      </c>
      <c r="E31" s="33">
        <f ca="1">+Model!J207</f>
        <v>40157.846743424656</v>
      </c>
      <c r="F31" s="33">
        <f ca="1">+Model!K207</f>
        <v>42133.719109178084</v>
      </c>
      <c r="G31" s="33">
        <f ca="1">+Model!L207</f>
        <v>42797.305243041104</v>
      </c>
      <c r="H31" s="33">
        <f ca="1">+Model!M207</f>
        <v>45821.163874378537</v>
      </c>
    </row>
    <row r="32" spans="2:8">
      <c r="B32" s="433" t="s">
        <v>23</v>
      </c>
      <c r="C32" s="438">
        <f t="shared" ref="C32:H32" ca="1" si="0">+C19-C31</f>
        <v>-250</v>
      </c>
      <c r="D32" s="438">
        <f t="shared" ca="1" si="0"/>
        <v>-250</v>
      </c>
      <c r="E32" s="438">
        <f t="shared" ca="1" si="0"/>
        <v>-249.99999999999272</v>
      </c>
      <c r="F32" s="438">
        <f t="shared" ca="1" si="0"/>
        <v>-250</v>
      </c>
      <c r="G32" s="438">
        <f t="shared" ca="1" si="0"/>
        <v>-250</v>
      </c>
      <c r="H32" s="438">
        <f t="shared" ca="1" si="0"/>
        <v>-250</v>
      </c>
    </row>
    <row r="33" spans="2:2">
      <c r="B33" s="76"/>
    </row>
  </sheetData>
  <mergeCells count="1">
    <mergeCell ref="D6:H6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showGridLines="0" topLeftCell="B9" zoomScale="115" zoomScaleNormal="115" workbookViewId="0">
      <selection activeCell="B10" sqref="B10"/>
    </sheetView>
  </sheetViews>
  <sheetFormatPr defaultColWidth="9.15625" defaultRowHeight="14.4" outlineLevelRow="1"/>
  <cols>
    <col min="1" max="1" width="9.15625" style="442"/>
    <col min="2" max="2" width="40.83984375" style="442" customWidth="1"/>
    <col min="3" max="5" width="12.68359375" style="442" bestFit="1" customWidth="1"/>
    <col min="6" max="7" width="17.41796875" style="442" customWidth="1"/>
    <col min="8" max="16384" width="9.15625" style="442"/>
  </cols>
  <sheetData>
    <row r="1" spans="1:7">
      <c r="A1" s="441" t="s">
        <v>456</v>
      </c>
    </row>
    <row r="2" spans="1:7">
      <c r="A2" s="441" t="s">
        <v>456</v>
      </c>
    </row>
    <row r="4" spans="1:7">
      <c r="A4" s="443"/>
      <c r="B4" s="590" t="s">
        <v>457</v>
      </c>
      <c r="C4" s="590"/>
      <c r="D4" s="590"/>
      <c r="E4" s="590"/>
    </row>
    <row r="5" spans="1:7">
      <c r="A5" s="443"/>
      <c r="B5" s="590" t="s">
        <v>458</v>
      </c>
      <c r="C5" s="590"/>
      <c r="D5" s="590"/>
      <c r="E5" s="590"/>
    </row>
    <row r="7" spans="1:7" ht="15.9">
      <c r="A7" s="443"/>
      <c r="B7" s="443"/>
      <c r="C7" s="444" t="s">
        <v>459</v>
      </c>
      <c r="D7" s="444"/>
      <c r="E7" s="468" t="s">
        <v>460</v>
      </c>
      <c r="F7" s="469"/>
      <c r="G7" s="445"/>
    </row>
    <row r="8" spans="1:7">
      <c r="A8" s="443"/>
      <c r="B8" s="443" t="s">
        <v>461</v>
      </c>
      <c r="C8" s="446">
        <v>42004</v>
      </c>
      <c r="D8" s="446">
        <v>42369</v>
      </c>
      <c r="E8" s="446">
        <v>42735</v>
      </c>
      <c r="F8" s="446">
        <v>43100</v>
      </c>
      <c r="G8" s="443"/>
    </row>
    <row r="9" spans="1:7">
      <c r="A9" s="443"/>
      <c r="B9" s="443" t="s">
        <v>462</v>
      </c>
      <c r="C9" s="447">
        <v>11022.367</v>
      </c>
      <c r="D9" s="447">
        <v>16064.5</v>
      </c>
      <c r="E9" s="448">
        <v>23605</v>
      </c>
      <c r="F9" s="448">
        <v>29462.567999999999</v>
      </c>
    </row>
    <row r="10" spans="1:7" ht="6.75" customHeight="1">
      <c r="A10" s="443"/>
      <c r="B10" s="443"/>
      <c r="C10" s="449"/>
      <c r="D10" s="449"/>
      <c r="E10" s="449"/>
      <c r="F10" s="449"/>
      <c r="G10" s="450"/>
    </row>
    <row r="11" spans="1:7" hidden="1" outlineLevel="1">
      <c r="A11" s="443"/>
      <c r="B11" s="443" t="s">
        <v>463</v>
      </c>
      <c r="C11" s="449"/>
      <c r="D11" s="449"/>
      <c r="E11" s="449"/>
      <c r="F11" s="449"/>
      <c r="G11" s="450"/>
    </row>
    <row r="12" spans="1:7" hidden="1" outlineLevel="1">
      <c r="A12" s="443"/>
      <c r="B12" s="443" t="s">
        <v>464</v>
      </c>
      <c r="C12" s="449"/>
      <c r="D12" s="449"/>
      <c r="E12" s="451">
        <v>76.599999999999994</v>
      </c>
      <c r="F12" s="451">
        <v>76.599999999999994</v>
      </c>
    </row>
    <row r="13" spans="1:7" hidden="1" outlineLevel="1">
      <c r="A13" s="443"/>
      <c r="B13" s="443" t="s">
        <v>465</v>
      </c>
      <c r="C13" s="449"/>
      <c r="D13" s="449"/>
      <c r="E13" s="451">
        <v>4329.1109999999999</v>
      </c>
      <c r="F13" s="451">
        <v>4329.1109999999999</v>
      </c>
    </row>
    <row r="14" spans="1:7" hidden="1" outlineLevel="1">
      <c r="A14" s="443"/>
      <c r="B14" s="443" t="s">
        <v>466</v>
      </c>
      <c r="C14" s="449"/>
      <c r="D14" s="449"/>
      <c r="E14" s="451">
        <v>1485.874</v>
      </c>
      <c r="F14" s="451">
        <v>1485.874</v>
      </c>
    </row>
    <row r="15" spans="1:7" hidden="1" outlineLevel="1">
      <c r="A15" s="443"/>
      <c r="B15" s="443" t="s">
        <v>467</v>
      </c>
      <c r="C15" s="449"/>
      <c r="D15" s="449"/>
      <c r="E15" s="451">
        <v>7183.3580000000002</v>
      </c>
      <c r="F15" s="451">
        <v>7183.3580000000002</v>
      </c>
    </row>
    <row r="16" spans="1:7" hidden="1" outlineLevel="1">
      <c r="A16" s="443"/>
      <c r="B16" s="443" t="s">
        <v>468</v>
      </c>
      <c r="C16" s="449"/>
      <c r="D16" s="449"/>
      <c r="E16" s="451">
        <v>2293.971</v>
      </c>
      <c r="F16" s="451">
        <v>2293.971</v>
      </c>
    </row>
    <row r="17" spans="1:14" hidden="1" outlineLevel="1">
      <c r="A17" s="443"/>
      <c r="B17" s="443" t="s">
        <v>469</v>
      </c>
      <c r="C17" s="449"/>
      <c r="D17" s="449"/>
      <c r="E17" s="451">
        <v>25.256</v>
      </c>
      <c r="F17" s="451">
        <v>25.256</v>
      </c>
    </row>
    <row r="18" spans="1:14" hidden="1" outlineLevel="1">
      <c r="A18" s="443"/>
      <c r="B18" s="443" t="s">
        <v>470</v>
      </c>
      <c r="C18" s="449"/>
      <c r="D18" s="449"/>
      <c r="E18" s="451">
        <v>62.595999999999997</v>
      </c>
      <c r="F18" s="451">
        <v>62.595999999999997</v>
      </c>
    </row>
    <row r="19" spans="1:14" hidden="1" outlineLevel="1">
      <c r="A19" s="443"/>
      <c r="B19" s="443" t="s">
        <v>471</v>
      </c>
      <c r="C19" s="449"/>
      <c r="D19" s="449"/>
      <c r="E19" s="452">
        <v>982.30600000000004</v>
      </c>
      <c r="F19" s="452">
        <v>982.30600000000004</v>
      </c>
    </row>
    <row r="20" spans="1:14" hidden="1" outlineLevel="1">
      <c r="A20" s="443"/>
      <c r="B20" s="443"/>
      <c r="C20" s="449"/>
      <c r="D20" s="449"/>
      <c r="E20" s="451"/>
      <c r="F20" s="451"/>
    </row>
    <row r="21" spans="1:14" hidden="1" outlineLevel="1">
      <c r="A21" s="443"/>
      <c r="B21" s="443" t="s">
        <v>472</v>
      </c>
      <c r="C21" s="449"/>
      <c r="D21" s="449"/>
      <c r="E21" s="453">
        <v>-91.15</v>
      </c>
      <c r="F21" s="453">
        <v>-91.15</v>
      </c>
    </row>
    <row r="22" spans="1:14" collapsed="1">
      <c r="A22" s="443"/>
      <c r="B22" s="443" t="s">
        <v>473</v>
      </c>
      <c r="C22" s="453">
        <v>7623.8909999999996</v>
      </c>
      <c r="D22" s="453">
        <v>11921</v>
      </c>
      <c r="E22" s="453">
        <v>15909</v>
      </c>
      <c r="F22" s="453">
        <v>20435.780999999999</v>
      </c>
    </row>
    <row r="23" spans="1:14" ht="6.75" customHeight="1">
      <c r="A23" s="443"/>
      <c r="B23" s="443"/>
      <c r="C23" s="449"/>
      <c r="D23" s="449"/>
      <c r="E23" s="451"/>
      <c r="F23" s="451"/>
    </row>
    <row r="24" spans="1:14">
      <c r="A24" s="443"/>
      <c r="B24" s="443" t="s">
        <v>474</v>
      </c>
      <c r="C24" s="453">
        <f>C9-C22</f>
        <v>3398.4760000000006</v>
      </c>
      <c r="D24" s="453">
        <f>D9-D22</f>
        <v>4143.5</v>
      </c>
      <c r="E24" s="453">
        <f>E9-E22</f>
        <v>7696</v>
      </c>
      <c r="F24" s="453">
        <f>F9-F22</f>
        <v>9026.7870000000003</v>
      </c>
    </row>
    <row r="25" spans="1:14">
      <c r="A25" s="443"/>
      <c r="B25" s="443"/>
      <c r="C25" s="454">
        <f>C24/C9</f>
        <v>0.30832542592711715</v>
      </c>
      <c r="D25" s="454">
        <f>D24/D9</f>
        <v>0.25792897382427094</v>
      </c>
      <c r="E25" s="454">
        <f>E24/E9</f>
        <v>0.32603262020758311</v>
      </c>
      <c r="F25" s="454">
        <f>F24/F9</f>
        <v>0.30638154148681135</v>
      </c>
    </row>
    <row r="26" spans="1:14">
      <c r="A26" s="443"/>
      <c r="B26" s="443" t="s">
        <v>475</v>
      </c>
      <c r="E26" s="450"/>
      <c r="F26" s="450"/>
    </row>
    <row r="27" spans="1:14">
      <c r="A27" s="443"/>
      <c r="B27" s="443" t="s">
        <v>476</v>
      </c>
      <c r="C27" s="449">
        <v>0.29499999999999998</v>
      </c>
      <c r="D27" s="449">
        <v>0.29499999999999998</v>
      </c>
      <c r="E27" s="451">
        <v>0.29499999999999998</v>
      </c>
      <c r="F27" s="451">
        <v>0.29499999999999998</v>
      </c>
    </row>
    <row r="28" spans="1:14">
      <c r="A28" s="443"/>
      <c r="B28" s="443" t="s">
        <v>477</v>
      </c>
      <c r="C28" s="449">
        <v>11.185</v>
      </c>
      <c r="D28" s="449">
        <v>8.5980000000000008</v>
      </c>
      <c r="E28" s="451">
        <v>40.006</v>
      </c>
      <c r="F28" s="451">
        <v>48.006999999999998</v>
      </c>
    </row>
    <row r="29" spans="1:14">
      <c r="A29" s="443"/>
      <c r="B29" s="443" t="s">
        <v>478</v>
      </c>
      <c r="C29" s="449">
        <v>11.01</v>
      </c>
      <c r="D29" s="449">
        <v>6.7510000000000003</v>
      </c>
      <c r="E29" s="451">
        <v>6.726</v>
      </c>
      <c r="F29" s="451">
        <v>8.407</v>
      </c>
      <c r="N29" s="442">
        <v>5.5</v>
      </c>
    </row>
    <row r="30" spans="1:14">
      <c r="A30" s="443"/>
      <c r="B30" s="443" t="s">
        <v>479</v>
      </c>
      <c r="C30" s="449">
        <v>225.93100000000001</v>
      </c>
      <c r="D30" s="449">
        <v>225.755</v>
      </c>
      <c r="E30" s="451">
        <v>325.12</v>
      </c>
      <c r="F30" s="451">
        <f>80.286+326.114</f>
        <v>406.4</v>
      </c>
      <c r="I30" s="455"/>
      <c r="N30" s="442">
        <f>N29*3.5</f>
        <v>19.25</v>
      </c>
    </row>
    <row r="31" spans="1:14">
      <c r="A31" s="443"/>
      <c r="B31" s="443" t="s">
        <v>480</v>
      </c>
      <c r="C31" s="449">
        <v>0</v>
      </c>
      <c r="D31" s="449">
        <v>0</v>
      </c>
      <c r="E31" s="451">
        <v>5.1050000000000004</v>
      </c>
      <c r="F31" s="451">
        <v>35.549999999999997</v>
      </c>
    </row>
    <row r="32" spans="1:14">
      <c r="A32" s="443"/>
      <c r="B32" s="443" t="s">
        <v>481</v>
      </c>
      <c r="C32" s="449">
        <v>1.75</v>
      </c>
      <c r="D32" s="449">
        <v>1.65</v>
      </c>
      <c r="E32" s="451">
        <v>3.5249999999999999</v>
      </c>
      <c r="F32" s="451">
        <v>0</v>
      </c>
    </row>
    <row r="33" spans="1:6">
      <c r="A33" s="443"/>
      <c r="B33" s="443" t="s">
        <v>482</v>
      </c>
      <c r="C33" s="449">
        <v>15.615</v>
      </c>
      <c r="D33" s="449">
        <v>14.427</v>
      </c>
      <c r="E33" s="451">
        <v>6.423</v>
      </c>
      <c r="F33" s="451">
        <v>6</v>
      </c>
    </row>
    <row r="34" spans="1:6">
      <c r="A34" s="443"/>
      <c r="B34" s="443" t="s">
        <v>483</v>
      </c>
      <c r="C34" s="449">
        <v>29.861999999999998</v>
      </c>
      <c r="D34" s="449">
        <v>36.011000000000003</v>
      </c>
      <c r="E34" s="451">
        <v>36.139000000000003</v>
      </c>
      <c r="F34" s="451">
        <v>45.174999999999997</v>
      </c>
    </row>
    <row r="35" spans="1:6">
      <c r="A35" s="443"/>
      <c r="B35" s="443" t="s">
        <v>484</v>
      </c>
      <c r="C35" s="449">
        <f>(21473+251)/1000</f>
        <v>21.724</v>
      </c>
      <c r="D35" s="449">
        <v>17.77</v>
      </c>
      <c r="E35" s="451">
        <v>108.354</v>
      </c>
      <c r="F35" s="451">
        <v>25</v>
      </c>
    </row>
    <row r="36" spans="1:6">
      <c r="A36" s="443"/>
      <c r="B36" s="443" t="s">
        <v>485</v>
      </c>
      <c r="C36" s="449">
        <v>25.704999999999998</v>
      </c>
      <c r="D36" s="449">
        <v>44.899000000000001</v>
      </c>
      <c r="E36" s="451">
        <v>37.595999999999997</v>
      </c>
      <c r="F36" s="451">
        <v>46.994999999999997</v>
      </c>
    </row>
    <row r="37" spans="1:6">
      <c r="A37" s="443"/>
      <c r="B37" s="443" t="s">
        <v>486</v>
      </c>
      <c r="C37" s="449">
        <v>180.52099999999999</v>
      </c>
      <c r="D37" s="449">
        <v>97.097999999999999</v>
      </c>
      <c r="E37" s="451">
        <v>108.586</v>
      </c>
      <c r="F37" s="451">
        <v>133.857</v>
      </c>
    </row>
    <row r="38" spans="1:6">
      <c r="A38" s="443"/>
      <c r="B38" s="443" t="s">
        <v>487</v>
      </c>
      <c r="C38" s="449">
        <v>115.83799999999999</v>
      </c>
      <c r="D38" s="449">
        <v>153.893</v>
      </c>
      <c r="E38" s="451">
        <v>220.297</v>
      </c>
      <c r="F38" s="451">
        <v>275.37099999999998</v>
      </c>
    </row>
    <row r="39" spans="1:6">
      <c r="A39" s="443"/>
      <c r="B39" s="443" t="s">
        <v>488</v>
      </c>
      <c r="C39" s="449">
        <v>262</v>
      </c>
      <c r="D39" s="449">
        <v>262</v>
      </c>
      <c r="E39" s="451">
        <v>300</v>
      </c>
      <c r="F39" s="451">
        <v>375</v>
      </c>
    </row>
    <row r="40" spans="1:6">
      <c r="A40" s="443"/>
      <c r="B40" s="443" t="s">
        <v>489</v>
      </c>
      <c r="C40" s="449">
        <v>126.90600000000001</v>
      </c>
      <c r="D40" s="449">
        <v>219.273</v>
      </c>
      <c r="E40" s="451">
        <v>408.36799999999999</v>
      </c>
      <c r="F40" s="451">
        <v>300</v>
      </c>
    </row>
    <row r="41" spans="1:6">
      <c r="A41" s="443"/>
      <c r="B41" s="443" t="s">
        <v>490</v>
      </c>
      <c r="C41" s="449">
        <v>667.14400000000001</v>
      </c>
      <c r="D41" s="449">
        <v>906.24699999999996</v>
      </c>
      <c r="E41" s="451">
        <v>895.077</v>
      </c>
      <c r="F41" s="451">
        <v>1074.0920000000001</v>
      </c>
    </row>
    <row r="42" spans="1:6">
      <c r="A42" s="443"/>
      <c r="B42" s="443" t="s">
        <v>491</v>
      </c>
      <c r="C42" s="449">
        <v>14.494</v>
      </c>
      <c r="D42" s="449">
        <v>14.518000000000001</v>
      </c>
      <c r="E42" s="451">
        <v>14.861000000000001</v>
      </c>
      <c r="F42" s="451">
        <v>16</v>
      </c>
    </row>
    <row r="43" spans="1:6">
      <c r="A43" s="443"/>
      <c r="B43" s="443" t="s">
        <v>492</v>
      </c>
      <c r="C43" s="449">
        <v>51.755000000000003</v>
      </c>
      <c r="D43" s="449">
        <v>77.619</v>
      </c>
      <c r="E43" s="451">
        <v>93.230999999999995</v>
      </c>
      <c r="F43" s="451">
        <v>102</v>
      </c>
    </row>
    <row r="44" spans="1:6">
      <c r="A44" s="443"/>
      <c r="B44" s="443" t="s">
        <v>493</v>
      </c>
      <c r="C44" s="449">
        <v>4.0529999999999999</v>
      </c>
      <c r="D44" s="449">
        <v>5.3250000000000002</v>
      </c>
      <c r="E44" s="451">
        <v>6.625</v>
      </c>
      <c r="F44" s="451">
        <v>7.65</v>
      </c>
    </row>
    <row r="45" spans="1:6">
      <c r="A45" s="443"/>
      <c r="B45" s="443" t="s">
        <v>494</v>
      </c>
      <c r="C45" s="449">
        <v>38.378999999999998</v>
      </c>
      <c r="D45" s="449">
        <v>51.5</v>
      </c>
      <c r="E45" s="452">
        <v>47.725000000000001</v>
      </c>
      <c r="F45" s="452">
        <v>59.655999999999999</v>
      </c>
    </row>
    <row r="46" spans="1:6">
      <c r="A46" s="443"/>
      <c r="B46" s="443" t="s">
        <v>495</v>
      </c>
      <c r="C46" s="449">
        <v>85.89</v>
      </c>
      <c r="D46" s="449">
        <v>0</v>
      </c>
      <c r="E46" s="452">
        <v>43.152999999999999</v>
      </c>
      <c r="F46" s="452">
        <v>40</v>
      </c>
    </row>
    <row r="47" spans="1:6">
      <c r="A47" s="443"/>
      <c r="B47" s="443" t="s">
        <v>38</v>
      </c>
      <c r="C47" s="453">
        <v>41.704000000000001</v>
      </c>
      <c r="D47" s="453">
        <v>449.87400000000002</v>
      </c>
      <c r="E47" s="453">
        <v>42.856000000000002</v>
      </c>
      <c r="F47" s="453">
        <v>45</v>
      </c>
    </row>
    <row r="48" spans="1:6">
      <c r="A48" s="443"/>
      <c r="B48" s="443" t="s">
        <v>496</v>
      </c>
      <c r="C48" s="456">
        <f>SUM(C27:C47)</f>
        <v>1931.761</v>
      </c>
      <c r="D48" s="456">
        <f>SUM(D27:D47)</f>
        <v>2593.5029999999997</v>
      </c>
      <c r="E48" s="456">
        <f>SUM(E27:E47)</f>
        <v>2750.0679999999998</v>
      </c>
      <c r="F48" s="456">
        <f>SUM(F27:F47)</f>
        <v>3050.4549999999999</v>
      </c>
    </row>
    <row r="49" spans="1:6" ht="6" customHeight="1">
      <c r="A49" s="443"/>
      <c r="B49" s="443"/>
      <c r="E49" s="450"/>
      <c r="F49" s="450"/>
    </row>
    <row r="50" spans="1:6" ht="16.2">
      <c r="A50" s="443"/>
      <c r="B50" s="443" t="s">
        <v>40</v>
      </c>
      <c r="C50" s="457">
        <f>C24-C48</f>
        <v>1466.7150000000006</v>
      </c>
      <c r="D50" s="457">
        <f>D24-D48</f>
        <v>1549.9970000000003</v>
      </c>
      <c r="E50" s="457">
        <f>E24-E48</f>
        <v>4945.9320000000007</v>
      </c>
      <c r="F50" s="457">
        <f>F24-F48</f>
        <v>5976.3320000000003</v>
      </c>
    </row>
    <row r="51" spans="1:6" ht="6" customHeight="1">
      <c r="A51" s="443"/>
      <c r="B51" s="443"/>
      <c r="C51" s="449"/>
      <c r="D51" s="449"/>
      <c r="E51" s="451"/>
      <c r="F51" s="451"/>
    </row>
    <row r="52" spans="1:6">
      <c r="A52" s="443"/>
      <c r="B52" s="443" t="s">
        <v>497</v>
      </c>
      <c r="C52" s="449">
        <v>85.89</v>
      </c>
      <c r="D52" s="449">
        <v>0</v>
      </c>
      <c r="E52" s="451">
        <v>0</v>
      </c>
      <c r="F52" s="451">
        <v>0</v>
      </c>
    </row>
    <row r="53" spans="1:6">
      <c r="A53" s="443"/>
      <c r="B53" s="443" t="s">
        <v>498</v>
      </c>
      <c r="C53" s="449">
        <v>104.065</v>
      </c>
      <c r="D53" s="449">
        <v>0</v>
      </c>
      <c r="E53" s="451">
        <v>0</v>
      </c>
      <c r="F53" s="451">
        <v>0</v>
      </c>
    </row>
    <row r="54" spans="1:6">
      <c r="A54" s="443"/>
      <c r="B54" s="443" t="s">
        <v>482</v>
      </c>
      <c r="C54" s="449">
        <v>15.615</v>
      </c>
      <c r="D54" s="449">
        <v>14.427</v>
      </c>
      <c r="E54" s="451">
        <f>E33</f>
        <v>6.423</v>
      </c>
      <c r="F54" s="451">
        <f>F33</f>
        <v>6</v>
      </c>
    </row>
    <row r="55" spans="1:6">
      <c r="A55" s="443"/>
      <c r="B55" s="443" t="s">
        <v>42</v>
      </c>
      <c r="C55" s="449">
        <v>41.999000000000002</v>
      </c>
      <c r="D55" s="449">
        <v>450.16899999999998</v>
      </c>
      <c r="E55" s="451">
        <f>SUM(E47,E27)</f>
        <v>43.151000000000003</v>
      </c>
      <c r="F55" s="451">
        <f>SUM(F47,F27)</f>
        <v>45.295000000000002</v>
      </c>
    </row>
    <row r="56" spans="1:6">
      <c r="A56" s="443"/>
      <c r="B56" s="443" t="s">
        <v>488</v>
      </c>
      <c r="C56" s="449">
        <f>C39</f>
        <v>262</v>
      </c>
      <c r="D56" s="449">
        <f>D39</f>
        <v>262</v>
      </c>
      <c r="E56" s="449">
        <f>E39</f>
        <v>300</v>
      </c>
      <c r="F56" s="449">
        <f>F39</f>
        <v>375</v>
      </c>
    </row>
    <row r="57" spans="1:6" ht="16.2">
      <c r="A57" s="443"/>
      <c r="B57" s="443" t="s">
        <v>499</v>
      </c>
      <c r="C57" s="458">
        <v>319</v>
      </c>
      <c r="D57" s="458">
        <v>319</v>
      </c>
      <c r="E57" s="459">
        <f>(D57)</f>
        <v>319</v>
      </c>
      <c r="F57" s="459">
        <v>319</v>
      </c>
    </row>
    <row r="58" spans="1:6" ht="6.75" customHeight="1">
      <c r="A58" s="443"/>
      <c r="B58" s="443"/>
      <c r="C58" s="449"/>
      <c r="D58" s="449"/>
      <c r="E58" s="451"/>
      <c r="F58" s="451"/>
    </row>
    <row r="59" spans="1:6" ht="15.9">
      <c r="A59" s="443"/>
      <c r="B59" s="460" t="s">
        <v>500</v>
      </c>
      <c r="C59" s="461">
        <f>SUM(C50,C52:C57)</f>
        <v>2295.2840000000006</v>
      </c>
      <c r="D59" s="461">
        <f>SUM(D50,D52:D57)</f>
        <v>2595.5930000000003</v>
      </c>
      <c r="E59" s="461">
        <f>SUM(E50,E52:E57)</f>
        <v>5614.5060000000003</v>
      </c>
      <c r="F59" s="461">
        <f>SUM(F50,F52:F57)</f>
        <v>6721.6270000000004</v>
      </c>
    </row>
    <row r="60" spans="1:6">
      <c r="A60" s="443"/>
      <c r="B60" s="443"/>
      <c r="C60" s="462">
        <f>C59/C9</f>
        <v>0.20823875670262118</v>
      </c>
      <c r="D60" s="462">
        <f>D59/D9</f>
        <v>0.16157322045504063</v>
      </c>
      <c r="E60" s="462">
        <f>E59/E9</f>
        <v>0.23785240415166278</v>
      </c>
      <c r="F60" s="462">
        <f>F59/F9</f>
        <v>0.2281412468865579</v>
      </c>
    </row>
    <row r="61" spans="1:6">
      <c r="A61" s="443"/>
      <c r="B61" s="443" t="s">
        <v>524</v>
      </c>
      <c r="C61" s="480">
        <f>(C48-SUM(C52:C57))/C9</f>
        <v>0.10008666922449597</v>
      </c>
      <c r="D61" s="480">
        <f>(D48-SUM(D52:D57))/D9</f>
        <v>9.6355753369230274E-2</v>
      </c>
      <c r="E61" s="480">
        <f>(E48-SUM(E52:E57))/E9</f>
        <v>8.8180216055920344E-2</v>
      </c>
      <c r="F61" s="480">
        <f>(F48-SUM(F52:F57))/F9</f>
        <v>7.8240294600253446E-2</v>
      </c>
    </row>
    <row r="62" spans="1:6">
      <c r="A62" s="443"/>
      <c r="B62" s="443"/>
      <c r="E62" s="450"/>
      <c r="F62" s="450"/>
    </row>
    <row r="63" spans="1:6">
      <c r="A63" s="443"/>
      <c r="B63" s="443"/>
      <c r="E63" s="450"/>
      <c r="F63" s="450"/>
    </row>
    <row r="64" spans="1:6">
      <c r="A64" s="443"/>
      <c r="B64" s="443" t="s">
        <v>501</v>
      </c>
      <c r="E64" s="450">
        <f>+E24-E48</f>
        <v>4945.9320000000007</v>
      </c>
      <c r="F64" s="450">
        <f>+F24-F48</f>
        <v>5976.3320000000003</v>
      </c>
    </row>
    <row r="65" spans="1:6">
      <c r="A65" s="443"/>
      <c r="B65" s="443" t="s">
        <v>502</v>
      </c>
      <c r="E65" s="463">
        <v>177</v>
      </c>
      <c r="F65" s="463">
        <v>177</v>
      </c>
    </row>
    <row r="66" spans="1:6">
      <c r="A66" s="443"/>
      <c r="B66" s="443"/>
      <c r="E66" s="450"/>
      <c r="F66" s="450"/>
    </row>
    <row r="67" spans="1:6">
      <c r="A67" s="443"/>
      <c r="B67" s="443" t="s">
        <v>503</v>
      </c>
      <c r="E67" s="450">
        <f>SUM(E64:E65)</f>
        <v>5122.9320000000007</v>
      </c>
      <c r="F67" s="450">
        <f>SUM(F64:F65)</f>
        <v>6153.3320000000003</v>
      </c>
    </row>
    <row r="68" spans="1:6">
      <c r="A68" s="443"/>
      <c r="B68" s="443" t="s">
        <v>504</v>
      </c>
      <c r="E68" s="463">
        <v>-1500</v>
      </c>
      <c r="F68" s="463">
        <v>-1500</v>
      </c>
    </row>
    <row r="69" spans="1:6">
      <c r="A69" s="443"/>
      <c r="B69" s="443" t="s">
        <v>505</v>
      </c>
      <c r="E69" s="463">
        <f>SUM(E67:E68)</f>
        <v>3622.9320000000007</v>
      </c>
      <c r="F69" s="463">
        <f>SUM(F67:F68)</f>
        <v>4653.3320000000003</v>
      </c>
    </row>
    <row r="70" spans="1:6">
      <c r="A70" s="443"/>
    </row>
    <row r="71" spans="1:6">
      <c r="A71" s="443"/>
      <c r="B71" s="443"/>
      <c r="C71" s="464"/>
    </row>
    <row r="72" spans="1:6">
      <c r="A72" s="443"/>
      <c r="B72" s="443"/>
    </row>
    <row r="74" spans="1:6">
      <c r="C74" s="465"/>
    </row>
    <row r="75" spans="1:6">
      <c r="C75" s="465"/>
    </row>
    <row r="77" spans="1:6">
      <c r="C77" s="465"/>
    </row>
    <row r="78" spans="1:6">
      <c r="C78" s="465"/>
    </row>
    <row r="79" spans="1:6">
      <c r="C79" s="465"/>
    </row>
    <row r="80" spans="1:6">
      <c r="C80" s="465"/>
    </row>
    <row r="81" spans="3:3">
      <c r="C81" s="465"/>
    </row>
    <row r="82" spans="3:3">
      <c r="C82" s="465"/>
    </row>
    <row r="83" spans="3:3">
      <c r="C83" s="465"/>
    </row>
    <row r="84" spans="3:3">
      <c r="C84" s="465"/>
    </row>
    <row r="85" spans="3:3">
      <c r="C85" s="465"/>
    </row>
    <row r="86" spans="3:3">
      <c r="C86" s="465"/>
    </row>
    <row r="87" spans="3:3">
      <c r="C87" s="465"/>
    </row>
    <row r="88" spans="3:3">
      <c r="C88" s="465"/>
    </row>
    <row r="89" spans="3:3">
      <c r="C89" s="465"/>
    </row>
  </sheetData>
  <mergeCells count="2">
    <mergeCell ref="B4:E4"/>
    <mergeCell ref="B5:E5"/>
  </mergeCells>
  <printOptions gridLines="1"/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343C"/>
  </sheetPr>
  <dimension ref="A1"/>
  <sheetViews>
    <sheetView zoomScale="80" zoomScaleNormal="80" workbookViewId="0">
      <selection activeCell="H43" sqref="H43"/>
    </sheetView>
  </sheetViews>
  <sheetFormatPr defaultColWidth="8.83984375" defaultRowHeight="14.4"/>
  <cols>
    <col min="1" max="16384" width="8.83984375" style="15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0" zoomScaleNormal="80" workbookViewId="0">
      <selection activeCell="C7" sqref="C7"/>
    </sheetView>
  </sheetViews>
  <sheetFormatPr defaultColWidth="8.83984375" defaultRowHeight="12.9"/>
  <cols>
    <col min="1" max="1" width="1.68359375" style="25" customWidth="1"/>
    <col min="2" max="2" width="45.68359375" style="25" customWidth="1"/>
    <col min="3" max="6" width="12.68359375" style="25" customWidth="1"/>
    <col min="7" max="7" width="2.26171875" style="74" customWidth="1"/>
    <col min="8" max="8" width="12.578125" style="46" customWidth="1"/>
    <col min="9" max="9" width="1" style="46" customWidth="1"/>
    <col min="10" max="12" width="8.83984375" style="25"/>
    <col min="13" max="13" width="9.83984375" style="25" bestFit="1" customWidth="1"/>
    <col min="14" max="16384" width="8.83984375" style="25"/>
  </cols>
  <sheetData>
    <row r="1" spans="1:15" s="15" customFormat="1" ht="20.399999999999999" thickBot="1">
      <c r="A1" s="17" t="str">
        <f>Cover!$B$17</f>
        <v>Boccella Precast</v>
      </c>
      <c r="B1" s="16"/>
      <c r="C1" s="16"/>
      <c r="D1" s="16"/>
      <c r="E1" s="16"/>
      <c r="F1" s="16"/>
      <c r="G1" s="356"/>
      <c r="H1" s="16"/>
      <c r="I1" s="43"/>
    </row>
    <row r="2" spans="1:15">
      <c r="A2" s="25" t="s">
        <v>1</v>
      </c>
      <c r="H2" s="25"/>
    </row>
    <row r="3" spans="1:15">
      <c r="H3" s="25"/>
    </row>
    <row r="4" spans="1:15">
      <c r="H4" s="25"/>
    </row>
    <row r="5" spans="1:15">
      <c r="B5" s="327" t="s">
        <v>2</v>
      </c>
      <c r="C5" s="327"/>
      <c r="D5" s="327"/>
      <c r="E5" s="327"/>
      <c r="F5" s="327"/>
      <c r="G5" s="357"/>
      <c r="H5" s="362" t="s">
        <v>392</v>
      </c>
    </row>
    <row r="6" spans="1:15">
      <c r="B6" s="18" t="s">
        <v>3</v>
      </c>
      <c r="C6" s="19" t="s">
        <v>401</v>
      </c>
      <c r="D6" s="19"/>
      <c r="E6" s="19"/>
      <c r="F6" s="19" t="s">
        <v>509</v>
      </c>
      <c r="H6" s="359"/>
    </row>
    <row r="7" spans="1:15" ht="13.2" thickBot="1">
      <c r="B7" s="20"/>
      <c r="C7" s="21">
        <v>41639</v>
      </c>
      <c r="D7" s="22">
        <f>EOMONTH(C7,12)</f>
        <v>42004</v>
      </c>
      <c r="E7" s="22">
        <f>EOMONTH(D7,12)</f>
        <v>42369</v>
      </c>
      <c r="F7" s="473" t="s">
        <v>510</v>
      </c>
      <c r="H7" s="164">
        <v>2016</v>
      </c>
    </row>
    <row r="8" spans="1:15">
      <c r="B8" s="23" t="s">
        <v>4</v>
      </c>
      <c r="C8" s="24"/>
      <c r="D8" s="24"/>
    </row>
    <row r="9" spans="1:15">
      <c r="B9" s="25" t="s">
        <v>5</v>
      </c>
      <c r="C9" s="375">
        <v>0</v>
      </c>
      <c r="D9" s="375">
        <v>244.97800000000001</v>
      </c>
      <c r="E9" s="375">
        <v>317.18900000000002</v>
      </c>
      <c r="F9" s="375">
        <f>23.37197+226.11597+181.58417+0.32+1.164+920.75501</f>
        <v>1353.3111199999998</v>
      </c>
      <c r="H9" s="27">
        <v>0</v>
      </c>
      <c r="I9" s="360"/>
      <c r="J9" s="361"/>
      <c r="K9" s="386"/>
      <c r="M9" s="386"/>
      <c r="O9" s="386"/>
    </row>
    <row r="10" spans="1:15">
      <c r="B10" s="28" t="s">
        <v>6</v>
      </c>
      <c r="C10" s="26">
        <v>2677</v>
      </c>
      <c r="D10" s="26">
        <v>2496.6959999999999</v>
      </c>
      <c r="E10" s="26">
        <v>4663.7259999999997</v>
      </c>
      <c r="F10" s="26">
        <v>6801.8630000000003</v>
      </c>
      <c r="H10" s="26">
        <f>F10</f>
        <v>6801.8630000000003</v>
      </c>
      <c r="I10" s="225"/>
    </row>
    <row r="11" spans="1:15">
      <c r="B11" s="28" t="s">
        <v>386</v>
      </c>
      <c r="C11" s="26">
        <v>2500</v>
      </c>
      <c r="D11" s="26">
        <v>46.923000000000002</v>
      </c>
      <c r="E11" s="26">
        <v>76.66</v>
      </c>
      <c r="F11" s="26">
        <v>46.923000000000002</v>
      </c>
      <c r="H11" s="26">
        <f>F11</f>
        <v>46.923000000000002</v>
      </c>
    </row>
    <row r="12" spans="1:15">
      <c r="B12" s="28" t="s">
        <v>258</v>
      </c>
      <c r="C12" s="26">
        <v>0</v>
      </c>
      <c r="D12" s="26">
        <v>0.29499999999999998</v>
      </c>
      <c r="E12" s="26">
        <v>0.29499999999999998</v>
      </c>
      <c r="F12" s="26">
        <v>0</v>
      </c>
      <c r="H12" s="26">
        <f>E12</f>
        <v>0.29499999999999998</v>
      </c>
    </row>
    <row r="13" spans="1:15">
      <c r="B13" s="25" t="s">
        <v>7</v>
      </c>
      <c r="C13" s="29">
        <f>SUM(C9:C12)</f>
        <v>5177</v>
      </c>
      <c r="D13" s="29">
        <f>SUM(D9:D12)</f>
        <v>2788.8919999999998</v>
      </c>
      <c r="E13" s="29">
        <f>SUM(E9:E12)</f>
        <v>5057.87</v>
      </c>
      <c r="F13" s="29">
        <f>SUM(F9:F12)</f>
        <v>8202.0971200000004</v>
      </c>
      <c r="H13" s="29">
        <f>SUM(H9:H12)</f>
        <v>6849.0810000000001</v>
      </c>
    </row>
    <row r="14" spans="1:15">
      <c r="C14" s="24"/>
      <c r="D14" s="24"/>
      <c r="E14" s="24"/>
      <c r="F14" s="24"/>
    </row>
    <row r="15" spans="1:15">
      <c r="B15" s="23" t="s">
        <v>8</v>
      </c>
      <c r="C15" s="24"/>
      <c r="D15" s="24"/>
      <c r="E15" s="24"/>
      <c r="F15" s="24"/>
    </row>
    <row r="16" spans="1:15">
      <c r="B16" s="25" t="s">
        <v>9</v>
      </c>
      <c r="C16" s="26">
        <v>0</v>
      </c>
      <c r="D16" s="26">
        <v>0</v>
      </c>
      <c r="E16" s="372"/>
      <c r="F16" s="372"/>
      <c r="H16" s="26">
        <f>E16</f>
        <v>0</v>
      </c>
    </row>
    <row r="17" spans="2:8">
      <c r="B17" s="25" t="s">
        <v>10</v>
      </c>
      <c r="C17" s="26">
        <v>0</v>
      </c>
      <c r="D17" s="26">
        <v>0</v>
      </c>
      <c r="E17" s="372"/>
      <c r="F17" s="372"/>
      <c r="H17" s="26">
        <f>E17</f>
        <v>0</v>
      </c>
    </row>
    <row r="18" spans="2:8">
      <c r="B18" s="25" t="s">
        <v>11</v>
      </c>
      <c r="C18" s="381">
        <v>4596</v>
      </c>
      <c r="D18" s="381">
        <v>61.131999999999998</v>
      </c>
      <c r="E18" s="381">
        <v>38.741</v>
      </c>
      <c r="F18" s="381">
        <v>478.49677000000003</v>
      </c>
      <c r="H18" s="381">
        <f>F18</f>
        <v>478.49677000000003</v>
      </c>
    </row>
    <row r="19" spans="2:8">
      <c r="C19" s="30"/>
      <c r="D19" s="30"/>
      <c r="E19" s="30"/>
      <c r="F19" s="30"/>
    </row>
    <row r="20" spans="2:8">
      <c r="B20" s="23" t="s">
        <v>12</v>
      </c>
      <c r="C20" s="30"/>
      <c r="D20" s="30"/>
      <c r="E20" s="30"/>
      <c r="F20" s="30"/>
    </row>
    <row r="21" spans="2:8">
      <c r="B21" s="25" t="s">
        <v>12</v>
      </c>
      <c r="C21" s="31">
        <v>105</v>
      </c>
      <c r="D21" s="31">
        <v>1237.8389999999999</v>
      </c>
      <c r="E21" s="31">
        <v>1329.646</v>
      </c>
      <c r="F21" s="31">
        <v>1530.3693699999999</v>
      </c>
      <c r="H21" s="31">
        <f>F21</f>
        <v>1530.3693699999999</v>
      </c>
    </row>
    <row r="22" spans="2:8">
      <c r="B22" s="25" t="s">
        <v>13</v>
      </c>
      <c r="C22" s="30">
        <f>SUM(C21:C21)</f>
        <v>105</v>
      </c>
      <c r="D22" s="30">
        <f>SUM(D21:D21)</f>
        <v>1237.8389999999999</v>
      </c>
      <c r="E22" s="30">
        <f>SUM(E21:E21)</f>
        <v>1329.646</v>
      </c>
      <c r="F22" s="30">
        <f>SUM(F21:F21)</f>
        <v>1530.3693699999999</v>
      </c>
      <c r="H22" s="30">
        <f>SUM(H21)</f>
        <v>1530.3693699999999</v>
      </c>
    </row>
    <row r="23" spans="2:8">
      <c r="C23" s="30"/>
      <c r="D23" s="30"/>
      <c r="E23" s="30"/>
      <c r="F23" s="30"/>
      <c r="H23" s="30"/>
    </row>
    <row r="24" spans="2:8" ht="13.2" thickBot="1">
      <c r="B24" s="32" t="s">
        <v>14</v>
      </c>
      <c r="C24" s="33">
        <f>C13+C18+C22</f>
        <v>9878</v>
      </c>
      <c r="D24" s="33">
        <f>D13+D18+D22</f>
        <v>4087.8629999999998</v>
      </c>
      <c r="E24" s="33">
        <f>E13+E18+E22</f>
        <v>6426.2569999999996</v>
      </c>
      <c r="F24" s="33">
        <f>F13+F18+F22</f>
        <v>10210.96326</v>
      </c>
      <c r="H24" s="33">
        <f>H13+H18+H22</f>
        <v>8857.9471400000002</v>
      </c>
    </row>
    <row r="25" spans="2:8">
      <c r="C25" s="24"/>
      <c r="D25" s="24"/>
      <c r="E25" s="24"/>
      <c r="F25" s="24"/>
    </row>
    <row r="26" spans="2:8">
      <c r="B26" s="23" t="s">
        <v>15</v>
      </c>
      <c r="C26" s="24"/>
      <c r="D26" s="24"/>
      <c r="E26" s="24"/>
      <c r="F26" s="24"/>
    </row>
    <row r="27" spans="2:8">
      <c r="B27" s="25" t="s">
        <v>16</v>
      </c>
      <c r="C27" s="27">
        <v>215</v>
      </c>
      <c r="D27" s="27">
        <v>1053.6659999999999</v>
      </c>
      <c r="E27" s="27">
        <v>2615.6480000000001</v>
      </c>
      <c r="F27" s="27">
        <v>3423.6409399999998</v>
      </c>
      <c r="H27" s="27">
        <f>F27</f>
        <v>3423.6409399999998</v>
      </c>
    </row>
    <row r="28" spans="2:8">
      <c r="B28" s="28" t="s">
        <v>17</v>
      </c>
      <c r="C28" s="26">
        <v>82</v>
      </c>
      <c r="D28" s="26">
        <f>1162.155-D27</f>
        <v>108.48900000000003</v>
      </c>
      <c r="E28" s="26">
        <f>2628.363-E27</f>
        <v>12.714999999999691</v>
      </c>
      <c r="F28" s="26">
        <f>3483.68679-F27</f>
        <v>60.045850000000428</v>
      </c>
      <c r="H28" s="26">
        <f>F28</f>
        <v>60.045850000000428</v>
      </c>
    </row>
    <row r="29" spans="2:8">
      <c r="B29" s="25" t="s">
        <v>18</v>
      </c>
      <c r="C29" s="29">
        <f>SUM(C27:C28)</f>
        <v>297</v>
      </c>
      <c r="D29" s="29">
        <f>SUM(D27:D28)</f>
        <v>1162.155</v>
      </c>
      <c r="E29" s="29">
        <f>SUM(E27:E28)</f>
        <v>2628.3629999999998</v>
      </c>
      <c r="F29" s="29">
        <f>SUM(F27:F28)</f>
        <v>3483.6867900000002</v>
      </c>
      <c r="H29" s="29">
        <f>SUM(H27:H28)</f>
        <v>3483.6867900000002</v>
      </c>
    </row>
    <row r="30" spans="2:8">
      <c r="C30" s="24"/>
      <c r="D30" s="24"/>
      <c r="E30" s="24"/>
      <c r="F30" s="24"/>
    </row>
    <row r="31" spans="2:8">
      <c r="B31" s="23" t="s">
        <v>19</v>
      </c>
      <c r="C31" s="24"/>
      <c r="D31" s="24"/>
      <c r="E31" s="24"/>
      <c r="F31" s="24"/>
    </row>
    <row r="32" spans="2:8">
      <c r="B32" s="25" t="s">
        <v>20</v>
      </c>
      <c r="C32" s="26">
        <v>0</v>
      </c>
      <c r="D32" s="26">
        <v>154.95699999999934</v>
      </c>
      <c r="E32" s="26">
        <v>226.52</v>
      </c>
      <c r="F32" s="26">
        <v>74.998249999999899</v>
      </c>
      <c r="H32" s="26">
        <v>0</v>
      </c>
    </row>
    <row r="33" spans="2:8">
      <c r="C33" s="26"/>
      <c r="D33" s="26"/>
      <c r="E33" s="26"/>
      <c r="F33" s="26"/>
      <c r="H33" s="26"/>
    </row>
    <row r="34" spans="2:8">
      <c r="B34" s="23" t="s">
        <v>136</v>
      </c>
      <c r="C34" s="26"/>
      <c r="D34" s="26"/>
      <c r="E34" s="26"/>
      <c r="F34" s="26"/>
      <c r="H34" s="26"/>
    </row>
    <row r="35" spans="2:8">
      <c r="B35" s="25" t="s">
        <v>387</v>
      </c>
      <c r="C35" s="26">
        <v>0</v>
      </c>
      <c r="D35" s="26">
        <v>0</v>
      </c>
      <c r="E35" s="26">
        <v>0</v>
      </c>
      <c r="F35" s="26">
        <v>0</v>
      </c>
      <c r="H35" s="26">
        <v>0</v>
      </c>
    </row>
    <row r="36" spans="2:8">
      <c r="C36" s="24"/>
      <c r="D36" s="24"/>
      <c r="E36" s="24"/>
      <c r="F36" s="24"/>
      <c r="H36" s="24"/>
    </row>
    <row r="37" spans="2:8">
      <c r="B37" s="25" t="s">
        <v>21</v>
      </c>
      <c r="C37" s="26">
        <v>9581</v>
      </c>
      <c r="D37" s="34">
        <v>2770.7510000000002</v>
      </c>
      <c r="E37" s="34">
        <v>3571.3739999999998</v>
      </c>
      <c r="F37" s="34">
        <v>6652.2782200000001</v>
      </c>
      <c r="G37" s="358"/>
      <c r="H37" s="34">
        <f>H24-H29</f>
        <v>5374.2603500000005</v>
      </c>
    </row>
    <row r="38" spans="2:8">
      <c r="C38" s="24"/>
      <c r="D38" s="24"/>
      <c r="E38" s="24"/>
      <c r="F38" s="24"/>
      <c r="H38" s="24"/>
    </row>
    <row r="39" spans="2:8" ht="13.2" thickBot="1">
      <c r="B39" s="32" t="s">
        <v>22</v>
      </c>
      <c r="C39" s="35">
        <f>C29+C32+C37</f>
        <v>9878</v>
      </c>
      <c r="D39" s="35">
        <f>D29+D32+D37</f>
        <v>4087.8629999999994</v>
      </c>
      <c r="E39" s="35">
        <f>E29+E32+E35+E37</f>
        <v>6426.2569999999996</v>
      </c>
      <c r="F39" s="35">
        <f>F29+F32+F35+F37</f>
        <v>10210.96326</v>
      </c>
      <c r="H39" s="35">
        <f>H29+H32+H35+H37</f>
        <v>8857.9471400000002</v>
      </c>
    </row>
    <row r="40" spans="2:8">
      <c r="B40" s="36" t="s">
        <v>23</v>
      </c>
      <c r="C40" s="37">
        <f>+C24-C39</f>
        <v>0</v>
      </c>
      <c r="D40" s="37">
        <f>+D24-D39</f>
        <v>0</v>
      </c>
      <c r="E40" s="37">
        <f>+E24-E39</f>
        <v>0</v>
      </c>
      <c r="F40" s="37">
        <f>+F24-F39</f>
        <v>0</v>
      </c>
      <c r="H40" s="37">
        <f>+H24-H39</f>
        <v>0</v>
      </c>
    </row>
    <row r="41" spans="2:8">
      <c r="C41" s="24"/>
      <c r="D41" s="24"/>
      <c r="E41" s="24"/>
      <c r="F41" s="24"/>
    </row>
    <row r="42" spans="2:8">
      <c r="C42" s="24"/>
      <c r="D42" s="24"/>
      <c r="E42" s="24"/>
      <c r="F42" s="24"/>
    </row>
    <row r="43" spans="2:8">
      <c r="B43" s="25" t="s">
        <v>24</v>
      </c>
      <c r="C43" s="38">
        <f>'Income Statement'!C8</f>
        <v>0</v>
      </c>
      <c r="D43" s="38">
        <f>'Income Statement'!D8</f>
        <v>11022.367</v>
      </c>
      <c r="E43" s="38">
        <f>'Income Statement'!E8</f>
        <v>16064.5</v>
      </c>
      <c r="F43" s="38">
        <f>'Income Statement'!F8</f>
        <v>23605</v>
      </c>
      <c r="H43" s="38">
        <f>'Income Statement'!F8</f>
        <v>23605</v>
      </c>
    </row>
    <row r="44" spans="2:8">
      <c r="B44" s="25" t="s">
        <v>25</v>
      </c>
      <c r="C44" s="38">
        <f>'Income Statement'!C10</f>
        <v>0</v>
      </c>
      <c r="D44" s="38">
        <f>'Income Statement'!D10</f>
        <v>7623.8909999999996</v>
      </c>
      <c r="E44" s="38">
        <f>'Income Statement'!E10</f>
        <v>11921</v>
      </c>
      <c r="F44" s="38">
        <f>'Income Statement'!F10</f>
        <v>15909</v>
      </c>
      <c r="H44" s="38">
        <f>'Income Statement'!F10</f>
        <v>15909</v>
      </c>
    </row>
    <row r="45" spans="2:8">
      <c r="C45" s="24"/>
      <c r="D45" s="24"/>
      <c r="E45" s="24"/>
      <c r="F45" s="24"/>
    </row>
    <row r="46" spans="2:8">
      <c r="B46" s="39" t="s">
        <v>26</v>
      </c>
    </row>
    <row r="47" spans="2:8">
      <c r="B47" s="25" t="s">
        <v>27</v>
      </c>
      <c r="C47" s="40" t="e">
        <f t="shared" ref="C47:E48" si="0">C10/C43*365</f>
        <v>#DIV/0!</v>
      </c>
      <c r="D47" s="40">
        <f t="shared" si="0"/>
        <v>82.676800727103341</v>
      </c>
      <c r="E47" s="40">
        <f t="shared" si="0"/>
        <v>105.96408167076473</v>
      </c>
      <c r="F47" s="40">
        <f>F10/F43*365</f>
        <v>105.17602181741158</v>
      </c>
      <c r="H47" s="40">
        <f>H10/H43*365</f>
        <v>105.17602181741158</v>
      </c>
    </row>
    <row r="48" spans="2:8">
      <c r="B48" s="25" t="s">
        <v>28</v>
      </c>
      <c r="C48" s="40" t="e">
        <f t="shared" si="0"/>
        <v>#DIV/0!</v>
      </c>
      <c r="D48" s="40">
        <f t="shared" si="0"/>
        <v>2.2464768974267866</v>
      </c>
      <c r="E48" s="40">
        <f t="shared" si="0"/>
        <v>2.3471940273466991</v>
      </c>
      <c r="F48" s="40">
        <f>F11/F44*365</f>
        <v>1.0765538374504997</v>
      </c>
      <c r="H48" s="40">
        <f>H11/H44*365</f>
        <v>1.0765538374504997</v>
      </c>
    </row>
    <row r="49" spans="2:8">
      <c r="B49" s="25" t="s">
        <v>29</v>
      </c>
      <c r="C49" s="41" t="e">
        <f>C22/C43</f>
        <v>#DIV/0!</v>
      </c>
      <c r="D49" s="41">
        <f>D22/D43</f>
        <v>0.11230246643030485</v>
      </c>
      <c r="E49" s="41">
        <f>E22/E43</f>
        <v>8.2769211615674312E-2</v>
      </c>
      <c r="F49" s="41">
        <f>F22/F43</f>
        <v>6.4832424062698582E-2</v>
      </c>
      <c r="H49" s="41">
        <f>H22/H43</f>
        <v>6.4832424062698582E-2</v>
      </c>
    </row>
    <row r="50" spans="2:8">
      <c r="B50" s="25" t="s">
        <v>30</v>
      </c>
      <c r="C50" s="40" t="e">
        <f>C27/C44*365</f>
        <v>#DIV/0!</v>
      </c>
      <c r="D50" s="40">
        <f>D27/D44*365</f>
        <v>50.445119165528467</v>
      </c>
      <c r="E50" s="40">
        <f>E27/E44*365</f>
        <v>80.08652965355256</v>
      </c>
      <c r="F50" s="40">
        <f>F27/F44*365</f>
        <v>78.548553843736244</v>
      </c>
      <c r="H50" s="40">
        <f>H27/H44*365</f>
        <v>78.548553843736244</v>
      </c>
    </row>
    <row r="51" spans="2:8">
      <c r="B51" s="25" t="s">
        <v>31</v>
      </c>
      <c r="C51" s="41" t="e">
        <f>C28/C44</f>
        <v>#DIV/0!</v>
      </c>
      <c r="D51" s="41">
        <f>D28/D44</f>
        <v>1.4230135241965033E-2</v>
      </c>
      <c r="E51" s="41">
        <f>E28/E44</f>
        <v>1.0666051505745903E-3</v>
      </c>
      <c r="F51" s="41">
        <f>F28/F44</f>
        <v>3.7743321390408214E-3</v>
      </c>
      <c r="H51" s="41">
        <f>H28/H44</f>
        <v>3.7743321390408214E-3</v>
      </c>
    </row>
    <row r="52" spans="2:8" ht="6" customHeight="1"/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C7" zoomScale="80" zoomScaleNormal="80" workbookViewId="0">
      <selection activeCell="F33" sqref="F33"/>
    </sheetView>
  </sheetViews>
  <sheetFormatPr defaultColWidth="8.83984375" defaultRowHeight="12.9"/>
  <cols>
    <col min="1" max="1" width="1.68359375" style="25" customWidth="1"/>
    <col min="2" max="2" width="44.26171875" style="25" bestFit="1" customWidth="1"/>
    <col min="3" max="7" width="12.68359375" style="25" customWidth="1"/>
    <col min="8" max="9" width="8.83984375" style="25"/>
    <col min="10" max="15" width="9.578125" style="25" bestFit="1" customWidth="1"/>
    <col min="16" max="16384" width="8.83984375" style="25"/>
  </cols>
  <sheetData>
    <row r="1" spans="1:13" s="15" customFormat="1" ht="20.399999999999999" thickBot="1">
      <c r="A1" s="17" t="str">
        <f>Cover!$B$17</f>
        <v>Boccella Precast</v>
      </c>
      <c r="B1" s="16"/>
      <c r="C1" s="16"/>
      <c r="D1" s="16"/>
      <c r="E1" s="16"/>
      <c r="F1" s="16"/>
      <c r="G1" s="16"/>
    </row>
    <row r="2" spans="1:13">
      <c r="A2" s="25" t="s">
        <v>32</v>
      </c>
    </row>
    <row r="5" spans="1:13">
      <c r="B5" s="327" t="s">
        <v>33</v>
      </c>
      <c r="C5" s="328"/>
      <c r="D5" s="328"/>
      <c r="E5" s="328"/>
      <c r="F5" s="328"/>
      <c r="G5" s="328"/>
    </row>
    <row r="6" spans="1:13">
      <c r="B6" s="18" t="s">
        <v>3</v>
      </c>
      <c r="C6" s="19" t="str">
        <f>'Balance Sheet'!C6</f>
        <v>Historical Year Ending 12/31</v>
      </c>
      <c r="D6" s="19"/>
      <c r="E6" s="19"/>
      <c r="F6" s="19"/>
      <c r="G6" s="19"/>
    </row>
    <row r="7" spans="1:13" ht="13.2" thickBot="1">
      <c r="B7" s="20"/>
      <c r="C7" s="45">
        <f>'Balance Sheet'!C7</f>
        <v>41639</v>
      </c>
      <c r="D7" s="45">
        <f>'Balance Sheet'!D7</f>
        <v>42004</v>
      </c>
      <c r="E7" s="45">
        <f>'Balance Sheet'!E7</f>
        <v>42369</v>
      </c>
      <c r="F7" s="424">
        <f>E7+1</f>
        <v>42370</v>
      </c>
      <c r="G7" s="424" t="s">
        <v>506</v>
      </c>
      <c r="J7" s="373"/>
      <c r="K7" s="373"/>
      <c r="L7" s="373"/>
      <c r="M7" s="373"/>
    </row>
    <row r="8" spans="1:13">
      <c r="B8" s="47" t="s">
        <v>388</v>
      </c>
      <c r="C8" s="429">
        <v>0</v>
      </c>
      <c r="D8" s="470">
        <f>'P&amp;L'!C9</f>
        <v>11022.367</v>
      </c>
      <c r="E8" s="470">
        <f>'P&amp;L'!D9</f>
        <v>16064.5</v>
      </c>
      <c r="F8" s="471">
        <f>'P&amp;L'!E9</f>
        <v>23605</v>
      </c>
      <c r="G8" s="471">
        <f>'P&amp;L'!F9</f>
        <v>29462.567999999999</v>
      </c>
      <c r="J8" s="373"/>
      <c r="K8" s="373"/>
      <c r="L8" s="373"/>
      <c r="M8" s="373"/>
    </row>
    <row r="9" spans="1:13">
      <c r="B9" s="47"/>
      <c r="C9" s="346"/>
      <c r="D9" s="472"/>
      <c r="E9" s="472"/>
      <c r="F9" s="472"/>
      <c r="G9" s="472"/>
      <c r="J9" s="373"/>
      <c r="K9" s="373"/>
      <c r="L9" s="373"/>
      <c r="M9" s="373"/>
    </row>
    <row r="10" spans="1:13">
      <c r="B10" s="47" t="s">
        <v>34</v>
      </c>
      <c r="C10" s="306">
        <v>0</v>
      </c>
      <c r="D10" s="466">
        <f>'P&amp;L'!C22</f>
        <v>7623.8909999999996</v>
      </c>
      <c r="E10" s="466">
        <f>'P&amp;L'!D22</f>
        <v>11921</v>
      </c>
      <c r="F10" s="472">
        <f>'P&amp;L'!E22</f>
        <v>15909</v>
      </c>
      <c r="G10" s="472">
        <f>'P&amp;L'!F22</f>
        <v>20435.780999999999</v>
      </c>
      <c r="J10" s="374"/>
      <c r="K10" s="374"/>
      <c r="L10" s="374"/>
      <c r="M10" s="374"/>
    </row>
    <row r="11" spans="1:13">
      <c r="C11" s="48"/>
      <c r="D11" s="24"/>
      <c r="E11" s="24"/>
      <c r="F11" s="24"/>
      <c r="G11" s="24"/>
      <c r="J11" s="373"/>
      <c r="K11" s="373"/>
      <c r="L11" s="373"/>
      <c r="M11" s="373"/>
    </row>
    <row r="12" spans="1:13">
      <c r="B12" s="314" t="s">
        <v>35</v>
      </c>
      <c r="C12" s="315">
        <f>C8-C10</f>
        <v>0</v>
      </c>
      <c r="D12" s="315">
        <f>D8-D10</f>
        <v>3398.4760000000006</v>
      </c>
      <c r="E12" s="315">
        <f>E8-E10</f>
        <v>4143.5</v>
      </c>
      <c r="F12" s="315">
        <f>F8-F10</f>
        <v>7696</v>
      </c>
      <c r="G12" s="315">
        <f>G8-G10</f>
        <v>9026.7870000000003</v>
      </c>
      <c r="J12" s="373"/>
      <c r="K12" s="373"/>
      <c r="L12" s="373"/>
      <c r="M12" s="373"/>
    </row>
    <row r="13" spans="1:13" ht="13.2" thickBot="1">
      <c r="B13" s="316" t="s">
        <v>36</v>
      </c>
      <c r="C13" s="317" t="e">
        <f>C12/C8</f>
        <v>#DIV/0!</v>
      </c>
      <c r="D13" s="317">
        <f>D12/D8</f>
        <v>0.30832542592711715</v>
      </c>
      <c r="E13" s="317">
        <f>E12/E8</f>
        <v>0.25792897382427094</v>
      </c>
      <c r="F13" s="317">
        <f>F12/F8</f>
        <v>0.32603262020758311</v>
      </c>
      <c r="G13" s="317">
        <f>G12/G8</f>
        <v>0.30638154148681135</v>
      </c>
      <c r="J13" s="373"/>
      <c r="K13" s="373"/>
      <c r="L13" s="373"/>
      <c r="M13" s="373"/>
    </row>
    <row r="14" spans="1:13">
      <c r="J14" s="374"/>
      <c r="K14" s="374"/>
      <c r="L14" s="374"/>
      <c r="M14" s="374"/>
    </row>
    <row r="15" spans="1:13">
      <c r="B15" s="47" t="s">
        <v>39</v>
      </c>
      <c r="C15" s="246">
        <v>0</v>
      </c>
      <c r="D15" s="467">
        <f>'P&amp;L'!C48-SUM('P&amp;L'!C52:C53,'P&amp;L'!C56:C57)</f>
        <v>1160.806</v>
      </c>
      <c r="E15" s="467">
        <f>(2133+232)+-490.073</f>
        <v>1874.9269999999999</v>
      </c>
      <c r="F15" s="467">
        <v>3013.4229999999998</v>
      </c>
      <c r="G15" s="467">
        <f>'P&amp;L'!F48-SUM('P&amp;L'!F52:F53,'P&amp;L'!F56:F57)</f>
        <v>2356.4549999999999</v>
      </c>
      <c r="H15" s="48" t="s">
        <v>508</v>
      </c>
      <c r="I15" s="48"/>
      <c r="J15" s="48"/>
      <c r="K15" s="48"/>
      <c r="L15" s="373"/>
      <c r="M15" s="373"/>
    </row>
    <row r="16" spans="1:13">
      <c r="B16" s="20" t="s">
        <v>355</v>
      </c>
      <c r="C16" s="347" t="e">
        <f>C15/C8</f>
        <v>#DIV/0!</v>
      </c>
      <c r="D16" s="347">
        <f>D15/D8</f>
        <v>0.10531367718022817</v>
      </c>
      <c r="E16" s="347">
        <f>E15/E8</f>
        <v>0.11671244047433782</v>
      </c>
      <c r="F16" s="347">
        <f>F15/F8</f>
        <v>0.12766036856598179</v>
      </c>
      <c r="G16" s="347">
        <f>G15/G8</f>
        <v>7.9981317310833189E-2</v>
      </c>
      <c r="J16" s="373"/>
      <c r="K16" s="373"/>
      <c r="L16" s="373"/>
      <c r="M16" s="373"/>
    </row>
    <row r="17" spans="2:13">
      <c r="B17" s="20"/>
      <c r="C17" s="347"/>
      <c r="D17" s="347"/>
      <c r="E17" s="347"/>
      <c r="F17" s="347"/>
      <c r="G17" s="347"/>
      <c r="J17" s="374"/>
      <c r="K17" s="374"/>
      <c r="L17" s="374"/>
      <c r="M17" s="374"/>
    </row>
    <row r="18" spans="2:13">
      <c r="B18" s="50" t="s">
        <v>40</v>
      </c>
      <c r="C18" s="49">
        <f>C12-C15</f>
        <v>0</v>
      </c>
      <c r="D18" s="49">
        <f>D12-D15</f>
        <v>2237.6700000000005</v>
      </c>
      <c r="E18" s="481">
        <f>E12-E15</f>
        <v>2268.5730000000003</v>
      </c>
      <c r="F18" s="49">
        <f>F12-F15</f>
        <v>4682.5770000000002</v>
      </c>
      <c r="G18" s="49">
        <f>G12-G15</f>
        <v>6670.3320000000003</v>
      </c>
    </row>
    <row r="19" spans="2:13" ht="13.2" thickBot="1">
      <c r="B19" s="51" t="s">
        <v>41</v>
      </c>
      <c r="C19" s="52" t="e">
        <f>C18/C8</f>
        <v>#DIV/0!</v>
      </c>
      <c r="D19" s="52">
        <f>D18/D8</f>
        <v>0.20301174874688899</v>
      </c>
      <c r="E19" s="52">
        <f>E18/E8</f>
        <v>0.14121653334993312</v>
      </c>
      <c r="F19" s="52">
        <f>F18/F8</f>
        <v>0.19837225164160135</v>
      </c>
      <c r="G19" s="52">
        <f>G18/G8</f>
        <v>0.22640022417597816</v>
      </c>
    </row>
    <row r="20" spans="2:13">
      <c r="C20" s="24"/>
      <c r="E20" s="24"/>
      <c r="F20" s="24"/>
    </row>
    <row r="21" spans="2:13">
      <c r="B21" s="23" t="s">
        <v>47</v>
      </c>
    </row>
    <row r="22" spans="2:13">
      <c r="B22" s="25" t="s">
        <v>47</v>
      </c>
      <c r="C22" s="246">
        <v>0</v>
      </c>
      <c r="D22" s="246">
        <v>0</v>
      </c>
      <c r="E22" s="246">
        <v>0</v>
      </c>
      <c r="F22" s="246">
        <v>0</v>
      </c>
      <c r="G22" s="246">
        <v>0</v>
      </c>
    </row>
    <row r="23" spans="2:13">
      <c r="B23" s="25" t="s">
        <v>48</v>
      </c>
      <c r="C23" s="29">
        <f>SUM(C22:C22)</f>
        <v>0</v>
      </c>
      <c r="D23" s="29">
        <f>SUM(D22:D22)</f>
        <v>0</v>
      </c>
      <c r="E23" s="29">
        <f>SUM(E22:E22)</f>
        <v>0</v>
      </c>
      <c r="F23" s="29">
        <f>SUM(F22:F22)</f>
        <v>0</v>
      </c>
      <c r="G23" s="29">
        <f>SUM(G22:G22)</f>
        <v>0</v>
      </c>
    </row>
    <row r="25" spans="2:13" ht="13.2" thickBot="1">
      <c r="B25" s="32" t="s">
        <v>49</v>
      </c>
      <c r="C25" s="35">
        <f>C18+C23</f>
        <v>0</v>
      </c>
      <c r="D25" s="35">
        <f>D18+D23</f>
        <v>2237.6700000000005</v>
      </c>
      <c r="E25" s="35">
        <f>E18+E23</f>
        <v>2268.5730000000003</v>
      </c>
      <c r="F25" s="35">
        <f>F18+F23</f>
        <v>4682.5770000000002</v>
      </c>
      <c r="G25" s="35">
        <f>G18+G23</f>
        <v>6670.3320000000003</v>
      </c>
    </row>
    <row r="26" spans="2:13">
      <c r="C26" s="24"/>
    </row>
    <row r="27" spans="2:13">
      <c r="B27" s="23" t="s">
        <v>42</v>
      </c>
      <c r="C27" s="46"/>
      <c r="D27" s="46"/>
      <c r="E27" s="46"/>
      <c r="F27" s="46"/>
      <c r="G27" s="46"/>
    </row>
    <row r="28" spans="2:13">
      <c r="B28" s="25" t="s">
        <v>43</v>
      </c>
      <c r="C28" s="306">
        <v>0</v>
      </c>
      <c r="D28" s="466">
        <f>'P&amp;L'!C55</f>
        <v>41.999000000000002</v>
      </c>
      <c r="E28" s="466">
        <v>0</v>
      </c>
      <c r="F28" s="466">
        <v>339</v>
      </c>
      <c r="G28" s="466">
        <f>'P&amp;L'!F55</f>
        <v>45.295000000000002</v>
      </c>
    </row>
    <row r="29" spans="2:13">
      <c r="B29" s="25" t="s">
        <v>507</v>
      </c>
      <c r="C29" s="306"/>
      <c r="D29" s="466">
        <f>'P&amp;L'!C54</f>
        <v>15.615</v>
      </c>
      <c r="E29" s="466">
        <f>'P&amp;L'!D54</f>
        <v>14.427</v>
      </c>
      <c r="F29" s="466">
        <f>'P&amp;L'!E54</f>
        <v>6.423</v>
      </c>
      <c r="G29" s="466">
        <f>'P&amp;L'!F54</f>
        <v>6</v>
      </c>
    </row>
    <row r="30" spans="2:13">
      <c r="C30" s="26"/>
      <c r="D30" s="26"/>
      <c r="E30" s="26"/>
      <c r="F30" s="26"/>
      <c r="G30" s="26"/>
    </row>
    <row r="31" spans="2:13">
      <c r="B31" s="314" t="s">
        <v>109</v>
      </c>
      <c r="C31" s="376">
        <f>+C25+C28</f>
        <v>0</v>
      </c>
      <c r="D31" s="376">
        <f>+D25+D28+D29</f>
        <v>2295.2840000000001</v>
      </c>
      <c r="E31" s="376">
        <f>+E25+E28+E29</f>
        <v>2283.0000000000005</v>
      </c>
      <c r="F31" s="376">
        <f>+F25+F28+F29</f>
        <v>5028</v>
      </c>
      <c r="G31" s="376">
        <f>+G25+G28</f>
        <v>6715.6270000000004</v>
      </c>
      <c r="H31" s="24"/>
    </row>
    <row r="32" spans="2:13" ht="13.2" thickBot="1">
      <c r="B32" s="318" t="s">
        <v>416</v>
      </c>
      <c r="C32" s="317" t="e">
        <f>C31/C8</f>
        <v>#DIV/0!</v>
      </c>
      <c r="D32" s="317">
        <f>D31/D8</f>
        <v>0.20823875670262115</v>
      </c>
      <c r="E32" s="317">
        <f>E31/E8</f>
        <v>0.14211460051666722</v>
      </c>
      <c r="F32" s="317">
        <f>F31/F8</f>
        <v>0.21300571912730354</v>
      </c>
      <c r="G32" s="317">
        <f>G31/G8</f>
        <v>0.22793759865059965</v>
      </c>
    </row>
    <row r="33" spans="2:7">
      <c r="C33" s="24"/>
    </row>
    <row r="35" spans="2:7">
      <c r="B35" s="25" t="s">
        <v>185</v>
      </c>
      <c r="C35" s="382">
        <v>0</v>
      </c>
      <c r="D35" s="382">
        <v>2082</v>
      </c>
      <c r="E35" s="382">
        <v>987</v>
      </c>
      <c r="F35" s="382">
        <v>500</v>
      </c>
      <c r="G35" s="382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343C"/>
  </sheetPr>
  <dimension ref="A1"/>
  <sheetViews>
    <sheetView zoomScale="80" zoomScaleNormal="80" workbookViewId="0"/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AU526"/>
  <sheetViews>
    <sheetView showGridLines="0" zoomScale="80" zoomScaleNormal="80" workbookViewId="0"/>
  </sheetViews>
  <sheetFormatPr defaultColWidth="8.83984375" defaultRowHeight="12.9" outlineLevelRow="1" outlineLevelCol="2"/>
  <cols>
    <col min="1" max="1" width="2.68359375" style="25" customWidth="1"/>
    <col min="2" max="2" width="12.578125" style="25" customWidth="1"/>
    <col min="3" max="4" width="12.68359375" style="25" customWidth="1"/>
    <col min="5" max="7" width="12.68359375" style="25" customWidth="1" outlineLevel="2"/>
    <col min="8" max="18" width="12.68359375" style="25" customWidth="1"/>
    <col min="19" max="19" width="29.578125" style="25" bestFit="1" customWidth="1"/>
    <col min="20" max="22" width="3.578125" style="25" customWidth="1"/>
    <col min="23" max="28" width="8.68359375" style="25" customWidth="1"/>
    <col min="29" max="16384" width="8.83984375" style="25"/>
  </cols>
  <sheetData>
    <row r="1" spans="1:23" ht="18.75" customHeight="1" thickBot="1">
      <c r="A1" s="17" t="str">
        <f>Cover!$B$17</f>
        <v>Boccella Precast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74"/>
    </row>
    <row r="2" spans="1:23">
      <c r="S2" s="74"/>
    </row>
    <row r="3" spans="1:23">
      <c r="A3" s="46"/>
      <c r="S3" s="74"/>
    </row>
    <row r="4" spans="1:23">
      <c r="A4" s="55" t="s">
        <v>51</v>
      </c>
      <c r="B4" s="327" t="s">
        <v>50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74"/>
    </row>
    <row r="5" spans="1:23">
      <c r="B5" s="25" t="s">
        <v>370</v>
      </c>
      <c r="D5" s="185">
        <v>1</v>
      </c>
      <c r="R5" s="187" t="str">
        <f ca="1">E498</f>
        <v>Active Case: Growth</v>
      </c>
      <c r="S5" s="74"/>
      <c r="W5" s="258" t="s">
        <v>287</v>
      </c>
    </row>
    <row r="6" spans="1:23">
      <c r="S6" s="74"/>
      <c r="W6" s="25" t="s">
        <v>95</v>
      </c>
    </row>
    <row r="7" spans="1:23">
      <c r="B7" s="39" t="s">
        <v>52</v>
      </c>
      <c r="H7" s="39" t="s">
        <v>76</v>
      </c>
      <c r="P7" s="39" t="s">
        <v>96</v>
      </c>
      <c r="S7" s="74"/>
      <c r="W7" s="25" t="s">
        <v>288</v>
      </c>
    </row>
    <row r="8" spans="1:23">
      <c r="B8" s="25" t="s">
        <v>362</v>
      </c>
      <c r="F8" s="199">
        <f ca="1">R22</f>
        <v>30000</v>
      </c>
      <c r="K8" s="66" t="s">
        <v>77</v>
      </c>
      <c r="L8" s="66" t="s">
        <v>78</v>
      </c>
      <c r="M8" s="66" t="s">
        <v>79</v>
      </c>
      <c r="N8" s="66" t="s">
        <v>93</v>
      </c>
      <c r="S8" s="74"/>
      <c r="W8" s="25" t="s">
        <v>285</v>
      </c>
    </row>
    <row r="9" spans="1:23">
      <c r="B9" s="25" t="s">
        <v>53</v>
      </c>
      <c r="F9" s="199">
        <f ca="1">K29*K28</f>
        <v>0</v>
      </c>
      <c r="H9" s="67" t="s">
        <v>80</v>
      </c>
      <c r="P9" s="25" t="s">
        <v>94</v>
      </c>
      <c r="R9" s="185" t="s">
        <v>95</v>
      </c>
      <c r="S9" s="74"/>
      <c r="W9" s="25" t="s">
        <v>289</v>
      </c>
    </row>
    <row r="10" spans="1:23">
      <c r="B10" s="25" t="s">
        <v>54</v>
      </c>
      <c r="F10" s="199">
        <f ca="1">K15*K33</f>
        <v>0</v>
      </c>
      <c r="H10" s="25" t="s">
        <v>362</v>
      </c>
      <c r="K10" s="270">
        <f ca="1">OFFSET(K10,0,$R$11)</f>
        <v>30000</v>
      </c>
      <c r="L10" s="246">
        <v>30000</v>
      </c>
      <c r="M10" s="246">
        <v>30000</v>
      </c>
      <c r="N10" s="246">
        <v>30000</v>
      </c>
      <c r="S10" s="74"/>
    </row>
    <row r="11" spans="1:23">
      <c r="B11" s="25" t="s">
        <v>55</v>
      </c>
      <c r="F11" s="199">
        <f ca="1">(K16*K39)</f>
        <v>461.25</v>
      </c>
      <c r="H11" s="25" t="s">
        <v>81</v>
      </c>
      <c r="K11" s="65">
        <f ca="1">OFFSET(K11,0,$R$11)</f>
        <v>5.9665871121718377</v>
      </c>
      <c r="L11" s="363">
        <f>L10/$R$20</f>
        <v>5.9665871121718377</v>
      </c>
      <c r="M11" s="363">
        <f>M10/$R$20</f>
        <v>5.9665871121718377</v>
      </c>
      <c r="N11" s="363">
        <f>N10/$R$20</f>
        <v>5.9665871121718377</v>
      </c>
      <c r="P11" s="25" t="s">
        <v>419</v>
      </c>
      <c r="R11" s="239">
        <v>3</v>
      </c>
      <c r="S11" s="74"/>
    </row>
    <row r="12" spans="1:23">
      <c r="B12" s="25" t="s">
        <v>421</v>
      </c>
      <c r="F12" s="199">
        <f ca="1">R22*K47</f>
        <v>375</v>
      </c>
      <c r="S12" s="74"/>
    </row>
    <row r="13" spans="1:23">
      <c r="B13" s="25" t="s">
        <v>347</v>
      </c>
      <c r="F13" s="378">
        <f ca="1">K48-SUM(F9:F12)</f>
        <v>663.75</v>
      </c>
      <c r="H13" s="67" t="s">
        <v>82</v>
      </c>
      <c r="P13" s="25" t="s">
        <v>420</v>
      </c>
      <c r="R13" s="239">
        <v>3</v>
      </c>
      <c r="S13" s="74"/>
    </row>
    <row r="14" spans="1:23">
      <c r="B14" s="25" t="s">
        <v>56</v>
      </c>
      <c r="F14" s="198">
        <v>250</v>
      </c>
      <c r="H14" s="25" t="s">
        <v>63</v>
      </c>
      <c r="K14" s="24">
        <f ca="1">OFFSET(K14,0,$R$11)</f>
        <v>0</v>
      </c>
      <c r="L14" s="34">
        <v>0</v>
      </c>
      <c r="M14" s="34">
        <v>0</v>
      </c>
      <c r="N14" s="34">
        <v>0</v>
      </c>
      <c r="S14" s="74"/>
    </row>
    <row r="15" spans="1:23" ht="13.2" thickBot="1">
      <c r="B15" s="32" t="s">
        <v>57</v>
      </c>
      <c r="C15" s="57"/>
      <c r="D15" s="57"/>
      <c r="E15" s="57"/>
      <c r="F15" s="73">
        <f ca="1">SUM(F8:F14)</f>
        <v>31750</v>
      </c>
      <c r="H15" s="25" t="s">
        <v>64</v>
      </c>
      <c r="K15" s="24">
        <f ca="1">OFFSET(K15,0,$R$11)</f>
        <v>0</v>
      </c>
      <c r="L15" s="34">
        <v>0</v>
      </c>
      <c r="M15" s="34">
        <v>0</v>
      </c>
      <c r="N15" s="34">
        <v>0</v>
      </c>
      <c r="P15" s="25" t="s">
        <v>161</v>
      </c>
      <c r="R15" s="186">
        <v>0.45</v>
      </c>
      <c r="S15" s="74"/>
    </row>
    <row r="16" spans="1:23">
      <c r="B16" s="25" t="s">
        <v>260</v>
      </c>
      <c r="H16" s="25" t="s">
        <v>65</v>
      </c>
      <c r="K16" s="24">
        <f ca="1">OFFSET(K16,0,$R$11)</f>
        <v>20500</v>
      </c>
      <c r="L16" s="34">
        <v>20500</v>
      </c>
      <c r="M16" s="34">
        <v>20500</v>
      </c>
      <c r="N16" s="34">
        <v>20500</v>
      </c>
      <c r="P16" s="74"/>
      <c r="Q16" s="74"/>
      <c r="R16" s="75"/>
      <c r="S16" s="74"/>
    </row>
    <row r="17" spans="2:26">
      <c r="H17" s="25" t="s">
        <v>402</v>
      </c>
      <c r="K17" s="24">
        <f ca="1">OFFSET(K17,0,$R$11)</f>
        <v>2700</v>
      </c>
      <c r="L17" s="34">
        <f ca="1">($F$15-SUM(L14:L16))*L23</f>
        <v>2700</v>
      </c>
      <c r="M17" s="34">
        <f ca="1">($F$15-SUM(M14:M16))*M23</f>
        <v>2700</v>
      </c>
      <c r="N17" s="34">
        <f ca="1">($F$15-SUM(N14:N16))*N23</f>
        <v>2700</v>
      </c>
      <c r="P17" s="25" t="s">
        <v>286</v>
      </c>
      <c r="R17" s="185" t="s">
        <v>285</v>
      </c>
      <c r="S17" s="74"/>
    </row>
    <row r="18" spans="2:26">
      <c r="B18" s="39" t="s">
        <v>59</v>
      </c>
      <c r="H18" s="25" t="s">
        <v>513</v>
      </c>
      <c r="K18" s="24">
        <f ca="1">OFFSET(K18,0,$R$11)</f>
        <v>2812.5</v>
      </c>
      <c r="L18" s="34">
        <f ca="1">($F$15-SUM(L14:L16))*L22</f>
        <v>2812.5</v>
      </c>
      <c r="M18" s="34">
        <f ca="1">($F$15-SUM(M14:M16))*M22</f>
        <v>2812.5</v>
      </c>
      <c r="N18" s="34">
        <f ca="1">($F$15-SUM(N14:N16))*N22</f>
        <v>2812.5</v>
      </c>
      <c r="S18" s="390"/>
    </row>
    <row r="19" spans="2:26">
      <c r="D19" s="25" t="s">
        <v>60</v>
      </c>
      <c r="E19" s="64" t="s">
        <v>61</v>
      </c>
      <c r="F19" s="64" t="s">
        <v>62</v>
      </c>
      <c r="G19" s="64"/>
      <c r="P19" s="39" t="s">
        <v>97</v>
      </c>
      <c r="S19" s="380"/>
    </row>
    <row r="20" spans="2:26">
      <c r="B20" s="25" t="s">
        <v>63</v>
      </c>
      <c r="D20" s="24">
        <f ca="1">K14</f>
        <v>0</v>
      </c>
      <c r="E20" s="65">
        <f ca="1">IF($R$20=0,0,D20/$R$20)</f>
        <v>0</v>
      </c>
      <c r="F20" s="60">
        <f ca="1">IF($D$30=0,0,D20/$D$30)</f>
        <v>0</v>
      </c>
      <c r="H20" s="67" t="s">
        <v>514</v>
      </c>
      <c r="P20" s="25" t="s">
        <v>455</v>
      </c>
      <c r="R20" s="24">
        <f>G156</f>
        <v>5028</v>
      </c>
      <c r="S20" s="398"/>
      <c r="X20" s="26"/>
      <c r="Y20" s="403"/>
    </row>
    <row r="21" spans="2:26">
      <c r="B21" s="25" t="s">
        <v>64</v>
      </c>
      <c r="D21" s="24">
        <f ca="1">K15</f>
        <v>0</v>
      </c>
      <c r="E21" s="65">
        <f ca="1">IF($R$20=0,0,D21/$R$20)</f>
        <v>0</v>
      </c>
      <c r="F21" s="60">
        <f ca="1">IF($D$30=0,0,D21/$D$30)</f>
        <v>0</v>
      </c>
      <c r="H21" s="25" t="s">
        <v>515</v>
      </c>
      <c r="K21" s="68">
        <f ca="1">OFFSET(K21,0,$R$11)</f>
        <v>0.51</v>
      </c>
      <c r="L21" s="69">
        <v>0.51</v>
      </c>
      <c r="M21" s="69">
        <v>0.51</v>
      </c>
      <c r="N21" s="69">
        <v>0.51</v>
      </c>
      <c r="P21" s="25" t="s">
        <v>98</v>
      </c>
      <c r="R21" s="65">
        <f ca="1">R22/R20</f>
        <v>5.9665871121718377</v>
      </c>
      <c r="S21" s="74"/>
      <c r="X21" s="48"/>
    </row>
    <row r="22" spans="2:26" ht="13.2" thickBot="1">
      <c r="B22" s="25" t="s">
        <v>65</v>
      </c>
      <c r="D22" s="61">
        <f ca="1">K16</f>
        <v>20500</v>
      </c>
      <c r="E22" s="408">
        <f ca="1">IF($R$20=0,0,D22/$R$20)</f>
        <v>4.0771678599840895</v>
      </c>
      <c r="F22" s="62">
        <f ca="1">IF($D$30=0,0,D22/$D$30)</f>
        <v>0.64566929133858264</v>
      </c>
      <c r="H22" s="25" t="s">
        <v>513</v>
      </c>
      <c r="K22" s="68">
        <f ca="1">OFFSET(K22,0,$R$11)</f>
        <v>0.25</v>
      </c>
      <c r="L22" s="475">
        <v>0.25</v>
      </c>
      <c r="M22" s="475">
        <v>0.25</v>
      </c>
      <c r="N22" s="475">
        <v>0.25</v>
      </c>
      <c r="P22" s="32" t="s">
        <v>99</v>
      </c>
      <c r="Q22" s="32"/>
      <c r="R22" s="377">
        <f ca="1">K10</f>
        <v>30000</v>
      </c>
      <c r="S22" s="74"/>
      <c r="X22" s="48"/>
      <c r="Y22" s="404"/>
      <c r="Z22" s="48"/>
    </row>
    <row r="23" spans="2:26">
      <c r="B23" s="25" t="s">
        <v>66</v>
      </c>
      <c r="D23" s="24">
        <f ca="1">SUM(D20:D22)</f>
        <v>20500</v>
      </c>
      <c r="E23" s="65">
        <f ca="1">SUM(E20:E22)</f>
        <v>4.0771678599840895</v>
      </c>
      <c r="F23" s="60">
        <f ca="1">SUM(F20:F22)</f>
        <v>0.64566929133858264</v>
      </c>
      <c r="H23" s="25" t="s">
        <v>402</v>
      </c>
      <c r="K23" s="68">
        <f ca="1">OFFSET(K23,0,$R$11)</f>
        <v>0.24</v>
      </c>
      <c r="L23" s="374">
        <f>1-SUM(L21:L22)</f>
        <v>0.24</v>
      </c>
      <c r="M23" s="374">
        <f>1-SUM(M21:M22)</f>
        <v>0.24</v>
      </c>
      <c r="N23" s="374">
        <f>1-SUM(N21:N22)</f>
        <v>0.24</v>
      </c>
      <c r="S23" s="123"/>
      <c r="Z23" s="225"/>
    </row>
    <row r="24" spans="2:26">
      <c r="F24" s="60"/>
      <c r="G24" s="24"/>
      <c r="P24" s="39" t="s">
        <v>100</v>
      </c>
      <c r="S24" s="123"/>
      <c r="X24" s="355"/>
      <c r="Z24" s="225"/>
    </row>
    <row r="25" spans="2:26">
      <c r="B25" s="25" t="s">
        <v>402</v>
      </c>
      <c r="D25" s="24">
        <f ca="1">K17</f>
        <v>2700</v>
      </c>
      <c r="E25" s="65">
        <f ca="1">IF($R$20=0,0,D25/$R$20)</f>
        <v>0.53699284009546544</v>
      </c>
      <c r="F25" s="60">
        <f ca="1">IF($D$30=0,0,D25/$D$30)</f>
        <v>8.5039370078740156E-2</v>
      </c>
      <c r="G25" s="364"/>
      <c r="H25" s="67" t="s">
        <v>63</v>
      </c>
      <c r="P25" s="76" t="s">
        <v>101</v>
      </c>
      <c r="R25" s="202" t="str">
        <f ca="1">IF(OR(SUM($F$208:$R$208)&lt;-0.1,SUM($F$208:$R$208)&gt;0.1),"NO!","OK!")</f>
        <v>NO!</v>
      </c>
      <c r="S25" s="74"/>
    </row>
    <row r="26" spans="2:26">
      <c r="B26" s="25" t="s">
        <v>518</v>
      </c>
      <c r="D26" s="24">
        <f ca="1">K18</f>
        <v>2812.5</v>
      </c>
      <c r="E26" s="65">
        <f ca="1">IF($R$20=0,0,D26/$R$20)</f>
        <v>0.55936754176610981</v>
      </c>
      <c r="F26" s="60">
        <f ca="1">IF($D$30=0,0,D26/$D$30)</f>
        <v>8.8582677165354326E-2</v>
      </c>
      <c r="G26" s="410"/>
      <c r="H26" s="25" t="s">
        <v>83</v>
      </c>
      <c r="J26" s="64"/>
      <c r="K26" s="68">
        <f ca="1">OFFSET(K26,0,$R$11)</f>
        <v>4.2500000000000003E-2</v>
      </c>
      <c r="L26" s="69">
        <v>4.2500000000000003E-2</v>
      </c>
      <c r="M26" s="69">
        <v>4.2500000000000003E-2</v>
      </c>
      <c r="N26" s="69">
        <v>4.2500000000000003E-2</v>
      </c>
      <c r="S26" s="74"/>
    </row>
    <row r="27" spans="2:26">
      <c r="B27" s="25" t="s">
        <v>69</v>
      </c>
      <c r="D27" s="61">
        <f ca="1">+IF(Circ=0,0,F15-SUM(K14:K18))</f>
        <v>5737.5</v>
      </c>
      <c r="E27" s="408">
        <f ca="1">IF($R$20=0,0,D27/$R$20)</f>
        <v>1.141109785202864</v>
      </c>
      <c r="F27" s="62">
        <f ca="1">IF($D$30=0,0,D27/$D$30)</f>
        <v>0.18070866141732284</v>
      </c>
      <c r="H27" s="25" t="s">
        <v>84</v>
      </c>
      <c r="K27" s="68">
        <f ca="1">OFFSET(K27,0,$R$11)</f>
        <v>0</v>
      </c>
      <c r="L27" s="63">
        <v>0</v>
      </c>
      <c r="M27" s="63">
        <v>0</v>
      </c>
      <c r="N27" s="63">
        <v>0</v>
      </c>
      <c r="P27" s="39" t="s">
        <v>454</v>
      </c>
      <c r="S27" s="74"/>
    </row>
    <row r="28" spans="2:26">
      <c r="B28" s="25" t="s">
        <v>67</v>
      </c>
      <c r="D28" s="24">
        <f ca="1">SUM(D25:D27)</f>
        <v>11250</v>
      </c>
      <c r="E28" s="65">
        <f ca="1">SUM(E25:E27)</f>
        <v>2.2374701670644392</v>
      </c>
      <c r="F28" s="60">
        <f ca="1">SUM(F25:F27)</f>
        <v>0.3543307086614173</v>
      </c>
      <c r="H28" s="25" t="s">
        <v>85</v>
      </c>
      <c r="K28" s="60">
        <f ca="1">OFFSET(K28,0,$R$11)</f>
        <v>0</v>
      </c>
      <c r="L28" s="63">
        <v>0</v>
      </c>
      <c r="M28" s="63">
        <v>0</v>
      </c>
      <c r="N28" s="63">
        <v>0</v>
      </c>
      <c r="P28" s="25" t="str">
        <f>B25</f>
        <v>Lender Equity</v>
      </c>
      <c r="R28" s="439">
        <f ca="1">K23</f>
        <v>0.24</v>
      </c>
      <c r="S28" s="74"/>
    </row>
    <row r="29" spans="2:26">
      <c r="F29" s="60"/>
      <c r="H29" s="25" t="s">
        <v>267</v>
      </c>
      <c r="K29" s="24">
        <f ca="1">OFFSET(K29,0,$R$11)</f>
        <v>4000</v>
      </c>
      <c r="L29" s="246">
        <v>4000</v>
      </c>
      <c r="M29" s="246">
        <v>4000</v>
      </c>
      <c r="N29" s="246">
        <v>4000</v>
      </c>
      <c r="P29" s="25" t="s">
        <v>518</v>
      </c>
      <c r="R29" s="439">
        <v>0.25</v>
      </c>
      <c r="S29" s="74"/>
    </row>
    <row r="30" spans="2:26" ht="13.2" thickBot="1">
      <c r="B30" s="32" t="s">
        <v>68</v>
      </c>
      <c r="C30" s="32"/>
      <c r="D30" s="33">
        <f ca="1">+D23+D28</f>
        <v>31750</v>
      </c>
      <c r="E30" s="409">
        <f ca="1">E23+E28</f>
        <v>6.3146380270485292</v>
      </c>
      <c r="F30" s="200">
        <f ca="1">F23+F28</f>
        <v>1</v>
      </c>
      <c r="M30" s="355"/>
      <c r="P30" s="25" t="str">
        <f>B27</f>
        <v>Ashland Equity</v>
      </c>
      <c r="R30" s="478">
        <f ca="1">1-SUM(R28:R29)</f>
        <v>0.51</v>
      </c>
      <c r="S30" s="390"/>
    </row>
    <row r="31" spans="2:26">
      <c r="H31" s="67" t="s">
        <v>142</v>
      </c>
      <c r="P31" s="39" t="s">
        <v>511</v>
      </c>
      <c r="S31" s="74"/>
    </row>
    <row r="32" spans="2:26">
      <c r="B32" s="39" t="s">
        <v>70</v>
      </c>
      <c r="H32" s="25" t="s">
        <v>143</v>
      </c>
      <c r="K32" s="68">
        <f ca="1">OFFSET(K32,0,$R$11)</f>
        <v>4.2500000000000003E-2</v>
      </c>
      <c r="L32" s="69">
        <v>0.04</v>
      </c>
      <c r="M32" s="69">
        <v>4.2500000000000003E-2</v>
      </c>
      <c r="N32" s="69">
        <v>4.2500000000000003E-2</v>
      </c>
      <c r="P32" s="25" t="s">
        <v>512</v>
      </c>
      <c r="R32" s="474">
        <v>3.75</v>
      </c>
      <c r="S32" s="74"/>
    </row>
    <row r="33" spans="2:19">
      <c r="B33" s="25" t="s">
        <v>362</v>
      </c>
      <c r="F33" s="24">
        <f ca="1">F8</f>
        <v>30000</v>
      </c>
      <c r="H33" s="25" t="s">
        <v>144</v>
      </c>
      <c r="K33" s="60">
        <f ca="1">OFFSET(K33,0,$R$11)</f>
        <v>0.01</v>
      </c>
      <c r="L33" s="63">
        <v>0.01</v>
      </c>
      <c r="M33" s="63">
        <v>0.01</v>
      </c>
      <c r="N33" s="63">
        <v>0.01</v>
      </c>
      <c r="R33" s="439"/>
      <c r="S33" s="74"/>
    </row>
    <row r="34" spans="2:19">
      <c r="B34" s="25" t="s">
        <v>261</v>
      </c>
      <c r="F34" s="24">
        <f>-G126</f>
        <v>-5374.2603500000005</v>
      </c>
      <c r="H34" s="25" t="s">
        <v>145</v>
      </c>
      <c r="K34" s="70">
        <f ca="1">OFFSET(K34,0,$R$11)</f>
        <v>5</v>
      </c>
      <c r="L34" s="71">
        <v>5</v>
      </c>
      <c r="M34" s="71">
        <v>5</v>
      </c>
      <c r="N34" s="71">
        <v>5</v>
      </c>
      <c r="R34" s="41"/>
      <c r="S34" s="74"/>
    </row>
    <row r="35" spans="2:19">
      <c r="B35" s="25" t="s">
        <v>404</v>
      </c>
      <c r="F35" s="24">
        <f>-G118</f>
        <v>0</v>
      </c>
      <c r="S35" s="74"/>
    </row>
    <row r="36" spans="2:19">
      <c r="B36" s="25" t="s">
        <v>405</v>
      </c>
      <c r="F36" s="24">
        <f>G97</f>
        <v>0</v>
      </c>
      <c r="H36" s="67" t="s">
        <v>65</v>
      </c>
      <c r="S36" s="74"/>
    </row>
    <row r="37" spans="2:19">
      <c r="B37" s="25" t="s">
        <v>71</v>
      </c>
      <c r="F37" s="24">
        <f>G104</f>
        <v>0</v>
      </c>
      <c r="H37" s="25" t="s">
        <v>86</v>
      </c>
      <c r="K37" s="68">
        <f ca="1">OFFSET(K37,0,$R$11)</f>
        <v>0.11</v>
      </c>
      <c r="L37" s="69">
        <v>0.11</v>
      </c>
      <c r="M37" s="69">
        <v>0.11</v>
      </c>
      <c r="N37" s="69">
        <v>0.11</v>
      </c>
      <c r="S37" s="74"/>
    </row>
    <row r="38" spans="2:19" ht="13.2" thickBot="1">
      <c r="B38" s="57" t="s">
        <v>262</v>
      </c>
      <c r="C38" s="57"/>
      <c r="D38" s="57"/>
      <c r="E38" s="57"/>
      <c r="F38" s="58">
        <f ca="1">SUM(F33:F37)</f>
        <v>24625.73965</v>
      </c>
      <c r="H38" s="25" t="s">
        <v>87</v>
      </c>
      <c r="K38" s="68">
        <f ca="1">OFFSET(K38,0,$R$11)</f>
        <v>0</v>
      </c>
      <c r="L38" s="69">
        <v>0.02</v>
      </c>
      <c r="M38" s="69">
        <v>0</v>
      </c>
      <c r="N38" s="69">
        <v>0</v>
      </c>
      <c r="S38" s="74"/>
    </row>
    <row r="39" spans="2:19">
      <c r="D39" s="226" t="s">
        <v>264</v>
      </c>
      <c r="H39" s="25" t="s">
        <v>88</v>
      </c>
      <c r="K39" s="68">
        <f ca="1">OFFSET(K39,0,$R$11)</f>
        <v>2.2499999999999999E-2</v>
      </c>
      <c r="L39" s="69">
        <v>2.2499999999999999E-2</v>
      </c>
      <c r="M39" s="69">
        <v>2.2499999999999999E-2</v>
      </c>
      <c r="N39" s="69">
        <v>2.2499999999999999E-2</v>
      </c>
      <c r="S39" s="74"/>
    </row>
    <row r="40" spans="2:19">
      <c r="B40" s="46" t="s">
        <v>519</v>
      </c>
      <c r="C40" s="46"/>
      <c r="E40" s="226"/>
      <c r="F40" s="30">
        <f>-(S107-G99)</f>
        <v>-83.835904109589052</v>
      </c>
      <c r="L40" s="72"/>
      <c r="M40" s="72"/>
      <c r="N40" s="72"/>
      <c r="S40" s="74"/>
    </row>
    <row r="41" spans="2:19">
      <c r="B41" s="46" t="s">
        <v>263</v>
      </c>
      <c r="C41" s="46"/>
      <c r="D41" s="476" t="s">
        <v>516</v>
      </c>
      <c r="E41" s="227"/>
      <c r="F41" s="225">
        <f>-(7640+2702.629-G103)</f>
        <v>-9864.1322300000011</v>
      </c>
      <c r="H41" s="67" t="s">
        <v>432</v>
      </c>
      <c r="S41" s="74"/>
    </row>
    <row r="42" spans="2:19" ht="13.2" thickBot="1">
      <c r="B42" s="32" t="s">
        <v>92</v>
      </c>
      <c r="C42" s="57"/>
      <c r="D42" s="57"/>
      <c r="E42" s="57"/>
      <c r="F42" s="58">
        <f ca="1">F38+F41+F40</f>
        <v>14677.77151589041</v>
      </c>
      <c r="H42" s="25" t="s">
        <v>433</v>
      </c>
      <c r="K42" s="68">
        <f ca="1">OFFSET(K42,0,$R$11)</f>
        <v>0</v>
      </c>
      <c r="L42" s="69">
        <v>0</v>
      </c>
      <c r="M42" s="69">
        <v>0</v>
      </c>
      <c r="N42" s="69">
        <v>0</v>
      </c>
      <c r="S42" s="74"/>
    </row>
    <row r="43" spans="2:19">
      <c r="H43" s="25" t="s">
        <v>434</v>
      </c>
      <c r="K43" s="68">
        <f ca="1">OFFSET(K43,0,$R$11)</f>
        <v>0</v>
      </c>
      <c r="L43" s="69">
        <v>0</v>
      </c>
      <c r="M43" s="69">
        <v>0</v>
      </c>
      <c r="N43" s="69">
        <v>0</v>
      </c>
      <c r="S43" s="74"/>
    </row>
    <row r="44" spans="2:19">
      <c r="B44" s="39" t="s">
        <v>72</v>
      </c>
      <c r="H44" s="25" t="s">
        <v>439</v>
      </c>
      <c r="K44" s="68">
        <f ca="1">OFFSET(K44,0,$R$11)</f>
        <v>0</v>
      </c>
      <c r="L44" s="69">
        <v>0</v>
      </c>
      <c r="M44" s="69">
        <v>0</v>
      </c>
      <c r="N44" s="69">
        <v>0</v>
      </c>
      <c r="S44" s="74"/>
    </row>
    <row r="45" spans="2:19">
      <c r="E45" s="56" t="s">
        <v>73</v>
      </c>
      <c r="F45" s="56" t="s">
        <v>74</v>
      </c>
      <c r="S45" s="74"/>
    </row>
    <row r="46" spans="2:19">
      <c r="B46" s="25" t="s">
        <v>6</v>
      </c>
      <c r="E46" s="63">
        <v>0.85</v>
      </c>
      <c r="F46" s="24">
        <f>E46*J98</f>
        <v>5781.5835500000003</v>
      </c>
      <c r="H46" s="67" t="s">
        <v>58</v>
      </c>
      <c r="S46" s="74"/>
    </row>
    <row r="47" spans="2:19">
      <c r="B47" s="25" t="s">
        <v>386</v>
      </c>
      <c r="E47" s="63">
        <v>0.5</v>
      </c>
      <c r="F47" s="24">
        <f>E47*J99</f>
        <v>65.379452054794527</v>
      </c>
      <c r="H47" s="25" t="s">
        <v>348</v>
      </c>
      <c r="K47" s="60">
        <f ca="1">OFFSET(K47,0,$R$11)</f>
        <v>1.2500000000000001E-2</v>
      </c>
      <c r="L47" s="63">
        <v>1.2500000000000001E-2</v>
      </c>
      <c r="M47" s="63">
        <v>1.2500000000000001E-2</v>
      </c>
      <c r="N47" s="63">
        <v>1.2500000000000001E-2</v>
      </c>
      <c r="S47" s="74"/>
    </row>
    <row r="48" spans="2:19" ht="13.2" thickBot="1">
      <c r="B48" s="32" t="s">
        <v>75</v>
      </c>
      <c r="C48" s="57"/>
      <c r="D48" s="57"/>
      <c r="E48" s="57"/>
      <c r="F48" s="58">
        <f>MROUND(SUM(F46:F47),100)</f>
        <v>5800</v>
      </c>
      <c r="H48" s="25" t="s">
        <v>415</v>
      </c>
      <c r="K48" s="270">
        <f ca="1">OFFSET(K48,0,$R$11)</f>
        <v>1500</v>
      </c>
      <c r="L48" s="246">
        <v>1500</v>
      </c>
      <c r="M48" s="246">
        <v>1500</v>
      </c>
      <c r="N48" s="246">
        <v>1500</v>
      </c>
      <c r="S48" s="74"/>
    </row>
    <row r="49" spans="1:19">
      <c r="H49" s="25" t="s">
        <v>403</v>
      </c>
      <c r="K49" s="60">
        <f ca="1">OFFSET(K49,0,$R$11)</f>
        <v>0.05</v>
      </c>
      <c r="L49" s="63">
        <v>0.05</v>
      </c>
      <c r="M49" s="63">
        <v>0.05</v>
      </c>
      <c r="N49" s="63">
        <v>0.05</v>
      </c>
      <c r="S49" s="74"/>
    </row>
    <row r="50" spans="1:19">
      <c r="H50" s="25" t="s">
        <v>523</v>
      </c>
      <c r="K50" s="24">
        <f ca="1">OFFSET(K50,0,$R$11)</f>
        <v>350</v>
      </c>
      <c r="L50" s="34">
        <v>350</v>
      </c>
      <c r="M50" s="34">
        <v>350</v>
      </c>
      <c r="N50" s="34">
        <v>350</v>
      </c>
      <c r="S50" s="74"/>
    </row>
    <row r="51" spans="1:19">
      <c r="H51" s="25" t="s">
        <v>338</v>
      </c>
      <c r="K51" s="60">
        <f ca="1">OFFSET(K51,0,$R$11)</f>
        <v>0.2</v>
      </c>
      <c r="L51" s="63">
        <v>0.2</v>
      </c>
      <c r="M51" s="63">
        <v>0.2</v>
      </c>
      <c r="N51" s="63">
        <v>0.2</v>
      </c>
      <c r="S51" s="74"/>
    </row>
    <row r="52" spans="1:19">
      <c r="S52" s="74"/>
    </row>
    <row r="53" spans="1:19">
      <c r="H53" s="67" t="s">
        <v>37</v>
      </c>
      <c r="S53" s="74"/>
    </row>
    <row r="54" spans="1:19">
      <c r="H54" s="25" t="s">
        <v>89</v>
      </c>
      <c r="K54" s="68">
        <f ca="1">OFFSET(K54,0,$R$11)</f>
        <v>0.01</v>
      </c>
      <c r="L54" s="69">
        <v>0.01</v>
      </c>
      <c r="M54" s="69">
        <v>0.01</v>
      </c>
      <c r="N54" s="69">
        <v>0.01</v>
      </c>
      <c r="S54" s="74"/>
    </row>
    <row r="55" spans="1:19">
      <c r="H55" s="25" t="s">
        <v>90</v>
      </c>
      <c r="K55" s="70">
        <f ca="1">OFFSET(K55,0,$R$11)</f>
        <v>5</v>
      </c>
      <c r="L55" s="71">
        <v>5</v>
      </c>
      <c r="M55" s="71">
        <v>5</v>
      </c>
      <c r="N55" s="71">
        <v>5</v>
      </c>
      <c r="S55" s="74"/>
    </row>
    <row r="56" spans="1:19">
      <c r="H56" s="25" t="s">
        <v>266</v>
      </c>
      <c r="K56" s="68">
        <f ca="1">OFFSET(K56,0,$R$11)</f>
        <v>7.4999999999999997E-3</v>
      </c>
      <c r="L56" s="69">
        <v>7.4999999999999997E-3</v>
      </c>
      <c r="M56" s="69">
        <v>7.4999999999999997E-3</v>
      </c>
      <c r="N56" s="69">
        <v>7.4999999999999997E-3</v>
      </c>
      <c r="S56" s="74"/>
    </row>
    <row r="57" spans="1:19">
      <c r="K57" s="68"/>
      <c r="L57" s="69"/>
      <c r="M57" s="69"/>
      <c r="N57" s="69"/>
      <c r="S57" s="74"/>
    </row>
    <row r="58" spans="1:19">
      <c r="K58" s="68"/>
      <c r="L58" s="69"/>
      <c r="M58" s="69"/>
      <c r="N58" s="69"/>
      <c r="S58" s="74"/>
    </row>
    <row r="59" spans="1:19">
      <c r="S59" s="74"/>
    </row>
    <row r="60" spans="1:19">
      <c r="A60" s="55" t="s">
        <v>51</v>
      </c>
      <c r="B60" s="327" t="s">
        <v>102</v>
      </c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124"/>
    </row>
    <row r="61" spans="1:19">
      <c r="R61" s="187"/>
      <c r="S61" s="74"/>
    </row>
    <row r="62" spans="1:19" ht="13.2" thickBot="1">
      <c r="B62" s="25" t="s">
        <v>103</v>
      </c>
      <c r="G62" s="427">
        <f>G134</f>
        <v>42735</v>
      </c>
      <c r="H62" s="237">
        <f>EOMONTH(G62,0)</f>
        <v>42735</v>
      </c>
      <c r="I62" s="235">
        <f>EOMONTH(H62,12)</f>
        <v>43100</v>
      </c>
      <c r="J62" s="235">
        <f t="shared" ref="J62:R62" si="0">EOMONTH(I62,12)</f>
        <v>43465</v>
      </c>
      <c r="K62" s="235">
        <f t="shared" si="0"/>
        <v>43830</v>
      </c>
      <c r="L62" s="235">
        <f t="shared" si="0"/>
        <v>44196</v>
      </c>
      <c r="M62" s="235">
        <f t="shared" si="0"/>
        <v>44561</v>
      </c>
      <c r="N62" s="235">
        <f t="shared" si="0"/>
        <v>44926</v>
      </c>
      <c r="O62" s="235">
        <f t="shared" si="0"/>
        <v>45291</v>
      </c>
      <c r="P62" s="235">
        <f t="shared" si="0"/>
        <v>45657</v>
      </c>
      <c r="Q62" s="235">
        <f t="shared" si="0"/>
        <v>46022</v>
      </c>
      <c r="R62" s="235">
        <f t="shared" si="0"/>
        <v>46387</v>
      </c>
      <c r="S62" s="127"/>
    </row>
    <row r="63" spans="1:19">
      <c r="B63" s="25" t="s">
        <v>104</v>
      </c>
      <c r="G63" s="25">
        <v>0</v>
      </c>
      <c r="H63" s="25">
        <f>G63</f>
        <v>0</v>
      </c>
      <c r="I63" s="25">
        <f>H63+1</f>
        <v>1</v>
      </c>
      <c r="J63" s="25">
        <f t="shared" ref="J63:R63" si="1">I63+1</f>
        <v>2</v>
      </c>
      <c r="K63" s="25">
        <f t="shared" si="1"/>
        <v>3</v>
      </c>
      <c r="L63" s="25">
        <f t="shared" si="1"/>
        <v>4</v>
      </c>
      <c r="M63" s="25">
        <f t="shared" si="1"/>
        <v>5</v>
      </c>
      <c r="N63" s="25">
        <f t="shared" si="1"/>
        <v>6</v>
      </c>
      <c r="O63" s="25">
        <f t="shared" si="1"/>
        <v>7</v>
      </c>
      <c r="P63" s="25">
        <f t="shared" si="1"/>
        <v>8</v>
      </c>
      <c r="Q63" s="25">
        <f t="shared" si="1"/>
        <v>9</v>
      </c>
      <c r="R63" s="25">
        <f t="shared" si="1"/>
        <v>10</v>
      </c>
      <c r="S63" s="74"/>
    </row>
    <row r="64" spans="1:19">
      <c r="S64" s="74"/>
    </row>
    <row r="65" spans="2:19">
      <c r="S65" s="74"/>
    </row>
    <row r="66" spans="2:19" ht="13.2" thickBot="1">
      <c r="B66" s="415" t="s">
        <v>105</v>
      </c>
      <c r="C66" s="293"/>
      <c r="D66" s="293"/>
      <c r="E66" s="416"/>
      <c r="F66" s="416"/>
      <c r="G66" s="417"/>
      <c r="H66" s="418" t="s">
        <v>422</v>
      </c>
      <c r="I66" s="425">
        <f>I62</f>
        <v>43100</v>
      </c>
      <c r="J66" s="425">
        <f t="shared" ref="J66:R66" si="2">J62</f>
        <v>43465</v>
      </c>
      <c r="K66" s="425">
        <f t="shared" si="2"/>
        <v>43830</v>
      </c>
      <c r="L66" s="425">
        <f t="shared" si="2"/>
        <v>44196</v>
      </c>
      <c r="M66" s="425">
        <f t="shared" si="2"/>
        <v>44561</v>
      </c>
      <c r="N66" s="425">
        <f t="shared" si="2"/>
        <v>44926</v>
      </c>
      <c r="O66" s="425">
        <f t="shared" si="2"/>
        <v>45291</v>
      </c>
      <c r="P66" s="425">
        <f t="shared" si="2"/>
        <v>45657</v>
      </c>
      <c r="Q66" s="425">
        <f t="shared" si="2"/>
        <v>46022</v>
      </c>
      <c r="R66" s="425">
        <f t="shared" si="2"/>
        <v>46387</v>
      </c>
      <c r="S66" s="74"/>
    </row>
    <row r="67" spans="2:19">
      <c r="S67" s="74"/>
    </row>
    <row r="68" spans="2:19">
      <c r="B68" s="25" t="s">
        <v>106</v>
      </c>
      <c r="H68" s="419">
        <f ca="1">H196+H197</f>
        <v>0</v>
      </c>
      <c r="I68" s="419">
        <f ca="1">I196+I197</f>
        <v>0</v>
      </c>
      <c r="J68" s="419">
        <f t="shared" ref="J68:R68" ca="1" si="3">J196+J197</f>
        <v>0</v>
      </c>
      <c r="K68" s="419">
        <f t="shared" ca="1" si="3"/>
        <v>0</v>
      </c>
      <c r="L68" s="419">
        <f t="shared" ca="1" si="3"/>
        <v>0</v>
      </c>
      <c r="M68" s="419">
        <f t="shared" ca="1" si="3"/>
        <v>0</v>
      </c>
      <c r="N68" s="24">
        <f t="shared" ca="1" si="3"/>
        <v>0</v>
      </c>
      <c r="O68" s="24">
        <f t="shared" ca="1" si="3"/>
        <v>0</v>
      </c>
      <c r="P68" s="24">
        <f t="shared" ca="1" si="3"/>
        <v>0</v>
      </c>
      <c r="Q68" s="24">
        <f t="shared" ca="1" si="3"/>
        <v>0</v>
      </c>
      <c r="R68" s="24">
        <f t="shared" ca="1" si="3"/>
        <v>0</v>
      </c>
      <c r="S68" s="74"/>
    </row>
    <row r="69" spans="2:19">
      <c r="B69" s="25" t="s">
        <v>66</v>
      </c>
      <c r="H69" s="24">
        <f t="shared" ref="H69:R69" ca="1" si="4">H196+H197+H198</f>
        <v>20500</v>
      </c>
      <c r="I69" s="24">
        <f t="shared" ca="1" si="4"/>
        <v>18714.604811918332</v>
      </c>
      <c r="J69" s="24">
        <f t="shared" ca="1" si="4"/>
        <v>14205.456320349418</v>
      </c>
      <c r="K69" s="24">
        <f t="shared" ca="1" si="4"/>
        <v>10041.385444201256</v>
      </c>
      <c r="L69" s="24">
        <f t="shared" ca="1" si="4"/>
        <v>4151.3852474778851</v>
      </c>
      <c r="M69" s="24">
        <f t="shared" ca="1" si="4"/>
        <v>0</v>
      </c>
      <c r="N69" s="24">
        <f t="shared" ca="1" si="4"/>
        <v>0</v>
      </c>
      <c r="O69" s="24">
        <f t="shared" ca="1" si="4"/>
        <v>0</v>
      </c>
      <c r="P69" s="24">
        <f t="shared" ca="1" si="4"/>
        <v>0</v>
      </c>
      <c r="Q69" s="24">
        <f t="shared" ca="1" si="4"/>
        <v>0</v>
      </c>
      <c r="R69" s="24">
        <f t="shared" ca="1" si="4"/>
        <v>0</v>
      </c>
      <c r="S69" s="74"/>
    </row>
    <row r="70" spans="2:19">
      <c r="B70" s="25" t="s">
        <v>107</v>
      </c>
      <c r="H70" s="24">
        <f>H176</f>
        <v>0</v>
      </c>
      <c r="I70" s="24">
        <f ca="1">I176</f>
        <v>250</v>
      </c>
      <c r="J70" s="24">
        <f t="shared" ref="J70:R70" ca="1" si="5">J176</f>
        <v>250</v>
      </c>
      <c r="K70" s="24">
        <f t="shared" ca="1" si="5"/>
        <v>250</v>
      </c>
      <c r="L70" s="24">
        <f t="shared" ca="1" si="5"/>
        <v>250</v>
      </c>
      <c r="M70" s="24">
        <f t="shared" ca="1" si="5"/>
        <v>2852.5645747653798</v>
      </c>
      <c r="N70" s="24">
        <f t="shared" ca="1" si="5"/>
        <v>10319.038991656211</v>
      </c>
      <c r="O70" s="24">
        <f t="shared" ca="1" si="5"/>
        <v>18302.867765491643</v>
      </c>
      <c r="P70" s="24">
        <f t="shared" ca="1" si="5"/>
        <v>26584.615473606311</v>
      </c>
      <c r="Q70" s="24">
        <f t="shared" ca="1" si="5"/>
        <v>35077.939792219782</v>
      </c>
      <c r="R70" s="24">
        <f t="shared" ca="1" si="5"/>
        <v>43934.283918132453</v>
      </c>
      <c r="S70" s="74"/>
    </row>
    <row r="71" spans="2:19">
      <c r="B71" s="25" t="s">
        <v>108</v>
      </c>
      <c r="H71" s="24">
        <f ca="1">H69-H70</f>
        <v>20500</v>
      </c>
      <c r="I71" s="24">
        <f ca="1">I69-I70</f>
        <v>18464.604811918332</v>
      </c>
      <c r="J71" s="24">
        <f t="shared" ref="J71:R71" ca="1" si="6">J69-J70</f>
        <v>13955.456320349418</v>
      </c>
      <c r="K71" s="24">
        <f t="shared" ca="1" si="6"/>
        <v>9791.3854442012562</v>
      </c>
      <c r="L71" s="24">
        <f t="shared" ca="1" si="6"/>
        <v>3901.3852474778851</v>
      </c>
      <c r="M71" s="24">
        <f t="shared" ca="1" si="6"/>
        <v>-2852.5645747653798</v>
      </c>
      <c r="N71" s="24">
        <f t="shared" ca="1" si="6"/>
        <v>-10319.038991656211</v>
      </c>
      <c r="O71" s="24">
        <f t="shared" ca="1" si="6"/>
        <v>-18302.867765491643</v>
      </c>
      <c r="P71" s="24">
        <f t="shared" ca="1" si="6"/>
        <v>-26584.615473606311</v>
      </c>
      <c r="Q71" s="24">
        <f t="shared" ca="1" si="6"/>
        <v>-35077.939792219782</v>
      </c>
      <c r="R71" s="24">
        <f t="shared" ca="1" si="6"/>
        <v>-43934.283918132453</v>
      </c>
      <c r="S71" s="74"/>
    </row>
    <row r="72" spans="2:19">
      <c r="B72" s="25" t="s">
        <v>109</v>
      </c>
      <c r="H72" s="24">
        <f>R20</f>
        <v>5028</v>
      </c>
      <c r="I72" s="24">
        <f t="shared" ref="I72:R72" ca="1" si="7">I156</f>
        <v>8536.8000000000011</v>
      </c>
      <c r="J72" s="24">
        <f t="shared" ca="1" si="7"/>
        <v>9390.4800000000014</v>
      </c>
      <c r="K72" s="24">
        <f t="shared" ca="1" si="7"/>
        <v>10329.528</v>
      </c>
      <c r="L72" s="24">
        <f t="shared" ca="1" si="7"/>
        <v>11155.890240000004</v>
      </c>
      <c r="M72" s="24">
        <f t="shared" ca="1" si="7"/>
        <v>12048.361459200009</v>
      </c>
      <c r="N72" s="24">
        <f t="shared" ca="1" si="7"/>
        <v>13012.230375936006</v>
      </c>
      <c r="O72" s="24">
        <f t="shared" ca="1" si="7"/>
        <v>13792.964198492169</v>
      </c>
      <c r="P72" s="24">
        <f t="shared" ca="1" si="7"/>
        <v>14482.612408416775</v>
      </c>
      <c r="Q72" s="24">
        <f t="shared" ca="1" si="7"/>
        <v>15206.743028837618</v>
      </c>
      <c r="R72" s="24">
        <f t="shared" ca="1" si="7"/>
        <v>15967.080180279503</v>
      </c>
      <c r="S72" s="74"/>
    </row>
    <row r="73" spans="2:19">
      <c r="B73" s="25" t="s">
        <v>110</v>
      </c>
      <c r="H73" s="246"/>
      <c r="I73" s="24">
        <f t="shared" ref="I73:R73" ca="1" si="8">I398</f>
        <v>500</v>
      </c>
      <c r="J73" s="24">
        <f t="shared" ca="1" si="8"/>
        <v>1000</v>
      </c>
      <c r="K73" s="24">
        <f t="shared" ca="1" si="8"/>
        <v>2000</v>
      </c>
      <c r="L73" s="24">
        <f t="shared" ca="1" si="8"/>
        <v>1000</v>
      </c>
      <c r="M73" s="24">
        <f t="shared" ca="1" si="8"/>
        <v>750</v>
      </c>
      <c r="N73" s="24">
        <f t="shared" ca="1" si="8"/>
        <v>500</v>
      </c>
      <c r="O73" s="24">
        <f t="shared" ca="1" si="8"/>
        <v>500</v>
      </c>
      <c r="P73" s="24">
        <f t="shared" ca="1" si="8"/>
        <v>500</v>
      </c>
      <c r="Q73" s="24">
        <f t="shared" ca="1" si="8"/>
        <v>500</v>
      </c>
      <c r="R73" s="24">
        <f t="shared" ca="1" si="8"/>
        <v>500</v>
      </c>
      <c r="S73" s="74"/>
    </row>
    <row r="74" spans="2:19">
      <c r="B74" s="25" t="s">
        <v>111</v>
      </c>
      <c r="H74" s="246"/>
      <c r="I74" s="24">
        <f ca="1">I366</f>
        <v>2156.8032646555084</v>
      </c>
      <c r="J74" s="24">
        <f t="shared" ref="J74:R74" ca="1" si="9">J366</f>
        <v>1810.6033622747264</v>
      </c>
      <c r="K74" s="24">
        <f t="shared" ca="1" si="9"/>
        <v>1333.5762970502872</v>
      </c>
      <c r="L74" s="24">
        <f t="shared" ca="1" si="9"/>
        <v>780.6023880423528</v>
      </c>
      <c r="M74" s="24">
        <f t="shared" ca="1" si="9"/>
        <v>228.32618861128367</v>
      </c>
      <c r="N74" s="24">
        <f t="shared" ca="1" si="9"/>
        <v>0</v>
      </c>
      <c r="O74" s="24">
        <f t="shared" ca="1" si="9"/>
        <v>0</v>
      </c>
      <c r="P74" s="24">
        <f t="shared" ca="1" si="9"/>
        <v>0</v>
      </c>
      <c r="Q74" s="24">
        <f t="shared" ca="1" si="9"/>
        <v>0</v>
      </c>
      <c r="R74" s="24">
        <f t="shared" ca="1" si="9"/>
        <v>0</v>
      </c>
      <c r="S74" s="74"/>
    </row>
    <row r="75" spans="2:19">
      <c r="B75" s="25" t="s">
        <v>112</v>
      </c>
      <c r="H75" s="246"/>
      <c r="I75" s="379">
        <f ca="1">I482</f>
        <v>1576.4926275833102</v>
      </c>
      <c r="J75" s="379">
        <f t="shared" ref="J75:R75" ca="1" si="10">J482</f>
        <v>1712.5194125546618</v>
      </c>
      <c r="K75" s="379">
        <f t="shared" ca="1" si="10"/>
        <v>2516.7860054056587</v>
      </c>
      <c r="L75" s="379">
        <f t="shared" ca="1" si="10"/>
        <v>3256.8414249592306</v>
      </c>
      <c r="M75" s="379">
        <f t="shared" ca="1" si="10"/>
        <v>4077.9037002164359</v>
      </c>
      <c r="N75" s="379">
        <f t="shared" ca="1" si="10"/>
        <v>4663.4772536589389</v>
      </c>
      <c r="O75" s="379">
        <f t="shared" ca="1" si="10"/>
        <v>5072.1902376833459</v>
      </c>
      <c r="P75" s="379">
        <f t="shared" ca="1" si="10"/>
        <v>5630.8164615688074</v>
      </c>
      <c r="Q75" s="379">
        <f t="shared" ca="1" si="10"/>
        <v>6216.0132168483242</v>
      </c>
      <c r="R75" s="379">
        <f t="shared" ca="1" si="10"/>
        <v>6637.3979389973565</v>
      </c>
      <c r="S75" s="74"/>
    </row>
    <row r="76" spans="2:19">
      <c r="B76" s="25" t="s">
        <v>113</v>
      </c>
      <c r="H76" s="246"/>
      <c r="I76" s="24">
        <f ca="1">-I287</f>
        <v>0</v>
      </c>
      <c r="J76" s="24">
        <f t="shared" ref="J76:R76" ca="1" si="11">-J287</f>
        <v>0</v>
      </c>
      <c r="K76" s="24">
        <f t="shared" ca="1" si="11"/>
        <v>0</v>
      </c>
      <c r="L76" s="24">
        <f t="shared" ca="1" si="11"/>
        <v>0</v>
      </c>
      <c r="M76" s="24">
        <f t="shared" ca="1" si="11"/>
        <v>0</v>
      </c>
      <c r="N76" s="24">
        <f t="shared" ca="1" si="11"/>
        <v>0</v>
      </c>
      <c r="O76" s="24">
        <f t="shared" ca="1" si="11"/>
        <v>0</v>
      </c>
      <c r="P76" s="24">
        <f t="shared" ca="1" si="11"/>
        <v>0</v>
      </c>
      <c r="Q76" s="24">
        <f t="shared" ca="1" si="11"/>
        <v>0</v>
      </c>
      <c r="R76" s="24">
        <f t="shared" ca="1" si="11"/>
        <v>0</v>
      </c>
      <c r="S76" s="74"/>
    </row>
    <row r="77" spans="2:19">
      <c r="B77" s="25" t="s">
        <v>423</v>
      </c>
      <c r="H77" s="246"/>
      <c r="I77" s="24">
        <f t="shared" ref="I77:R77" ca="1" si="12">+I72*$K$49</f>
        <v>426.84000000000009</v>
      </c>
      <c r="J77" s="24">
        <f t="shared" ca="1" si="12"/>
        <v>469.52400000000011</v>
      </c>
      <c r="K77" s="24">
        <f t="shared" ca="1" si="12"/>
        <v>516.47640000000001</v>
      </c>
      <c r="L77" s="24">
        <f t="shared" ca="1" si="12"/>
        <v>557.79451200000028</v>
      </c>
      <c r="M77" s="24">
        <f t="shared" ca="1" si="12"/>
        <v>602.41807296000047</v>
      </c>
      <c r="N77" s="24">
        <f t="shared" ca="1" si="12"/>
        <v>650.61151879680028</v>
      </c>
      <c r="O77" s="24">
        <f t="shared" ca="1" si="12"/>
        <v>689.64820992460852</v>
      </c>
      <c r="P77" s="24">
        <f t="shared" ca="1" si="12"/>
        <v>724.1306204208388</v>
      </c>
      <c r="Q77" s="24">
        <f t="shared" ca="1" si="12"/>
        <v>760.33715144188091</v>
      </c>
      <c r="R77" s="24">
        <f t="shared" ca="1" si="12"/>
        <v>798.3540090139752</v>
      </c>
      <c r="S77" s="74"/>
    </row>
    <row r="78" spans="2:19">
      <c r="H78" s="24"/>
      <c r="I78" s="24"/>
      <c r="S78" s="74"/>
    </row>
    <row r="79" spans="2:19">
      <c r="B79" s="25" t="s">
        <v>114</v>
      </c>
      <c r="H79" s="402">
        <f ca="1">IF(H69&lt;=0,"NM",H69/H72)</f>
        <v>4.0771678599840895</v>
      </c>
      <c r="I79" s="402">
        <f ca="1">IF(I69&lt;=0,"NM",I69/I72)</f>
        <v>2.1922271591132896</v>
      </c>
      <c r="J79" s="402">
        <f t="shared" ref="J79:R79" ca="1" si="13">IF(J69&lt;=0,"NM",J69/J72)</f>
        <v>1.5127508200165929</v>
      </c>
      <c r="K79" s="402">
        <f t="shared" ca="1" si="13"/>
        <v>0.972104963963625</v>
      </c>
      <c r="L79" s="402">
        <f t="shared" ca="1" si="13"/>
        <v>0.37212496342003121</v>
      </c>
      <c r="M79" s="402" t="str">
        <f t="shared" ca="1" si="13"/>
        <v>NM</v>
      </c>
      <c r="N79" s="402" t="str">
        <f t="shared" ca="1" si="13"/>
        <v>NM</v>
      </c>
      <c r="O79" s="402" t="str">
        <f t="shared" ca="1" si="13"/>
        <v>NM</v>
      </c>
      <c r="P79" s="402" t="str">
        <f t="shared" ca="1" si="13"/>
        <v>NM</v>
      </c>
      <c r="Q79" s="249" t="str">
        <f t="shared" ca="1" si="13"/>
        <v>NM</v>
      </c>
      <c r="R79" s="249" t="str">
        <f t="shared" ca="1" si="13"/>
        <v>NM</v>
      </c>
      <c r="S79" s="74"/>
    </row>
    <row r="80" spans="2:19">
      <c r="B80" s="25" t="s">
        <v>115</v>
      </c>
      <c r="H80" s="402">
        <f ca="1">IF(H71&lt;=0,"NM",H71/H72)</f>
        <v>4.0771678599840895</v>
      </c>
      <c r="I80" s="402">
        <f ca="1">IF(I71&lt;=0,"NM",I71/I72)</f>
        <v>2.1629421811355929</v>
      </c>
      <c r="J80" s="402">
        <f t="shared" ref="J80:R80" ca="1" si="14">IF(J71&lt;=0,"NM",J71/J72)</f>
        <v>1.4861281127641415</v>
      </c>
      <c r="K80" s="402">
        <f t="shared" ca="1" si="14"/>
        <v>0.94790250282503286</v>
      </c>
      <c r="L80" s="402">
        <f t="shared" ca="1" si="14"/>
        <v>0.34971527718059403</v>
      </c>
      <c r="M80" s="402" t="str">
        <f t="shared" ca="1" si="14"/>
        <v>NM</v>
      </c>
      <c r="N80" s="402" t="str">
        <f t="shared" ca="1" si="14"/>
        <v>NM</v>
      </c>
      <c r="O80" s="402" t="str">
        <f t="shared" ca="1" si="14"/>
        <v>NM</v>
      </c>
      <c r="P80" s="402" t="str">
        <f t="shared" ca="1" si="14"/>
        <v>NM</v>
      </c>
      <c r="Q80" s="249" t="str">
        <f t="shared" ca="1" si="14"/>
        <v>NM</v>
      </c>
      <c r="R80" s="249" t="str">
        <f t="shared" ca="1" si="14"/>
        <v>NM</v>
      </c>
      <c r="S80" s="74"/>
    </row>
    <row r="81" spans="1:19">
      <c r="B81" s="25" t="s">
        <v>426</v>
      </c>
      <c r="H81" s="402"/>
      <c r="I81" s="414">
        <f ca="1">I308</f>
        <v>0.08</v>
      </c>
      <c r="J81" s="414">
        <f t="shared" ref="J81:R81" ca="1" si="15">J308</f>
        <v>0.08</v>
      </c>
      <c r="K81" s="414">
        <f t="shared" ca="1" si="15"/>
        <v>0.08</v>
      </c>
      <c r="L81" s="414">
        <f t="shared" ca="1" si="15"/>
        <v>0.08</v>
      </c>
      <c r="M81" s="414">
        <f t="shared" ca="1" si="15"/>
        <v>0.08</v>
      </c>
      <c r="N81" s="414">
        <f t="shared" ca="1" si="15"/>
        <v>0.08</v>
      </c>
      <c r="O81" s="414">
        <f t="shared" ca="1" si="15"/>
        <v>0.08</v>
      </c>
      <c r="P81" s="414">
        <f t="shared" ca="1" si="15"/>
        <v>0.08</v>
      </c>
      <c r="Q81" s="414">
        <f t="shared" ca="1" si="15"/>
        <v>0.08</v>
      </c>
      <c r="R81" s="414">
        <f t="shared" ca="1" si="15"/>
        <v>0.08</v>
      </c>
      <c r="S81" s="74"/>
    </row>
    <row r="82" spans="1:19">
      <c r="B82" s="25" t="s">
        <v>116</v>
      </c>
      <c r="I82" s="250">
        <f ca="1">$H68-I68</f>
        <v>0</v>
      </c>
      <c r="J82" s="250">
        <f t="shared" ref="J82:R82" ca="1" si="16">$H68-J68</f>
        <v>0</v>
      </c>
      <c r="K82" s="250">
        <f t="shared" ca="1" si="16"/>
        <v>0</v>
      </c>
      <c r="L82" s="250">
        <f t="shared" ca="1" si="16"/>
        <v>0</v>
      </c>
      <c r="M82" s="250">
        <f t="shared" ca="1" si="16"/>
        <v>0</v>
      </c>
      <c r="N82" s="250">
        <f t="shared" ca="1" si="16"/>
        <v>0</v>
      </c>
      <c r="O82" s="250">
        <f t="shared" ca="1" si="16"/>
        <v>0</v>
      </c>
      <c r="P82" s="250">
        <f t="shared" ca="1" si="16"/>
        <v>0</v>
      </c>
      <c r="Q82" s="250">
        <f t="shared" ca="1" si="16"/>
        <v>0</v>
      </c>
      <c r="R82" s="250">
        <f t="shared" ca="1" si="16"/>
        <v>0</v>
      </c>
      <c r="S82" s="74"/>
    </row>
    <row r="83" spans="1:19">
      <c r="B83" s="25" t="s">
        <v>117</v>
      </c>
      <c r="I83" s="250">
        <f ca="1">$H69-I69</f>
        <v>1785.3951880816676</v>
      </c>
      <c r="J83" s="250">
        <f t="shared" ref="J83:R83" ca="1" si="17">$H69-J69</f>
        <v>6294.5436796505819</v>
      </c>
      <c r="K83" s="250">
        <f t="shared" ca="1" si="17"/>
        <v>10458.614555798744</v>
      </c>
      <c r="L83" s="250">
        <f t="shared" ca="1" si="17"/>
        <v>16348.614752522115</v>
      </c>
      <c r="M83" s="250">
        <f t="shared" ca="1" si="17"/>
        <v>20500</v>
      </c>
      <c r="N83" s="250">
        <f t="shared" ca="1" si="17"/>
        <v>20500</v>
      </c>
      <c r="O83" s="250">
        <f t="shared" ca="1" si="17"/>
        <v>20500</v>
      </c>
      <c r="P83" s="250">
        <f t="shared" ca="1" si="17"/>
        <v>20500</v>
      </c>
      <c r="Q83" s="250">
        <f t="shared" ca="1" si="17"/>
        <v>20500</v>
      </c>
      <c r="R83" s="250">
        <f t="shared" ca="1" si="17"/>
        <v>20500</v>
      </c>
      <c r="S83" s="74"/>
    </row>
    <row r="84" spans="1:19">
      <c r="B84" s="25" t="s">
        <v>118</v>
      </c>
      <c r="I84" s="248" t="str">
        <f ca="1">IF(ISERROR(1-I68/$H68),"-",1-I68/$H68)</f>
        <v>-</v>
      </c>
      <c r="J84" s="248" t="str">
        <f t="shared" ref="J84:R84" ca="1" si="18">IF(ISERROR(1-J68/$H68),"-",1-J68/$H68)</f>
        <v>-</v>
      </c>
      <c r="K84" s="248" t="str">
        <f t="shared" ca="1" si="18"/>
        <v>-</v>
      </c>
      <c r="L84" s="248" t="str">
        <f t="shared" ca="1" si="18"/>
        <v>-</v>
      </c>
      <c r="M84" s="248" t="str">
        <f t="shared" ca="1" si="18"/>
        <v>-</v>
      </c>
      <c r="N84" s="248" t="str">
        <f t="shared" ca="1" si="18"/>
        <v>-</v>
      </c>
      <c r="O84" s="248" t="str">
        <f t="shared" ca="1" si="18"/>
        <v>-</v>
      </c>
      <c r="P84" s="248" t="str">
        <f t="shared" ca="1" si="18"/>
        <v>-</v>
      </c>
      <c r="Q84" s="248" t="str">
        <f t="shared" ca="1" si="18"/>
        <v>-</v>
      </c>
      <c r="R84" s="248" t="str">
        <f t="shared" ca="1" si="18"/>
        <v>-</v>
      </c>
      <c r="S84" s="74"/>
    </row>
    <row r="85" spans="1:19">
      <c r="B85" s="25" t="s">
        <v>119</v>
      </c>
      <c r="I85" s="402">
        <f ca="1">IFERROR(I72/I74,0)</f>
        <v>3.9580800622367041</v>
      </c>
      <c r="J85" s="402">
        <f t="shared" ref="J85:R85" ca="1" si="19">IFERROR(J72/J74,0)</f>
        <v>5.1863816204353022</v>
      </c>
      <c r="K85" s="402">
        <f t="shared" ca="1" si="19"/>
        <v>7.7457345506572759</v>
      </c>
      <c r="L85" s="402">
        <f t="shared" ca="1" si="19"/>
        <v>14.291386256167492</v>
      </c>
      <c r="M85" s="402">
        <f t="shared" ca="1" si="19"/>
        <v>52.768197693309148</v>
      </c>
      <c r="N85" s="402">
        <f t="shared" ca="1" si="19"/>
        <v>0</v>
      </c>
      <c r="O85" s="402">
        <f t="shared" ca="1" si="19"/>
        <v>0</v>
      </c>
      <c r="P85" s="402">
        <f t="shared" ca="1" si="19"/>
        <v>0</v>
      </c>
      <c r="Q85" s="402">
        <f t="shared" ca="1" si="19"/>
        <v>0</v>
      </c>
      <c r="R85" s="402">
        <f t="shared" ca="1" si="19"/>
        <v>0</v>
      </c>
      <c r="S85" s="74"/>
    </row>
    <row r="86" spans="1:19">
      <c r="B86" s="25" t="s">
        <v>120</v>
      </c>
      <c r="I86" s="402">
        <f ca="1">IFERROR((I72-I73)/I74,0)</f>
        <v>3.7262554873235807</v>
      </c>
      <c r="J86" s="402">
        <f t="shared" ref="J86:R86" ca="1" si="20">IFERROR((J72-J73)/J74,0)</f>
        <v>4.6340795421139278</v>
      </c>
      <c r="K86" s="402">
        <f t="shared" ca="1" si="20"/>
        <v>6.2460078350402073</v>
      </c>
      <c r="L86" s="402">
        <f t="shared" ca="1" si="20"/>
        <v>13.010324328458218</v>
      </c>
      <c r="M86" s="402">
        <f t="shared" ca="1" si="20"/>
        <v>49.483423377399006</v>
      </c>
      <c r="N86" s="402">
        <f t="shared" ca="1" si="20"/>
        <v>0</v>
      </c>
      <c r="O86" s="402">
        <f t="shared" ca="1" si="20"/>
        <v>0</v>
      </c>
      <c r="P86" s="402">
        <f t="shared" ca="1" si="20"/>
        <v>0</v>
      </c>
      <c r="Q86" s="402">
        <f t="shared" ca="1" si="20"/>
        <v>0</v>
      </c>
      <c r="R86" s="402">
        <f t="shared" ca="1" si="20"/>
        <v>0</v>
      </c>
      <c r="S86" s="74"/>
    </row>
    <row r="87" spans="1:19">
      <c r="B87" s="25" t="s">
        <v>121</v>
      </c>
      <c r="I87" s="283">
        <f ca="1">IFERROR(I72/(I73+I74+I75+I76+I77),0)</f>
        <v>1.8318779103024736</v>
      </c>
      <c r="J87" s="283">
        <f t="shared" ref="J87:R87" ca="1" si="21">IFERROR(J72/(J73+J74+J75+J76+J77),0)</f>
        <v>1.8808620804785252</v>
      </c>
      <c r="K87" s="283">
        <f t="shared" ca="1" si="21"/>
        <v>1.6223951136088128</v>
      </c>
      <c r="L87" s="283">
        <f t="shared" ca="1" si="21"/>
        <v>1.9938185993170983</v>
      </c>
      <c r="M87" s="283">
        <f t="shared" ca="1" si="21"/>
        <v>2.1291943836339318</v>
      </c>
      <c r="N87" s="283">
        <f t="shared" ca="1" si="21"/>
        <v>2.2380515477475131</v>
      </c>
      <c r="O87" s="283">
        <f t="shared" ca="1" si="21"/>
        <v>2.2027020201648817</v>
      </c>
      <c r="P87" s="283">
        <f t="shared" ca="1" si="21"/>
        <v>2.1127241735341307</v>
      </c>
      <c r="Q87" s="283">
        <f t="shared" ca="1" si="21"/>
        <v>2.0339794525059567</v>
      </c>
      <c r="R87" s="283">
        <f t="shared" ca="1" si="21"/>
        <v>2.0120437590392162</v>
      </c>
      <c r="S87" s="74"/>
    </row>
    <row r="88" spans="1:19" ht="4.9000000000000004" customHeight="1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74"/>
    </row>
    <row r="89" spans="1:19">
      <c r="H89" s="59"/>
      <c r="I89" s="402"/>
      <c r="J89" s="402"/>
      <c r="K89" s="361"/>
      <c r="L89" s="361"/>
      <c r="M89" s="59"/>
      <c r="S89" s="74"/>
    </row>
    <row r="90" spans="1:19">
      <c r="A90" s="55" t="s">
        <v>51</v>
      </c>
      <c r="B90" s="327" t="s">
        <v>122</v>
      </c>
      <c r="C90" s="329"/>
      <c r="D90" s="329"/>
      <c r="E90" s="329"/>
      <c r="F90" s="329"/>
      <c r="G90" s="329"/>
      <c r="H90" s="329"/>
      <c r="I90" s="329"/>
      <c r="J90" s="329"/>
      <c r="K90" s="329"/>
      <c r="L90" s="329"/>
      <c r="M90" s="329"/>
      <c r="N90" s="329"/>
      <c r="O90" s="329"/>
      <c r="P90" s="329"/>
      <c r="Q90" s="329"/>
      <c r="R90" s="329"/>
      <c r="S90" s="124"/>
    </row>
    <row r="91" spans="1:19">
      <c r="H91" s="59"/>
      <c r="I91" s="59"/>
      <c r="J91" s="59"/>
      <c r="K91" s="59"/>
      <c r="L91" s="59"/>
      <c r="M91" s="59"/>
      <c r="S91" s="74"/>
    </row>
    <row r="92" spans="1:19">
      <c r="B92" s="9"/>
      <c r="C92" s="9"/>
      <c r="D92" s="9"/>
      <c r="E92" s="9"/>
      <c r="F92" s="9"/>
      <c r="G92" s="188"/>
      <c r="H92" s="194" t="s">
        <v>123</v>
      </c>
      <c r="I92" s="195"/>
      <c r="J92" s="188" t="s">
        <v>259</v>
      </c>
      <c r="L92" s="188"/>
      <c r="M92" s="319"/>
      <c r="N92" s="320"/>
      <c r="O92" s="188"/>
      <c r="S92" s="74"/>
    </row>
    <row r="93" spans="1:19" ht="13.2" thickBot="1">
      <c r="B93" s="193"/>
      <c r="C93" s="192"/>
      <c r="D93" s="192"/>
      <c r="E93" s="192"/>
      <c r="F93" s="192"/>
      <c r="G93" s="236">
        <f>G62</f>
        <v>42735</v>
      </c>
      <c r="H93" s="189" t="s">
        <v>124</v>
      </c>
      <c r="I93" s="189" t="s">
        <v>125</v>
      </c>
      <c r="J93" s="237">
        <f>G93</f>
        <v>42735</v>
      </c>
      <c r="L93" s="321"/>
      <c r="M93" s="322"/>
      <c r="N93" s="322"/>
      <c r="O93" s="323"/>
      <c r="S93" s="74"/>
    </row>
    <row r="94" spans="1:19">
      <c r="B94" s="90"/>
      <c r="C94" s="90"/>
      <c r="D94" s="90"/>
      <c r="E94" s="90"/>
      <c r="F94" s="90"/>
      <c r="G94" s="90"/>
      <c r="H94" s="90"/>
      <c r="I94" s="90"/>
      <c r="J94" s="90"/>
      <c r="L94" s="46"/>
      <c r="M94" s="324"/>
      <c r="N94" s="324"/>
      <c r="O94" s="46"/>
      <c r="S94" s="74"/>
    </row>
    <row r="95" spans="1:19">
      <c r="B95" s="12" t="s">
        <v>126</v>
      </c>
      <c r="C95" s="90"/>
      <c r="D95" s="90"/>
      <c r="E95" s="90"/>
      <c r="F95" s="90"/>
      <c r="G95" s="90"/>
      <c r="H95" s="90"/>
      <c r="I95" s="90"/>
      <c r="J95" s="90"/>
      <c r="L95" s="90"/>
      <c r="M95" s="324"/>
      <c r="N95" s="324"/>
      <c r="O95" s="324"/>
      <c r="S95" s="74"/>
    </row>
    <row r="96" spans="1:19">
      <c r="B96" s="92" t="s">
        <v>4</v>
      </c>
      <c r="C96" s="91"/>
      <c r="D96" s="91"/>
      <c r="E96" s="91"/>
      <c r="F96" s="91"/>
      <c r="G96" s="91"/>
      <c r="H96" s="91"/>
      <c r="I96" s="91"/>
      <c r="J96" s="91"/>
      <c r="L96" s="90"/>
      <c r="M96" s="325"/>
      <c r="N96" s="325"/>
      <c r="O96" s="325"/>
      <c r="P96" s="77"/>
      <c r="Q96" s="77"/>
      <c r="R96" s="77"/>
      <c r="S96" s="74"/>
    </row>
    <row r="97" spans="2:21">
      <c r="B97" s="93" t="s">
        <v>107</v>
      </c>
      <c r="C97" s="90"/>
      <c r="D97" s="90"/>
      <c r="E97" s="90"/>
      <c r="F97" s="90"/>
      <c r="G97" s="219">
        <f>G176</f>
        <v>0</v>
      </c>
      <c r="H97" s="219">
        <v>0</v>
      </c>
      <c r="I97" s="219">
        <f>G97</f>
        <v>0</v>
      </c>
      <c r="J97" s="219">
        <f>G97+H97-I97</f>
        <v>0</v>
      </c>
      <c r="L97" s="219"/>
      <c r="M97" s="30"/>
      <c r="N97" s="46"/>
      <c r="O97" s="219"/>
      <c r="S97" s="74"/>
    </row>
    <row r="98" spans="2:21">
      <c r="B98" s="93" t="s">
        <v>6</v>
      </c>
      <c r="C98" s="90"/>
      <c r="D98" s="90"/>
      <c r="E98" s="90"/>
      <c r="F98" s="90"/>
      <c r="G98" s="219">
        <f>G177</f>
        <v>6801.8630000000003</v>
      </c>
      <c r="H98" s="219"/>
      <c r="I98" s="219"/>
      <c r="J98" s="219">
        <f>G98+H98-I98</f>
        <v>6801.8630000000003</v>
      </c>
      <c r="L98" s="219"/>
      <c r="M98" s="46"/>
      <c r="N98" s="46"/>
      <c r="O98" s="219"/>
      <c r="S98" s="74"/>
    </row>
    <row r="99" spans="2:21">
      <c r="B99" s="93" t="s">
        <v>386</v>
      </c>
      <c r="C99" s="90"/>
      <c r="D99" s="90"/>
      <c r="E99" s="90"/>
      <c r="F99" s="90"/>
      <c r="G99" s="219">
        <f>G178</f>
        <v>46.923000000000002</v>
      </c>
      <c r="H99" s="219">
        <f>S107-G99</f>
        <v>83.835904109589052</v>
      </c>
      <c r="I99" s="219"/>
      <c r="J99" s="219">
        <f>G99+H99-I99</f>
        <v>130.75890410958905</v>
      </c>
      <c r="L99" s="219"/>
      <c r="M99" s="46"/>
      <c r="N99" s="46"/>
      <c r="O99" s="219"/>
      <c r="S99" s="74"/>
    </row>
    <row r="100" spans="2:21">
      <c r="B100" s="93" t="s">
        <v>127</v>
      </c>
      <c r="C100" s="90"/>
      <c r="D100" s="90"/>
      <c r="E100" s="90"/>
      <c r="F100" s="90"/>
      <c r="G100" s="219">
        <f>G179</f>
        <v>0.29499999999999998</v>
      </c>
      <c r="H100" s="219"/>
      <c r="I100" s="207"/>
      <c r="J100" s="219">
        <f>G100+H100-I100</f>
        <v>0.29499999999999998</v>
      </c>
      <c r="L100" s="219"/>
      <c r="M100" s="46"/>
      <c r="N100" s="46"/>
      <c r="O100" s="219"/>
      <c r="S100" s="74"/>
    </row>
    <row r="101" spans="2:21">
      <c r="B101" s="94" t="s">
        <v>7</v>
      </c>
      <c r="C101" s="94"/>
      <c r="D101" s="94"/>
      <c r="E101" s="94"/>
      <c r="F101" s="94"/>
      <c r="G101" s="205">
        <f>SUM(G97:G100)</f>
        <v>6849.0810000000001</v>
      </c>
      <c r="H101" s="205"/>
      <c r="I101" s="205"/>
      <c r="J101" s="205">
        <f>SUM(J97:J100)</f>
        <v>6932.9169041095893</v>
      </c>
      <c r="L101" s="219"/>
      <c r="M101" s="46"/>
      <c r="N101" s="46"/>
      <c r="O101" s="219"/>
      <c r="S101" s="74"/>
    </row>
    <row r="102" spans="2:21">
      <c r="B102" s="90"/>
      <c r="C102" s="90"/>
      <c r="D102" s="90"/>
      <c r="E102" s="90"/>
      <c r="F102" s="90"/>
      <c r="G102" s="206"/>
      <c r="H102" s="206"/>
      <c r="I102" s="206"/>
      <c r="J102" s="206"/>
      <c r="L102" s="206"/>
      <c r="M102" s="46"/>
      <c r="N102" s="46"/>
      <c r="O102" s="206"/>
      <c r="S102" s="74"/>
    </row>
    <row r="103" spans="2:21">
      <c r="B103" s="93" t="s">
        <v>128</v>
      </c>
      <c r="C103" s="90"/>
      <c r="D103" s="90"/>
      <c r="E103" s="90"/>
      <c r="F103" s="90"/>
      <c r="G103" s="219">
        <f>G182</f>
        <v>478.49677000000003</v>
      </c>
      <c r="H103" s="217">
        <f>-F41</f>
        <v>9864.1322300000011</v>
      </c>
      <c r="I103" s="207"/>
      <c r="J103" s="219">
        <f>G103+H103-I103</f>
        <v>10342.629000000001</v>
      </c>
      <c r="L103" s="219"/>
      <c r="M103" s="30"/>
      <c r="N103" s="46"/>
      <c r="O103" s="219"/>
      <c r="S103" s="74"/>
    </row>
    <row r="104" spans="2:21">
      <c r="B104" s="93" t="s">
        <v>129</v>
      </c>
      <c r="C104" s="90"/>
      <c r="D104" s="90"/>
      <c r="E104" s="90"/>
      <c r="F104" s="90"/>
      <c r="G104" s="219">
        <f>G183</f>
        <v>0</v>
      </c>
      <c r="H104" s="219">
        <f ca="1">F42</f>
        <v>14677.77151589041</v>
      </c>
      <c r="I104" s="219"/>
      <c r="J104" s="219">
        <f ca="1">G104+H104-I104</f>
        <v>14677.77151589041</v>
      </c>
      <c r="L104" s="219"/>
      <c r="M104" s="30"/>
      <c r="N104" s="46"/>
      <c r="O104" s="219"/>
      <c r="S104" s="74"/>
    </row>
    <row r="105" spans="2:21">
      <c r="B105" s="93" t="s">
        <v>91</v>
      </c>
      <c r="C105" s="90"/>
      <c r="D105" s="90"/>
      <c r="E105" s="90"/>
      <c r="F105" s="90"/>
      <c r="G105" s="219">
        <f>G184</f>
        <v>0</v>
      </c>
      <c r="H105" s="219"/>
      <c r="I105" s="219"/>
      <c r="J105" s="219">
        <f>G105+H105-I105</f>
        <v>0</v>
      </c>
      <c r="L105" s="219"/>
      <c r="M105" s="46"/>
      <c r="N105" s="46"/>
      <c r="O105" s="219"/>
      <c r="S105" s="74"/>
    </row>
    <row r="106" spans="2:21">
      <c r="B106" s="93" t="s">
        <v>12</v>
      </c>
      <c r="C106" s="90"/>
      <c r="D106" s="90"/>
      <c r="E106" s="90"/>
      <c r="F106" s="90"/>
      <c r="G106" s="219">
        <f>G185</f>
        <v>1530.3693699999999</v>
      </c>
      <c r="H106" s="219"/>
      <c r="I106" s="219"/>
      <c r="J106" s="219">
        <f>G106+H106-I106</f>
        <v>1530.3693699999999</v>
      </c>
      <c r="L106" s="219"/>
      <c r="M106" s="46"/>
      <c r="N106" s="46"/>
      <c r="O106" s="219"/>
      <c r="S106" s="483" t="s">
        <v>527</v>
      </c>
      <c r="T106" s="371"/>
      <c r="U106" s="371"/>
    </row>
    <row r="107" spans="2:21">
      <c r="B107" s="93" t="s">
        <v>130</v>
      </c>
      <c r="C107" s="90"/>
      <c r="D107" s="90"/>
      <c r="E107" s="90"/>
      <c r="F107" s="90"/>
      <c r="G107" s="219">
        <f>G186</f>
        <v>0</v>
      </c>
      <c r="H107" s="219">
        <f ca="1">SUM(F9:F11)</f>
        <v>461.25</v>
      </c>
      <c r="I107" s="219"/>
      <c r="J107" s="219">
        <f ca="1">G107+H107-I107</f>
        <v>461.25</v>
      </c>
      <c r="L107" s="219"/>
      <c r="M107" s="30"/>
      <c r="N107" s="46"/>
      <c r="O107" s="219"/>
      <c r="S107" s="484">
        <f>I227*G215/G233</f>
        <v>130.75890410958905</v>
      </c>
      <c r="T107" s="371"/>
      <c r="U107" s="371"/>
    </row>
    <row r="108" spans="2:21">
      <c r="B108" s="81" t="s">
        <v>14</v>
      </c>
      <c r="C108" s="91"/>
      <c r="D108" s="91"/>
      <c r="E108" s="91"/>
      <c r="F108" s="91"/>
      <c r="G108" s="208">
        <f>SUM(G101:G107)</f>
        <v>8857.9471400000002</v>
      </c>
      <c r="H108" s="208"/>
      <c r="I108" s="208"/>
      <c r="J108" s="208">
        <f ca="1">SUM(J101:J107)</f>
        <v>33944.93679</v>
      </c>
      <c r="L108" s="220"/>
      <c r="M108" s="46"/>
      <c r="N108" s="46"/>
      <c r="O108" s="220"/>
      <c r="P108" s="24"/>
      <c r="S108" s="74"/>
    </row>
    <row r="109" spans="2:21">
      <c r="B109" s="82"/>
      <c r="C109" s="90"/>
      <c r="D109" s="90"/>
      <c r="E109" s="90"/>
      <c r="F109" s="90"/>
      <c r="G109" s="220"/>
      <c r="H109" s="220"/>
      <c r="I109" s="220"/>
      <c r="J109" s="477"/>
      <c r="L109" s="220"/>
      <c r="M109" s="46"/>
      <c r="N109" s="46"/>
      <c r="O109" s="46"/>
      <c r="S109" s="74"/>
    </row>
    <row r="110" spans="2:21">
      <c r="B110" s="12" t="s">
        <v>131</v>
      </c>
      <c r="C110" s="90"/>
      <c r="D110" s="90"/>
      <c r="E110" s="90"/>
      <c r="F110" s="90"/>
      <c r="G110" s="206"/>
      <c r="H110" s="206"/>
      <c r="I110" s="206"/>
      <c r="J110" s="206"/>
      <c r="L110" s="206"/>
      <c r="M110" s="46"/>
      <c r="N110" s="46"/>
      <c r="O110" s="46"/>
      <c r="S110" s="74"/>
    </row>
    <row r="111" spans="2:21">
      <c r="B111" s="91" t="s">
        <v>15</v>
      </c>
      <c r="C111" s="91"/>
      <c r="D111" s="91"/>
      <c r="E111" s="91"/>
      <c r="F111" s="91"/>
      <c r="G111" s="221"/>
      <c r="H111" s="221"/>
      <c r="I111" s="221"/>
      <c r="J111" s="221"/>
      <c r="L111" s="206"/>
      <c r="M111" s="46"/>
      <c r="N111" s="46"/>
      <c r="O111" s="206"/>
      <c r="S111" s="74"/>
    </row>
    <row r="112" spans="2:21">
      <c r="B112" s="93" t="s">
        <v>132</v>
      </c>
      <c r="C112" s="90"/>
      <c r="D112" s="90"/>
      <c r="E112" s="90"/>
      <c r="F112" s="90"/>
      <c r="G112" s="219">
        <f>G191</f>
        <v>3423.6409399999998</v>
      </c>
      <c r="H112" s="219"/>
      <c r="I112" s="219"/>
      <c r="J112" s="219">
        <f>G112-H112+I112</f>
        <v>3423.6409399999998</v>
      </c>
      <c r="L112" s="219"/>
      <c r="M112" s="46"/>
      <c r="N112" s="46"/>
      <c r="O112" s="219"/>
      <c r="S112" s="74"/>
    </row>
    <row r="113" spans="2:19">
      <c r="B113" s="93" t="s">
        <v>133</v>
      </c>
      <c r="C113" s="90"/>
      <c r="D113" s="90"/>
      <c r="E113" s="90"/>
      <c r="F113" s="90"/>
      <c r="G113" s="219">
        <f>G192</f>
        <v>60.045850000000428</v>
      </c>
      <c r="H113" s="207"/>
      <c r="I113" s="219"/>
      <c r="J113" s="219">
        <f>G113-H113+I113</f>
        <v>60.045850000000428</v>
      </c>
      <c r="L113" s="219"/>
      <c r="M113" s="46"/>
      <c r="N113" s="46"/>
      <c r="O113" s="219"/>
      <c r="S113" s="74"/>
    </row>
    <row r="114" spans="2:19">
      <c r="B114" s="94" t="s">
        <v>18</v>
      </c>
      <c r="C114" s="94"/>
      <c r="D114" s="94"/>
      <c r="E114" s="94"/>
      <c r="F114" s="94"/>
      <c r="G114" s="205">
        <f>SUM(G112:G113)</f>
        <v>3483.6867900000002</v>
      </c>
      <c r="H114" s="205"/>
      <c r="I114" s="205"/>
      <c r="J114" s="205">
        <f>SUM(J112:J113)</f>
        <v>3483.6867900000002</v>
      </c>
      <c r="K114" s="24"/>
      <c r="L114" s="219"/>
      <c r="M114" s="46"/>
      <c r="N114" s="46"/>
      <c r="O114" s="219"/>
      <c r="S114" s="74"/>
    </row>
    <row r="115" spans="2:19">
      <c r="B115" s="90"/>
      <c r="C115" s="90"/>
      <c r="D115" s="90"/>
      <c r="E115" s="90"/>
      <c r="F115" s="90"/>
      <c r="G115" s="206"/>
      <c r="H115" s="206"/>
      <c r="I115" s="206"/>
      <c r="J115" s="206"/>
      <c r="L115" s="206"/>
      <c r="M115" s="46"/>
      <c r="N115" s="46"/>
      <c r="O115" s="206"/>
      <c r="S115" s="74"/>
    </row>
    <row r="116" spans="2:19">
      <c r="B116" s="90" t="s">
        <v>134</v>
      </c>
      <c r="C116" s="90"/>
      <c r="D116" s="90"/>
      <c r="E116" s="90"/>
      <c r="F116" s="90"/>
      <c r="G116" s="206"/>
      <c r="H116" s="206"/>
      <c r="I116" s="206"/>
      <c r="J116" s="206"/>
      <c r="L116" s="206"/>
      <c r="M116" s="46"/>
      <c r="N116" s="46"/>
      <c r="O116" s="206"/>
      <c r="S116" s="74"/>
    </row>
    <row r="117" spans="2:19">
      <c r="B117" s="93" t="s">
        <v>63</v>
      </c>
      <c r="C117" s="90"/>
      <c r="D117" s="90"/>
      <c r="E117" s="90"/>
      <c r="F117" s="90"/>
      <c r="G117" s="219">
        <f>G196</f>
        <v>0</v>
      </c>
      <c r="H117" s="219"/>
      <c r="I117" s="219">
        <f ca="1">D20</f>
        <v>0</v>
      </c>
      <c r="J117" s="219">
        <f ca="1">G117-H117+I117</f>
        <v>0</v>
      </c>
      <c r="L117" s="219"/>
      <c r="M117" s="46"/>
      <c r="N117" s="30"/>
      <c r="O117" s="219"/>
      <c r="S117" s="74"/>
    </row>
    <row r="118" spans="2:19">
      <c r="B118" s="93" t="s">
        <v>142</v>
      </c>
      <c r="C118" s="90"/>
      <c r="D118" s="90"/>
      <c r="E118" s="90"/>
      <c r="F118" s="90"/>
      <c r="G118" s="219">
        <f>G197</f>
        <v>0</v>
      </c>
      <c r="H118" s="219">
        <f>G118</f>
        <v>0</v>
      </c>
      <c r="I118" s="219">
        <f ca="1">D21</f>
        <v>0</v>
      </c>
      <c r="J118" s="219">
        <f ca="1">G118-H118+I118</f>
        <v>0</v>
      </c>
      <c r="L118" s="219"/>
      <c r="M118" s="46"/>
      <c r="N118" s="30"/>
      <c r="O118" s="219"/>
      <c r="S118" s="74"/>
    </row>
    <row r="119" spans="2:19">
      <c r="B119" s="93" t="s">
        <v>135</v>
      </c>
      <c r="C119" s="90"/>
      <c r="D119" s="90"/>
      <c r="E119" s="90"/>
      <c r="F119" s="90"/>
      <c r="G119" s="219">
        <f>G198</f>
        <v>0</v>
      </c>
      <c r="H119" s="219"/>
      <c r="I119" s="219">
        <f ca="1">D22</f>
        <v>20500</v>
      </c>
      <c r="J119" s="219">
        <f ca="1">G119-H119+I119</f>
        <v>20500</v>
      </c>
      <c r="L119" s="219"/>
      <c r="M119" s="46"/>
      <c r="N119" s="46"/>
      <c r="O119" s="219"/>
      <c r="S119" s="74"/>
    </row>
    <row r="120" spans="2:19">
      <c r="B120" s="97" t="s">
        <v>66</v>
      </c>
      <c r="C120" s="94"/>
      <c r="D120" s="94"/>
      <c r="E120" s="94"/>
      <c r="F120" s="94"/>
      <c r="G120" s="205">
        <f>SUM(G117:G119)</f>
        <v>0</v>
      </c>
      <c r="H120" s="205"/>
      <c r="I120" s="205"/>
      <c r="J120" s="205">
        <f ca="1">SUM(J117:J119)</f>
        <v>20500</v>
      </c>
      <c r="L120" s="219"/>
      <c r="M120" s="46"/>
      <c r="N120" s="46"/>
      <c r="O120" s="219"/>
      <c r="S120" s="74"/>
    </row>
    <row r="121" spans="2:19">
      <c r="B121" s="90"/>
      <c r="C121" s="90"/>
      <c r="D121" s="90"/>
      <c r="E121" s="90"/>
      <c r="F121" s="90"/>
      <c r="G121" s="206"/>
      <c r="H121" s="206"/>
      <c r="I121" s="206"/>
      <c r="J121" s="206"/>
      <c r="L121" s="206"/>
      <c r="M121" s="46"/>
      <c r="N121" s="46"/>
      <c r="O121" s="206"/>
      <c r="S121" s="74"/>
    </row>
    <row r="122" spans="2:19">
      <c r="B122" s="93" t="s">
        <v>136</v>
      </c>
      <c r="C122" s="90"/>
      <c r="D122" s="90"/>
      <c r="E122" s="90"/>
      <c r="F122" s="90"/>
      <c r="G122" s="219">
        <f>G201</f>
        <v>0</v>
      </c>
      <c r="H122" s="219"/>
      <c r="I122" s="219"/>
      <c r="J122" s="219">
        <f>G122-H122+I122</f>
        <v>0</v>
      </c>
      <c r="L122" s="219"/>
      <c r="M122" s="46"/>
      <c r="N122" s="46"/>
      <c r="O122" s="219"/>
      <c r="S122" s="74"/>
    </row>
    <row r="123" spans="2:19">
      <c r="B123" s="93" t="s">
        <v>137</v>
      </c>
      <c r="C123" s="90"/>
      <c r="D123" s="90"/>
      <c r="E123" s="90"/>
      <c r="F123" s="90"/>
      <c r="G123" s="219">
        <f>G202</f>
        <v>0</v>
      </c>
      <c r="H123" s="219"/>
      <c r="I123" s="219"/>
      <c r="J123" s="219">
        <f>G123-H123+I123</f>
        <v>0</v>
      </c>
      <c r="L123" s="219"/>
      <c r="M123" s="46"/>
      <c r="N123" s="46"/>
      <c r="O123" s="219"/>
      <c r="S123" s="74"/>
    </row>
    <row r="124" spans="2:19">
      <c r="B124" s="83" t="s">
        <v>138</v>
      </c>
      <c r="C124" s="91"/>
      <c r="D124" s="91"/>
      <c r="E124" s="91"/>
      <c r="F124" s="91"/>
      <c r="G124" s="222">
        <f>G114+G120+G122+G123</f>
        <v>3483.6867900000002</v>
      </c>
      <c r="H124" s="222"/>
      <c r="I124" s="222"/>
      <c r="J124" s="222">
        <f ca="1">J114+J120+J122+J123</f>
        <v>23983.68679</v>
      </c>
      <c r="L124" s="219"/>
      <c r="M124" s="46"/>
      <c r="N124" s="46"/>
      <c r="O124" s="219"/>
      <c r="S124" s="74"/>
    </row>
    <row r="125" spans="2:19">
      <c r="B125" s="90"/>
      <c r="C125" s="90"/>
      <c r="D125" s="90"/>
      <c r="E125" s="90"/>
      <c r="F125" s="90"/>
      <c r="G125" s="206"/>
      <c r="H125" s="206"/>
      <c r="I125" s="206"/>
      <c r="J125" s="206"/>
      <c r="L125" s="206"/>
      <c r="M125" s="46"/>
      <c r="N125" s="46"/>
      <c r="O125" s="206"/>
      <c r="S125" s="74"/>
    </row>
    <row r="126" spans="2:19">
      <c r="B126" s="90" t="s">
        <v>139</v>
      </c>
      <c r="C126" s="90"/>
      <c r="D126" s="90"/>
      <c r="E126" s="90"/>
      <c r="F126" s="90"/>
      <c r="G126" s="219">
        <f>G205</f>
        <v>5374.2603500000005</v>
      </c>
      <c r="H126" s="349">
        <f>-F34</f>
        <v>5374.2603500000005</v>
      </c>
      <c r="I126" s="219">
        <f ca="1">D28-F12-F13</f>
        <v>10211.25</v>
      </c>
      <c r="J126" s="219">
        <f ca="1">G126-H126+I126</f>
        <v>10211.25</v>
      </c>
      <c r="L126" s="219"/>
      <c r="M126" s="30"/>
      <c r="N126" s="30"/>
      <c r="O126" s="219"/>
      <c r="S126" s="74"/>
    </row>
    <row r="127" spans="2:19">
      <c r="B127" s="98" t="s">
        <v>67</v>
      </c>
      <c r="C127" s="98"/>
      <c r="D127" s="98"/>
      <c r="E127" s="98"/>
      <c r="F127" s="98"/>
      <c r="G127" s="223">
        <f>SUM(G126)</f>
        <v>5374.2603500000005</v>
      </c>
      <c r="H127" s="223"/>
      <c r="I127" s="223"/>
      <c r="J127" s="223">
        <f ca="1">SUM(J126)</f>
        <v>10211.25</v>
      </c>
      <c r="L127" s="219"/>
      <c r="M127" s="46"/>
      <c r="N127" s="46"/>
      <c r="O127" s="219"/>
      <c r="S127" s="74"/>
    </row>
    <row r="128" spans="2:19">
      <c r="B128" s="85" t="s">
        <v>140</v>
      </c>
      <c r="C128" s="91"/>
      <c r="D128" s="91"/>
      <c r="E128" s="91"/>
      <c r="F128" s="91"/>
      <c r="G128" s="208">
        <f>G124+G127</f>
        <v>8857.9471400000002</v>
      </c>
      <c r="H128" s="208"/>
      <c r="I128" s="208"/>
      <c r="J128" s="208">
        <f ca="1">J124+J127</f>
        <v>34194.93679</v>
      </c>
      <c r="K128" s="24"/>
      <c r="L128" s="220"/>
      <c r="M128" s="46"/>
      <c r="N128" s="46"/>
      <c r="O128" s="220"/>
      <c r="S128" s="74"/>
    </row>
    <row r="129" spans="1:19">
      <c r="B129" s="86" t="s">
        <v>141</v>
      </c>
      <c r="C129" s="86"/>
      <c r="D129" s="87"/>
      <c r="E129" s="86"/>
      <c r="F129" s="86"/>
      <c r="G129" s="88">
        <f>G108-G128</f>
        <v>0</v>
      </c>
      <c r="H129" s="88"/>
      <c r="I129" s="88"/>
      <c r="J129" s="88">
        <f ca="1">J108-J128</f>
        <v>-250</v>
      </c>
      <c r="L129" s="326"/>
      <c r="M129" s="46"/>
      <c r="N129" s="46"/>
      <c r="O129" s="326"/>
      <c r="S129" s="74"/>
    </row>
    <row r="130" spans="1:19" ht="4.9000000000000004" customHeight="1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74"/>
    </row>
    <row r="131" spans="1:19">
      <c r="S131" s="74"/>
    </row>
    <row r="132" spans="1:19">
      <c r="A132" s="55" t="s">
        <v>51</v>
      </c>
      <c r="B132" s="327" t="s">
        <v>146</v>
      </c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29"/>
      <c r="P132" s="329"/>
      <c r="Q132" s="329"/>
      <c r="R132" s="329"/>
      <c r="S132" s="124"/>
    </row>
    <row r="133" spans="1:19">
      <c r="B133" s="99"/>
      <c r="C133" s="99"/>
      <c r="D133" s="99"/>
      <c r="E133" s="99"/>
      <c r="F133" s="99"/>
      <c r="G133" s="99"/>
      <c r="H133" s="10"/>
      <c r="I133" s="99"/>
      <c r="J133" s="99"/>
      <c r="K133" s="99"/>
      <c r="L133" s="99"/>
      <c r="M133" s="99"/>
      <c r="N133" s="99"/>
      <c r="O133" s="99"/>
      <c r="P133" s="99"/>
      <c r="Q133" s="100"/>
      <c r="R133" s="100"/>
      <c r="S133" s="101" t="s">
        <v>409</v>
      </c>
    </row>
    <row r="134" spans="1:19" ht="13.2" thickBot="1">
      <c r="B134" s="191"/>
      <c r="C134" s="192"/>
      <c r="D134" s="192"/>
      <c r="E134" s="192"/>
      <c r="F134" s="238">
        <f>'Balance Sheet'!E7</f>
        <v>42369</v>
      </c>
      <c r="G134" s="235">
        <f>EOMONTH(F134,12)</f>
        <v>42735</v>
      </c>
      <c r="H134" s="201"/>
      <c r="I134" s="235">
        <f>I66</f>
        <v>43100</v>
      </c>
      <c r="J134" s="235">
        <f t="shared" ref="J134:R134" si="22">J66</f>
        <v>43465</v>
      </c>
      <c r="K134" s="235">
        <f t="shared" si="22"/>
        <v>43830</v>
      </c>
      <c r="L134" s="235">
        <f t="shared" si="22"/>
        <v>44196</v>
      </c>
      <c r="M134" s="235">
        <f t="shared" si="22"/>
        <v>44561</v>
      </c>
      <c r="N134" s="235">
        <f t="shared" si="22"/>
        <v>44926</v>
      </c>
      <c r="O134" s="235">
        <f t="shared" si="22"/>
        <v>45291</v>
      </c>
      <c r="P134" s="235">
        <f t="shared" si="22"/>
        <v>45657</v>
      </c>
      <c r="Q134" s="235">
        <f t="shared" si="22"/>
        <v>46022</v>
      </c>
      <c r="R134" s="235">
        <f t="shared" si="22"/>
        <v>46387</v>
      </c>
      <c r="S134" s="190" t="s">
        <v>147</v>
      </c>
    </row>
    <row r="135" spans="1:19">
      <c r="B135" s="90"/>
      <c r="C135" s="90"/>
      <c r="D135" s="90"/>
      <c r="E135" s="90"/>
      <c r="F135" s="90"/>
      <c r="G135" s="90"/>
      <c r="H135" s="90"/>
      <c r="I135" s="90"/>
      <c r="J135" s="399"/>
      <c r="K135" s="399"/>
      <c r="L135" s="399"/>
      <c r="M135" s="399"/>
      <c r="N135" s="423"/>
      <c r="S135" s="90"/>
    </row>
    <row r="136" spans="1:19">
      <c r="B136" s="90" t="s">
        <v>24</v>
      </c>
      <c r="C136" s="90"/>
      <c r="D136" s="90"/>
      <c r="E136" s="90"/>
      <c r="F136" s="204">
        <f>'Income Statement'!E8</f>
        <v>16064.5</v>
      </c>
      <c r="G136" s="204">
        <f>'Income Statement'!F8</f>
        <v>23605</v>
      </c>
      <c r="H136" s="207"/>
      <c r="I136" s="219">
        <f ca="1">G136*(1+I159)</f>
        <v>37768</v>
      </c>
      <c r="J136" s="219">
        <f t="shared" ref="J136:R136" ca="1" si="23">I136*(1+J159)</f>
        <v>41544.800000000003</v>
      </c>
      <c r="K136" s="219">
        <f t="shared" ca="1" si="23"/>
        <v>45699.280000000006</v>
      </c>
      <c r="L136" s="219">
        <f t="shared" ca="1" si="23"/>
        <v>49355.222400000013</v>
      </c>
      <c r="M136" s="219">
        <f t="shared" ca="1" si="23"/>
        <v>53303.640192000021</v>
      </c>
      <c r="N136" s="219">
        <f t="shared" ca="1" si="23"/>
        <v>57567.931407360025</v>
      </c>
      <c r="O136" s="219">
        <f t="shared" ca="1" si="23"/>
        <v>61022.00729180163</v>
      </c>
      <c r="P136" s="219">
        <f t="shared" ca="1" si="23"/>
        <v>64073.107656391716</v>
      </c>
      <c r="Q136" s="219">
        <f t="shared" ca="1" si="23"/>
        <v>67276.763039211306</v>
      </c>
      <c r="R136" s="219">
        <f t="shared" ca="1" si="23"/>
        <v>70640.601191171882</v>
      </c>
      <c r="S136" s="291">
        <f ca="1">(M136/G136)^(1/($M$63-$G$63))-1</f>
        <v>0.17692983635123172</v>
      </c>
    </row>
    <row r="137" spans="1:19">
      <c r="B137" s="90" t="s">
        <v>25</v>
      </c>
      <c r="C137" s="90"/>
      <c r="D137" s="90"/>
      <c r="E137" s="90"/>
      <c r="F137" s="204">
        <f>'Income Statement'!E10</f>
        <v>11921</v>
      </c>
      <c r="G137" s="204">
        <f>'Income Statement'!F10</f>
        <v>15909</v>
      </c>
      <c r="H137" s="207"/>
      <c r="I137" s="219">
        <f t="shared" ref="I137:R137" ca="1" si="24">I136*I160</f>
        <v>25454.399999999998</v>
      </c>
      <c r="J137" s="219">
        <f t="shared" ca="1" si="24"/>
        <v>27999.84</v>
      </c>
      <c r="K137" s="219">
        <f t="shared" ca="1" si="24"/>
        <v>30799.824000000004</v>
      </c>
      <c r="L137" s="219">
        <f t="shared" ca="1" si="24"/>
        <v>33263.809920000007</v>
      </c>
      <c r="M137" s="219">
        <f t="shared" ca="1" si="24"/>
        <v>35924.91471360001</v>
      </c>
      <c r="N137" s="219">
        <f t="shared" ca="1" si="24"/>
        <v>38798.907890688017</v>
      </c>
      <c r="O137" s="219">
        <f t="shared" ca="1" si="24"/>
        <v>41126.842364129297</v>
      </c>
      <c r="P137" s="219">
        <f t="shared" ca="1" si="24"/>
        <v>43183.184482335768</v>
      </c>
      <c r="Q137" s="219">
        <f t="shared" ca="1" si="24"/>
        <v>45342.343706452557</v>
      </c>
      <c r="R137" s="219">
        <f t="shared" ca="1" si="24"/>
        <v>47609.46089177519</v>
      </c>
    </row>
    <row r="138" spans="1:19">
      <c r="B138" s="105" t="s">
        <v>35</v>
      </c>
      <c r="C138" s="106"/>
      <c r="D138" s="106"/>
      <c r="E138" s="106"/>
      <c r="F138" s="216">
        <f>F136-F137</f>
        <v>4143.5</v>
      </c>
      <c r="G138" s="216">
        <f>G136-G137</f>
        <v>7696</v>
      </c>
      <c r="H138" s="216"/>
      <c r="I138" s="216">
        <f ca="1">I136-I137</f>
        <v>12313.600000000002</v>
      </c>
      <c r="J138" s="216">
        <f t="shared" ref="J138:R138" ca="1" si="25">J136-J137</f>
        <v>13544.960000000003</v>
      </c>
      <c r="K138" s="216">
        <f t="shared" ca="1" si="25"/>
        <v>14899.456000000002</v>
      </c>
      <c r="L138" s="216">
        <f t="shared" ca="1" si="25"/>
        <v>16091.412480000006</v>
      </c>
      <c r="M138" s="216">
        <f t="shared" ca="1" si="25"/>
        <v>17378.725478400011</v>
      </c>
      <c r="N138" s="216">
        <f t="shared" ca="1" si="25"/>
        <v>18769.023516672009</v>
      </c>
      <c r="O138" s="216">
        <f t="shared" ca="1" si="25"/>
        <v>19895.164927672333</v>
      </c>
      <c r="P138" s="216">
        <f t="shared" ca="1" si="25"/>
        <v>20889.923174055948</v>
      </c>
      <c r="Q138" s="216">
        <f t="shared" ca="1" si="25"/>
        <v>21934.419332758749</v>
      </c>
      <c r="R138" s="216">
        <f t="shared" ca="1" si="25"/>
        <v>23031.140299396691</v>
      </c>
      <c r="S138" s="90"/>
    </row>
    <row r="139" spans="1:19">
      <c r="B139" s="90"/>
      <c r="C139" s="90"/>
      <c r="D139" s="90"/>
      <c r="E139" s="90"/>
      <c r="F139" s="206"/>
      <c r="G139" s="206"/>
      <c r="H139" s="119"/>
      <c r="I139" s="206"/>
      <c r="J139" s="206"/>
      <c r="K139" s="206"/>
      <c r="L139" s="206"/>
      <c r="M139" s="206"/>
      <c r="N139" s="252"/>
      <c r="O139" s="252"/>
      <c r="P139" s="252"/>
      <c r="Q139" s="252"/>
      <c r="R139" s="252"/>
    </row>
    <row r="140" spans="1:19">
      <c r="B140" s="120" t="s">
        <v>163</v>
      </c>
      <c r="C140" s="90"/>
      <c r="D140" s="90"/>
      <c r="E140" s="90"/>
      <c r="F140" s="204">
        <f>'Income Statement'!E15-'P&amp;L'!D47-'P&amp;L'!D33</f>
        <v>1410.626</v>
      </c>
      <c r="G140" s="204">
        <f>'Income Statement'!F15-'P&amp;L'!E47-'P&amp;L'!E33</f>
        <v>2964.1439999999998</v>
      </c>
      <c r="H140" s="207"/>
      <c r="I140" s="206">
        <f t="shared" ref="I140:R140" ca="1" si="26">I136*I162</f>
        <v>3776.8</v>
      </c>
      <c r="J140" s="206">
        <f t="shared" ca="1" si="26"/>
        <v>4154.4800000000005</v>
      </c>
      <c r="K140" s="206">
        <f t="shared" ca="1" si="26"/>
        <v>4569.9280000000008</v>
      </c>
      <c r="L140" s="206">
        <f t="shared" ca="1" si="26"/>
        <v>4935.5222400000021</v>
      </c>
      <c r="M140" s="206">
        <f t="shared" ca="1" si="26"/>
        <v>5330.3640192000021</v>
      </c>
      <c r="N140" s="206">
        <f t="shared" ca="1" si="26"/>
        <v>5756.7931407360029</v>
      </c>
      <c r="O140" s="206">
        <f t="shared" ca="1" si="26"/>
        <v>6102.2007291801638</v>
      </c>
      <c r="P140" s="206">
        <f t="shared" ca="1" si="26"/>
        <v>6407.3107656391721</v>
      </c>
      <c r="Q140" s="206">
        <f t="shared" ca="1" si="26"/>
        <v>6727.676303921131</v>
      </c>
      <c r="R140" s="206">
        <f t="shared" ca="1" si="26"/>
        <v>7064.0601191171882</v>
      </c>
      <c r="S140" s="107"/>
    </row>
    <row r="141" spans="1:19">
      <c r="B141" s="120" t="s">
        <v>38</v>
      </c>
      <c r="C141" s="90"/>
      <c r="D141" s="90"/>
      <c r="E141" s="90"/>
      <c r="F141" s="204">
        <f>'P&amp;L'!D47</f>
        <v>449.87400000000002</v>
      </c>
      <c r="G141" s="204">
        <f>'P&amp;L'!E47</f>
        <v>42.856000000000002</v>
      </c>
      <c r="H141" s="102"/>
      <c r="I141" s="253">
        <f ca="1">I419+I422</f>
        <v>1059.2629000000002</v>
      </c>
      <c r="J141" s="253">
        <f t="shared" ref="J141:R141" ca="1" si="27">J419+J422</f>
        <v>1134.2629000000002</v>
      </c>
      <c r="K141" s="253">
        <f t="shared" ca="1" si="27"/>
        <v>1284.2629000000002</v>
      </c>
      <c r="L141" s="253">
        <f t="shared" ca="1" si="27"/>
        <v>1434.2629000000002</v>
      </c>
      <c r="M141" s="253">
        <f t="shared" ca="1" si="27"/>
        <v>1521.7629000000002</v>
      </c>
      <c r="N141" s="253">
        <f t="shared" ca="1" si="27"/>
        <v>1584.2629000000002</v>
      </c>
      <c r="O141" s="253">
        <f t="shared" ca="1" si="27"/>
        <v>1634.2629000000002</v>
      </c>
      <c r="P141" s="253">
        <f t="shared" ca="1" si="27"/>
        <v>1684.2629000000002</v>
      </c>
      <c r="Q141" s="253">
        <f t="shared" ca="1" si="27"/>
        <v>1734.2629000000002</v>
      </c>
      <c r="R141" s="253">
        <f t="shared" ca="1" si="27"/>
        <v>1784.2628999999995</v>
      </c>
      <c r="S141" s="107"/>
    </row>
    <row r="142" spans="1:19">
      <c r="B142" s="105" t="s">
        <v>148</v>
      </c>
      <c r="C142" s="106"/>
      <c r="D142" s="106"/>
      <c r="E142" s="108"/>
      <c r="F142" s="216">
        <f>F138-SUM(F140:F141)</f>
        <v>2283</v>
      </c>
      <c r="G142" s="216">
        <f>G138-SUM(G140:G141)</f>
        <v>4689</v>
      </c>
      <c r="H142" s="216"/>
      <c r="I142" s="216">
        <f ca="1">I138-SUM(I140:I141)</f>
        <v>7477.5371000000014</v>
      </c>
      <c r="J142" s="216">
        <f t="shared" ref="J142:R142" ca="1" si="28">J138-SUM(J140:J141)</f>
        <v>8256.2171000000017</v>
      </c>
      <c r="K142" s="216">
        <f t="shared" ca="1" si="28"/>
        <v>9045.2651000000005</v>
      </c>
      <c r="L142" s="216">
        <f t="shared" ca="1" si="28"/>
        <v>9721.6273400000046</v>
      </c>
      <c r="M142" s="216">
        <f t="shared" ca="1" si="28"/>
        <v>10526.598559200009</v>
      </c>
      <c r="N142" s="216">
        <f t="shared" ca="1" si="28"/>
        <v>11427.967475936006</v>
      </c>
      <c r="O142" s="216">
        <f t="shared" ca="1" si="28"/>
        <v>12158.701298492169</v>
      </c>
      <c r="P142" s="216">
        <f t="shared" ca="1" si="28"/>
        <v>12798.349508416775</v>
      </c>
      <c r="Q142" s="216">
        <f t="shared" ca="1" si="28"/>
        <v>13472.480128837618</v>
      </c>
      <c r="R142" s="216">
        <f t="shared" ca="1" si="28"/>
        <v>14182.817280279503</v>
      </c>
      <c r="S142" s="104"/>
    </row>
    <row r="143" spans="1:19">
      <c r="B143" s="90"/>
      <c r="C143" s="90"/>
      <c r="D143" s="90"/>
      <c r="E143" s="90"/>
      <c r="F143" s="206"/>
      <c r="G143" s="206"/>
      <c r="H143" s="119"/>
      <c r="I143" s="206"/>
      <c r="J143" s="206"/>
      <c r="K143" s="206"/>
      <c r="L143" s="206"/>
      <c r="M143" s="206"/>
      <c r="N143" s="252"/>
      <c r="O143" s="252"/>
      <c r="P143" s="252"/>
      <c r="Q143" s="252"/>
      <c r="R143" s="252"/>
    </row>
    <row r="144" spans="1:19">
      <c r="B144" s="90" t="s">
        <v>522</v>
      </c>
      <c r="C144" s="90"/>
      <c r="D144" s="90"/>
      <c r="E144" s="90"/>
      <c r="F144" s="206"/>
      <c r="G144" s="206"/>
      <c r="H144" s="119"/>
      <c r="I144" s="206">
        <f ca="1">MIN($K$50,$K$49*(I142+I154))</f>
        <v>350</v>
      </c>
      <c r="J144" s="206">
        <f t="shared" ref="J144:R144" ca="1" si="29">MIN($K$50,$K$49*(J142+J154))</f>
        <v>350</v>
      </c>
      <c r="K144" s="206">
        <f t="shared" ca="1" si="29"/>
        <v>350</v>
      </c>
      <c r="L144" s="206">
        <f t="shared" ca="1" si="29"/>
        <v>350</v>
      </c>
      <c r="M144" s="206">
        <f t="shared" ca="1" si="29"/>
        <v>350</v>
      </c>
      <c r="N144" s="206">
        <f t="shared" ca="1" si="29"/>
        <v>350</v>
      </c>
      <c r="O144" s="206">
        <f t="shared" ca="1" si="29"/>
        <v>350</v>
      </c>
      <c r="P144" s="206">
        <f t="shared" ca="1" si="29"/>
        <v>350</v>
      </c>
      <c r="Q144" s="206">
        <f t="shared" ca="1" si="29"/>
        <v>350</v>
      </c>
      <c r="R144" s="206">
        <f t="shared" ca="1" si="29"/>
        <v>350</v>
      </c>
    </row>
    <row r="145" spans="2:19">
      <c r="B145" s="90" t="s">
        <v>46</v>
      </c>
      <c r="C145" s="90"/>
      <c r="D145" s="90"/>
      <c r="E145" s="90"/>
      <c r="F145" s="204">
        <f>'Income Statement'!E29</f>
        <v>14.427</v>
      </c>
      <c r="G145" s="204">
        <f>'Income Statement'!F29</f>
        <v>6.423</v>
      </c>
      <c r="H145" s="103"/>
      <c r="I145" s="253">
        <f t="shared" ref="I145:R145" ca="1" si="30">IF(Circ=0,0,I364)</f>
        <v>2156.8032646555084</v>
      </c>
      <c r="J145" s="219">
        <f t="shared" ca="1" si="30"/>
        <v>1810.6033622747264</v>
      </c>
      <c r="K145" s="219">
        <f t="shared" ca="1" si="30"/>
        <v>1333.5762970502872</v>
      </c>
      <c r="L145" s="219">
        <f t="shared" ca="1" si="30"/>
        <v>780.6023880423528</v>
      </c>
      <c r="M145" s="219">
        <f t="shared" ca="1" si="30"/>
        <v>228.32618861128367</v>
      </c>
      <c r="N145" s="219">
        <f t="shared" ca="1" si="30"/>
        <v>0</v>
      </c>
      <c r="O145" s="219">
        <f t="shared" ca="1" si="30"/>
        <v>0</v>
      </c>
      <c r="P145" s="219">
        <f t="shared" ca="1" si="30"/>
        <v>0</v>
      </c>
      <c r="Q145" s="219">
        <f t="shared" ca="1" si="30"/>
        <v>0</v>
      </c>
      <c r="R145" s="219">
        <f t="shared" ca="1" si="30"/>
        <v>0</v>
      </c>
    </row>
    <row r="146" spans="2:19">
      <c r="B146" s="120" t="s">
        <v>149</v>
      </c>
      <c r="C146" s="90"/>
      <c r="D146" s="90"/>
      <c r="E146" s="90"/>
      <c r="F146" s="204">
        <v>0</v>
      </c>
      <c r="G146" s="204">
        <v>0</v>
      </c>
      <c r="H146" s="11"/>
      <c r="I146" s="253">
        <f t="shared" ref="I146:R146" ca="1" si="31">IF(Circ=0,0,I375)</f>
        <v>-1.25</v>
      </c>
      <c r="J146" s="253">
        <f t="shared" ca="1" si="31"/>
        <v>-2.5</v>
      </c>
      <c r="K146" s="253">
        <f t="shared" ca="1" si="31"/>
        <v>-2.5</v>
      </c>
      <c r="L146" s="253">
        <f t="shared" ca="1" si="31"/>
        <v>-2.5</v>
      </c>
      <c r="M146" s="253">
        <f t="shared" ca="1" si="31"/>
        <v>-15.512822873826899</v>
      </c>
      <c r="N146" s="253">
        <f t="shared" ca="1" si="31"/>
        <v>-65.858017832107947</v>
      </c>
      <c r="O146" s="253">
        <f t="shared" ca="1" si="31"/>
        <v>-143.10953378573927</v>
      </c>
      <c r="P146" s="253">
        <f t="shared" ca="1" si="31"/>
        <v>-224.43741619548979</v>
      </c>
      <c r="Q146" s="253">
        <f t="shared" ca="1" si="31"/>
        <v>-308.31277632913049</v>
      </c>
      <c r="R146" s="253">
        <f t="shared" ca="1" si="31"/>
        <v>-395.06111855176118</v>
      </c>
    </row>
    <row r="147" spans="2:19">
      <c r="B147" s="121" t="s">
        <v>150</v>
      </c>
      <c r="C147" s="94"/>
      <c r="D147" s="94"/>
      <c r="E147" s="94"/>
      <c r="F147" s="205">
        <f>F142-F145-F146</f>
        <v>2268.5729999999999</v>
      </c>
      <c r="G147" s="205">
        <f>G142-G145-G146</f>
        <v>4682.5770000000002</v>
      </c>
      <c r="H147" s="205"/>
      <c r="I147" s="205">
        <f ca="1">I142-I145-I146-I144</f>
        <v>4971.9838353444929</v>
      </c>
      <c r="J147" s="205">
        <f t="shared" ref="J147:R147" ca="1" si="32">J142-J145-J146</f>
        <v>6448.1137377252753</v>
      </c>
      <c r="K147" s="205">
        <f t="shared" ca="1" si="32"/>
        <v>7714.1888029497131</v>
      </c>
      <c r="L147" s="205">
        <f t="shared" ca="1" si="32"/>
        <v>8943.5249519576519</v>
      </c>
      <c r="M147" s="205">
        <f t="shared" ca="1" si="32"/>
        <v>10313.785193462552</v>
      </c>
      <c r="N147" s="205">
        <f t="shared" ca="1" si="32"/>
        <v>11493.825493768114</v>
      </c>
      <c r="O147" s="205">
        <f t="shared" ca="1" si="32"/>
        <v>12301.810832277908</v>
      </c>
      <c r="P147" s="205">
        <f t="shared" ca="1" si="32"/>
        <v>13022.786924612265</v>
      </c>
      <c r="Q147" s="205">
        <f t="shared" ca="1" si="32"/>
        <v>13780.792905166749</v>
      </c>
      <c r="R147" s="205">
        <f t="shared" ca="1" si="32"/>
        <v>14577.878398831264</v>
      </c>
      <c r="S147" s="90"/>
    </row>
    <row r="148" spans="2:19">
      <c r="B148" s="90"/>
      <c r="C148" s="90"/>
      <c r="D148" s="90"/>
      <c r="E148" s="90"/>
      <c r="F148" s="206"/>
      <c r="G148" s="206"/>
      <c r="H148" s="119"/>
      <c r="I148" s="206"/>
      <c r="J148" s="206"/>
      <c r="K148" s="206"/>
      <c r="L148" s="206"/>
      <c r="M148" s="206"/>
      <c r="N148" s="252"/>
      <c r="O148" s="252"/>
      <c r="P148" s="252"/>
      <c r="Q148" s="252"/>
      <c r="R148" s="252"/>
    </row>
    <row r="149" spans="2:19">
      <c r="B149" s="90" t="s">
        <v>151</v>
      </c>
      <c r="C149" s="90"/>
      <c r="D149" s="90"/>
      <c r="E149" s="90"/>
      <c r="F149" s="217">
        <v>0</v>
      </c>
      <c r="G149" s="217">
        <v>0</v>
      </c>
      <c r="H149" s="217"/>
      <c r="I149" s="217">
        <f t="shared" ref="I149:R149" ca="1" si="33">I147*Tax_Rate*IF($R$17="Flow-Thru",0,1)</f>
        <v>0</v>
      </c>
      <c r="J149" s="217">
        <f t="shared" ca="1" si="33"/>
        <v>0</v>
      </c>
      <c r="K149" s="217">
        <f t="shared" ca="1" si="33"/>
        <v>0</v>
      </c>
      <c r="L149" s="217">
        <f t="shared" ca="1" si="33"/>
        <v>0</v>
      </c>
      <c r="M149" s="217">
        <f t="shared" ca="1" si="33"/>
        <v>0</v>
      </c>
      <c r="N149" s="217">
        <f t="shared" ca="1" si="33"/>
        <v>0</v>
      </c>
      <c r="O149" s="217">
        <f t="shared" ca="1" si="33"/>
        <v>0</v>
      </c>
      <c r="P149" s="217">
        <f t="shared" ca="1" si="33"/>
        <v>0</v>
      </c>
      <c r="Q149" s="217">
        <f t="shared" ca="1" si="33"/>
        <v>0</v>
      </c>
      <c r="R149" s="217">
        <f t="shared" ca="1" si="33"/>
        <v>0</v>
      </c>
    </row>
    <row r="150" spans="2:19">
      <c r="B150" s="120" t="s">
        <v>152</v>
      </c>
      <c r="C150" s="90"/>
      <c r="D150" s="90"/>
      <c r="E150" s="90"/>
      <c r="F150" s="207">
        <v>0</v>
      </c>
      <c r="G150" s="207">
        <v>0</v>
      </c>
      <c r="H150" s="103"/>
      <c r="I150" s="219">
        <f t="shared" ref="I150:R150" si="34">I148*Tax_Rate*IF($R$17="Flow-Thru",0,1)</f>
        <v>0</v>
      </c>
      <c r="J150" s="219">
        <f t="shared" si="34"/>
        <v>0</v>
      </c>
      <c r="K150" s="219">
        <f t="shared" si="34"/>
        <v>0</v>
      </c>
      <c r="L150" s="219">
        <f t="shared" si="34"/>
        <v>0</v>
      </c>
      <c r="M150" s="219">
        <f t="shared" si="34"/>
        <v>0</v>
      </c>
      <c r="N150" s="219">
        <f t="shared" si="34"/>
        <v>0</v>
      </c>
      <c r="O150" s="219">
        <f t="shared" si="34"/>
        <v>0</v>
      </c>
      <c r="P150" s="219">
        <f t="shared" si="34"/>
        <v>0</v>
      </c>
      <c r="Q150" s="219">
        <f t="shared" si="34"/>
        <v>0</v>
      </c>
      <c r="R150" s="219">
        <f t="shared" si="34"/>
        <v>0</v>
      </c>
    </row>
    <row r="151" spans="2:19">
      <c r="B151" s="105" t="s">
        <v>153</v>
      </c>
      <c r="C151" s="106"/>
      <c r="D151" s="106"/>
      <c r="E151" s="106"/>
      <c r="F151" s="216">
        <f>F147-F149-F150</f>
        <v>2268.5729999999999</v>
      </c>
      <c r="G151" s="216">
        <f>G147-G149-G150</f>
        <v>4682.5770000000002</v>
      </c>
      <c r="H151" s="216"/>
      <c r="I151" s="216">
        <f ca="1">I147-I149-I150</f>
        <v>4971.9838353444929</v>
      </c>
      <c r="J151" s="216">
        <f t="shared" ref="J151:R151" ca="1" si="35">J147-J149-J150</f>
        <v>6448.1137377252753</v>
      </c>
      <c r="K151" s="216">
        <f t="shared" ca="1" si="35"/>
        <v>7714.1888029497131</v>
      </c>
      <c r="L151" s="216">
        <f t="shared" ca="1" si="35"/>
        <v>8943.5249519576519</v>
      </c>
      <c r="M151" s="216">
        <f t="shared" ca="1" si="35"/>
        <v>10313.785193462552</v>
      </c>
      <c r="N151" s="216">
        <f t="shared" ca="1" si="35"/>
        <v>11493.825493768114</v>
      </c>
      <c r="O151" s="216">
        <f t="shared" ca="1" si="35"/>
        <v>12301.810832277908</v>
      </c>
      <c r="P151" s="216">
        <f t="shared" ca="1" si="35"/>
        <v>13022.786924612265</v>
      </c>
      <c r="Q151" s="216">
        <f t="shared" ca="1" si="35"/>
        <v>13780.792905166749</v>
      </c>
      <c r="R151" s="216">
        <f t="shared" ca="1" si="35"/>
        <v>14577.878398831264</v>
      </c>
      <c r="S151" s="104"/>
    </row>
    <row r="152" spans="2:19">
      <c r="B152" s="90"/>
      <c r="C152" s="90"/>
      <c r="D152" s="90"/>
      <c r="E152" s="90"/>
      <c r="F152" s="206"/>
      <c r="G152" s="206"/>
      <c r="H152" s="119"/>
      <c r="I152" s="206"/>
      <c r="J152" s="206"/>
      <c r="K152" s="206"/>
      <c r="L152" s="206"/>
      <c r="M152" s="206"/>
      <c r="N152" s="252"/>
      <c r="O152" s="252"/>
      <c r="P152" s="252"/>
      <c r="Q152" s="252"/>
      <c r="R152" s="252"/>
    </row>
    <row r="153" spans="2:19">
      <c r="B153" s="85" t="s">
        <v>148</v>
      </c>
      <c r="C153" s="85"/>
      <c r="D153" s="85"/>
      <c r="E153" s="85"/>
      <c r="F153" s="208">
        <f>F142</f>
        <v>2283</v>
      </c>
      <c r="G153" s="208">
        <f>G142</f>
        <v>4689</v>
      </c>
      <c r="H153" s="208"/>
      <c r="I153" s="208">
        <f t="shared" ref="I153:R153" ca="1" si="36">I142</f>
        <v>7477.5371000000014</v>
      </c>
      <c r="J153" s="208">
        <f t="shared" ca="1" si="36"/>
        <v>8256.2171000000017</v>
      </c>
      <c r="K153" s="208">
        <f t="shared" ca="1" si="36"/>
        <v>9045.2651000000005</v>
      </c>
      <c r="L153" s="208">
        <f t="shared" ca="1" si="36"/>
        <v>9721.6273400000046</v>
      </c>
      <c r="M153" s="208">
        <f t="shared" ca="1" si="36"/>
        <v>10526.598559200009</v>
      </c>
      <c r="N153" s="208">
        <f t="shared" ca="1" si="36"/>
        <v>11427.967475936006</v>
      </c>
      <c r="O153" s="208">
        <f t="shared" ca="1" si="36"/>
        <v>12158.701298492169</v>
      </c>
      <c r="P153" s="208">
        <f t="shared" ca="1" si="36"/>
        <v>12798.349508416775</v>
      </c>
      <c r="Q153" s="208">
        <f t="shared" ca="1" si="36"/>
        <v>13472.480128837618</v>
      </c>
      <c r="R153" s="208">
        <f t="shared" ca="1" si="36"/>
        <v>14182.817280279503</v>
      </c>
    </row>
    <row r="154" spans="2:19">
      <c r="B154" s="93" t="s">
        <v>38</v>
      </c>
      <c r="C154" s="90"/>
      <c r="D154" s="90"/>
      <c r="E154" s="90"/>
      <c r="F154" s="204">
        <f>'Income Statement'!E28</f>
        <v>0</v>
      </c>
      <c r="G154" s="204">
        <f>'Income Statement'!F28</f>
        <v>339</v>
      </c>
      <c r="H154" s="207"/>
      <c r="I154" s="219">
        <f ca="1">I419+I422</f>
        <v>1059.2629000000002</v>
      </c>
      <c r="J154" s="219">
        <f t="shared" ref="J154:R154" ca="1" si="37">J419+J422</f>
        <v>1134.2629000000002</v>
      </c>
      <c r="K154" s="219">
        <f t="shared" ca="1" si="37"/>
        <v>1284.2629000000002</v>
      </c>
      <c r="L154" s="219">
        <f t="shared" ca="1" si="37"/>
        <v>1434.2629000000002</v>
      </c>
      <c r="M154" s="219">
        <f t="shared" ca="1" si="37"/>
        <v>1521.7629000000002</v>
      </c>
      <c r="N154" s="219">
        <f t="shared" ca="1" si="37"/>
        <v>1584.2629000000002</v>
      </c>
      <c r="O154" s="219">
        <f t="shared" ca="1" si="37"/>
        <v>1634.2629000000002</v>
      </c>
      <c r="P154" s="219">
        <f t="shared" ca="1" si="37"/>
        <v>1684.2629000000002</v>
      </c>
      <c r="Q154" s="219">
        <f t="shared" ca="1" si="37"/>
        <v>1734.2629000000002</v>
      </c>
      <c r="R154" s="219">
        <f t="shared" ca="1" si="37"/>
        <v>1784.2628999999995</v>
      </c>
    </row>
    <row r="155" spans="2:19">
      <c r="B155" s="93" t="s">
        <v>154</v>
      </c>
      <c r="C155" s="90"/>
      <c r="D155" s="90"/>
      <c r="E155" s="90"/>
      <c r="F155" s="207">
        <v>0</v>
      </c>
      <c r="G155" s="207">
        <v>0</v>
      </c>
      <c r="H155" s="103"/>
      <c r="I155" s="253"/>
      <c r="J155" s="219"/>
      <c r="K155" s="219"/>
      <c r="L155" s="219"/>
      <c r="M155" s="219"/>
      <c r="N155" s="219"/>
      <c r="O155" s="219"/>
      <c r="P155" s="219"/>
      <c r="Q155" s="219"/>
      <c r="R155" s="219"/>
    </row>
    <row r="156" spans="2:19">
      <c r="B156" s="110" t="s">
        <v>44</v>
      </c>
      <c r="C156" s="110"/>
      <c r="D156" s="110"/>
      <c r="E156" s="110"/>
      <c r="F156" s="218">
        <f>SUM(F153:F155)</f>
        <v>2283</v>
      </c>
      <c r="G156" s="218">
        <f>SUM(G153:G155)</f>
        <v>5028</v>
      </c>
      <c r="H156" s="218"/>
      <c r="I156" s="218">
        <f t="shared" ref="I156:R156" ca="1" si="38">SUM(I153:I155)</f>
        <v>8536.8000000000011</v>
      </c>
      <c r="J156" s="218">
        <f t="shared" ca="1" si="38"/>
        <v>9390.4800000000014</v>
      </c>
      <c r="K156" s="218">
        <f t="shared" ca="1" si="38"/>
        <v>10329.528</v>
      </c>
      <c r="L156" s="218">
        <f t="shared" ca="1" si="38"/>
        <v>11155.890240000004</v>
      </c>
      <c r="M156" s="218">
        <f t="shared" ca="1" si="38"/>
        <v>12048.361459200009</v>
      </c>
      <c r="N156" s="218">
        <f t="shared" ca="1" si="38"/>
        <v>13012.230375936006</v>
      </c>
      <c r="O156" s="218">
        <f t="shared" ca="1" si="38"/>
        <v>13792.964198492169</v>
      </c>
      <c r="P156" s="218">
        <f t="shared" ca="1" si="38"/>
        <v>14482.612408416775</v>
      </c>
      <c r="Q156" s="218">
        <f t="shared" ca="1" si="38"/>
        <v>15206.743028837618</v>
      </c>
      <c r="R156" s="218">
        <f t="shared" ca="1" si="38"/>
        <v>15967.080180279503</v>
      </c>
      <c r="S156" s="291">
        <f ca="1">(M156/G156)^(1/($M$63-$G$63))-1</f>
        <v>0.19098569131841403</v>
      </c>
    </row>
    <row r="157" spans="2:19"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422"/>
    </row>
    <row r="158" spans="2:19">
      <c r="B158" s="111" t="s">
        <v>155</v>
      </c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</row>
    <row r="159" spans="2:19">
      <c r="B159" s="12" t="s">
        <v>156</v>
      </c>
      <c r="C159" s="12"/>
      <c r="D159" s="12"/>
      <c r="E159" s="12"/>
      <c r="F159" s="112"/>
      <c r="G159" s="112">
        <f>G136/F136-1</f>
        <v>0.46938902549098938</v>
      </c>
      <c r="H159" s="113"/>
      <c r="I159" s="113">
        <f ca="1">I498</f>
        <v>0.6</v>
      </c>
      <c r="J159" s="113">
        <f t="shared" ref="J159:R159" ca="1" si="39">J498</f>
        <v>0.1</v>
      </c>
      <c r="K159" s="113">
        <f t="shared" ca="1" si="39"/>
        <v>0.1</v>
      </c>
      <c r="L159" s="113">
        <f t="shared" ca="1" si="39"/>
        <v>0.08</v>
      </c>
      <c r="M159" s="113">
        <f t="shared" ca="1" si="39"/>
        <v>0.08</v>
      </c>
      <c r="N159" s="113">
        <f t="shared" ca="1" si="39"/>
        <v>0.08</v>
      </c>
      <c r="O159" s="113">
        <f t="shared" ca="1" si="39"/>
        <v>0.06</v>
      </c>
      <c r="P159" s="113">
        <f t="shared" ca="1" si="39"/>
        <v>0.05</v>
      </c>
      <c r="Q159" s="113">
        <f t="shared" ca="1" si="39"/>
        <v>0.05</v>
      </c>
      <c r="R159" s="113">
        <f t="shared" ca="1" si="39"/>
        <v>0.05</v>
      </c>
    </row>
    <row r="160" spans="2:19">
      <c r="B160" s="9" t="s">
        <v>157</v>
      </c>
      <c r="C160" s="12"/>
      <c r="D160" s="12"/>
      <c r="E160" s="12"/>
      <c r="F160" s="114">
        <f>F137/F136</f>
        <v>0.74207102617572906</v>
      </c>
      <c r="G160" s="114">
        <f>G137/G136</f>
        <v>0.67396737979241683</v>
      </c>
      <c r="H160" s="224"/>
      <c r="I160" s="224">
        <f ca="1">I503</f>
        <v>0.67396737979241683</v>
      </c>
      <c r="J160" s="224">
        <f t="shared" ref="J160:R160" ca="1" si="40">J503</f>
        <v>0.67396737979241683</v>
      </c>
      <c r="K160" s="224">
        <f t="shared" ca="1" si="40"/>
        <v>0.67396737979241683</v>
      </c>
      <c r="L160" s="224">
        <f t="shared" ca="1" si="40"/>
        <v>0.67396737979241683</v>
      </c>
      <c r="M160" s="224">
        <f t="shared" ca="1" si="40"/>
        <v>0.67396737979241683</v>
      </c>
      <c r="N160" s="224">
        <f t="shared" ca="1" si="40"/>
        <v>0.67396737979241683</v>
      </c>
      <c r="O160" s="224">
        <f t="shared" ca="1" si="40"/>
        <v>0.67396737979241683</v>
      </c>
      <c r="P160" s="224">
        <f t="shared" ca="1" si="40"/>
        <v>0.67396737979241683</v>
      </c>
      <c r="Q160" s="224">
        <f t="shared" ca="1" si="40"/>
        <v>0.67396737979241683</v>
      </c>
      <c r="R160" s="224">
        <f t="shared" ca="1" si="40"/>
        <v>0.67396737979241683</v>
      </c>
    </row>
    <row r="161" spans="1:19">
      <c r="B161" s="90" t="s">
        <v>36</v>
      </c>
      <c r="C161" s="90"/>
      <c r="D161" s="90"/>
      <c r="E161" s="90"/>
      <c r="F161" s="115">
        <f>F138/F136</f>
        <v>0.25792897382427094</v>
      </c>
      <c r="G161" s="115">
        <f>G138/G136</f>
        <v>0.32603262020758311</v>
      </c>
      <c r="H161" s="115"/>
      <c r="I161" s="115">
        <f t="shared" ref="I161:R161" ca="1" si="41">I138/I136</f>
        <v>0.32603262020758322</v>
      </c>
      <c r="J161" s="115">
        <f t="shared" ca="1" si="41"/>
        <v>0.32603262020758317</v>
      </c>
      <c r="K161" s="115">
        <f t="shared" ca="1" si="41"/>
        <v>0.32603262020758311</v>
      </c>
      <c r="L161" s="115">
        <f t="shared" ca="1" si="41"/>
        <v>0.32603262020758317</v>
      </c>
      <c r="M161" s="115">
        <f t="shared" ca="1" si="41"/>
        <v>0.32603262020758322</v>
      </c>
      <c r="N161" s="115">
        <f t="shared" ca="1" si="41"/>
        <v>0.32603262020758317</v>
      </c>
      <c r="O161" s="115">
        <f t="shared" ca="1" si="41"/>
        <v>0.32603262020758317</v>
      </c>
      <c r="P161" s="115">
        <f t="shared" ca="1" si="41"/>
        <v>0.32603262020758317</v>
      </c>
      <c r="Q161" s="115">
        <f t="shared" ca="1" si="41"/>
        <v>0.32603262020758317</v>
      </c>
      <c r="R161" s="115">
        <f t="shared" ca="1" si="41"/>
        <v>0.32603262020758322</v>
      </c>
    </row>
    <row r="162" spans="1:19">
      <c r="B162" s="90" t="s">
        <v>164</v>
      </c>
      <c r="C162" s="90"/>
      <c r="D162" s="90"/>
      <c r="E162" s="90"/>
      <c r="F162" s="115">
        <f>F140/F136</f>
        <v>8.7810140371626877E-2</v>
      </c>
      <c r="G162" s="115">
        <f>G140/G136</f>
        <v>0.12557271764456682</v>
      </c>
      <c r="H162" s="116"/>
      <c r="I162" s="116">
        <f ca="1">I508</f>
        <v>0.1</v>
      </c>
      <c r="J162" s="116">
        <f t="shared" ref="J162:R162" ca="1" si="42">J508</f>
        <v>0.1</v>
      </c>
      <c r="K162" s="116">
        <f t="shared" ca="1" si="42"/>
        <v>0.1</v>
      </c>
      <c r="L162" s="116">
        <f t="shared" ca="1" si="42"/>
        <v>0.1</v>
      </c>
      <c r="M162" s="116">
        <f t="shared" ca="1" si="42"/>
        <v>0.1</v>
      </c>
      <c r="N162" s="116">
        <f t="shared" ca="1" si="42"/>
        <v>0.1</v>
      </c>
      <c r="O162" s="116">
        <f t="shared" ca="1" si="42"/>
        <v>0.1</v>
      </c>
      <c r="P162" s="116">
        <f t="shared" ca="1" si="42"/>
        <v>0.1</v>
      </c>
      <c r="Q162" s="116">
        <f t="shared" ca="1" si="42"/>
        <v>0.1</v>
      </c>
      <c r="R162" s="116">
        <f t="shared" ca="1" si="42"/>
        <v>0.1</v>
      </c>
    </row>
    <row r="163" spans="1:19">
      <c r="B163" s="12" t="s">
        <v>158</v>
      </c>
      <c r="C163" s="12"/>
      <c r="D163" s="12"/>
      <c r="E163" s="12"/>
      <c r="F163" s="117">
        <f>F142/F136</f>
        <v>0.14211460051666719</v>
      </c>
      <c r="G163" s="117">
        <f>G142/G136</f>
        <v>0.19864435500953187</v>
      </c>
      <c r="H163" s="117"/>
      <c r="I163" s="117">
        <f t="shared" ref="I163:R163" ca="1" si="43">I142/I136</f>
        <v>0.19798604903622116</v>
      </c>
      <c r="J163" s="117">
        <f t="shared" ca="1" si="43"/>
        <v>0.1987304572413395</v>
      </c>
      <c r="K163" s="117">
        <f t="shared" ca="1" si="43"/>
        <v>0.1979301446324756</v>
      </c>
      <c r="L163" s="117">
        <f t="shared" ca="1" si="43"/>
        <v>0.19697261743065314</v>
      </c>
      <c r="M163" s="117">
        <f t="shared" ca="1" si="43"/>
        <v>0.19748367130805963</v>
      </c>
      <c r="N163" s="117">
        <f t="shared" ca="1" si="43"/>
        <v>0.19851273437410585</v>
      </c>
      <c r="O163" s="117">
        <f t="shared" ca="1" si="43"/>
        <v>0.19925108724054877</v>
      </c>
      <c r="P163" s="117">
        <f t="shared" ca="1" si="43"/>
        <v>0.19974603974340013</v>
      </c>
      <c r="Q163" s="117">
        <f t="shared" ca="1" si="43"/>
        <v>0.20025458301234522</v>
      </c>
      <c r="R163" s="117">
        <f t="shared" ca="1" si="43"/>
        <v>0.20077430034743196</v>
      </c>
    </row>
    <row r="164" spans="1:19">
      <c r="B164" s="120" t="s">
        <v>159</v>
      </c>
      <c r="C164" s="90"/>
      <c r="D164" s="90"/>
      <c r="E164" s="90"/>
      <c r="F164" s="115">
        <f>F154/F136</f>
        <v>0</v>
      </c>
      <c r="G164" s="115">
        <f>G154/G136</f>
        <v>1.4361364117771658E-2</v>
      </c>
      <c r="H164" s="116"/>
      <c r="I164" s="116">
        <f t="shared" ref="I164:R164" ca="1" si="44">I154/I136</f>
        <v>2.8046571171362004E-2</v>
      </c>
      <c r="J164" s="116">
        <f t="shared" ca="1" si="44"/>
        <v>2.7302162966243673E-2</v>
      </c>
      <c r="K164" s="116">
        <f t="shared" ca="1" si="44"/>
        <v>2.8102475575107529E-2</v>
      </c>
      <c r="L164" s="116">
        <f t="shared" ca="1" si="44"/>
        <v>2.9060002776930043E-2</v>
      </c>
      <c r="M164" s="116">
        <f t="shared" ca="1" si="44"/>
        <v>2.8548948899523585E-2</v>
      </c>
      <c r="N164" s="116">
        <f t="shared" ca="1" si="44"/>
        <v>2.7519885833477302E-2</v>
      </c>
      <c r="O164" s="116">
        <f t="shared" ca="1" si="44"/>
        <v>2.6781532967034422E-2</v>
      </c>
      <c r="P164" s="116">
        <f t="shared" ca="1" si="44"/>
        <v>2.6286580464182991E-2</v>
      </c>
      <c r="Q164" s="116">
        <f t="shared" ca="1" si="44"/>
        <v>2.5778037195237972E-2</v>
      </c>
      <c r="R164" s="116">
        <f t="shared" ca="1" si="44"/>
        <v>2.5258319860151233E-2</v>
      </c>
    </row>
    <row r="165" spans="1:19">
      <c r="B165" s="120" t="s">
        <v>160</v>
      </c>
      <c r="C165" s="90"/>
      <c r="D165" s="90"/>
      <c r="E165" s="90"/>
      <c r="F165" s="115">
        <f>F155/F136</f>
        <v>0</v>
      </c>
      <c r="G165" s="115">
        <f>G155/G136</f>
        <v>0</v>
      </c>
      <c r="H165" s="116"/>
      <c r="I165" s="115">
        <f t="shared" ref="I165:R165" ca="1" si="45">I155/I136</f>
        <v>0</v>
      </c>
      <c r="J165" s="115">
        <f t="shared" ca="1" si="45"/>
        <v>0</v>
      </c>
      <c r="K165" s="115">
        <f t="shared" ca="1" si="45"/>
        <v>0</v>
      </c>
      <c r="L165" s="115">
        <f t="shared" ca="1" si="45"/>
        <v>0</v>
      </c>
      <c r="M165" s="115">
        <f t="shared" ca="1" si="45"/>
        <v>0</v>
      </c>
      <c r="N165" s="115">
        <f t="shared" ca="1" si="45"/>
        <v>0</v>
      </c>
      <c r="O165" s="115">
        <f t="shared" ca="1" si="45"/>
        <v>0</v>
      </c>
      <c r="P165" s="115">
        <f t="shared" ca="1" si="45"/>
        <v>0</v>
      </c>
      <c r="Q165" s="115">
        <f t="shared" ca="1" si="45"/>
        <v>0</v>
      </c>
      <c r="R165" s="115">
        <f t="shared" ca="1" si="45"/>
        <v>0</v>
      </c>
    </row>
    <row r="166" spans="1:19">
      <c r="B166" s="12" t="s">
        <v>45</v>
      </c>
      <c r="C166" s="12"/>
      <c r="D166" s="12"/>
      <c r="E166" s="12"/>
      <c r="F166" s="117">
        <f>F156/F136</f>
        <v>0.14211460051666719</v>
      </c>
      <c r="G166" s="117">
        <f>G156/G136</f>
        <v>0.21300571912730354</v>
      </c>
      <c r="H166" s="117"/>
      <c r="I166" s="117">
        <f t="shared" ref="I166:R166" ca="1" si="46">I156/I136</f>
        <v>0.22603262020758316</v>
      </c>
      <c r="J166" s="117">
        <f t="shared" ca="1" si="46"/>
        <v>0.22603262020758316</v>
      </c>
      <c r="K166" s="117">
        <f t="shared" ca="1" si="46"/>
        <v>0.22603262020758311</v>
      </c>
      <c r="L166" s="117">
        <f t="shared" ca="1" si="46"/>
        <v>0.22603262020758316</v>
      </c>
      <c r="M166" s="117">
        <f t="shared" ca="1" si="46"/>
        <v>0.22603262020758322</v>
      </c>
      <c r="N166" s="117">
        <f t="shared" ca="1" si="46"/>
        <v>0.22603262020758313</v>
      </c>
      <c r="O166" s="117">
        <f t="shared" ca="1" si="46"/>
        <v>0.22603262020758316</v>
      </c>
      <c r="P166" s="117">
        <f t="shared" ca="1" si="46"/>
        <v>0.22603262020758313</v>
      </c>
      <c r="Q166" s="117">
        <f t="shared" ca="1" si="46"/>
        <v>0.22603262020758316</v>
      </c>
      <c r="R166" s="117">
        <f t="shared" ca="1" si="46"/>
        <v>0.22603262020758319</v>
      </c>
    </row>
    <row r="167" spans="1:19">
      <c r="B167" s="120" t="s">
        <v>161</v>
      </c>
      <c r="C167" s="90"/>
      <c r="D167" s="90"/>
      <c r="E167" s="90"/>
      <c r="F167" s="115">
        <f>F149/F147</f>
        <v>0</v>
      </c>
      <c r="G167" s="115">
        <f>G149/G147</f>
        <v>0</v>
      </c>
      <c r="H167" s="115"/>
      <c r="I167" s="115">
        <f t="shared" ref="I167:R167" ca="1" si="47">I149/I147</f>
        <v>0</v>
      </c>
      <c r="J167" s="115">
        <f t="shared" ca="1" si="47"/>
        <v>0</v>
      </c>
      <c r="K167" s="115">
        <f t="shared" ca="1" si="47"/>
        <v>0</v>
      </c>
      <c r="L167" s="115">
        <f t="shared" ca="1" si="47"/>
        <v>0</v>
      </c>
      <c r="M167" s="115">
        <f t="shared" ca="1" si="47"/>
        <v>0</v>
      </c>
      <c r="N167" s="115">
        <f t="shared" ca="1" si="47"/>
        <v>0</v>
      </c>
      <c r="O167" s="115">
        <f t="shared" ca="1" si="47"/>
        <v>0</v>
      </c>
      <c r="P167" s="115">
        <f t="shared" ca="1" si="47"/>
        <v>0</v>
      </c>
      <c r="Q167" s="115">
        <f t="shared" ca="1" si="47"/>
        <v>0</v>
      </c>
      <c r="R167" s="115">
        <f t="shared" ca="1" si="47"/>
        <v>0</v>
      </c>
    </row>
    <row r="168" spans="1:19">
      <c r="B168" s="122" t="s">
        <v>162</v>
      </c>
      <c r="C168" s="122"/>
      <c r="D168" s="122"/>
      <c r="E168" s="122"/>
      <c r="F168" s="118">
        <f>F151/F136</f>
        <v>0.14121653334993309</v>
      </c>
      <c r="G168" s="118">
        <f>G151/G136</f>
        <v>0.19837225164160135</v>
      </c>
      <c r="H168" s="118"/>
      <c r="I168" s="118">
        <f t="shared" ref="I168:R168" ca="1" si="48">I151/I136</f>
        <v>0.13164540974752417</v>
      </c>
      <c r="J168" s="118">
        <f t="shared" ca="1" si="48"/>
        <v>0.15520868406455862</v>
      </c>
      <c r="K168" s="118">
        <f t="shared" ca="1" si="48"/>
        <v>0.16880328974438355</v>
      </c>
      <c r="L168" s="118">
        <f t="shared" ca="1" si="48"/>
        <v>0.18120726677057075</v>
      </c>
      <c r="M168" s="118">
        <f t="shared" ca="1" si="48"/>
        <v>0.19349119790528824</v>
      </c>
      <c r="N168" s="118">
        <f t="shared" ca="1" si="48"/>
        <v>0.19965673966007116</v>
      </c>
      <c r="O168" s="118">
        <f t="shared" ca="1" si="48"/>
        <v>0.20159629907701626</v>
      </c>
      <c r="P168" s="118">
        <f t="shared" ca="1" si="48"/>
        <v>0.20324887305997799</v>
      </c>
      <c r="Q168" s="118">
        <f t="shared" ca="1" si="48"/>
        <v>0.20483733584409836</v>
      </c>
      <c r="R168" s="118">
        <f t="shared" ca="1" si="48"/>
        <v>0.20636685069227717</v>
      </c>
    </row>
    <row r="170" spans="1:19">
      <c r="A170" s="55" t="s">
        <v>51</v>
      </c>
      <c r="B170" s="42" t="s">
        <v>165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125"/>
    </row>
    <row r="172" spans="1:19" ht="13.2" thickBot="1">
      <c r="B172" s="196"/>
      <c r="C172" s="196"/>
      <c r="D172" s="196"/>
      <c r="E172" s="196"/>
      <c r="F172" s="236">
        <f>F134</f>
        <v>42369</v>
      </c>
      <c r="G172" s="235">
        <f>G134</f>
        <v>42735</v>
      </c>
      <c r="H172" s="237">
        <f>H62</f>
        <v>42735</v>
      </c>
      <c r="I172" s="235">
        <f t="shared" ref="I172:R172" si="49">I134</f>
        <v>43100</v>
      </c>
      <c r="J172" s="235">
        <f t="shared" si="49"/>
        <v>43465</v>
      </c>
      <c r="K172" s="235">
        <f t="shared" si="49"/>
        <v>43830</v>
      </c>
      <c r="L172" s="235">
        <f t="shared" si="49"/>
        <v>44196</v>
      </c>
      <c r="M172" s="235">
        <f t="shared" si="49"/>
        <v>44561</v>
      </c>
      <c r="N172" s="235">
        <f t="shared" si="49"/>
        <v>44926</v>
      </c>
      <c r="O172" s="235">
        <f t="shared" si="49"/>
        <v>45291</v>
      </c>
      <c r="P172" s="235">
        <f t="shared" si="49"/>
        <v>45657</v>
      </c>
      <c r="Q172" s="235">
        <f t="shared" si="49"/>
        <v>46022</v>
      </c>
      <c r="R172" s="235">
        <f t="shared" si="49"/>
        <v>46387</v>
      </c>
    </row>
    <row r="173" spans="1:19"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</row>
    <row r="174" spans="1:19">
      <c r="B174" s="12" t="s">
        <v>126</v>
      </c>
      <c r="C174" s="90"/>
      <c r="D174" s="90"/>
      <c r="E174" s="90"/>
      <c r="F174" s="90"/>
      <c r="G174" s="90"/>
      <c r="H174" s="122"/>
      <c r="I174" s="90"/>
      <c r="J174" s="90"/>
      <c r="K174" s="90"/>
      <c r="L174" s="90"/>
      <c r="M174" s="90"/>
      <c r="N174" s="90"/>
      <c r="O174" s="90"/>
      <c r="P174" s="90"/>
      <c r="Q174" s="90"/>
      <c r="R174" s="90"/>
    </row>
    <row r="175" spans="1:19">
      <c r="B175" s="92" t="s">
        <v>4</v>
      </c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</row>
    <row r="176" spans="1:19">
      <c r="B176" s="93" t="s">
        <v>107</v>
      </c>
      <c r="C176" s="90"/>
      <c r="D176" s="90"/>
      <c r="E176" s="90"/>
      <c r="F176" s="204">
        <f>'Balance Sheet'!E9</f>
        <v>317.18900000000002</v>
      </c>
      <c r="G176" s="204">
        <f>'Balance Sheet'!H9</f>
        <v>0</v>
      </c>
      <c r="H176" s="219">
        <f>J97</f>
        <v>0</v>
      </c>
      <c r="I176" s="219">
        <f ca="1">I277</f>
        <v>250</v>
      </c>
      <c r="J176" s="219">
        <f t="shared" ref="J176:R176" ca="1" si="50">J277</f>
        <v>250</v>
      </c>
      <c r="K176" s="219">
        <f t="shared" ca="1" si="50"/>
        <v>250</v>
      </c>
      <c r="L176" s="219">
        <f ca="1">L277</f>
        <v>250</v>
      </c>
      <c r="M176" s="219">
        <f t="shared" ca="1" si="50"/>
        <v>2852.5645747653798</v>
      </c>
      <c r="N176" s="219">
        <f t="shared" ca="1" si="50"/>
        <v>10319.038991656211</v>
      </c>
      <c r="O176" s="219">
        <f t="shared" ca="1" si="50"/>
        <v>18302.867765491643</v>
      </c>
      <c r="P176" s="219">
        <f t="shared" ca="1" si="50"/>
        <v>26584.615473606311</v>
      </c>
      <c r="Q176" s="219">
        <f t="shared" ca="1" si="50"/>
        <v>35077.939792219782</v>
      </c>
      <c r="R176" s="219">
        <f t="shared" ca="1" si="50"/>
        <v>43934.283918132453</v>
      </c>
    </row>
    <row r="177" spans="2:18">
      <c r="B177" s="93" t="s">
        <v>6</v>
      </c>
      <c r="C177" s="90"/>
      <c r="D177" s="90"/>
      <c r="E177" s="90"/>
      <c r="F177" s="204">
        <f>'Balance Sheet'!E10</f>
        <v>4663.7259999999997</v>
      </c>
      <c r="G177" s="204">
        <f>'Balance Sheet'!H10</f>
        <v>6801.8630000000003</v>
      </c>
      <c r="H177" s="219">
        <f>J98</f>
        <v>6801.8630000000003</v>
      </c>
      <c r="I177" s="219">
        <f ca="1">I217</f>
        <v>12084.725260273974</v>
      </c>
      <c r="J177" s="219">
        <f t="shared" ref="J177:R177" ca="1" si="51">J217</f>
        <v>13293.197786301373</v>
      </c>
      <c r="K177" s="219">
        <f t="shared" ca="1" si="51"/>
        <v>14622.51756493151</v>
      </c>
      <c r="L177" s="219">
        <f t="shared" ca="1" si="51"/>
        <v>15792.318970126034</v>
      </c>
      <c r="M177" s="219">
        <f t="shared" ca="1" si="51"/>
        <v>17055.704487736119</v>
      </c>
      <c r="N177" s="219">
        <f t="shared" ca="1" si="51"/>
        <v>18420.160846755007</v>
      </c>
      <c r="O177" s="219">
        <f t="shared" ca="1" si="51"/>
        <v>19525.37049756031</v>
      </c>
      <c r="P177" s="219">
        <f t="shared" ca="1" si="51"/>
        <v>20501.639022438325</v>
      </c>
      <c r="Q177" s="219">
        <f t="shared" ca="1" si="51"/>
        <v>21526.720973560245</v>
      </c>
      <c r="R177" s="219">
        <f t="shared" ca="1" si="51"/>
        <v>22603.057022238259</v>
      </c>
    </row>
    <row r="178" spans="2:18">
      <c r="B178" s="93" t="s">
        <v>386</v>
      </c>
      <c r="C178" s="90"/>
      <c r="D178" s="90"/>
      <c r="E178" s="90"/>
      <c r="F178" s="204">
        <f>'Balance Sheet'!E11</f>
        <v>76.66</v>
      </c>
      <c r="G178" s="204">
        <f>'Balance Sheet'!H11</f>
        <v>46.923000000000002</v>
      </c>
      <c r="H178" s="219">
        <f>J99</f>
        <v>130.75890410958905</v>
      </c>
      <c r="I178" s="219">
        <f t="shared" ref="I178:R179" ca="1" si="52">I218</f>
        <v>209.21424657534246</v>
      </c>
      <c r="J178" s="219">
        <f t="shared" ca="1" si="52"/>
        <v>230.13567123287672</v>
      </c>
      <c r="K178" s="219">
        <f t="shared" ca="1" si="52"/>
        <v>253.1492383561644</v>
      </c>
      <c r="L178" s="219">
        <f t="shared" ca="1" si="52"/>
        <v>273.40117742465759</v>
      </c>
      <c r="M178" s="219">
        <f t="shared" ca="1" si="52"/>
        <v>295.27327161863025</v>
      </c>
      <c r="N178" s="219">
        <f t="shared" ca="1" si="52"/>
        <v>318.89513334812068</v>
      </c>
      <c r="O178" s="219">
        <f t="shared" ca="1" si="52"/>
        <v>338.02884134900796</v>
      </c>
      <c r="P178" s="219">
        <f t="shared" ca="1" si="52"/>
        <v>354.93028341645834</v>
      </c>
      <c r="Q178" s="219">
        <f t="shared" ca="1" si="52"/>
        <v>372.67679758728133</v>
      </c>
      <c r="R178" s="219">
        <f t="shared" ca="1" si="52"/>
        <v>391.31063746664535</v>
      </c>
    </row>
    <row r="179" spans="2:18">
      <c r="B179" s="93" t="s">
        <v>127</v>
      </c>
      <c r="C179" s="90"/>
      <c r="D179" s="90"/>
      <c r="E179" s="90"/>
      <c r="F179" s="204">
        <f>'Balance Sheet'!D12</f>
        <v>0.29499999999999998</v>
      </c>
      <c r="G179" s="204">
        <f>'Balance Sheet'!E12</f>
        <v>0.29499999999999998</v>
      </c>
      <c r="H179" s="219">
        <f>J100</f>
        <v>0.29499999999999998</v>
      </c>
      <c r="I179" s="219">
        <f t="shared" ca="1" si="52"/>
        <v>0.47199999999999998</v>
      </c>
      <c r="J179" s="219">
        <f t="shared" ca="1" si="52"/>
        <v>0.51919999999999999</v>
      </c>
      <c r="K179" s="219">
        <f t="shared" ca="1" si="52"/>
        <v>0.57112000000000007</v>
      </c>
      <c r="L179" s="219">
        <f t="shared" ca="1" si="52"/>
        <v>0.61680960000000018</v>
      </c>
      <c r="M179" s="219">
        <f t="shared" ca="1" si="52"/>
        <v>0.66615436800000027</v>
      </c>
      <c r="N179" s="219">
        <f t="shared" ca="1" si="52"/>
        <v>0.71944671744000033</v>
      </c>
      <c r="O179" s="219">
        <f t="shared" ca="1" si="52"/>
        <v>0.7626135204864003</v>
      </c>
      <c r="P179" s="219">
        <f t="shared" ca="1" si="52"/>
        <v>0.80074419651072037</v>
      </c>
      <c r="Q179" s="219">
        <f t="shared" ca="1" si="52"/>
        <v>0.84078140633625653</v>
      </c>
      <c r="R179" s="219">
        <f t="shared" ca="1" si="52"/>
        <v>0.8828204766530694</v>
      </c>
    </row>
    <row r="180" spans="2:18">
      <c r="B180" s="94" t="s">
        <v>7</v>
      </c>
      <c r="C180" s="94"/>
      <c r="D180" s="94"/>
      <c r="E180" s="94"/>
      <c r="F180" s="205">
        <f t="shared" ref="F180:R180" si="53">SUM(F176:F179)</f>
        <v>5057.87</v>
      </c>
      <c r="G180" s="205">
        <f t="shared" si="53"/>
        <v>6849.0810000000001</v>
      </c>
      <c r="H180" s="205">
        <f t="shared" si="53"/>
        <v>6932.9169041095893</v>
      </c>
      <c r="I180" s="205">
        <f t="shared" ca="1" si="53"/>
        <v>12544.411506849316</v>
      </c>
      <c r="J180" s="205">
        <f t="shared" ca="1" si="53"/>
        <v>13773.852657534249</v>
      </c>
      <c r="K180" s="205">
        <f t="shared" ca="1" si="53"/>
        <v>15126.237923287674</v>
      </c>
      <c r="L180" s="205">
        <f t="shared" ca="1" si="53"/>
        <v>16316.336957150692</v>
      </c>
      <c r="M180" s="205">
        <f t="shared" ca="1" si="53"/>
        <v>20204.208488488126</v>
      </c>
      <c r="N180" s="205">
        <f t="shared" ca="1" si="53"/>
        <v>29058.814418476777</v>
      </c>
      <c r="O180" s="205">
        <f t="shared" ca="1" si="53"/>
        <v>38167.029717921447</v>
      </c>
      <c r="P180" s="205">
        <f t="shared" ca="1" si="53"/>
        <v>47441.985523657604</v>
      </c>
      <c r="Q180" s="205">
        <f t="shared" ca="1" si="53"/>
        <v>56978.178344773645</v>
      </c>
      <c r="R180" s="205">
        <f t="shared" ca="1" si="53"/>
        <v>66929.534398314005</v>
      </c>
    </row>
    <row r="181" spans="2:18">
      <c r="B181" s="90"/>
      <c r="C181" s="90"/>
      <c r="D181" s="90"/>
      <c r="E181" s="90"/>
      <c r="F181" s="206"/>
      <c r="G181" s="206"/>
      <c r="H181" s="206"/>
      <c r="I181" s="206"/>
      <c r="J181" s="206"/>
      <c r="K181" s="206"/>
      <c r="L181" s="206"/>
      <c r="M181" s="206"/>
      <c r="N181" s="24"/>
      <c r="O181" s="24"/>
      <c r="P181" s="24"/>
      <c r="Q181" s="24"/>
      <c r="R181" s="24"/>
    </row>
    <row r="182" spans="2:18">
      <c r="B182" s="93" t="s">
        <v>128</v>
      </c>
      <c r="C182" s="90"/>
      <c r="D182" s="90"/>
      <c r="E182" s="90"/>
      <c r="F182" s="204">
        <f>'Balance Sheet'!E18</f>
        <v>38.741</v>
      </c>
      <c r="G182" s="204">
        <f>'Balance Sheet'!H18</f>
        <v>478.49677000000003</v>
      </c>
      <c r="H182" s="219">
        <f>J103</f>
        <v>10342.629000000001</v>
      </c>
      <c r="I182" s="219">
        <f ca="1">I399</f>
        <v>9783.3661000000011</v>
      </c>
      <c r="J182" s="219">
        <f t="shared" ref="J182:R182" ca="1" si="54">J399</f>
        <v>9649.1032000000014</v>
      </c>
      <c r="K182" s="219">
        <f t="shared" ca="1" si="54"/>
        <v>10364.840300000002</v>
      </c>
      <c r="L182" s="219">
        <f t="shared" ca="1" si="54"/>
        <v>9930.5774000000019</v>
      </c>
      <c r="M182" s="219">
        <f t="shared" ca="1" si="54"/>
        <v>9158.8145000000022</v>
      </c>
      <c r="N182" s="219">
        <f t="shared" ca="1" si="54"/>
        <v>8074.5516000000025</v>
      </c>
      <c r="O182" s="219">
        <f t="shared" ca="1" si="54"/>
        <v>6940.2887000000028</v>
      </c>
      <c r="P182" s="219">
        <f t="shared" ca="1" si="54"/>
        <v>5756.0258000000031</v>
      </c>
      <c r="Q182" s="219">
        <f t="shared" ca="1" si="54"/>
        <v>4521.7629000000034</v>
      </c>
      <c r="R182" s="219">
        <f t="shared" ca="1" si="54"/>
        <v>3237.5000000000036</v>
      </c>
    </row>
    <row r="183" spans="2:18">
      <c r="B183" s="93" t="s">
        <v>129</v>
      </c>
      <c r="C183" s="90"/>
      <c r="D183" s="90"/>
      <c r="E183" s="90"/>
      <c r="F183" s="207">
        <v>0</v>
      </c>
      <c r="G183" s="207">
        <v>0</v>
      </c>
      <c r="H183" s="219">
        <f ca="1">J104</f>
        <v>14677.77151589041</v>
      </c>
      <c r="I183" s="219">
        <f ca="1">H183</f>
        <v>14677.77151589041</v>
      </c>
      <c r="J183" s="219">
        <f t="shared" ref="J183:R183" ca="1" si="55">I183</f>
        <v>14677.77151589041</v>
      </c>
      <c r="K183" s="219">
        <f t="shared" ca="1" si="55"/>
        <v>14677.77151589041</v>
      </c>
      <c r="L183" s="219">
        <f t="shared" ca="1" si="55"/>
        <v>14677.77151589041</v>
      </c>
      <c r="M183" s="219">
        <f t="shared" ca="1" si="55"/>
        <v>14677.77151589041</v>
      </c>
      <c r="N183" s="219">
        <f t="shared" ca="1" si="55"/>
        <v>14677.77151589041</v>
      </c>
      <c r="O183" s="219">
        <f t="shared" ca="1" si="55"/>
        <v>14677.77151589041</v>
      </c>
      <c r="P183" s="219">
        <f t="shared" ca="1" si="55"/>
        <v>14677.77151589041</v>
      </c>
      <c r="Q183" s="219">
        <f t="shared" ca="1" si="55"/>
        <v>14677.77151589041</v>
      </c>
      <c r="R183" s="219">
        <f t="shared" ca="1" si="55"/>
        <v>14677.77151589041</v>
      </c>
    </row>
    <row r="184" spans="2:18" hidden="1" outlineLevel="1">
      <c r="B184" s="93" t="s">
        <v>91</v>
      </c>
      <c r="C184" s="90"/>
      <c r="D184" s="90"/>
      <c r="E184" s="90"/>
      <c r="F184" s="207">
        <v>0</v>
      </c>
      <c r="G184" s="207">
        <v>0</v>
      </c>
      <c r="H184" s="219">
        <f>J105</f>
        <v>0</v>
      </c>
      <c r="I184" s="219">
        <f>H184</f>
        <v>0</v>
      </c>
      <c r="J184" s="219">
        <f t="shared" ref="J184:R184" si="56">I184</f>
        <v>0</v>
      </c>
      <c r="K184" s="219">
        <f t="shared" si="56"/>
        <v>0</v>
      </c>
      <c r="L184" s="219">
        <f t="shared" si="56"/>
        <v>0</v>
      </c>
      <c r="M184" s="219">
        <f t="shared" si="56"/>
        <v>0</v>
      </c>
      <c r="N184" s="219">
        <f t="shared" si="56"/>
        <v>0</v>
      </c>
      <c r="O184" s="219">
        <f t="shared" si="56"/>
        <v>0</v>
      </c>
      <c r="P184" s="219">
        <f t="shared" si="56"/>
        <v>0</v>
      </c>
      <c r="Q184" s="219">
        <f t="shared" si="56"/>
        <v>0</v>
      </c>
      <c r="R184" s="219">
        <f t="shared" si="56"/>
        <v>0</v>
      </c>
    </row>
    <row r="185" spans="2:18" collapsed="1">
      <c r="B185" s="93" t="s">
        <v>12</v>
      </c>
      <c r="C185" s="90"/>
      <c r="D185" s="90"/>
      <c r="E185" s="90"/>
      <c r="F185" s="204">
        <f>'Balance Sheet'!E22</f>
        <v>1329.646</v>
      </c>
      <c r="G185" s="204">
        <f>'Balance Sheet'!H22</f>
        <v>1530.3693699999999</v>
      </c>
      <c r="H185" s="219">
        <f>J106</f>
        <v>1530.3693699999999</v>
      </c>
      <c r="I185" s="219">
        <f>H185</f>
        <v>1530.3693699999999</v>
      </c>
      <c r="J185" s="219">
        <f t="shared" ref="J185:R185" si="57">I185</f>
        <v>1530.3693699999999</v>
      </c>
      <c r="K185" s="219">
        <f t="shared" si="57"/>
        <v>1530.3693699999999</v>
      </c>
      <c r="L185" s="219">
        <f t="shared" si="57"/>
        <v>1530.3693699999999</v>
      </c>
      <c r="M185" s="219">
        <f t="shared" si="57"/>
        <v>1530.3693699999999</v>
      </c>
      <c r="N185" s="219">
        <f t="shared" si="57"/>
        <v>1530.3693699999999</v>
      </c>
      <c r="O185" s="219">
        <f t="shared" si="57"/>
        <v>1530.3693699999999</v>
      </c>
      <c r="P185" s="219">
        <f t="shared" si="57"/>
        <v>1530.3693699999999</v>
      </c>
      <c r="Q185" s="219">
        <f t="shared" si="57"/>
        <v>1530.3693699999999</v>
      </c>
      <c r="R185" s="219">
        <f t="shared" si="57"/>
        <v>1530.3693699999999</v>
      </c>
    </row>
    <row r="186" spans="2:18">
      <c r="B186" s="93" t="s">
        <v>166</v>
      </c>
      <c r="C186" s="90"/>
      <c r="D186" s="90"/>
      <c r="E186" s="90"/>
      <c r="F186" s="207">
        <v>0</v>
      </c>
      <c r="G186" s="207">
        <v>0</v>
      </c>
      <c r="H186" s="219">
        <f ca="1">J107</f>
        <v>461.25</v>
      </c>
      <c r="I186" s="219">
        <f ca="1">I334</f>
        <v>369</v>
      </c>
      <c r="J186" s="219">
        <f t="shared" ref="J186:R186" ca="1" si="58">J334</f>
        <v>276.75</v>
      </c>
      <c r="K186" s="219">
        <f t="shared" ca="1" si="58"/>
        <v>184.5</v>
      </c>
      <c r="L186" s="219">
        <f t="shared" ca="1" si="58"/>
        <v>92.25</v>
      </c>
      <c r="M186" s="219">
        <f t="shared" ca="1" si="58"/>
        <v>0</v>
      </c>
      <c r="N186" s="219">
        <f t="shared" ca="1" si="58"/>
        <v>0</v>
      </c>
      <c r="O186" s="219">
        <f t="shared" ca="1" si="58"/>
        <v>0</v>
      </c>
      <c r="P186" s="219">
        <f t="shared" ca="1" si="58"/>
        <v>0</v>
      </c>
      <c r="Q186" s="219">
        <f t="shared" ca="1" si="58"/>
        <v>0</v>
      </c>
      <c r="R186" s="219">
        <f t="shared" ca="1" si="58"/>
        <v>0</v>
      </c>
    </row>
    <row r="187" spans="2:18">
      <c r="B187" s="81" t="s">
        <v>14</v>
      </c>
      <c r="C187" s="91"/>
      <c r="D187" s="91"/>
      <c r="E187" s="91"/>
      <c r="F187" s="208">
        <f>SUM(F180:F186)</f>
        <v>6426.2569999999996</v>
      </c>
      <c r="G187" s="208">
        <f>SUM(G180:G186)</f>
        <v>8857.9471400000002</v>
      </c>
      <c r="H187" s="208">
        <f ca="1">SUM(H180:H186)</f>
        <v>33944.93679</v>
      </c>
      <c r="I187" s="208">
        <f t="shared" ref="I187:R187" ca="1" si="59">SUM(I180:I186)</f>
        <v>38904.918492739729</v>
      </c>
      <c r="J187" s="208">
        <f t="shared" ca="1" si="59"/>
        <v>39907.846743424663</v>
      </c>
      <c r="K187" s="208">
        <f t="shared" ca="1" si="59"/>
        <v>41883.719109178084</v>
      </c>
      <c r="L187" s="208">
        <f t="shared" ca="1" si="59"/>
        <v>42547.305243041104</v>
      </c>
      <c r="M187" s="228">
        <f t="shared" ca="1" si="59"/>
        <v>45571.163874378537</v>
      </c>
      <c r="N187" s="228">
        <f t="shared" ca="1" si="59"/>
        <v>53341.50690436719</v>
      </c>
      <c r="O187" s="228">
        <f t="shared" ca="1" si="59"/>
        <v>61315.459303811862</v>
      </c>
      <c r="P187" s="228">
        <f t="shared" ca="1" si="59"/>
        <v>69406.152209548018</v>
      </c>
      <c r="Q187" s="228">
        <f t="shared" ca="1" si="59"/>
        <v>77708.082130664057</v>
      </c>
      <c r="R187" s="228">
        <f t="shared" ca="1" si="59"/>
        <v>86375.175284204422</v>
      </c>
    </row>
    <row r="188" spans="2:18">
      <c r="B188" s="91"/>
      <c r="C188" s="91"/>
      <c r="D188" s="91"/>
      <c r="E188" s="91"/>
      <c r="F188" s="96"/>
      <c r="G188" s="96"/>
      <c r="H188" s="221"/>
      <c r="I188" s="96"/>
      <c r="J188" s="96"/>
      <c r="K188" s="96"/>
      <c r="L188" s="96"/>
      <c r="M188" s="95"/>
    </row>
    <row r="189" spans="2:18">
      <c r="B189" s="12" t="s">
        <v>131</v>
      </c>
      <c r="C189" s="90"/>
      <c r="D189" s="90"/>
      <c r="E189" s="90"/>
      <c r="F189" s="95"/>
      <c r="G189" s="95"/>
      <c r="H189" s="206"/>
      <c r="I189" s="95"/>
      <c r="J189" s="95"/>
      <c r="K189" s="95"/>
      <c r="L189" s="95"/>
      <c r="M189" s="95"/>
      <c r="N189" s="95"/>
      <c r="O189" s="95"/>
      <c r="P189" s="95"/>
      <c r="Q189" s="95"/>
      <c r="R189" s="95"/>
    </row>
    <row r="190" spans="2:18">
      <c r="B190" s="91" t="s">
        <v>15</v>
      </c>
      <c r="C190" s="91"/>
      <c r="D190" s="91"/>
      <c r="E190" s="91"/>
      <c r="F190" s="96"/>
      <c r="G190" s="96"/>
      <c r="H190" s="221"/>
      <c r="I190" s="96"/>
      <c r="J190" s="96"/>
      <c r="K190" s="96"/>
      <c r="L190" s="96"/>
      <c r="M190" s="96"/>
      <c r="N190" s="96"/>
      <c r="O190" s="96"/>
      <c r="P190" s="96"/>
      <c r="Q190" s="96"/>
      <c r="R190" s="96"/>
    </row>
    <row r="191" spans="2:18">
      <c r="B191" s="93" t="s">
        <v>132</v>
      </c>
      <c r="C191" s="90"/>
      <c r="D191" s="90"/>
      <c r="E191" s="90"/>
      <c r="F191" s="213">
        <f>'Balance Sheet'!E27</f>
        <v>2615.6480000000001</v>
      </c>
      <c r="G191" s="213">
        <f>'Balance Sheet'!H27</f>
        <v>3423.6409399999998</v>
      </c>
      <c r="H191" s="219">
        <f>J112</f>
        <v>3423.6409399999998</v>
      </c>
      <c r="I191" s="219">
        <f ca="1">I220</f>
        <v>6343.3759561643819</v>
      </c>
      <c r="J191" s="219">
        <f t="shared" ref="J191:R191" ca="1" si="60">J220</f>
        <v>6977.713551780821</v>
      </c>
      <c r="K191" s="219">
        <f t="shared" ca="1" si="60"/>
        <v>7675.4849069589045</v>
      </c>
      <c r="L191" s="219">
        <f t="shared" ca="1" si="60"/>
        <v>8289.5236995156174</v>
      </c>
      <c r="M191" s="219">
        <f t="shared" ca="1" si="60"/>
        <v>8952.6855954768671</v>
      </c>
      <c r="N191" s="219">
        <f t="shared" ca="1" si="60"/>
        <v>9668.9004431150188</v>
      </c>
      <c r="O191" s="219">
        <f t="shared" ca="1" si="60"/>
        <v>10249.034469701921</v>
      </c>
      <c r="P191" s="219">
        <f t="shared" ca="1" si="60"/>
        <v>10761.486193187016</v>
      </c>
      <c r="Q191" s="219">
        <f t="shared" ca="1" si="60"/>
        <v>11299.560502846369</v>
      </c>
      <c r="R191" s="219">
        <f t="shared" ca="1" si="60"/>
        <v>11864.538527988689</v>
      </c>
    </row>
    <row r="192" spans="2:18">
      <c r="B192" s="93" t="s">
        <v>133</v>
      </c>
      <c r="C192" s="90"/>
      <c r="D192" s="90"/>
      <c r="E192" s="90"/>
      <c r="F192" s="213">
        <f>'Balance Sheet'!E28</f>
        <v>12.714999999999691</v>
      </c>
      <c r="G192" s="213">
        <f>'Balance Sheet'!H28</f>
        <v>60.045850000000428</v>
      </c>
      <c r="H192" s="219">
        <f>J113</f>
        <v>60.045850000000428</v>
      </c>
      <c r="I192" s="219">
        <f ca="1">I221</f>
        <v>96.073360000000676</v>
      </c>
      <c r="J192" s="219">
        <f t="shared" ref="J192:R192" ca="1" si="61">J221</f>
        <v>105.68069600000075</v>
      </c>
      <c r="K192" s="219">
        <f t="shared" ca="1" si="61"/>
        <v>116.24876560000084</v>
      </c>
      <c r="L192" s="219">
        <f t="shared" ca="1" si="61"/>
        <v>125.54866684800092</v>
      </c>
      <c r="M192" s="219">
        <f t="shared" ca="1" si="61"/>
        <v>135.592560195841</v>
      </c>
      <c r="N192" s="219">
        <f t="shared" ca="1" si="61"/>
        <v>146.43996501150829</v>
      </c>
      <c r="O192" s="219">
        <f t="shared" ca="1" si="61"/>
        <v>155.22636291219879</v>
      </c>
      <c r="P192" s="219">
        <f t="shared" ca="1" si="61"/>
        <v>162.98768105780874</v>
      </c>
      <c r="Q192" s="219">
        <f t="shared" ca="1" si="61"/>
        <v>171.13706511069921</v>
      </c>
      <c r="R192" s="219">
        <f t="shared" ca="1" si="61"/>
        <v>179.69391836623419</v>
      </c>
    </row>
    <row r="193" spans="2:18">
      <c r="B193" s="94" t="s">
        <v>18</v>
      </c>
      <c r="C193" s="94"/>
      <c r="D193" s="94"/>
      <c r="E193" s="94"/>
      <c r="F193" s="210">
        <f>SUM(F191:F192)</f>
        <v>2628.3629999999998</v>
      </c>
      <c r="G193" s="210">
        <f>SUM(G191:G192)</f>
        <v>3483.6867900000002</v>
      </c>
      <c r="H193" s="205">
        <f>SUM(H191:H192)</f>
        <v>3483.6867900000002</v>
      </c>
      <c r="I193" s="205">
        <f t="shared" ref="I193:R193" ca="1" si="62">SUM(I191:I192)</f>
        <v>6439.4493161643823</v>
      </c>
      <c r="J193" s="205">
        <f t="shared" ca="1" si="62"/>
        <v>7083.3942477808214</v>
      </c>
      <c r="K193" s="205">
        <f t="shared" ca="1" si="62"/>
        <v>7791.7336725589057</v>
      </c>
      <c r="L193" s="205">
        <f t="shared" ca="1" si="62"/>
        <v>8415.0723663636181</v>
      </c>
      <c r="M193" s="205">
        <f t="shared" ca="1" si="62"/>
        <v>9088.2781556727077</v>
      </c>
      <c r="N193" s="205">
        <f t="shared" ca="1" si="62"/>
        <v>9815.3404081265271</v>
      </c>
      <c r="O193" s="205">
        <f t="shared" ca="1" si="62"/>
        <v>10404.26083261412</v>
      </c>
      <c r="P193" s="205">
        <f t="shared" ca="1" si="62"/>
        <v>10924.473874244824</v>
      </c>
      <c r="Q193" s="205">
        <f t="shared" ca="1" si="62"/>
        <v>11470.697567957068</v>
      </c>
      <c r="R193" s="205">
        <f t="shared" ca="1" si="62"/>
        <v>12044.232446354923</v>
      </c>
    </row>
    <row r="194" spans="2:18">
      <c r="B194" s="90"/>
      <c r="C194" s="90"/>
      <c r="D194" s="90"/>
      <c r="E194" s="90"/>
      <c r="F194" s="211"/>
      <c r="G194" s="211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6"/>
    </row>
    <row r="195" spans="2:18">
      <c r="B195" s="90" t="s">
        <v>134</v>
      </c>
      <c r="C195" s="90"/>
      <c r="D195" s="90"/>
      <c r="E195" s="90"/>
      <c r="F195" s="211"/>
      <c r="G195" s="211"/>
      <c r="H195" s="206"/>
      <c r="I195" s="206"/>
      <c r="J195" s="206"/>
      <c r="K195" s="206"/>
      <c r="L195" s="206"/>
      <c r="M195" s="206"/>
      <c r="N195" s="24"/>
      <c r="O195" s="24"/>
      <c r="P195" s="24"/>
      <c r="Q195" s="24"/>
      <c r="R195" s="24"/>
    </row>
    <row r="196" spans="2:18">
      <c r="B196" s="93" t="s">
        <v>63</v>
      </c>
      <c r="C196" s="90"/>
      <c r="D196" s="90"/>
      <c r="E196" s="90"/>
      <c r="F196" s="209"/>
      <c r="G196" s="209"/>
      <c r="H196" s="219">
        <f ca="1">J117</f>
        <v>0</v>
      </c>
      <c r="I196" s="219">
        <f ca="1">I295</f>
        <v>0</v>
      </c>
      <c r="J196" s="219">
        <f t="shared" ref="J196:R196" ca="1" si="63">J295</f>
        <v>0</v>
      </c>
      <c r="K196" s="219">
        <f t="shared" ca="1" si="63"/>
        <v>0</v>
      </c>
      <c r="L196" s="219">
        <f t="shared" ca="1" si="63"/>
        <v>0</v>
      </c>
      <c r="M196" s="219">
        <f t="shared" ca="1" si="63"/>
        <v>0</v>
      </c>
      <c r="N196" s="219">
        <f t="shared" ca="1" si="63"/>
        <v>0</v>
      </c>
      <c r="O196" s="219">
        <f t="shared" ca="1" si="63"/>
        <v>0</v>
      </c>
      <c r="P196" s="219">
        <f t="shared" ca="1" si="63"/>
        <v>0</v>
      </c>
      <c r="Q196" s="219">
        <f t="shared" ca="1" si="63"/>
        <v>0</v>
      </c>
      <c r="R196" s="219">
        <f t="shared" ca="1" si="63"/>
        <v>0</v>
      </c>
    </row>
    <row r="197" spans="2:18">
      <c r="B197" s="93" t="s">
        <v>142</v>
      </c>
      <c r="C197" s="90"/>
      <c r="D197" s="90"/>
      <c r="E197" s="90"/>
      <c r="F197" s="213">
        <f>'Balance Sheet'!E32</f>
        <v>226.52</v>
      </c>
      <c r="G197" s="213">
        <f>'Balance Sheet'!H32</f>
        <v>0</v>
      </c>
      <c r="H197" s="219">
        <f ca="1">J118</f>
        <v>0</v>
      </c>
      <c r="I197" s="219">
        <f ca="1">I309</f>
        <v>0</v>
      </c>
      <c r="J197" s="219">
        <f t="shared" ref="J197:R197" ca="1" si="64">J309</f>
        <v>0</v>
      </c>
      <c r="K197" s="219">
        <f t="shared" ca="1" si="64"/>
        <v>0</v>
      </c>
      <c r="L197" s="219">
        <f t="shared" ca="1" si="64"/>
        <v>0</v>
      </c>
      <c r="M197" s="219">
        <f t="shared" ca="1" si="64"/>
        <v>0</v>
      </c>
      <c r="N197" s="219">
        <f t="shared" ca="1" si="64"/>
        <v>0</v>
      </c>
      <c r="O197" s="219">
        <f t="shared" ca="1" si="64"/>
        <v>0</v>
      </c>
      <c r="P197" s="219">
        <f t="shared" ca="1" si="64"/>
        <v>0</v>
      </c>
      <c r="Q197" s="219">
        <f t="shared" ca="1" si="64"/>
        <v>0</v>
      </c>
      <c r="R197" s="219">
        <f t="shared" ca="1" si="64"/>
        <v>0</v>
      </c>
    </row>
    <row r="198" spans="2:18">
      <c r="B198" s="93" t="s">
        <v>135</v>
      </c>
      <c r="C198" s="90"/>
      <c r="D198" s="90"/>
      <c r="E198" s="90"/>
      <c r="F198" s="209"/>
      <c r="G198" s="209"/>
      <c r="H198" s="219">
        <f ca="1">J119</f>
        <v>20500</v>
      </c>
      <c r="I198" s="219">
        <f ca="1">I320</f>
        <v>18714.604811918332</v>
      </c>
      <c r="J198" s="219">
        <f t="shared" ref="J198:R198" ca="1" si="65">J320</f>
        <v>14205.456320349418</v>
      </c>
      <c r="K198" s="219">
        <f t="shared" ca="1" si="65"/>
        <v>10041.385444201256</v>
      </c>
      <c r="L198" s="219">
        <f t="shared" ca="1" si="65"/>
        <v>4151.3852474778851</v>
      </c>
      <c r="M198" s="219">
        <f t="shared" ca="1" si="65"/>
        <v>0</v>
      </c>
      <c r="N198" s="219">
        <f t="shared" ca="1" si="65"/>
        <v>0</v>
      </c>
      <c r="O198" s="219">
        <f t="shared" ca="1" si="65"/>
        <v>0</v>
      </c>
      <c r="P198" s="219">
        <f t="shared" ca="1" si="65"/>
        <v>0</v>
      </c>
      <c r="Q198" s="219">
        <f t="shared" ca="1" si="65"/>
        <v>0</v>
      </c>
      <c r="R198" s="219">
        <f t="shared" ca="1" si="65"/>
        <v>0</v>
      </c>
    </row>
    <row r="199" spans="2:18">
      <c r="B199" s="97" t="s">
        <v>66</v>
      </c>
      <c r="C199" s="94"/>
      <c r="D199" s="94"/>
      <c r="E199" s="94"/>
      <c r="F199" s="210">
        <f t="shared" ref="F199:R199" si="66">SUM(F196:F198)</f>
        <v>226.52</v>
      </c>
      <c r="G199" s="210">
        <f t="shared" si="66"/>
        <v>0</v>
      </c>
      <c r="H199" s="205">
        <f t="shared" ca="1" si="66"/>
        <v>20500</v>
      </c>
      <c r="I199" s="205">
        <f t="shared" ca="1" si="66"/>
        <v>18714.604811918332</v>
      </c>
      <c r="J199" s="205">
        <f t="shared" ca="1" si="66"/>
        <v>14205.456320349418</v>
      </c>
      <c r="K199" s="205">
        <f t="shared" ca="1" si="66"/>
        <v>10041.385444201256</v>
      </c>
      <c r="L199" s="205">
        <f t="shared" ca="1" si="66"/>
        <v>4151.3852474778851</v>
      </c>
      <c r="M199" s="205">
        <f t="shared" ca="1" si="66"/>
        <v>0</v>
      </c>
      <c r="N199" s="205">
        <f t="shared" ca="1" si="66"/>
        <v>0</v>
      </c>
      <c r="O199" s="205">
        <f t="shared" ca="1" si="66"/>
        <v>0</v>
      </c>
      <c r="P199" s="205">
        <f t="shared" ca="1" si="66"/>
        <v>0</v>
      </c>
      <c r="Q199" s="205">
        <f t="shared" ca="1" si="66"/>
        <v>0</v>
      </c>
      <c r="R199" s="205">
        <f t="shared" ca="1" si="66"/>
        <v>0</v>
      </c>
    </row>
    <row r="200" spans="2:18">
      <c r="B200" s="90"/>
      <c r="C200" s="90"/>
      <c r="D200" s="90"/>
      <c r="E200" s="90"/>
      <c r="F200" s="211"/>
      <c r="G200" s="211"/>
      <c r="H200" s="206"/>
      <c r="I200" s="206"/>
      <c r="J200" s="206"/>
      <c r="K200" s="206"/>
      <c r="L200" s="206"/>
      <c r="M200" s="206"/>
      <c r="N200" s="24"/>
      <c r="O200" s="24"/>
      <c r="P200" s="24"/>
      <c r="Q200" s="24"/>
      <c r="R200" s="24"/>
    </row>
    <row r="201" spans="2:18" hidden="1" outlineLevel="1">
      <c r="B201" s="93" t="s">
        <v>136</v>
      </c>
      <c r="C201" s="90"/>
      <c r="D201" s="90"/>
      <c r="E201" s="90"/>
      <c r="F201" s="209">
        <v>0</v>
      </c>
      <c r="G201" s="213">
        <v>0</v>
      </c>
      <c r="H201" s="219">
        <f>J122</f>
        <v>0</v>
      </c>
      <c r="I201" s="253">
        <f>H201</f>
        <v>0</v>
      </c>
      <c r="J201" s="253">
        <f t="shared" ref="J201:R201" si="67">I201</f>
        <v>0</v>
      </c>
      <c r="K201" s="253">
        <f t="shared" si="67"/>
        <v>0</v>
      </c>
      <c r="L201" s="253">
        <f t="shared" si="67"/>
        <v>0</v>
      </c>
      <c r="M201" s="253">
        <f t="shared" si="67"/>
        <v>0</v>
      </c>
      <c r="N201" s="253">
        <f t="shared" si="67"/>
        <v>0</v>
      </c>
      <c r="O201" s="253">
        <f t="shared" si="67"/>
        <v>0</v>
      </c>
      <c r="P201" s="253">
        <f t="shared" si="67"/>
        <v>0</v>
      </c>
      <c r="Q201" s="253">
        <f t="shared" si="67"/>
        <v>0</v>
      </c>
      <c r="R201" s="253">
        <f t="shared" si="67"/>
        <v>0</v>
      </c>
    </row>
    <row r="202" spans="2:18" hidden="1" outlineLevel="1">
      <c r="B202" s="93" t="s">
        <v>152</v>
      </c>
      <c r="C202" s="90"/>
      <c r="D202" s="90"/>
      <c r="E202" s="90"/>
      <c r="F202" s="209">
        <v>0</v>
      </c>
      <c r="G202" s="213">
        <f>'Balance Sheet'!H35</f>
        <v>0</v>
      </c>
      <c r="H202" s="219">
        <f>J123</f>
        <v>0</v>
      </c>
      <c r="I202" s="253">
        <f t="shared" ref="I202:R202" si="68">H202+I150</f>
        <v>0</v>
      </c>
      <c r="J202" s="253">
        <f t="shared" si="68"/>
        <v>0</v>
      </c>
      <c r="K202" s="253">
        <f t="shared" si="68"/>
        <v>0</v>
      </c>
      <c r="L202" s="253">
        <f t="shared" si="68"/>
        <v>0</v>
      </c>
      <c r="M202" s="253">
        <f t="shared" si="68"/>
        <v>0</v>
      </c>
      <c r="N202" s="253">
        <f t="shared" si="68"/>
        <v>0</v>
      </c>
      <c r="O202" s="253">
        <f t="shared" si="68"/>
        <v>0</v>
      </c>
      <c r="P202" s="253">
        <f t="shared" si="68"/>
        <v>0</v>
      </c>
      <c r="Q202" s="253">
        <f t="shared" si="68"/>
        <v>0</v>
      </c>
      <c r="R202" s="253">
        <f t="shared" si="68"/>
        <v>0</v>
      </c>
    </row>
    <row r="203" spans="2:18" collapsed="1">
      <c r="B203" s="83" t="s">
        <v>138</v>
      </c>
      <c r="C203" s="91"/>
      <c r="D203" s="91"/>
      <c r="E203" s="91"/>
      <c r="F203" s="212">
        <f t="shared" ref="F203:R203" si="69">F193+F199+F201+F202</f>
        <v>2854.8829999999998</v>
      </c>
      <c r="G203" s="212">
        <f t="shared" si="69"/>
        <v>3483.6867900000002</v>
      </c>
      <c r="H203" s="222">
        <f t="shared" ca="1" si="69"/>
        <v>23983.68679</v>
      </c>
      <c r="I203" s="222">
        <f t="shared" ca="1" si="69"/>
        <v>25154.054128082716</v>
      </c>
      <c r="J203" s="222">
        <f t="shared" ca="1" si="69"/>
        <v>21288.850568130241</v>
      </c>
      <c r="K203" s="222">
        <f t="shared" ca="1" si="69"/>
        <v>17833.119116760161</v>
      </c>
      <c r="L203" s="222">
        <f t="shared" ca="1" si="69"/>
        <v>12566.457613841503</v>
      </c>
      <c r="M203" s="222">
        <f t="shared" ca="1" si="69"/>
        <v>9088.2781556727077</v>
      </c>
      <c r="N203" s="222">
        <f t="shared" ca="1" si="69"/>
        <v>9815.3404081265271</v>
      </c>
      <c r="O203" s="222">
        <f t="shared" ca="1" si="69"/>
        <v>10404.26083261412</v>
      </c>
      <c r="P203" s="222">
        <f t="shared" ca="1" si="69"/>
        <v>10924.473874244824</v>
      </c>
      <c r="Q203" s="222">
        <f t="shared" ca="1" si="69"/>
        <v>11470.697567957068</v>
      </c>
      <c r="R203" s="222">
        <f t="shared" ca="1" si="69"/>
        <v>12044.232446354923</v>
      </c>
    </row>
    <row r="204" spans="2:18">
      <c r="B204" s="90"/>
      <c r="C204" s="90"/>
      <c r="D204" s="90"/>
      <c r="E204" s="90"/>
      <c r="F204" s="95"/>
      <c r="G204" s="95"/>
      <c r="H204" s="206"/>
      <c r="I204" s="206"/>
      <c r="J204" s="206"/>
      <c r="K204" s="206"/>
      <c r="L204" s="206"/>
      <c r="M204" s="206"/>
      <c r="N204" s="24"/>
      <c r="O204" s="24"/>
      <c r="P204" s="24"/>
      <c r="Q204" s="24"/>
      <c r="R204" s="24"/>
    </row>
    <row r="205" spans="2:18">
      <c r="B205" s="90" t="s">
        <v>139</v>
      </c>
      <c r="C205" s="90"/>
      <c r="D205" s="90"/>
      <c r="E205" s="90"/>
      <c r="F205" s="213">
        <f>'Balance Sheet'!E37</f>
        <v>3571.3739999999998</v>
      </c>
      <c r="G205" s="213">
        <f>'Balance Sheet'!H37</f>
        <v>5374.2603500000005</v>
      </c>
      <c r="H205" s="219">
        <f ca="1">J126</f>
        <v>10211.25</v>
      </c>
      <c r="I205" s="219">
        <f ca="1">I391</f>
        <v>14000.864364657011</v>
      </c>
      <c r="J205" s="219">
        <f t="shared" ref="J205:R205" ca="1" si="70">J391</f>
        <v>18868.996175294418</v>
      </c>
      <c r="K205" s="219">
        <f t="shared" ca="1" si="70"/>
        <v>24300.59999241792</v>
      </c>
      <c r="L205" s="219">
        <f t="shared" ca="1" si="70"/>
        <v>30230.847629199598</v>
      </c>
      <c r="M205" s="219">
        <f t="shared" ca="1" si="70"/>
        <v>36732.885718705831</v>
      </c>
      <c r="N205" s="219">
        <f t="shared" ca="1" si="70"/>
        <v>43776.166496240658</v>
      </c>
      <c r="O205" s="219">
        <f t="shared" ca="1" si="70"/>
        <v>51161.198471197735</v>
      </c>
      <c r="P205" s="219">
        <f t="shared" ca="1" si="70"/>
        <v>58731.678335303186</v>
      </c>
      <c r="Q205" s="219">
        <f t="shared" ca="1" si="70"/>
        <v>66487.384562706997</v>
      </c>
      <c r="R205" s="219">
        <f t="shared" ca="1" si="70"/>
        <v>74580.942837849507</v>
      </c>
    </row>
    <row r="206" spans="2:18">
      <c r="B206" s="98" t="s">
        <v>67</v>
      </c>
      <c r="C206" s="98"/>
      <c r="D206" s="98"/>
      <c r="E206" s="98"/>
      <c r="F206" s="214">
        <f>SUM(F205)</f>
        <v>3571.3739999999998</v>
      </c>
      <c r="G206" s="214">
        <f>SUM(G205)</f>
        <v>5374.2603500000005</v>
      </c>
      <c r="H206" s="223">
        <f ca="1">SUM(H205)</f>
        <v>10211.25</v>
      </c>
      <c r="I206" s="223">
        <f ca="1">SUM(I205)</f>
        <v>14000.864364657011</v>
      </c>
      <c r="J206" s="223">
        <f t="shared" ref="J206:R206" ca="1" si="71">SUM(J205)</f>
        <v>18868.996175294418</v>
      </c>
      <c r="K206" s="223">
        <f t="shared" ca="1" si="71"/>
        <v>24300.59999241792</v>
      </c>
      <c r="L206" s="223">
        <f t="shared" ca="1" si="71"/>
        <v>30230.847629199598</v>
      </c>
      <c r="M206" s="223">
        <f t="shared" ca="1" si="71"/>
        <v>36732.885718705831</v>
      </c>
      <c r="N206" s="223">
        <f t="shared" ca="1" si="71"/>
        <v>43776.166496240658</v>
      </c>
      <c r="O206" s="223">
        <f t="shared" ca="1" si="71"/>
        <v>51161.198471197735</v>
      </c>
      <c r="P206" s="223">
        <f t="shared" ca="1" si="71"/>
        <v>58731.678335303186</v>
      </c>
      <c r="Q206" s="223">
        <f t="shared" ca="1" si="71"/>
        <v>66487.384562706997</v>
      </c>
      <c r="R206" s="223">
        <f t="shared" ca="1" si="71"/>
        <v>74580.942837849507</v>
      </c>
    </row>
    <row r="207" spans="2:18">
      <c r="B207" s="85" t="s">
        <v>140</v>
      </c>
      <c r="C207" s="91"/>
      <c r="D207" s="91"/>
      <c r="E207" s="91"/>
      <c r="F207" s="215">
        <f>F203+F206</f>
        <v>6426.2569999999996</v>
      </c>
      <c r="G207" s="215">
        <f>G203+G206</f>
        <v>8857.9471400000002</v>
      </c>
      <c r="H207" s="228">
        <f ca="1">H203+H206</f>
        <v>34194.93679</v>
      </c>
      <c r="I207" s="228">
        <f ca="1">I203+I206</f>
        <v>39154.918492739729</v>
      </c>
      <c r="J207" s="228">
        <f t="shared" ref="J207:R207" ca="1" si="72">J203+J206</f>
        <v>40157.846743424656</v>
      </c>
      <c r="K207" s="228">
        <f t="shared" ca="1" si="72"/>
        <v>42133.719109178084</v>
      </c>
      <c r="L207" s="228">
        <f t="shared" ca="1" si="72"/>
        <v>42797.305243041104</v>
      </c>
      <c r="M207" s="228">
        <f t="shared" ca="1" si="72"/>
        <v>45821.163874378537</v>
      </c>
      <c r="N207" s="228">
        <f t="shared" ca="1" si="72"/>
        <v>53591.506904367183</v>
      </c>
      <c r="O207" s="228">
        <f t="shared" ca="1" si="72"/>
        <v>61565.459303811855</v>
      </c>
      <c r="P207" s="228">
        <f t="shared" ca="1" si="72"/>
        <v>69656.152209548018</v>
      </c>
      <c r="Q207" s="228">
        <f t="shared" ca="1" si="72"/>
        <v>77958.082130664057</v>
      </c>
      <c r="R207" s="228">
        <f t="shared" ca="1" si="72"/>
        <v>86625.175284204422</v>
      </c>
    </row>
    <row r="208" spans="2:18">
      <c r="B208" s="86" t="s">
        <v>141</v>
      </c>
      <c r="C208" s="86"/>
      <c r="D208" s="87"/>
      <c r="E208" s="86"/>
      <c r="F208" s="88">
        <f t="shared" ref="F208:R208" si="73">ROUND(F187-F207,3)</f>
        <v>0</v>
      </c>
      <c r="G208" s="88">
        <f t="shared" si="73"/>
        <v>0</v>
      </c>
      <c r="H208" s="88">
        <f t="shared" ca="1" si="73"/>
        <v>-250</v>
      </c>
      <c r="I208" s="88">
        <f ca="1">ROUND(I187-I207,3)</f>
        <v>-250</v>
      </c>
      <c r="J208" s="88">
        <f t="shared" ca="1" si="73"/>
        <v>-250</v>
      </c>
      <c r="K208" s="88">
        <f t="shared" ca="1" si="73"/>
        <v>-250</v>
      </c>
      <c r="L208" s="88">
        <f t="shared" ca="1" si="73"/>
        <v>-250</v>
      </c>
      <c r="M208" s="88">
        <f t="shared" ca="1" si="73"/>
        <v>-250</v>
      </c>
      <c r="N208" s="88">
        <f t="shared" ca="1" si="73"/>
        <v>-250</v>
      </c>
      <c r="O208" s="88">
        <f t="shared" ca="1" si="73"/>
        <v>-250</v>
      </c>
      <c r="P208" s="88">
        <f t="shared" ca="1" si="73"/>
        <v>-250</v>
      </c>
      <c r="Q208" s="88">
        <f t="shared" ca="1" si="73"/>
        <v>-250</v>
      </c>
      <c r="R208" s="88">
        <f t="shared" ca="1" si="73"/>
        <v>-250</v>
      </c>
    </row>
    <row r="210" spans="1:18">
      <c r="A210" s="55" t="s">
        <v>51</v>
      </c>
      <c r="B210" s="42" t="s">
        <v>167</v>
      </c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</row>
    <row r="212" spans="1:18" ht="13.2" thickBot="1">
      <c r="B212" s="196"/>
      <c r="C212" s="196"/>
      <c r="D212" s="196"/>
      <c r="E212" s="196"/>
      <c r="F212" s="196"/>
      <c r="G212" s="236">
        <f t="shared" ref="G212:R212" si="74">G172</f>
        <v>42735</v>
      </c>
      <c r="H212" s="237">
        <f t="shared" si="74"/>
        <v>42735</v>
      </c>
      <c r="I212" s="235">
        <f t="shared" si="74"/>
        <v>43100</v>
      </c>
      <c r="J212" s="235">
        <f t="shared" si="74"/>
        <v>43465</v>
      </c>
      <c r="K212" s="235">
        <f t="shared" si="74"/>
        <v>43830</v>
      </c>
      <c r="L212" s="235">
        <f t="shared" si="74"/>
        <v>44196</v>
      </c>
      <c r="M212" s="235">
        <f t="shared" si="74"/>
        <v>44561</v>
      </c>
      <c r="N212" s="235">
        <f t="shared" si="74"/>
        <v>44926</v>
      </c>
      <c r="O212" s="235">
        <f t="shared" si="74"/>
        <v>45291</v>
      </c>
      <c r="P212" s="235">
        <f t="shared" si="74"/>
        <v>45657</v>
      </c>
      <c r="Q212" s="235">
        <f t="shared" si="74"/>
        <v>46022</v>
      </c>
      <c r="R212" s="235">
        <f t="shared" si="74"/>
        <v>46387</v>
      </c>
    </row>
    <row r="213" spans="1:18"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</row>
    <row r="214" spans="1:18">
      <c r="B214" s="90" t="s">
        <v>24</v>
      </c>
      <c r="C214" s="90"/>
      <c r="D214" s="90"/>
      <c r="E214" s="90"/>
      <c r="F214" s="90"/>
      <c r="G214" s="219">
        <f>G136</f>
        <v>23605</v>
      </c>
      <c r="H214" s="229"/>
      <c r="I214" s="219">
        <f t="shared" ref="I214:R214" ca="1" si="75">I136</f>
        <v>37768</v>
      </c>
      <c r="J214" s="219">
        <f t="shared" ca="1" si="75"/>
        <v>41544.800000000003</v>
      </c>
      <c r="K214" s="219">
        <f t="shared" ca="1" si="75"/>
        <v>45699.280000000006</v>
      </c>
      <c r="L214" s="219">
        <f t="shared" ca="1" si="75"/>
        <v>49355.222400000013</v>
      </c>
      <c r="M214" s="219">
        <f t="shared" ca="1" si="75"/>
        <v>53303.640192000021</v>
      </c>
      <c r="N214" s="219">
        <f t="shared" ca="1" si="75"/>
        <v>57567.931407360025</v>
      </c>
      <c r="O214" s="219">
        <f t="shared" ca="1" si="75"/>
        <v>61022.00729180163</v>
      </c>
      <c r="P214" s="219">
        <f t="shared" ca="1" si="75"/>
        <v>64073.107656391716</v>
      </c>
      <c r="Q214" s="219">
        <f t="shared" ca="1" si="75"/>
        <v>67276.763039211306</v>
      </c>
      <c r="R214" s="219">
        <f t="shared" ca="1" si="75"/>
        <v>70640.601191171882</v>
      </c>
    </row>
    <row r="215" spans="1:18">
      <c r="B215" s="90" t="s">
        <v>25</v>
      </c>
      <c r="C215" s="90"/>
      <c r="D215" s="90"/>
      <c r="E215" s="90"/>
      <c r="F215" s="90"/>
      <c r="G215" s="219">
        <f>G137</f>
        <v>15909</v>
      </c>
      <c r="H215" s="229"/>
      <c r="I215" s="219">
        <f t="shared" ref="I215:R215" ca="1" si="76">I137</f>
        <v>25454.399999999998</v>
      </c>
      <c r="J215" s="219">
        <f t="shared" ca="1" si="76"/>
        <v>27999.84</v>
      </c>
      <c r="K215" s="219">
        <f t="shared" ca="1" si="76"/>
        <v>30799.824000000004</v>
      </c>
      <c r="L215" s="219">
        <f t="shared" ca="1" si="76"/>
        <v>33263.809920000007</v>
      </c>
      <c r="M215" s="219">
        <f t="shared" ca="1" si="76"/>
        <v>35924.91471360001</v>
      </c>
      <c r="N215" s="219">
        <f t="shared" ca="1" si="76"/>
        <v>38798.907890688017</v>
      </c>
      <c r="O215" s="219">
        <f t="shared" ca="1" si="76"/>
        <v>41126.842364129297</v>
      </c>
      <c r="P215" s="219">
        <f t="shared" ca="1" si="76"/>
        <v>43183.184482335768</v>
      </c>
      <c r="Q215" s="219">
        <f t="shared" ca="1" si="76"/>
        <v>45342.343706452557</v>
      </c>
      <c r="R215" s="219">
        <f t="shared" ca="1" si="76"/>
        <v>47609.46089177519</v>
      </c>
    </row>
    <row r="216" spans="1:18">
      <c r="B216" s="90"/>
      <c r="C216" s="90"/>
      <c r="D216" s="90"/>
      <c r="E216" s="90"/>
      <c r="F216" s="90"/>
      <c r="G216" s="206"/>
      <c r="H216" s="206"/>
      <c r="I216" s="206"/>
      <c r="J216" s="206"/>
      <c r="K216" s="206"/>
      <c r="L216" s="206"/>
      <c r="M216" s="206"/>
      <c r="N216" s="24"/>
      <c r="O216" s="24"/>
      <c r="P216" s="24"/>
      <c r="Q216" s="24"/>
      <c r="R216" s="24"/>
    </row>
    <row r="217" spans="1:18">
      <c r="B217" s="89" t="s">
        <v>6</v>
      </c>
      <c r="C217" s="90"/>
      <c r="D217" s="90"/>
      <c r="E217" s="90"/>
      <c r="F217" s="90"/>
      <c r="G217" s="219">
        <f>G177</f>
        <v>6801.8630000000003</v>
      </c>
      <c r="H217" s="219"/>
      <c r="I217" s="219">
        <f ca="1">I226*I214/I233</f>
        <v>12084.725260273974</v>
      </c>
      <c r="J217" s="219">
        <f t="shared" ref="J217:R217" ca="1" si="77">J226*J214/J233</f>
        <v>13293.197786301373</v>
      </c>
      <c r="K217" s="219">
        <f t="shared" ca="1" si="77"/>
        <v>14622.51756493151</v>
      </c>
      <c r="L217" s="219">
        <f t="shared" ca="1" si="77"/>
        <v>15792.318970126034</v>
      </c>
      <c r="M217" s="219">
        <f t="shared" ca="1" si="77"/>
        <v>17055.704487736119</v>
      </c>
      <c r="N217" s="219">
        <f t="shared" ca="1" si="77"/>
        <v>18420.160846755007</v>
      </c>
      <c r="O217" s="219">
        <f t="shared" ca="1" si="77"/>
        <v>19525.37049756031</v>
      </c>
      <c r="P217" s="219">
        <f t="shared" ca="1" si="77"/>
        <v>20501.639022438325</v>
      </c>
      <c r="Q217" s="219">
        <f t="shared" ca="1" si="77"/>
        <v>21526.720973560245</v>
      </c>
      <c r="R217" s="219">
        <f t="shared" ca="1" si="77"/>
        <v>22603.057022238259</v>
      </c>
    </row>
    <row r="218" spans="1:18">
      <c r="B218" s="348" t="s">
        <v>386</v>
      </c>
      <c r="C218" s="90"/>
      <c r="D218" s="90"/>
      <c r="E218" s="90"/>
      <c r="F218" s="90"/>
      <c r="G218" s="219">
        <f>J99</f>
        <v>130.75890410958905</v>
      </c>
      <c r="H218" s="219"/>
      <c r="I218" s="219">
        <f t="shared" ref="I218:R218" ca="1" si="78">I227*I215/I233</f>
        <v>209.21424657534246</v>
      </c>
      <c r="J218" s="219">
        <f t="shared" ca="1" si="78"/>
        <v>230.13567123287672</v>
      </c>
      <c r="K218" s="219">
        <f t="shared" ca="1" si="78"/>
        <v>253.1492383561644</v>
      </c>
      <c r="L218" s="219">
        <f t="shared" ca="1" si="78"/>
        <v>273.40117742465759</v>
      </c>
      <c r="M218" s="219">
        <f t="shared" ca="1" si="78"/>
        <v>295.27327161863025</v>
      </c>
      <c r="N218" s="219">
        <f t="shared" ca="1" si="78"/>
        <v>318.89513334812068</v>
      </c>
      <c r="O218" s="219">
        <f t="shared" ca="1" si="78"/>
        <v>338.02884134900796</v>
      </c>
      <c r="P218" s="219">
        <f t="shared" ca="1" si="78"/>
        <v>354.93028341645834</v>
      </c>
      <c r="Q218" s="219">
        <f t="shared" ca="1" si="78"/>
        <v>372.67679758728133</v>
      </c>
      <c r="R218" s="219">
        <f t="shared" ca="1" si="78"/>
        <v>391.31063746664535</v>
      </c>
    </row>
    <row r="219" spans="1:18">
      <c r="B219" s="89" t="s">
        <v>127</v>
      </c>
      <c r="C219" s="90"/>
      <c r="D219" s="90"/>
      <c r="E219" s="90"/>
      <c r="F219" s="90"/>
      <c r="G219" s="219">
        <f>G179</f>
        <v>0.29499999999999998</v>
      </c>
      <c r="H219" s="219"/>
      <c r="I219" s="219">
        <f t="shared" ref="I219:R219" ca="1" si="79">I214*I229</f>
        <v>0.47199999999999998</v>
      </c>
      <c r="J219" s="219">
        <f t="shared" ca="1" si="79"/>
        <v>0.51919999999999999</v>
      </c>
      <c r="K219" s="219">
        <f t="shared" ca="1" si="79"/>
        <v>0.57112000000000007</v>
      </c>
      <c r="L219" s="219">
        <f t="shared" ca="1" si="79"/>
        <v>0.61680960000000018</v>
      </c>
      <c r="M219" s="219">
        <f t="shared" ca="1" si="79"/>
        <v>0.66615436800000027</v>
      </c>
      <c r="N219" s="219">
        <f t="shared" ca="1" si="79"/>
        <v>0.71944671744000033</v>
      </c>
      <c r="O219" s="219">
        <f t="shared" ca="1" si="79"/>
        <v>0.7626135204864003</v>
      </c>
      <c r="P219" s="219">
        <f t="shared" ca="1" si="79"/>
        <v>0.80074419651072037</v>
      </c>
      <c r="Q219" s="219">
        <f t="shared" ca="1" si="79"/>
        <v>0.84078140633625653</v>
      </c>
      <c r="R219" s="219">
        <f t="shared" ca="1" si="79"/>
        <v>0.8828204766530694</v>
      </c>
    </row>
    <row r="220" spans="1:18">
      <c r="B220" s="89" t="s">
        <v>132</v>
      </c>
      <c r="C220" s="90"/>
      <c r="D220" s="90"/>
      <c r="E220" s="90"/>
      <c r="F220" s="90"/>
      <c r="G220" s="219">
        <f>G191</f>
        <v>3423.6409399999998</v>
      </c>
      <c r="H220" s="219"/>
      <c r="I220" s="219">
        <f t="shared" ref="I220:R220" ca="1" si="80">I230*I215/I233</f>
        <v>6343.3759561643819</v>
      </c>
      <c r="J220" s="219">
        <f t="shared" ca="1" si="80"/>
        <v>6977.713551780821</v>
      </c>
      <c r="K220" s="219">
        <f t="shared" ca="1" si="80"/>
        <v>7675.4849069589045</v>
      </c>
      <c r="L220" s="219">
        <f t="shared" ca="1" si="80"/>
        <v>8289.5236995156174</v>
      </c>
      <c r="M220" s="219">
        <f t="shared" ca="1" si="80"/>
        <v>8952.6855954768671</v>
      </c>
      <c r="N220" s="219">
        <f t="shared" ca="1" si="80"/>
        <v>9668.9004431150188</v>
      </c>
      <c r="O220" s="219">
        <f t="shared" ca="1" si="80"/>
        <v>10249.034469701921</v>
      </c>
      <c r="P220" s="219">
        <f t="shared" ca="1" si="80"/>
        <v>10761.486193187016</v>
      </c>
      <c r="Q220" s="219">
        <f t="shared" ca="1" si="80"/>
        <v>11299.560502846369</v>
      </c>
      <c r="R220" s="219">
        <f t="shared" ca="1" si="80"/>
        <v>11864.538527988689</v>
      </c>
    </row>
    <row r="221" spans="1:18">
      <c r="B221" s="89" t="s">
        <v>133</v>
      </c>
      <c r="C221" s="90"/>
      <c r="D221" s="90"/>
      <c r="E221" s="90"/>
      <c r="F221" s="90"/>
      <c r="G221" s="219">
        <f>G192</f>
        <v>60.045850000000428</v>
      </c>
      <c r="H221" s="219"/>
      <c r="I221" s="219">
        <f t="shared" ref="I221:R221" ca="1" si="81">I214*I231</f>
        <v>96.073360000000676</v>
      </c>
      <c r="J221" s="219">
        <f t="shared" ca="1" si="81"/>
        <v>105.68069600000075</v>
      </c>
      <c r="K221" s="219">
        <f t="shared" ca="1" si="81"/>
        <v>116.24876560000084</v>
      </c>
      <c r="L221" s="219">
        <f t="shared" ca="1" si="81"/>
        <v>125.54866684800092</v>
      </c>
      <c r="M221" s="219">
        <f t="shared" ca="1" si="81"/>
        <v>135.592560195841</v>
      </c>
      <c r="N221" s="219">
        <f t="shared" ca="1" si="81"/>
        <v>146.43996501150829</v>
      </c>
      <c r="O221" s="219">
        <f t="shared" ca="1" si="81"/>
        <v>155.22636291219879</v>
      </c>
      <c r="P221" s="219">
        <f t="shared" ca="1" si="81"/>
        <v>162.98768105780874</v>
      </c>
      <c r="Q221" s="219">
        <f t="shared" ca="1" si="81"/>
        <v>171.13706511069921</v>
      </c>
      <c r="R221" s="219">
        <f t="shared" ca="1" si="81"/>
        <v>179.69391836623419</v>
      </c>
    </row>
    <row r="222" spans="1:18">
      <c r="B222" s="89"/>
      <c r="C222" s="90"/>
      <c r="D222" s="90"/>
      <c r="E222" s="135"/>
      <c r="F222" s="135"/>
      <c r="G222" s="219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6"/>
    </row>
    <row r="223" spans="1:18">
      <c r="B223" s="129" t="s">
        <v>168</v>
      </c>
      <c r="C223" s="94"/>
      <c r="D223" s="94"/>
      <c r="E223" s="90"/>
      <c r="F223" s="90"/>
      <c r="G223" s="230">
        <f>G217+G218+G219-G220-G221</f>
        <v>3449.2301141095891</v>
      </c>
      <c r="H223" s="205"/>
      <c r="I223" s="230">
        <f ca="1">I217+I218+I219-I220-I221</f>
        <v>5854.9621906849334</v>
      </c>
      <c r="J223" s="230">
        <f t="shared" ref="J223:R223" ca="1" si="82">J217+J218+J219-J220-J221</f>
        <v>6440.458409753428</v>
      </c>
      <c r="K223" s="230">
        <f t="shared" ca="1" si="82"/>
        <v>7084.5042507287681</v>
      </c>
      <c r="L223" s="230">
        <f t="shared" ca="1" si="82"/>
        <v>7651.2645907870738</v>
      </c>
      <c r="M223" s="230">
        <f t="shared" ca="1" si="82"/>
        <v>8263.3657580500385</v>
      </c>
      <c r="N223" s="230">
        <f t="shared" ca="1" si="82"/>
        <v>8924.435018694041</v>
      </c>
      <c r="O223" s="230">
        <f t="shared" ca="1" si="82"/>
        <v>9459.9011198156841</v>
      </c>
      <c r="P223" s="230">
        <f t="shared" ca="1" si="82"/>
        <v>9932.8961758064688</v>
      </c>
      <c r="Q223" s="230">
        <f t="shared" ca="1" si="82"/>
        <v>10429.540984596795</v>
      </c>
      <c r="R223" s="230">
        <f t="shared" ca="1" si="82"/>
        <v>10951.018033826636</v>
      </c>
    </row>
    <row r="224" spans="1:18">
      <c r="B224" s="130" t="s">
        <v>169</v>
      </c>
      <c r="C224" s="135"/>
      <c r="D224" s="135"/>
      <c r="E224" s="135"/>
      <c r="F224" s="135"/>
      <c r="G224" s="131">
        <f>G223/G214</f>
        <v>0.14612286016138906</v>
      </c>
      <c r="H224" s="132"/>
      <c r="I224" s="131">
        <f t="shared" ref="I224:R224" ca="1" si="83">I223/I214</f>
        <v>0.15502441724965402</v>
      </c>
      <c r="J224" s="131">
        <f t="shared" ca="1" si="83"/>
        <v>0.15502441724965405</v>
      </c>
      <c r="K224" s="131">
        <f t="shared" ca="1" si="83"/>
        <v>0.15502441724965399</v>
      </c>
      <c r="L224" s="131">
        <f t="shared" ca="1" si="83"/>
        <v>0.15502441724965405</v>
      </c>
      <c r="M224" s="131">
        <f t="shared" ca="1" si="83"/>
        <v>0.15502441724965402</v>
      </c>
      <c r="N224" s="131">
        <f t="shared" ca="1" si="83"/>
        <v>0.15502441724965399</v>
      </c>
      <c r="O224" s="131">
        <f t="shared" ca="1" si="83"/>
        <v>0.15502441724965399</v>
      </c>
      <c r="P224" s="131">
        <f t="shared" ca="1" si="83"/>
        <v>0.15502441724965399</v>
      </c>
      <c r="Q224" s="131">
        <f t="shared" ca="1" si="83"/>
        <v>0.15502441724965402</v>
      </c>
      <c r="R224" s="131">
        <f t="shared" ca="1" si="83"/>
        <v>0.15502441724965402</v>
      </c>
    </row>
    <row r="225" spans="1:18">
      <c r="B225" s="89"/>
      <c r="C225" s="90"/>
      <c r="D225" s="90"/>
      <c r="E225" s="90"/>
      <c r="F225" s="90"/>
      <c r="G225" s="89"/>
      <c r="H225" s="90"/>
      <c r="I225" s="95"/>
      <c r="J225" s="95"/>
      <c r="K225" s="95"/>
      <c r="L225" s="95"/>
      <c r="M225" s="95"/>
    </row>
    <row r="226" spans="1:18">
      <c r="B226" s="89" t="s">
        <v>170</v>
      </c>
      <c r="C226" s="90"/>
      <c r="D226" s="90"/>
      <c r="E226" s="90"/>
      <c r="F226" s="90"/>
      <c r="G226" s="78">
        <f>G217/G214*G233</f>
        <v>105.17602181741158</v>
      </c>
      <c r="H226" s="78"/>
      <c r="I226" s="289">
        <v>116.79</v>
      </c>
      <c r="J226" s="78">
        <f>I226</f>
        <v>116.79</v>
      </c>
      <c r="K226" s="78">
        <f>J226</f>
        <v>116.79</v>
      </c>
      <c r="L226" s="78">
        <f t="shared" ref="L226:R227" si="84">K226</f>
        <v>116.79</v>
      </c>
      <c r="M226" s="78">
        <f t="shared" si="84"/>
        <v>116.79</v>
      </c>
      <c r="N226" s="78">
        <f t="shared" si="84"/>
        <v>116.79</v>
      </c>
      <c r="O226" s="78">
        <f t="shared" si="84"/>
        <v>116.79</v>
      </c>
      <c r="P226" s="78">
        <f t="shared" si="84"/>
        <v>116.79</v>
      </c>
      <c r="Q226" s="78">
        <f t="shared" si="84"/>
        <v>116.79</v>
      </c>
      <c r="R226" s="78">
        <f t="shared" si="84"/>
        <v>116.79</v>
      </c>
    </row>
    <row r="227" spans="1:18">
      <c r="B227" s="89" t="s">
        <v>389</v>
      </c>
      <c r="C227" s="90"/>
      <c r="D227" s="90"/>
      <c r="E227" s="90"/>
      <c r="F227" s="90"/>
      <c r="G227" s="78">
        <f>G218/G215*G233</f>
        <v>3.0000000000000004</v>
      </c>
      <c r="H227" s="78"/>
      <c r="I227" s="289">
        <v>3</v>
      </c>
      <c r="J227" s="78">
        <f>I227</f>
        <v>3</v>
      </c>
      <c r="K227" s="78">
        <f>J227</f>
        <v>3</v>
      </c>
      <c r="L227" s="78">
        <f t="shared" si="84"/>
        <v>3</v>
      </c>
      <c r="M227" s="78">
        <f t="shared" si="84"/>
        <v>3</v>
      </c>
      <c r="N227" s="78">
        <f t="shared" si="84"/>
        <v>3</v>
      </c>
      <c r="O227" s="78">
        <f t="shared" si="84"/>
        <v>3</v>
      </c>
      <c r="P227" s="78">
        <f t="shared" si="84"/>
        <v>3</v>
      </c>
      <c r="Q227" s="78">
        <f t="shared" si="84"/>
        <v>3</v>
      </c>
      <c r="R227" s="78">
        <f t="shared" si="84"/>
        <v>3</v>
      </c>
    </row>
    <row r="228" spans="1:18">
      <c r="B228" s="89" t="s">
        <v>171</v>
      </c>
      <c r="C228" s="90"/>
      <c r="D228" s="90"/>
      <c r="E228" s="90"/>
      <c r="F228" s="90"/>
      <c r="G228" s="136">
        <f>G215/G218</f>
        <v>121.66666666666666</v>
      </c>
      <c r="H228" s="136"/>
      <c r="I228" s="136">
        <f ca="1">I215/I218</f>
        <v>121.66666666666666</v>
      </c>
      <c r="J228" s="136">
        <f t="shared" ref="J228:R228" ca="1" si="85">J215/J218</f>
        <v>121.66666666666667</v>
      </c>
      <c r="K228" s="136">
        <f t="shared" ca="1" si="85"/>
        <v>121.66666666666667</v>
      </c>
      <c r="L228" s="136">
        <f t="shared" ca="1" si="85"/>
        <v>121.66666666666667</v>
      </c>
      <c r="M228" s="136">
        <f t="shared" ca="1" si="85"/>
        <v>121.66666666666666</v>
      </c>
      <c r="N228" s="136">
        <f t="shared" ca="1" si="85"/>
        <v>121.66666666666667</v>
      </c>
      <c r="O228" s="136">
        <f t="shared" ca="1" si="85"/>
        <v>121.66666666666666</v>
      </c>
      <c r="P228" s="136">
        <f t="shared" ca="1" si="85"/>
        <v>121.66666666666667</v>
      </c>
      <c r="Q228" s="136">
        <f t="shared" ca="1" si="85"/>
        <v>121.66666666666666</v>
      </c>
      <c r="R228" s="136">
        <f t="shared" ca="1" si="85"/>
        <v>121.66666666666669</v>
      </c>
    </row>
    <row r="229" spans="1:18">
      <c r="B229" s="89" t="s">
        <v>175</v>
      </c>
      <c r="C229" s="90"/>
      <c r="D229" s="90"/>
      <c r="E229" s="90"/>
      <c r="F229" s="90"/>
      <c r="G229" s="133">
        <f>G219/G214</f>
        <v>1.2497352255877991E-5</v>
      </c>
      <c r="H229" s="133"/>
      <c r="I229" s="290">
        <f>G229</f>
        <v>1.2497352255877991E-5</v>
      </c>
      <c r="J229" s="133">
        <f t="shared" ref="J229:R231" si="86">I229</f>
        <v>1.2497352255877991E-5</v>
      </c>
      <c r="K229" s="133">
        <f t="shared" si="86"/>
        <v>1.2497352255877991E-5</v>
      </c>
      <c r="L229" s="133">
        <f t="shared" si="86"/>
        <v>1.2497352255877991E-5</v>
      </c>
      <c r="M229" s="133">
        <f t="shared" si="86"/>
        <v>1.2497352255877991E-5</v>
      </c>
      <c r="N229" s="133">
        <f t="shared" si="86"/>
        <v>1.2497352255877991E-5</v>
      </c>
      <c r="O229" s="133">
        <f t="shared" si="86"/>
        <v>1.2497352255877991E-5</v>
      </c>
      <c r="P229" s="133">
        <f t="shared" si="86"/>
        <v>1.2497352255877991E-5</v>
      </c>
      <c r="Q229" s="133">
        <f t="shared" si="86"/>
        <v>1.2497352255877991E-5</v>
      </c>
      <c r="R229" s="133">
        <f t="shared" si="86"/>
        <v>1.2497352255877991E-5</v>
      </c>
    </row>
    <row r="230" spans="1:18">
      <c r="B230" s="89" t="s">
        <v>172</v>
      </c>
      <c r="C230" s="90"/>
      <c r="D230" s="90"/>
      <c r="E230" s="90"/>
      <c r="F230" s="90"/>
      <c r="G230" s="78">
        <f>G220/G215*G233</f>
        <v>78.548553843736244</v>
      </c>
      <c r="H230" s="78"/>
      <c r="I230" s="430">
        <v>90.96</v>
      </c>
      <c r="J230" s="80">
        <f>I230</f>
        <v>90.96</v>
      </c>
      <c r="K230" s="80">
        <f t="shared" si="86"/>
        <v>90.96</v>
      </c>
      <c r="L230" s="80">
        <f t="shared" si="86"/>
        <v>90.96</v>
      </c>
      <c r="M230" s="80">
        <f t="shared" si="86"/>
        <v>90.96</v>
      </c>
      <c r="N230" s="80">
        <f t="shared" si="86"/>
        <v>90.96</v>
      </c>
      <c r="O230" s="80">
        <f t="shared" si="86"/>
        <v>90.96</v>
      </c>
      <c r="P230" s="80">
        <f t="shared" si="86"/>
        <v>90.96</v>
      </c>
      <c r="Q230" s="80">
        <f t="shared" si="86"/>
        <v>90.96</v>
      </c>
      <c r="R230" s="80">
        <f t="shared" si="86"/>
        <v>90.96</v>
      </c>
    </row>
    <row r="231" spans="1:18">
      <c r="B231" s="89" t="s">
        <v>173</v>
      </c>
      <c r="C231" s="90"/>
      <c r="D231" s="90"/>
      <c r="E231" s="90"/>
      <c r="F231" s="90"/>
      <c r="G231" s="133">
        <f>G221/G214</f>
        <v>2.5437767422156502E-3</v>
      </c>
      <c r="H231" s="133"/>
      <c r="I231" s="184">
        <f>G231</f>
        <v>2.5437767422156502E-3</v>
      </c>
      <c r="J231" s="133">
        <f t="shared" si="86"/>
        <v>2.5437767422156502E-3</v>
      </c>
      <c r="K231" s="133">
        <f t="shared" si="86"/>
        <v>2.5437767422156502E-3</v>
      </c>
      <c r="L231" s="133">
        <f t="shared" si="86"/>
        <v>2.5437767422156502E-3</v>
      </c>
      <c r="M231" s="133">
        <f t="shared" si="86"/>
        <v>2.5437767422156502E-3</v>
      </c>
      <c r="N231" s="133">
        <f t="shared" si="86"/>
        <v>2.5437767422156502E-3</v>
      </c>
      <c r="O231" s="133">
        <f t="shared" si="86"/>
        <v>2.5437767422156502E-3</v>
      </c>
      <c r="P231" s="133">
        <f t="shared" si="86"/>
        <v>2.5437767422156502E-3</v>
      </c>
      <c r="Q231" s="133">
        <f t="shared" si="86"/>
        <v>2.5437767422156502E-3</v>
      </c>
      <c r="R231" s="133">
        <f t="shared" si="86"/>
        <v>2.5437767422156502E-3</v>
      </c>
    </row>
    <row r="232" spans="1:18">
      <c r="B232" s="89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</row>
    <row r="233" spans="1:18">
      <c r="B233" s="89" t="s">
        <v>174</v>
      </c>
      <c r="C233" s="90"/>
      <c r="D233" s="90"/>
      <c r="E233" s="90"/>
      <c r="F233" s="90"/>
      <c r="G233" s="203">
        <v>365</v>
      </c>
      <c r="H233" s="231">
        <f>G233</f>
        <v>365</v>
      </c>
      <c r="I233" s="231">
        <f t="shared" ref="I233:R233" si="87">H233</f>
        <v>365</v>
      </c>
      <c r="J233" s="231">
        <f t="shared" si="87"/>
        <v>365</v>
      </c>
      <c r="K233" s="231">
        <f t="shared" si="87"/>
        <v>365</v>
      </c>
      <c r="L233" s="231">
        <f t="shared" si="87"/>
        <v>365</v>
      </c>
      <c r="M233" s="231">
        <f t="shared" si="87"/>
        <v>365</v>
      </c>
      <c r="N233" s="231">
        <f t="shared" si="87"/>
        <v>365</v>
      </c>
      <c r="O233" s="231">
        <f t="shared" si="87"/>
        <v>365</v>
      </c>
      <c r="P233" s="231">
        <f t="shared" si="87"/>
        <v>365</v>
      </c>
      <c r="Q233" s="231">
        <f t="shared" si="87"/>
        <v>365</v>
      </c>
      <c r="R233" s="231">
        <f t="shared" si="87"/>
        <v>365</v>
      </c>
    </row>
    <row r="234" spans="1:18" ht="4.9000000000000004" customHeight="1">
      <c r="B234" s="134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</row>
    <row r="236" spans="1:18">
      <c r="A236" s="55" t="s">
        <v>51</v>
      </c>
      <c r="B236" s="42" t="s">
        <v>176</v>
      </c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</row>
    <row r="238" spans="1:18" ht="13.2" thickBot="1">
      <c r="B238" s="193"/>
      <c r="C238" s="192"/>
      <c r="D238" s="192"/>
      <c r="E238" s="192"/>
      <c r="F238" s="192"/>
      <c r="G238" s="44"/>
      <c r="H238" s="44"/>
      <c r="I238" s="235">
        <f t="shared" ref="I238:R238" si="88">I212</f>
        <v>43100</v>
      </c>
      <c r="J238" s="235">
        <f t="shared" si="88"/>
        <v>43465</v>
      </c>
      <c r="K238" s="235">
        <f t="shared" si="88"/>
        <v>43830</v>
      </c>
      <c r="L238" s="235">
        <f t="shared" si="88"/>
        <v>44196</v>
      </c>
      <c r="M238" s="235">
        <f t="shared" si="88"/>
        <v>44561</v>
      </c>
      <c r="N238" s="235">
        <f t="shared" si="88"/>
        <v>44926</v>
      </c>
      <c r="O238" s="235">
        <f t="shared" si="88"/>
        <v>45291</v>
      </c>
      <c r="P238" s="235">
        <f t="shared" si="88"/>
        <v>45657</v>
      </c>
      <c r="Q238" s="235">
        <f t="shared" si="88"/>
        <v>46022</v>
      </c>
      <c r="R238" s="235">
        <f t="shared" si="88"/>
        <v>46387</v>
      </c>
    </row>
    <row r="239" spans="1:18">
      <c r="B239" s="90"/>
      <c r="C239" s="90"/>
      <c r="D239" s="90"/>
      <c r="E239" s="90"/>
      <c r="F239" s="90"/>
      <c r="G239" s="90"/>
      <c r="H239" s="90"/>
      <c r="I239" s="91"/>
      <c r="J239" s="91"/>
      <c r="K239" s="91"/>
      <c r="L239" s="91"/>
      <c r="M239" s="91"/>
    </row>
    <row r="240" spans="1:18">
      <c r="B240" s="12" t="s">
        <v>177</v>
      </c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</row>
    <row r="241" spans="2:18">
      <c r="B241" s="90" t="s">
        <v>153</v>
      </c>
      <c r="C241" s="90"/>
      <c r="D241" s="90"/>
      <c r="E241" s="90"/>
      <c r="F241" s="90"/>
      <c r="G241" s="90"/>
      <c r="H241" s="126"/>
      <c r="I241" s="219">
        <f t="shared" ref="I241:R241" ca="1" si="89">I151</f>
        <v>4971.9838353444929</v>
      </c>
      <c r="J241" s="219">
        <f t="shared" ca="1" si="89"/>
        <v>6448.1137377252753</v>
      </c>
      <c r="K241" s="219">
        <f t="shared" ca="1" si="89"/>
        <v>7714.1888029497131</v>
      </c>
      <c r="L241" s="219">
        <f t="shared" ca="1" si="89"/>
        <v>8943.5249519576519</v>
      </c>
      <c r="M241" s="219">
        <f t="shared" ca="1" si="89"/>
        <v>10313.785193462552</v>
      </c>
      <c r="N241" s="219">
        <f t="shared" ca="1" si="89"/>
        <v>11493.825493768114</v>
      </c>
      <c r="O241" s="219">
        <f t="shared" ca="1" si="89"/>
        <v>12301.810832277908</v>
      </c>
      <c r="P241" s="219">
        <f t="shared" ca="1" si="89"/>
        <v>13022.786924612265</v>
      </c>
      <c r="Q241" s="219">
        <f t="shared" ca="1" si="89"/>
        <v>13780.792905166749</v>
      </c>
      <c r="R241" s="219">
        <f t="shared" ca="1" si="89"/>
        <v>14577.878398831264</v>
      </c>
    </row>
    <row r="242" spans="2:18" hidden="1" outlineLevel="1">
      <c r="B242" s="90" t="s">
        <v>137</v>
      </c>
      <c r="C242" s="90"/>
      <c r="D242" s="90"/>
      <c r="E242" s="90"/>
      <c r="F242" s="90"/>
      <c r="G242" s="90"/>
      <c r="H242" s="126"/>
      <c r="I242" s="219">
        <f t="shared" ref="I242:R242" si="90">I202-H202</f>
        <v>0</v>
      </c>
      <c r="J242" s="219">
        <f t="shared" si="90"/>
        <v>0</v>
      </c>
      <c r="K242" s="219">
        <f t="shared" si="90"/>
        <v>0</v>
      </c>
      <c r="L242" s="219">
        <f t="shared" si="90"/>
        <v>0</v>
      </c>
      <c r="M242" s="219">
        <f t="shared" si="90"/>
        <v>0</v>
      </c>
      <c r="N242" s="219">
        <f t="shared" si="90"/>
        <v>0</v>
      </c>
      <c r="O242" s="219">
        <f t="shared" si="90"/>
        <v>0</v>
      </c>
      <c r="P242" s="219">
        <f t="shared" si="90"/>
        <v>0</v>
      </c>
      <c r="Q242" s="219">
        <f t="shared" si="90"/>
        <v>0</v>
      </c>
      <c r="R242" s="219">
        <f t="shared" si="90"/>
        <v>0</v>
      </c>
    </row>
    <row r="243" spans="2:18" collapsed="1">
      <c r="B243" s="90" t="s">
        <v>38</v>
      </c>
      <c r="C243" s="90"/>
      <c r="D243" s="90"/>
      <c r="E243" s="90"/>
      <c r="F243" s="90"/>
      <c r="G243" s="90"/>
      <c r="H243" s="126"/>
      <c r="I243" s="219">
        <f t="shared" ref="I243:R243" ca="1" si="91">I154</f>
        <v>1059.2629000000002</v>
      </c>
      <c r="J243" s="219">
        <f t="shared" ca="1" si="91"/>
        <v>1134.2629000000002</v>
      </c>
      <c r="K243" s="219">
        <f t="shared" ca="1" si="91"/>
        <v>1284.2629000000002</v>
      </c>
      <c r="L243" s="219">
        <f t="shared" ca="1" si="91"/>
        <v>1434.2629000000002</v>
      </c>
      <c r="M243" s="219">
        <f t="shared" ca="1" si="91"/>
        <v>1521.7629000000002</v>
      </c>
      <c r="N243" s="219">
        <f t="shared" ca="1" si="91"/>
        <v>1584.2629000000002</v>
      </c>
      <c r="O243" s="219">
        <f t="shared" ca="1" si="91"/>
        <v>1634.2629000000002</v>
      </c>
      <c r="P243" s="219">
        <f t="shared" ca="1" si="91"/>
        <v>1684.2629000000002</v>
      </c>
      <c r="Q243" s="219">
        <f t="shared" ca="1" si="91"/>
        <v>1734.2629000000002</v>
      </c>
      <c r="R243" s="219">
        <f t="shared" ca="1" si="91"/>
        <v>1784.2628999999995</v>
      </c>
    </row>
    <row r="244" spans="2:18" hidden="1" outlineLevel="1">
      <c r="B244" s="90" t="s">
        <v>154</v>
      </c>
      <c r="C244" s="90"/>
      <c r="D244" s="90"/>
      <c r="E244" s="90"/>
      <c r="F244" s="90"/>
      <c r="G244" s="90"/>
      <c r="H244" s="126"/>
      <c r="I244" s="219">
        <f t="shared" ref="I244:R244" si="92">I155</f>
        <v>0</v>
      </c>
      <c r="J244" s="219">
        <f t="shared" si="92"/>
        <v>0</v>
      </c>
      <c r="K244" s="219">
        <f t="shared" si="92"/>
        <v>0</v>
      </c>
      <c r="L244" s="219">
        <f t="shared" si="92"/>
        <v>0</v>
      </c>
      <c r="M244" s="219">
        <f t="shared" si="92"/>
        <v>0</v>
      </c>
      <c r="N244" s="219">
        <f t="shared" si="92"/>
        <v>0</v>
      </c>
      <c r="O244" s="219">
        <f t="shared" si="92"/>
        <v>0</v>
      </c>
      <c r="P244" s="219">
        <f t="shared" si="92"/>
        <v>0</v>
      </c>
      <c r="Q244" s="219">
        <f t="shared" si="92"/>
        <v>0</v>
      </c>
      <c r="R244" s="219">
        <f t="shared" si="92"/>
        <v>0</v>
      </c>
    </row>
    <row r="245" spans="2:18" hidden="1" outlineLevel="1">
      <c r="B245" s="90" t="s">
        <v>268</v>
      </c>
      <c r="C245" s="90"/>
      <c r="D245" s="90"/>
      <c r="E245" s="90"/>
      <c r="F245" s="90"/>
      <c r="G245" s="90"/>
      <c r="H245" s="126"/>
      <c r="I245" s="219">
        <f>I359</f>
        <v>0</v>
      </c>
      <c r="J245" s="219">
        <f t="shared" ref="J245:R245" si="93">J359</f>
        <v>0</v>
      </c>
      <c r="K245" s="219">
        <f t="shared" si="93"/>
        <v>0</v>
      </c>
      <c r="L245" s="219">
        <f t="shared" si="93"/>
        <v>0</v>
      </c>
      <c r="M245" s="219">
        <f t="shared" si="93"/>
        <v>0</v>
      </c>
      <c r="N245" s="219">
        <f t="shared" si="93"/>
        <v>0</v>
      </c>
      <c r="O245" s="219">
        <f t="shared" si="93"/>
        <v>0</v>
      </c>
      <c r="P245" s="219">
        <f t="shared" si="93"/>
        <v>0</v>
      </c>
      <c r="Q245" s="219">
        <f t="shared" si="93"/>
        <v>0</v>
      </c>
      <c r="R245" s="219">
        <f t="shared" si="93"/>
        <v>0</v>
      </c>
    </row>
    <row r="246" spans="2:18" collapsed="1">
      <c r="B246" s="90" t="s">
        <v>178</v>
      </c>
      <c r="C246" s="90"/>
      <c r="D246" s="90"/>
      <c r="E246" s="90"/>
      <c r="F246" s="90"/>
      <c r="G246" s="95"/>
      <c r="H246" s="126"/>
      <c r="I246" s="219">
        <f ca="1">I361</f>
        <v>0</v>
      </c>
      <c r="J246" s="219">
        <f t="shared" ref="J246:R246" ca="1" si="94">J361</f>
        <v>0</v>
      </c>
      <c r="K246" s="219">
        <f t="shared" ca="1" si="94"/>
        <v>0</v>
      </c>
      <c r="L246" s="219">
        <f t="shared" ca="1" si="94"/>
        <v>0</v>
      </c>
      <c r="M246" s="219">
        <f t="shared" ca="1" si="94"/>
        <v>0</v>
      </c>
      <c r="N246" s="219">
        <f t="shared" ca="1" si="94"/>
        <v>0</v>
      </c>
      <c r="O246" s="219">
        <f t="shared" ca="1" si="94"/>
        <v>0</v>
      </c>
      <c r="P246" s="219">
        <f t="shared" ca="1" si="94"/>
        <v>0</v>
      </c>
      <c r="Q246" s="219">
        <f t="shared" ca="1" si="94"/>
        <v>0</v>
      </c>
      <c r="R246" s="219">
        <f t="shared" ca="1" si="94"/>
        <v>0</v>
      </c>
    </row>
    <row r="247" spans="2:18">
      <c r="B247" s="120" t="s">
        <v>179</v>
      </c>
      <c r="C247" s="90"/>
      <c r="D247" s="90"/>
      <c r="E247" s="90"/>
      <c r="F247" s="90"/>
      <c r="G247" s="90"/>
      <c r="H247" s="126"/>
      <c r="I247" s="219">
        <f ca="1">-I333</f>
        <v>92.25</v>
      </c>
      <c r="J247" s="219">
        <f t="shared" ref="J247:R247" ca="1" si="95">-J333</f>
        <v>92.25</v>
      </c>
      <c r="K247" s="219">
        <f t="shared" ca="1" si="95"/>
        <v>92.25</v>
      </c>
      <c r="L247" s="219">
        <f t="shared" ca="1" si="95"/>
        <v>92.25</v>
      </c>
      <c r="M247" s="219">
        <f t="shared" ca="1" si="95"/>
        <v>92.25</v>
      </c>
      <c r="N247" s="219">
        <f t="shared" ca="1" si="95"/>
        <v>0</v>
      </c>
      <c r="O247" s="219">
        <f t="shared" ca="1" si="95"/>
        <v>0</v>
      </c>
      <c r="P247" s="219">
        <f t="shared" ca="1" si="95"/>
        <v>0</v>
      </c>
      <c r="Q247" s="219">
        <f t="shared" ca="1" si="95"/>
        <v>0</v>
      </c>
      <c r="R247" s="219">
        <f t="shared" ca="1" si="95"/>
        <v>0</v>
      </c>
    </row>
    <row r="248" spans="2:18">
      <c r="B248" s="94" t="s">
        <v>180</v>
      </c>
      <c r="C248" s="94"/>
      <c r="D248" s="94"/>
      <c r="E248" s="94"/>
      <c r="F248" s="94"/>
      <c r="G248" s="94"/>
      <c r="H248" s="79"/>
      <c r="I248" s="205">
        <f t="shared" ref="I248:R248" ca="1" si="96">SUM(I241:I247)</f>
        <v>6123.4967353444936</v>
      </c>
      <c r="J248" s="205">
        <f t="shared" ca="1" si="96"/>
        <v>7674.6266377252759</v>
      </c>
      <c r="K248" s="205">
        <f t="shared" ca="1" si="96"/>
        <v>9090.7017029497129</v>
      </c>
      <c r="L248" s="205">
        <f t="shared" ca="1" si="96"/>
        <v>10470.037851957652</v>
      </c>
      <c r="M248" s="205">
        <f t="shared" ca="1" si="96"/>
        <v>11927.798093462552</v>
      </c>
      <c r="N248" s="205">
        <f t="shared" ca="1" si="96"/>
        <v>13078.088393768114</v>
      </c>
      <c r="O248" s="205">
        <f t="shared" ca="1" si="96"/>
        <v>13936.073732277908</v>
      </c>
      <c r="P248" s="205">
        <f t="shared" ca="1" si="96"/>
        <v>14707.049824612264</v>
      </c>
      <c r="Q248" s="205">
        <f t="shared" ca="1" si="96"/>
        <v>15515.055805166749</v>
      </c>
      <c r="R248" s="205">
        <f t="shared" ca="1" si="96"/>
        <v>16362.141298831264</v>
      </c>
    </row>
    <row r="249" spans="2:18">
      <c r="B249" s="90"/>
      <c r="C249" s="90"/>
      <c r="D249" s="90"/>
      <c r="E249" s="90"/>
      <c r="F249" s="90"/>
      <c r="G249" s="90"/>
      <c r="H249" s="90"/>
      <c r="I249" s="206"/>
      <c r="J249" s="206"/>
      <c r="K249" s="206"/>
      <c r="L249" s="206"/>
      <c r="M249" s="206"/>
      <c r="N249" s="24"/>
      <c r="O249" s="24"/>
      <c r="P249" s="24"/>
      <c r="Q249" s="24"/>
      <c r="R249" s="24"/>
    </row>
    <row r="250" spans="2:18">
      <c r="B250" s="232" t="s">
        <v>181</v>
      </c>
      <c r="C250" s="90"/>
      <c r="D250" s="90"/>
      <c r="E250" s="90"/>
      <c r="F250" s="90"/>
      <c r="G250" s="90"/>
      <c r="H250" s="90"/>
      <c r="I250" s="206"/>
      <c r="J250" s="206"/>
      <c r="K250" s="206"/>
      <c r="L250" s="206"/>
      <c r="M250" s="206"/>
      <c r="N250" s="24"/>
      <c r="O250" s="24"/>
      <c r="P250" s="24"/>
      <c r="Q250" s="24"/>
      <c r="R250" s="24"/>
    </row>
    <row r="251" spans="2:18">
      <c r="B251" s="89" t="s">
        <v>6</v>
      </c>
      <c r="C251" s="90"/>
      <c r="D251" s="90"/>
      <c r="E251" s="90"/>
      <c r="F251" s="90"/>
      <c r="G251" s="90"/>
      <c r="H251" s="126"/>
      <c r="I251" s="219">
        <f ca="1">G177-I177</f>
        <v>-5282.8622602739733</v>
      </c>
      <c r="J251" s="219">
        <f t="shared" ref="J251:R251" ca="1" si="97">I177-J177</f>
        <v>-1208.472526027399</v>
      </c>
      <c r="K251" s="219">
        <f t="shared" ca="1" si="97"/>
        <v>-1329.3197786301371</v>
      </c>
      <c r="L251" s="219">
        <f t="shared" ca="1" si="97"/>
        <v>-1169.8014051945247</v>
      </c>
      <c r="M251" s="219">
        <f t="shared" ca="1" si="97"/>
        <v>-1263.3855176100842</v>
      </c>
      <c r="N251" s="219">
        <f t="shared" ca="1" si="97"/>
        <v>-1364.4563590188882</v>
      </c>
      <c r="O251" s="219">
        <f t="shared" ca="1" si="97"/>
        <v>-1105.2096508053037</v>
      </c>
      <c r="P251" s="219">
        <f t="shared" ca="1" si="97"/>
        <v>-976.26852487801443</v>
      </c>
      <c r="Q251" s="219">
        <f t="shared" ca="1" si="97"/>
        <v>-1025.0819511219197</v>
      </c>
      <c r="R251" s="219">
        <f t="shared" ca="1" si="97"/>
        <v>-1076.3360486780148</v>
      </c>
    </row>
    <row r="252" spans="2:18">
      <c r="B252" s="89" t="s">
        <v>386</v>
      </c>
      <c r="C252" s="90"/>
      <c r="D252" s="90"/>
      <c r="E252" s="90"/>
      <c r="F252" s="90"/>
      <c r="G252" s="90"/>
      <c r="H252" s="126"/>
      <c r="I252" s="219">
        <f ca="1">H178-I178</f>
        <v>-78.455342465753404</v>
      </c>
      <c r="J252" s="219">
        <f t="shared" ref="J252:R252" ca="1" si="98">I178-J178</f>
        <v>-20.92142465753426</v>
      </c>
      <c r="K252" s="219">
        <f t="shared" ca="1" si="98"/>
        <v>-23.013567123287686</v>
      </c>
      <c r="L252" s="219">
        <f t="shared" ca="1" si="98"/>
        <v>-20.251939068493186</v>
      </c>
      <c r="M252" s="219">
        <f t="shared" ca="1" si="98"/>
        <v>-21.872094193972657</v>
      </c>
      <c r="N252" s="219">
        <f t="shared" ca="1" si="98"/>
        <v>-23.621861729490433</v>
      </c>
      <c r="O252" s="219">
        <f t="shared" ca="1" si="98"/>
        <v>-19.133708000887282</v>
      </c>
      <c r="P252" s="219">
        <f t="shared" ca="1" si="98"/>
        <v>-16.901442067450375</v>
      </c>
      <c r="Q252" s="219">
        <f t="shared" ca="1" si="98"/>
        <v>-17.746514170822991</v>
      </c>
      <c r="R252" s="219">
        <f t="shared" ca="1" si="98"/>
        <v>-18.633839879364018</v>
      </c>
    </row>
    <row r="253" spans="2:18" hidden="1" outlineLevel="1">
      <c r="B253" s="89" t="s">
        <v>127</v>
      </c>
      <c r="C253" s="90"/>
      <c r="D253" s="90"/>
      <c r="E253" s="90"/>
      <c r="F253" s="90"/>
      <c r="G253" s="90"/>
      <c r="H253" s="126"/>
      <c r="I253" s="219">
        <f ca="1">G179-I179</f>
        <v>-0.17699999999999999</v>
      </c>
      <c r="J253" s="219">
        <f t="shared" ref="J253:R253" ca="1" si="99">I179-J179</f>
        <v>-4.720000000000002E-2</v>
      </c>
      <c r="K253" s="219">
        <f t="shared" ca="1" si="99"/>
        <v>-5.1920000000000077E-2</v>
      </c>
      <c r="L253" s="219">
        <f t="shared" ca="1" si="99"/>
        <v>-4.5689600000000108E-2</v>
      </c>
      <c r="M253" s="219">
        <f t="shared" ca="1" si="99"/>
        <v>-4.9344768000000094E-2</v>
      </c>
      <c r="N253" s="219">
        <f t="shared" ca="1" si="99"/>
        <v>-5.3292349440000053E-2</v>
      </c>
      <c r="O253" s="219">
        <f t="shared" ca="1" si="99"/>
        <v>-4.3166803046399971E-2</v>
      </c>
      <c r="P253" s="219">
        <f t="shared" ca="1" si="99"/>
        <v>-3.8130676024320076E-2</v>
      </c>
      <c r="Q253" s="219">
        <f t="shared" ca="1" si="99"/>
        <v>-4.0037209825536157E-2</v>
      </c>
      <c r="R253" s="219">
        <f t="shared" ca="1" si="99"/>
        <v>-4.2039070316812865E-2</v>
      </c>
    </row>
    <row r="254" spans="2:18" collapsed="1">
      <c r="B254" s="89" t="s">
        <v>132</v>
      </c>
      <c r="C254" s="90"/>
      <c r="D254" s="90"/>
      <c r="E254" s="90"/>
      <c r="F254" s="90"/>
      <c r="G254" s="90"/>
      <c r="H254" s="126"/>
      <c r="I254" s="219">
        <f ca="1">I191-G191</f>
        <v>2919.7350161643822</v>
      </c>
      <c r="J254" s="219">
        <f t="shared" ref="J254:R254" ca="1" si="100">J191-I191</f>
        <v>634.3375956164391</v>
      </c>
      <c r="K254" s="219">
        <f t="shared" ca="1" si="100"/>
        <v>697.77135517808347</v>
      </c>
      <c r="L254" s="219">
        <f t="shared" ca="1" si="100"/>
        <v>614.03879255671291</v>
      </c>
      <c r="M254" s="219">
        <f t="shared" ca="1" si="100"/>
        <v>663.16189596124968</v>
      </c>
      <c r="N254" s="219">
        <f t="shared" ca="1" si="100"/>
        <v>716.2148476381517</v>
      </c>
      <c r="O254" s="219">
        <f t="shared" ca="1" si="100"/>
        <v>580.13402658690211</v>
      </c>
      <c r="P254" s="219">
        <f t="shared" ca="1" si="100"/>
        <v>512.4517234850955</v>
      </c>
      <c r="Q254" s="219">
        <f t="shared" ca="1" si="100"/>
        <v>538.07430965935237</v>
      </c>
      <c r="R254" s="219">
        <f t="shared" ca="1" si="100"/>
        <v>564.97802514231989</v>
      </c>
    </row>
    <row r="255" spans="2:18">
      <c r="B255" s="89" t="s">
        <v>133</v>
      </c>
      <c r="C255" s="90"/>
      <c r="D255" s="90"/>
      <c r="E255" s="90"/>
      <c r="F255" s="90"/>
      <c r="G255" s="90"/>
      <c r="H255" s="126"/>
      <c r="I255" s="219">
        <f ca="1">I192-G192</f>
        <v>36.027510000000248</v>
      </c>
      <c r="J255" s="219">
        <f t="shared" ref="J255:R255" ca="1" si="101">J192-I192</f>
        <v>9.6073360000000747</v>
      </c>
      <c r="K255" s="219">
        <f t="shared" ca="1" si="101"/>
        <v>10.568069600000086</v>
      </c>
      <c r="L255" s="219">
        <f t="shared" ca="1" si="101"/>
        <v>9.2999012480000829</v>
      </c>
      <c r="M255" s="219">
        <f t="shared" ca="1" si="101"/>
        <v>10.043893347840083</v>
      </c>
      <c r="N255" s="219">
        <f t="shared" ca="1" si="101"/>
        <v>10.847404815667289</v>
      </c>
      <c r="O255" s="219">
        <f t="shared" ca="1" si="101"/>
        <v>8.7863979006905026</v>
      </c>
      <c r="P255" s="219">
        <f t="shared" ca="1" si="101"/>
        <v>7.7613181456099483</v>
      </c>
      <c r="Q255" s="219">
        <f t="shared" ca="1" si="101"/>
        <v>8.1493840528904684</v>
      </c>
      <c r="R255" s="219">
        <f t="shared" ca="1" si="101"/>
        <v>8.5568532555349748</v>
      </c>
    </row>
    <row r="256" spans="2:18">
      <c r="B256" s="94" t="s">
        <v>182</v>
      </c>
      <c r="C256" s="94"/>
      <c r="D256" s="94"/>
      <c r="E256" s="94"/>
      <c r="F256" s="94"/>
      <c r="G256" s="94"/>
      <c r="H256" s="79"/>
      <c r="I256" s="205">
        <f t="shared" ref="I256:R256" ca="1" si="102">SUM(I251:I255)</f>
        <v>-2405.7320765753439</v>
      </c>
      <c r="J256" s="205">
        <f t="shared" ca="1" si="102"/>
        <v>-585.49621906849416</v>
      </c>
      <c r="K256" s="205">
        <f t="shared" ca="1" si="102"/>
        <v>-644.04584097534132</v>
      </c>
      <c r="L256" s="205">
        <f t="shared" ca="1" si="102"/>
        <v>-566.76034005830491</v>
      </c>
      <c r="M256" s="205">
        <f t="shared" ca="1" si="102"/>
        <v>-612.10116726296724</v>
      </c>
      <c r="N256" s="205">
        <f t="shared" ca="1" si="102"/>
        <v>-661.06926064399954</v>
      </c>
      <c r="O256" s="205">
        <f t="shared" ca="1" si="102"/>
        <v>-535.46610112164478</v>
      </c>
      <c r="P256" s="205">
        <f t="shared" ca="1" si="102"/>
        <v>-472.99505599078373</v>
      </c>
      <c r="Q256" s="205">
        <f t="shared" ca="1" si="102"/>
        <v>-496.64480879032556</v>
      </c>
      <c r="R256" s="205">
        <f t="shared" ca="1" si="102"/>
        <v>-521.47704922984087</v>
      </c>
    </row>
    <row r="257" spans="2:18">
      <c r="B257" s="90"/>
      <c r="C257" s="90"/>
      <c r="D257" s="90"/>
      <c r="E257" s="90"/>
      <c r="F257" s="90"/>
      <c r="G257" s="90"/>
      <c r="H257" s="90"/>
      <c r="I257" s="206"/>
      <c r="J257" s="206"/>
      <c r="K257" s="206"/>
      <c r="L257" s="206"/>
      <c r="M257" s="206"/>
      <c r="N257" s="24"/>
      <c r="O257" s="24"/>
      <c r="P257" s="24"/>
      <c r="Q257" s="24"/>
      <c r="R257" s="24"/>
    </row>
    <row r="258" spans="2:18">
      <c r="B258" s="91" t="s">
        <v>183</v>
      </c>
      <c r="C258" s="91"/>
      <c r="D258" s="91"/>
      <c r="E258" s="91"/>
      <c r="F258" s="91"/>
      <c r="G258" s="91"/>
      <c r="H258" s="84"/>
      <c r="I258" s="222">
        <f t="shared" ref="I258:R258" ca="1" si="103">I248+I256</f>
        <v>3717.7646587691497</v>
      </c>
      <c r="J258" s="222">
        <f t="shared" ca="1" si="103"/>
        <v>7089.1304186567813</v>
      </c>
      <c r="K258" s="222">
        <f t="shared" ca="1" si="103"/>
        <v>8446.6558619743719</v>
      </c>
      <c r="L258" s="222">
        <f t="shared" ca="1" si="103"/>
        <v>9903.2775118993468</v>
      </c>
      <c r="M258" s="222">
        <f t="shared" ca="1" si="103"/>
        <v>11315.696926199586</v>
      </c>
      <c r="N258" s="222">
        <f t="shared" ca="1" si="103"/>
        <v>12417.019133124115</v>
      </c>
      <c r="O258" s="222">
        <f t="shared" ca="1" si="103"/>
        <v>13400.607631156263</v>
      </c>
      <c r="P258" s="222">
        <f t="shared" ca="1" si="103"/>
        <v>14234.054768621481</v>
      </c>
      <c r="Q258" s="222">
        <f t="shared" ca="1" si="103"/>
        <v>15018.410996376422</v>
      </c>
      <c r="R258" s="222">
        <f t="shared" ca="1" si="103"/>
        <v>15840.664249601423</v>
      </c>
    </row>
    <row r="259" spans="2:18">
      <c r="B259" s="90"/>
      <c r="C259" s="90"/>
      <c r="D259" s="90"/>
      <c r="E259" s="90"/>
      <c r="F259" s="90"/>
      <c r="G259" s="90"/>
      <c r="H259" s="90"/>
      <c r="I259" s="206"/>
      <c r="J259" s="206"/>
      <c r="K259" s="206"/>
      <c r="L259" s="206"/>
      <c r="M259" s="206"/>
      <c r="N259" s="24"/>
      <c r="O259" s="24"/>
      <c r="P259" s="24"/>
      <c r="Q259" s="24"/>
      <c r="R259" s="24"/>
    </row>
    <row r="260" spans="2:18">
      <c r="B260" s="12" t="s">
        <v>184</v>
      </c>
      <c r="C260" s="90"/>
      <c r="D260" s="90"/>
      <c r="E260" s="90"/>
      <c r="F260" s="90"/>
      <c r="G260" s="90"/>
      <c r="H260" s="90"/>
      <c r="I260" s="206"/>
      <c r="J260" s="206"/>
      <c r="K260" s="206"/>
      <c r="L260" s="206"/>
      <c r="M260" s="206"/>
      <c r="N260" s="24"/>
      <c r="O260" s="24"/>
      <c r="P260" s="24"/>
      <c r="Q260" s="24"/>
      <c r="R260" s="24"/>
    </row>
    <row r="261" spans="2:18">
      <c r="B261" s="90" t="s">
        <v>185</v>
      </c>
      <c r="C261" s="90"/>
      <c r="D261" s="90"/>
      <c r="E261" s="90"/>
      <c r="F261" s="90"/>
      <c r="G261" s="90"/>
      <c r="H261" s="126"/>
      <c r="I261" s="219">
        <f ca="1">-I398</f>
        <v>-500</v>
      </c>
      <c r="J261" s="219">
        <f t="shared" ref="J261:R261" ca="1" si="104">-J398</f>
        <v>-1000</v>
      </c>
      <c r="K261" s="219">
        <f t="shared" ca="1" si="104"/>
        <v>-2000</v>
      </c>
      <c r="L261" s="219">
        <f t="shared" ca="1" si="104"/>
        <v>-1000</v>
      </c>
      <c r="M261" s="219">
        <f t="shared" ca="1" si="104"/>
        <v>-750</v>
      </c>
      <c r="N261" s="219">
        <f t="shared" ca="1" si="104"/>
        <v>-500</v>
      </c>
      <c r="O261" s="219">
        <f t="shared" ca="1" si="104"/>
        <v>-500</v>
      </c>
      <c r="P261" s="219">
        <f t="shared" ca="1" si="104"/>
        <v>-500</v>
      </c>
      <c r="Q261" s="219">
        <f t="shared" ca="1" si="104"/>
        <v>-500</v>
      </c>
      <c r="R261" s="219">
        <f t="shared" ca="1" si="104"/>
        <v>-500</v>
      </c>
    </row>
    <row r="262" spans="2:18" outlineLevel="1">
      <c r="B262" s="120" t="s">
        <v>186</v>
      </c>
      <c r="C262" s="90"/>
      <c r="D262" s="90"/>
      <c r="E262" s="90"/>
      <c r="F262" s="90"/>
      <c r="G262" s="90"/>
      <c r="H262" s="126"/>
      <c r="I262" s="203">
        <v>0</v>
      </c>
      <c r="J262" s="219">
        <v>0</v>
      </c>
      <c r="K262" s="219">
        <v>0</v>
      </c>
      <c r="L262" s="219">
        <v>0</v>
      </c>
      <c r="M262" s="219">
        <v>0</v>
      </c>
      <c r="N262" s="219">
        <v>0</v>
      </c>
      <c r="O262" s="219">
        <v>0</v>
      </c>
      <c r="P262" s="219">
        <v>0</v>
      </c>
      <c r="Q262" s="219">
        <v>0</v>
      </c>
      <c r="R262" s="219">
        <v>0</v>
      </c>
    </row>
    <row r="263" spans="2:18">
      <c r="B263" s="91" t="s">
        <v>187</v>
      </c>
      <c r="C263" s="91"/>
      <c r="D263" s="91"/>
      <c r="E263" s="91"/>
      <c r="F263" s="91"/>
      <c r="G263" s="91"/>
      <c r="H263" s="84"/>
      <c r="I263" s="222">
        <f ca="1">SUM(I261:I262)</f>
        <v>-500</v>
      </c>
      <c r="J263" s="222">
        <f t="shared" ref="J263:R263" ca="1" si="105">SUM(J261:J262)</f>
        <v>-1000</v>
      </c>
      <c r="K263" s="222">
        <f t="shared" ca="1" si="105"/>
        <v>-2000</v>
      </c>
      <c r="L263" s="222">
        <f t="shared" ca="1" si="105"/>
        <v>-1000</v>
      </c>
      <c r="M263" s="222">
        <f t="shared" ca="1" si="105"/>
        <v>-750</v>
      </c>
      <c r="N263" s="222">
        <f t="shared" ca="1" si="105"/>
        <v>-500</v>
      </c>
      <c r="O263" s="222">
        <f t="shared" ca="1" si="105"/>
        <v>-500</v>
      </c>
      <c r="P263" s="222">
        <f t="shared" ca="1" si="105"/>
        <v>-500</v>
      </c>
      <c r="Q263" s="222">
        <f t="shared" ca="1" si="105"/>
        <v>-500</v>
      </c>
      <c r="R263" s="222">
        <f t="shared" ca="1" si="105"/>
        <v>-500</v>
      </c>
    </row>
    <row r="264" spans="2:18" outlineLevel="1">
      <c r="B264" s="90"/>
      <c r="C264" s="90"/>
      <c r="D264" s="90"/>
      <c r="E264" s="90"/>
      <c r="F264" s="90"/>
      <c r="G264" s="90"/>
      <c r="H264" s="90"/>
      <c r="I264" s="206"/>
      <c r="J264" s="206"/>
      <c r="K264" s="206"/>
      <c r="L264" s="206"/>
      <c r="M264" s="206"/>
      <c r="N264" s="24"/>
      <c r="O264" s="24"/>
      <c r="P264" s="24"/>
      <c r="Q264" s="24"/>
      <c r="R264" s="24"/>
    </row>
    <row r="265" spans="2:18" outlineLevel="1">
      <c r="B265" s="120" t="s">
        <v>188</v>
      </c>
      <c r="C265" s="90"/>
      <c r="D265" s="90"/>
      <c r="E265" s="90"/>
      <c r="F265" s="90"/>
      <c r="G265" s="89"/>
      <c r="H265" s="78"/>
      <c r="I265" s="219">
        <f ca="1">I258+I263</f>
        <v>3217.7646587691497</v>
      </c>
      <c r="J265" s="219">
        <f t="shared" ref="J265:R265" ca="1" si="106">J258+J263</f>
        <v>6089.1304186567813</v>
      </c>
      <c r="K265" s="219">
        <f t="shared" ca="1" si="106"/>
        <v>6446.6558619743719</v>
      </c>
      <c r="L265" s="219">
        <f t="shared" ca="1" si="106"/>
        <v>8903.2775118993468</v>
      </c>
      <c r="M265" s="219">
        <f t="shared" ca="1" si="106"/>
        <v>10565.696926199586</v>
      </c>
      <c r="N265" s="219">
        <f t="shared" ca="1" si="106"/>
        <v>11917.019133124115</v>
      </c>
      <c r="O265" s="219">
        <f t="shared" ca="1" si="106"/>
        <v>12900.607631156263</v>
      </c>
      <c r="P265" s="219">
        <f t="shared" ca="1" si="106"/>
        <v>13734.054768621481</v>
      </c>
      <c r="Q265" s="219">
        <f t="shared" ca="1" si="106"/>
        <v>14518.410996376422</v>
      </c>
      <c r="R265" s="219">
        <f t="shared" ca="1" si="106"/>
        <v>15340.664249601423</v>
      </c>
    </row>
    <row r="266" spans="2:18">
      <c r="B266" s="90"/>
      <c r="C266" s="90"/>
      <c r="D266" s="90"/>
      <c r="E266" s="90"/>
      <c r="F266" s="90"/>
      <c r="G266" s="90"/>
      <c r="H266" s="90"/>
      <c r="I266" s="206"/>
      <c r="J266" s="206"/>
      <c r="K266" s="206"/>
      <c r="L266" s="206"/>
      <c r="M266" s="206"/>
      <c r="N266" s="24"/>
      <c r="O266" s="24"/>
      <c r="P266" s="24"/>
      <c r="Q266" s="24"/>
      <c r="R266" s="24"/>
    </row>
    <row r="267" spans="2:18">
      <c r="B267" s="12" t="s">
        <v>189</v>
      </c>
      <c r="C267" s="90"/>
      <c r="D267" s="90"/>
      <c r="E267" s="90"/>
      <c r="F267" s="90"/>
      <c r="G267" s="90"/>
      <c r="H267" s="90"/>
      <c r="I267" s="206"/>
      <c r="J267" s="206"/>
      <c r="K267" s="206"/>
      <c r="L267" s="206"/>
      <c r="M267" s="206"/>
      <c r="N267" s="24"/>
      <c r="O267" s="24"/>
      <c r="P267" s="24"/>
      <c r="Q267" s="24"/>
      <c r="R267" s="24"/>
    </row>
    <row r="268" spans="2:18">
      <c r="B268" s="90" t="s">
        <v>190</v>
      </c>
      <c r="C268" s="90"/>
      <c r="D268" s="90"/>
      <c r="E268" s="90"/>
      <c r="F268" s="90"/>
      <c r="G268" s="90"/>
      <c r="H268" s="126"/>
      <c r="I268" s="219">
        <f ca="1">I287</f>
        <v>0</v>
      </c>
      <c r="J268" s="219">
        <f t="shared" ref="J268:R268" ca="1" si="107">J287</f>
        <v>0</v>
      </c>
      <c r="K268" s="219">
        <f t="shared" ca="1" si="107"/>
        <v>0</v>
      </c>
      <c r="L268" s="219">
        <f t="shared" ca="1" si="107"/>
        <v>0</v>
      </c>
      <c r="M268" s="219">
        <f t="shared" ca="1" si="107"/>
        <v>0</v>
      </c>
      <c r="N268" s="219">
        <f t="shared" ca="1" si="107"/>
        <v>0</v>
      </c>
      <c r="O268" s="219">
        <f t="shared" ca="1" si="107"/>
        <v>0</v>
      </c>
      <c r="P268" s="219">
        <f t="shared" ca="1" si="107"/>
        <v>0</v>
      </c>
      <c r="Q268" s="219">
        <f t="shared" ca="1" si="107"/>
        <v>0</v>
      </c>
      <c r="R268" s="219">
        <f t="shared" ca="1" si="107"/>
        <v>0</v>
      </c>
    </row>
    <row r="269" spans="2:18">
      <c r="B269" s="90" t="s">
        <v>191</v>
      </c>
      <c r="C269" s="90"/>
      <c r="D269" s="90"/>
      <c r="E269" s="90"/>
      <c r="F269" s="90"/>
      <c r="G269" s="90"/>
      <c r="H269" s="126"/>
      <c r="I269" s="219">
        <f ca="1">SUM(I293:I294,I307,I319,I328)</f>
        <v>-1785.3951880816671</v>
      </c>
      <c r="J269" s="219">
        <f t="shared" ref="J269:R269" ca="1" si="108">SUM(J293:J294,J307,J319,J328)</f>
        <v>-4509.1484915689143</v>
      </c>
      <c r="K269" s="219">
        <f t="shared" ca="1" si="108"/>
        <v>-4164.070876148161</v>
      </c>
      <c r="L269" s="219">
        <f t="shared" ca="1" si="108"/>
        <v>-5890.0001967233711</v>
      </c>
      <c r="M269" s="219">
        <f t="shared" ca="1" si="108"/>
        <v>-4151.3852474778851</v>
      </c>
      <c r="N269" s="219">
        <f t="shared" ca="1" si="108"/>
        <v>0</v>
      </c>
      <c r="O269" s="219">
        <f t="shared" ca="1" si="108"/>
        <v>0</v>
      </c>
      <c r="P269" s="219">
        <f t="shared" ca="1" si="108"/>
        <v>0</v>
      </c>
      <c r="Q269" s="219">
        <f t="shared" ca="1" si="108"/>
        <v>0</v>
      </c>
      <c r="R269" s="219">
        <f t="shared" ca="1" si="108"/>
        <v>0</v>
      </c>
    </row>
    <row r="270" spans="2:18">
      <c r="B270" s="90" t="s">
        <v>279</v>
      </c>
      <c r="C270" s="90"/>
      <c r="D270" s="90"/>
      <c r="E270" s="90"/>
      <c r="F270" s="90"/>
      <c r="G270" s="90"/>
      <c r="H270" s="126"/>
      <c r="I270" s="219">
        <f t="shared" ref="I270:R270" ca="1" si="109">I487*IF($R$17="C-Corp",0,1)</f>
        <v>-1182.3694706874826</v>
      </c>
      <c r="J270" s="219">
        <f t="shared" ca="1" si="109"/>
        <v>-1579.9819270878672</v>
      </c>
      <c r="K270" s="219">
        <f t="shared" ca="1" si="109"/>
        <v>-2282.5849858262109</v>
      </c>
      <c r="L270" s="219">
        <f t="shared" ca="1" si="109"/>
        <v>-3013.2773151759757</v>
      </c>
      <c r="M270" s="219">
        <f t="shared" ca="1" si="109"/>
        <v>-3811.7471039563206</v>
      </c>
      <c r="N270" s="219">
        <f t="shared" ca="1" si="109"/>
        <v>-4450.5447162332839</v>
      </c>
      <c r="O270" s="219">
        <f t="shared" ca="1" si="109"/>
        <v>-4916.7788573208309</v>
      </c>
      <c r="P270" s="219">
        <f t="shared" ca="1" si="109"/>
        <v>-5452.3070605068133</v>
      </c>
      <c r="Q270" s="219">
        <f t="shared" ca="1" si="109"/>
        <v>-6025.0866777629462</v>
      </c>
      <c r="R270" s="219">
        <f t="shared" ca="1" si="109"/>
        <v>-6484.3201236887535</v>
      </c>
    </row>
    <row r="271" spans="2:18">
      <c r="B271" s="120" t="s">
        <v>280</v>
      </c>
      <c r="C271" s="90"/>
      <c r="D271" s="90"/>
      <c r="E271" s="90"/>
      <c r="F271" s="90"/>
      <c r="G271" s="90"/>
      <c r="H271" s="126"/>
      <c r="I271" s="219">
        <f ca="1">-I382</f>
        <v>0</v>
      </c>
      <c r="J271" s="219">
        <f t="shared" ref="J271:R271" ca="1" si="110">-J382</f>
        <v>0</v>
      </c>
      <c r="K271" s="219">
        <f t="shared" ca="1" si="110"/>
        <v>0</v>
      </c>
      <c r="L271" s="219">
        <f t="shared" ca="1" si="110"/>
        <v>0</v>
      </c>
      <c r="M271" s="219">
        <f t="shared" ca="1" si="110"/>
        <v>0</v>
      </c>
      <c r="N271" s="219">
        <f t="shared" ca="1" si="110"/>
        <v>0</v>
      </c>
      <c r="O271" s="219">
        <f t="shared" ca="1" si="110"/>
        <v>0</v>
      </c>
      <c r="P271" s="219">
        <f t="shared" ca="1" si="110"/>
        <v>0</v>
      </c>
      <c r="Q271" s="219">
        <f t="shared" ca="1" si="110"/>
        <v>0</v>
      </c>
      <c r="R271" s="219">
        <f t="shared" ca="1" si="110"/>
        <v>0</v>
      </c>
    </row>
    <row r="272" spans="2:18">
      <c r="B272" s="120" t="s">
        <v>437</v>
      </c>
      <c r="C272" s="90"/>
      <c r="D272" s="90"/>
      <c r="E272" s="90"/>
      <c r="F272" s="90"/>
      <c r="G272" s="90"/>
      <c r="H272" s="126"/>
      <c r="I272" s="219">
        <f ca="1">-I362</f>
        <v>0</v>
      </c>
      <c r="J272" s="219">
        <f t="shared" ref="J272:R272" ca="1" si="111">-J362</f>
        <v>0</v>
      </c>
      <c r="K272" s="219">
        <f t="shared" ca="1" si="111"/>
        <v>0</v>
      </c>
      <c r="L272" s="219">
        <f t="shared" ca="1" si="111"/>
        <v>0</v>
      </c>
      <c r="M272" s="219">
        <f t="shared" ca="1" si="111"/>
        <v>0</v>
      </c>
      <c r="N272" s="219">
        <f t="shared" ca="1" si="111"/>
        <v>0</v>
      </c>
      <c r="O272" s="219">
        <f t="shared" ca="1" si="111"/>
        <v>0</v>
      </c>
      <c r="P272" s="219">
        <f t="shared" ca="1" si="111"/>
        <v>0</v>
      </c>
      <c r="Q272" s="219">
        <f t="shared" ca="1" si="111"/>
        <v>0</v>
      </c>
      <c r="R272" s="219">
        <f t="shared" ca="1" si="111"/>
        <v>0</v>
      </c>
    </row>
    <row r="273" spans="1:18">
      <c r="B273" s="91" t="s">
        <v>192</v>
      </c>
      <c r="C273" s="91"/>
      <c r="D273" s="91"/>
      <c r="E273" s="91"/>
      <c r="F273" s="91"/>
      <c r="G273" s="91"/>
      <c r="H273" s="84"/>
      <c r="I273" s="245">
        <f ca="1">SUM(I268:I272)</f>
        <v>-2967.7646587691497</v>
      </c>
      <c r="J273" s="245">
        <f t="shared" ref="J273:R273" ca="1" si="112">SUM(J268:J272)</f>
        <v>-6089.1304186567813</v>
      </c>
      <c r="K273" s="245">
        <f t="shared" ca="1" si="112"/>
        <v>-6446.6558619743719</v>
      </c>
      <c r="L273" s="245">
        <f t="shared" ca="1" si="112"/>
        <v>-8903.2775118993468</v>
      </c>
      <c r="M273" s="245">
        <f t="shared" ca="1" si="112"/>
        <v>-7963.1323514342057</v>
      </c>
      <c r="N273" s="245">
        <f t="shared" ca="1" si="112"/>
        <v>-4450.5447162332839</v>
      </c>
      <c r="O273" s="245">
        <f t="shared" ca="1" si="112"/>
        <v>-4916.7788573208309</v>
      </c>
      <c r="P273" s="245">
        <f t="shared" ca="1" si="112"/>
        <v>-5452.3070605068133</v>
      </c>
      <c r="Q273" s="245">
        <f t="shared" ca="1" si="112"/>
        <v>-6025.0866777629462</v>
      </c>
      <c r="R273" s="245">
        <f t="shared" ca="1" si="112"/>
        <v>-6484.3201236887535</v>
      </c>
    </row>
    <row r="274" spans="1:18">
      <c r="B274" s="90"/>
      <c r="C274" s="90"/>
      <c r="D274" s="90"/>
      <c r="E274" s="90"/>
      <c r="F274" s="90"/>
      <c r="G274" s="90"/>
      <c r="H274" s="90"/>
      <c r="I274" s="206"/>
      <c r="J274" s="206"/>
      <c r="K274" s="206"/>
      <c r="L274" s="206"/>
      <c r="M274" s="206"/>
      <c r="N274" s="24"/>
      <c r="O274" s="24"/>
      <c r="P274" s="24"/>
      <c r="Q274" s="24"/>
      <c r="R274" s="24"/>
    </row>
    <row r="275" spans="1:18" outlineLevel="1">
      <c r="B275" s="120" t="s">
        <v>193</v>
      </c>
      <c r="C275" s="90"/>
      <c r="D275" s="90"/>
      <c r="E275" s="90"/>
      <c r="F275" s="90"/>
      <c r="G275" s="90"/>
      <c r="H275" s="78"/>
      <c r="I275" s="240">
        <f>H176</f>
        <v>0</v>
      </c>
      <c r="J275" s="219">
        <f ca="1">I277</f>
        <v>250</v>
      </c>
      <c r="K275" s="219">
        <f t="shared" ref="K275:R275" ca="1" si="113">J277</f>
        <v>250</v>
      </c>
      <c r="L275" s="219">
        <f t="shared" ca="1" si="113"/>
        <v>250</v>
      </c>
      <c r="M275" s="219">
        <f t="shared" ca="1" si="113"/>
        <v>250</v>
      </c>
      <c r="N275" s="219">
        <f t="shared" ca="1" si="113"/>
        <v>2852.5645747653798</v>
      </c>
      <c r="O275" s="219">
        <f t="shared" ca="1" si="113"/>
        <v>10319.038991656211</v>
      </c>
      <c r="P275" s="219">
        <f t="shared" ca="1" si="113"/>
        <v>18302.867765491643</v>
      </c>
      <c r="Q275" s="219">
        <f t="shared" ca="1" si="113"/>
        <v>26584.615473606311</v>
      </c>
      <c r="R275" s="219">
        <f t="shared" ca="1" si="113"/>
        <v>35077.939792219782</v>
      </c>
    </row>
    <row r="276" spans="1:18" outlineLevel="1">
      <c r="B276" s="120" t="s">
        <v>194</v>
      </c>
      <c r="C276" s="90"/>
      <c r="D276" s="90"/>
      <c r="E276" s="90"/>
      <c r="F276" s="90"/>
      <c r="G276" s="78"/>
      <c r="H276" s="78"/>
      <c r="I276" s="217">
        <f ca="1">I258+I263+I273</f>
        <v>250</v>
      </c>
      <c r="J276" s="217">
        <f t="shared" ref="J276:R276" ca="1" si="114">J258+J263+J273</f>
        <v>0</v>
      </c>
      <c r="K276" s="217">
        <f t="shared" ca="1" si="114"/>
        <v>0</v>
      </c>
      <c r="L276" s="217">
        <f t="shared" ca="1" si="114"/>
        <v>0</v>
      </c>
      <c r="M276" s="217">
        <f t="shared" ca="1" si="114"/>
        <v>2602.5645747653798</v>
      </c>
      <c r="N276" s="217">
        <f t="shared" ca="1" si="114"/>
        <v>7466.474416890831</v>
      </c>
      <c r="O276" s="217">
        <f t="shared" ca="1" si="114"/>
        <v>7983.828773835432</v>
      </c>
      <c r="P276" s="217">
        <f t="shared" ca="1" si="114"/>
        <v>8281.7477081146681</v>
      </c>
      <c r="Q276" s="217">
        <f t="shared" ca="1" si="114"/>
        <v>8493.324318613475</v>
      </c>
      <c r="R276" s="217">
        <f t="shared" ca="1" si="114"/>
        <v>8856.3441259126703</v>
      </c>
    </row>
    <row r="277" spans="1:18">
      <c r="B277" s="138" t="s">
        <v>195</v>
      </c>
      <c r="C277" s="91"/>
      <c r="D277" s="91"/>
      <c r="E277" s="91"/>
      <c r="F277" s="91"/>
      <c r="G277" s="91"/>
      <c r="H277" s="84"/>
      <c r="I277" s="222">
        <f ca="1">SUM(I275:I276)</f>
        <v>250</v>
      </c>
      <c r="J277" s="222">
        <f t="shared" ref="J277:R277" ca="1" si="115">SUM(J275:J276)</f>
        <v>250</v>
      </c>
      <c r="K277" s="222">
        <f t="shared" ca="1" si="115"/>
        <v>250</v>
      </c>
      <c r="L277" s="222">
        <f t="shared" ca="1" si="115"/>
        <v>250</v>
      </c>
      <c r="M277" s="222">
        <f t="shared" ca="1" si="115"/>
        <v>2852.5645747653798</v>
      </c>
      <c r="N277" s="222">
        <f t="shared" ca="1" si="115"/>
        <v>10319.038991656211</v>
      </c>
      <c r="O277" s="222">
        <f t="shared" ca="1" si="115"/>
        <v>18302.867765491643</v>
      </c>
      <c r="P277" s="222">
        <f t="shared" ca="1" si="115"/>
        <v>26584.615473606311</v>
      </c>
      <c r="Q277" s="222">
        <f t="shared" ca="1" si="115"/>
        <v>35077.939792219782</v>
      </c>
      <c r="R277" s="222">
        <f t="shared" ca="1" si="115"/>
        <v>43934.283918132453</v>
      </c>
    </row>
    <row r="278" spans="1:18" ht="4.9000000000000004" customHeight="1">
      <c r="B278" s="139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</row>
    <row r="280" spans="1:18">
      <c r="A280" s="55" t="s">
        <v>51</v>
      </c>
      <c r="B280" s="42" t="s">
        <v>134</v>
      </c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</row>
    <row r="282" spans="1:18" ht="13.2" thickBot="1">
      <c r="B282" s="193"/>
      <c r="C282" s="192"/>
      <c r="D282" s="192"/>
      <c r="E282" s="192"/>
      <c r="F282" s="192"/>
      <c r="G282" s="44"/>
      <c r="H282" s="44"/>
      <c r="I282" s="235">
        <f t="shared" ref="I282:R282" si="116">I238</f>
        <v>43100</v>
      </c>
      <c r="J282" s="235">
        <f t="shared" si="116"/>
        <v>43465</v>
      </c>
      <c r="K282" s="235">
        <f t="shared" si="116"/>
        <v>43830</v>
      </c>
      <c r="L282" s="235">
        <f t="shared" si="116"/>
        <v>44196</v>
      </c>
      <c r="M282" s="235">
        <f t="shared" si="116"/>
        <v>44561</v>
      </c>
      <c r="N282" s="235">
        <f t="shared" si="116"/>
        <v>44926</v>
      </c>
      <c r="O282" s="235">
        <f t="shared" si="116"/>
        <v>45291</v>
      </c>
      <c r="P282" s="235">
        <f t="shared" si="116"/>
        <v>45657</v>
      </c>
      <c r="Q282" s="235">
        <f t="shared" si="116"/>
        <v>46022</v>
      </c>
      <c r="R282" s="235">
        <f t="shared" si="116"/>
        <v>46387</v>
      </c>
    </row>
    <row r="283" spans="1:18" hidden="1" outlineLevel="1"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</row>
    <row r="284" spans="1:18" hidden="1" outlineLevel="1">
      <c r="B284" s="90" t="s">
        <v>188</v>
      </c>
      <c r="C284" s="90"/>
      <c r="D284" s="90"/>
      <c r="E284" s="90"/>
      <c r="F284" s="90"/>
      <c r="G284" s="90"/>
      <c r="H284" s="128"/>
      <c r="I284" s="219">
        <f ca="1">I258+I263+I270+I272</f>
        <v>2035.3951880816671</v>
      </c>
      <c r="J284" s="219">
        <f t="shared" ref="J284:R284" ca="1" si="117">J258+J263+J270+J272</f>
        <v>4509.1484915689143</v>
      </c>
      <c r="K284" s="219">
        <f t="shared" ca="1" si="117"/>
        <v>4164.070876148161</v>
      </c>
      <c r="L284" s="219">
        <f t="shared" ca="1" si="117"/>
        <v>5890.0001967233711</v>
      </c>
      <c r="M284" s="219">
        <f t="shared" ca="1" si="117"/>
        <v>6753.9498222432649</v>
      </c>
      <c r="N284" s="219">
        <f t="shared" ca="1" si="117"/>
        <v>7466.474416890831</v>
      </c>
      <c r="O284" s="219">
        <f t="shared" ca="1" si="117"/>
        <v>7983.828773835432</v>
      </c>
      <c r="P284" s="219">
        <f t="shared" ca="1" si="117"/>
        <v>8281.7477081146681</v>
      </c>
      <c r="Q284" s="219">
        <f t="shared" ca="1" si="117"/>
        <v>8493.324318613475</v>
      </c>
      <c r="R284" s="219">
        <f t="shared" ca="1" si="117"/>
        <v>8856.3441259126703</v>
      </c>
    </row>
    <row r="285" spans="1:18" hidden="1" outlineLevel="1">
      <c r="B285" s="90" t="s">
        <v>196</v>
      </c>
      <c r="C285" s="90"/>
      <c r="D285" s="90"/>
      <c r="E285" s="90"/>
      <c r="F285" s="90"/>
      <c r="G285" s="90"/>
      <c r="H285" s="128"/>
      <c r="I285" s="219">
        <f t="shared" ref="I285:R285" si="118">H176</f>
        <v>0</v>
      </c>
      <c r="J285" s="219">
        <f t="shared" ca="1" si="118"/>
        <v>250</v>
      </c>
      <c r="K285" s="219">
        <f t="shared" ca="1" si="118"/>
        <v>250</v>
      </c>
      <c r="L285" s="219">
        <f t="shared" ca="1" si="118"/>
        <v>250</v>
      </c>
      <c r="M285" s="219">
        <f t="shared" ca="1" si="118"/>
        <v>250</v>
      </c>
      <c r="N285" s="219">
        <f t="shared" ca="1" si="118"/>
        <v>2852.5645747653798</v>
      </c>
      <c r="O285" s="219">
        <f t="shared" ca="1" si="118"/>
        <v>10319.038991656211</v>
      </c>
      <c r="P285" s="219">
        <f t="shared" ca="1" si="118"/>
        <v>18302.867765491643</v>
      </c>
      <c r="Q285" s="219">
        <f t="shared" ca="1" si="118"/>
        <v>26584.615473606311</v>
      </c>
      <c r="R285" s="219">
        <f t="shared" ca="1" si="118"/>
        <v>35077.939792219782</v>
      </c>
    </row>
    <row r="286" spans="1:18" hidden="1" outlineLevel="1">
      <c r="B286" s="90" t="s">
        <v>197</v>
      </c>
      <c r="C286" s="90"/>
      <c r="D286" s="90"/>
      <c r="E286" s="90"/>
      <c r="F286" s="90"/>
      <c r="G286" s="90"/>
      <c r="H286" s="128"/>
      <c r="I286" s="240">
        <f>-$F$14</f>
        <v>-250</v>
      </c>
      <c r="J286" s="240">
        <f t="shared" ref="J286:R286" si="119">-$F$14</f>
        <v>-250</v>
      </c>
      <c r="K286" s="240">
        <f t="shared" si="119"/>
        <v>-250</v>
      </c>
      <c r="L286" s="240">
        <f t="shared" si="119"/>
        <v>-250</v>
      </c>
      <c r="M286" s="240">
        <f t="shared" si="119"/>
        <v>-250</v>
      </c>
      <c r="N286" s="240">
        <f t="shared" si="119"/>
        <v>-250</v>
      </c>
      <c r="O286" s="240">
        <f t="shared" si="119"/>
        <v>-250</v>
      </c>
      <c r="P286" s="240">
        <f t="shared" si="119"/>
        <v>-250</v>
      </c>
      <c r="Q286" s="240">
        <f t="shared" si="119"/>
        <v>-250</v>
      </c>
      <c r="R286" s="240">
        <f t="shared" si="119"/>
        <v>-250</v>
      </c>
    </row>
    <row r="287" spans="1:18" hidden="1" outlineLevel="1">
      <c r="B287" s="90" t="s">
        <v>198</v>
      </c>
      <c r="C287" s="90"/>
      <c r="D287" s="90"/>
      <c r="E287" s="90"/>
      <c r="F287" s="90"/>
      <c r="G287" s="90"/>
      <c r="H287" s="128"/>
      <c r="I287" s="219">
        <f ca="1">I306+I317</f>
        <v>0</v>
      </c>
      <c r="J287" s="219">
        <f t="shared" ref="J287:R287" ca="1" si="120">J306+J317</f>
        <v>0</v>
      </c>
      <c r="K287" s="219">
        <f t="shared" ca="1" si="120"/>
        <v>0</v>
      </c>
      <c r="L287" s="219">
        <f t="shared" ca="1" si="120"/>
        <v>0</v>
      </c>
      <c r="M287" s="219">
        <f t="shared" ca="1" si="120"/>
        <v>0</v>
      </c>
      <c r="N287" s="219">
        <f t="shared" ca="1" si="120"/>
        <v>0</v>
      </c>
      <c r="O287" s="219">
        <f t="shared" ca="1" si="120"/>
        <v>0</v>
      </c>
      <c r="P287" s="219">
        <f t="shared" ca="1" si="120"/>
        <v>0</v>
      </c>
      <c r="Q287" s="219">
        <f t="shared" ca="1" si="120"/>
        <v>0</v>
      </c>
      <c r="R287" s="219">
        <f t="shared" ca="1" si="120"/>
        <v>0</v>
      </c>
    </row>
    <row r="288" spans="1:18" hidden="1" outlineLevel="1">
      <c r="B288" s="90" t="s">
        <v>199</v>
      </c>
      <c r="C288" s="90"/>
      <c r="D288" s="90"/>
      <c r="E288" s="90"/>
      <c r="F288" s="90"/>
      <c r="G288" s="90"/>
      <c r="H288" s="128"/>
      <c r="I288" s="219">
        <f t="shared" ref="I288:R288" si="121">+I305+I316</f>
        <v>0</v>
      </c>
      <c r="J288" s="219">
        <f t="shared" si="121"/>
        <v>0</v>
      </c>
      <c r="K288" s="219">
        <f t="shared" si="121"/>
        <v>0</v>
      </c>
      <c r="L288" s="219">
        <f t="shared" si="121"/>
        <v>0</v>
      </c>
      <c r="M288" s="219">
        <f t="shared" si="121"/>
        <v>0</v>
      </c>
      <c r="N288" s="219">
        <f t="shared" si="121"/>
        <v>0</v>
      </c>
      <c r="O288" s="219">
        <f t="shared" si="121"/>
        <v>0</v>
      </c>
      <c r="P288" s="219">
        <f t="shared" si="121"/>
        <v>0</v>
      </c>
      <c r="Q288" s="219">
        <f t="shared" si="121"/>
        <v>0</v>
      </c>
      <c r="R288" s="219">
        <f t="shared" si="121"/>
        <v>0</v>
      </c>
    </row>
    <row r="289" spans="2:18" hidden="1" outlineLevel="1">
      <c r="B289" s="94" t="s">
        <v>200</v>
      </c>
      <c r="C289" s="94"/>
      <c r="D289" s="94"/>
      <c r="E289" s="94"/>
      <c r="F289" s="94"/>
      <c r="G289" s="94"/>
      <c r="H289" s="79"/>
      <c r="I289" s="205">
        <f t="shared" ref="I289:R289" ca="1" si="122">SUM(I284:I288)</f>
        <v>1785.3951880816671</v>
      </c>
      <c r="J289" s="205">
        <f t="shared" ca="1" si="122"/>
        <v>4509.1484915689143</v>
      </c>
      <c r="K289" s="205">
        <f t="shared" ca="1" si="122"/>
        <v>4164.070876148161</v>
      </c>
      <c r="L289" s="205">
        <f t="shared" ca="1" si="122"/>
        <v>5890.0001967233711</v>
      </c>
      <c r="M289" s="205">
        <f t="shared" ca="1" si="122"/>
        <v>6753.9498222432649</v>
      </c>
      <c r="N289" s="205">
        <f t="shared" ca="1" si="122"/>
        <v>10069.038991656211</v>
      </c>
      <c r="O289" s="205">
        <f t="shared" ca="1" si="122"/>
        <v>18052.867765491643</v>
      </c>
      <c r="P289" s="205">
        <f t="shared" ca="1" si="122"/>
        <v>26334.615473606311</v>
      </c>
      <c r="Q289" s="205">
        <f t="shared" ca="1" si="122"/>
        <v>34827.939792219782</v>
      </c>
      <c r="R289" s="205">
        <f t="shared" ca="1" si="122"/>
        <v>43684.283918132453</v>
      </c>
    </row>
    <row r="290" spans="2:18" hidden="1" outlineLevel="1">
      <c r="B290" s="90"/>
      <c r="C290" s="90"/>
      <c r="D290" s="90"/>
      <c r="E290" s="90"/>
      <c r="F290" s="90"/>
      <c r="G290" s="90"/>
      <c r="H290" s="90"/>
      <c r="I290" s="206"/>
      <c r="J290" s="206"/>
      <c r="K290" s="206"/>
      <c r="L290" s="206"/>
      <c r="M290" s="206"/>
      <c r="N290" s="24"/>
      <c r="O290" s="24"/>
      <c r="P290" s="24"/>
      <c r="Q290" s="24"/>
      <c r="R290" s="24"/>
    </row>
    <row r="291" spans="2:18" collapsed="1">
      <c r="B291" s="140" t="s">
        <v>63</v>
      </c>
      <c r="C291" s="90"/>
      <c r="D291" s="90"/>
      <c r="E291" s="90"/>
      <c r="F291" s="90"/>
      <c r="G291" s="90"/>
      <c r="H291" s="90"/>
      <c r="I291" s="206"/>
      <c r="J291" s="206"/>
      <c r="K291" s="206"/>
      <c r="L291" s="206"/>
      <c r="M291" s="206"/>
      <c r="N291" s="24"/>
      <c r="O291" s="24"/>
      <c r="P291" s="24"/>
      <c r="Q291" s="24"/>
      <c r="R291" s="24"/>
    </row>
    <row r="292" spans="2:18">
      <c r="B292" s="90" t="s">
        <v>196</v>
      </c>
      <c r="C292" s="90"/>
      <c r="D292" s="90"/>
      <c r="E292" s="90"/>
      <c r="F292" s="90"/>
      <c r="G292" s="90"/>
      <c r="H292" s="137"/>
      <c r="I292" s="240">
        <f ca="1">H196</f>
        <v>0</v>
      </c>
      <c r="J292" s="217">
        <f ca="1">I295</f>
        <v>0</v>
      </c>
      <c r="K292" s="217">
        <f t="shared" ref="K292:R292" ca="1" si="123">J295</f>
        <v>0</v>
      </c>
      <c r="L292" s="217">
        <f t="shared" ca="1" si="123"/>
        <v>0</v>
      </c>
      <c r="M292" s="217">
        <f t="shared" ca="1" si="123"/>
        <v>0</v>
      </c>
      <c r="N292" s="217">
        <f t="shared" ca="1" si="123"/>
        <v>0</v>
      </c>
      <c r="O292" s="217">
        <f t="shared" ca="1" si="123"/>
        <v>0</v>
      </c>
      <c r="P292" s="217">
        <f t="shared" ca="1" si="123"/>
        <v>0</v>
      </c>
      <c r="Q292" s="217">
        <f t="shared" ca="1" si="123"/>
        <v>0</v>
      </c>
      <c r="R292" s="217">
        <f t="shared" ca="1" si="123"/>
        <v>0</v>
      </c>
    </row>
    <row r="293" spans="2:18">
      <c r="B293" s="90" t="s">
        <v>199</v>
      </c>
      <c r="C293" s="90"/>
      <c r="D293" s="90"/>
      <c r="E293" s="90"/>
      <c r="F293" s="90"/>
      <c r="G293" s="90"/>
      <c r="H293" s="78"/>
      <c r="I293" s="219">
        <f ca="1">IF(I289&lt;0,-I289,0)</f>
        <v>0</v>
      </c>
      <c r="J293" s="219">
        <f t="shared" ref="J293:R293" ca="1" si="124">IF(J289&lt;0,-J289,0)</f>
        <v>0</v>
      </c>
      <c r="K293" s="219">
        <f t="shared" ca="1" si="124"/>
        <v>0</v>
      </c>
      <c r="L293" s="219">
        <f t="shared" ca="1" si="124"/>
        <v>0</v>
      </c>
      <c r="M293" s="219">
        <f t="shared" ca="1" si="124"/>
        <v>0</v>
      </c>
      <c r="N293" s="219">
        <f t="shared" ca="1" si="124"/>
        <v>0</v>
      </c>
      <c r="O293" s="219">
        <f t="shared" ca="1" si="124"/>
        <v>0</v>
      </c>
      <c r="P293" s="219">
        <f t="shared" ca="1" si="124"/>
        <v>0</v>
      </c>
      <c r="Q293" s="219">
        <f t="shared" ca="1" si="124"/>
        <v>0</v>
      </c>
      <c r="R293" s="219">
        <f t="shared" ca="1" si="124"/>
        <v>0</v>
      </c>
    </row>
    <row r="294" spans="2:18">
      <c r="B294" s="90" t="s">
        <v>201</v>
      </c>
      <c r="C294" s="90"/>
      <c r="D294" s="90" t="s">
        <v>202</v>
      </c>
      <c r="E294" s="90"/>
      <c r="F294" s="242">
        <v>0.5</v>
      </c>
      <c r="G294" s="141"/>
      <c r="H294" s="78"/>
      <c r="I294" s="219">
        <f ca="1">IF(I289&gt;0,-MIN($F$294*I289,I292),0)</f>
        <v>0</v>
      </c>
      <c r="J294" s="219">
        <f ca="1">IF(J289&gt;0,-MIN($F$294*J289,J292),0)</f>
        <v>0</v>
      </c>
      <c r="K294" s="219">
        <f t="shared" ref="K294:R294" ca="1" si="125">IF(K289&gt;0,-MIN($F$294*K289,K292),0)</f>
        <v>0</v>
      </c>
      <c r="L294" s="219">
        <f t="shared" ca="1" si="125"/>
        <v>0</v>
      </c>
      <c r="M294" s="219">
        <f t="shared" ca="1" si="125"/>
        <v>0</v>
      </c>
      <c r="N294" s="219">
        <f t="shared" ca="1" si="125"/>
        <v>0</v>
      </c>
      <c r="O294" s="219">
        <f t="shared" ca="1" si="125"/>
        <v>0</v>
      </c>
      <c r="P294" s="219">
        <f t="shared" ca="1" si="125"/>
        <v>0</v>
      </c>
      <c r="Q294" s="219">
        <f t="shared" ca="1" si="125"/>
        <v>0</v>
      </c>
      <c r="R294" s="219">
        <f t="shared" ca="1" si="125"/>
        <v>0</v>
      </c>
    </row>
    <row r="295" spans="2:18">
      <c r="B295" s="147" t="s">
        <v>203</v>
      </c>
      <c r="C295" s="91"/>
      <c r="D295" s="91"/>
      <c r="E295" s="91"/>
      <c r="F295" s="91"/>
      <c r="G295" s="91"/>
      <c r="H295" s="84"/>
      <c r="I295" s="222">
        <f ca="1">SUM(I292:I294)</f>
        <v>0</v>
      </c>
      <c r="J295" s="222">
        <f t="shared" ref="J295:R295" ca="1" si="126">SUM(J292:J294)</f>
        <v>0</v>
      </c>
      <c r="K295" s="222">
        <f t="shared" ca="1" si="126"/>
        <v>0</v>
      </c>
      <c r="L295" s="222">
        <f t="shared" ca="1" si="126"/>
        <v>0</v>
      </c>
      <c r="M295" s="222">
        <f t="shared" ca="1" si="126"/>
        <v>0</v>
      </c>
      <c r="N295" s="222">
        <f t="shared" ca="1" si="126"/>
        <v>0</v>
      </c>
      <c r="O295" s="222">
        <f t="shared" ca="1" si="126"/>
        <v>0</v>
      </c>
      <c r="P295" s="222">
        <f t="shared" ca="1" si="126"/>
        <v>0</v>
      </c>
      <c r="Q295" s="222">
        <f t="shared" ca="1" si="126"/>
        <v>0</v>
      </c>
      <c r="R295" s="222">
        <f t="shared" ca="1" si="126"/>
        <v>0</v>
      </c>
    </row>
    <row r="296" spans="2:18">
      <c r="B296" s="120" t="s">
        <v>204</v>
      </c>
      <c r="C296" s="90"/>
      <c r="D296" s="90" t="s">
        <v>205</v>
      </c>
      <c r="E296" s="90"/>
      <c r="F296" s="243">
        <v>1</v>
      </c>
      <c r="G296" s="142"/>
      <c r="H296" s="78"/>
      <c r="I296" s="219">
        <f ca="1">IF($F$296=1,AVERAGE(I292,I295),I292)</f>
        <v>0</v>
      </c>
      <c r="J296" s="219">
        <f t="shared" ref="J296:R296" ca="1" si="127">IF($F$296=1,AVERAGE(J292,J295),J292)</f>
        <v>0</v>
      </c>
      <c r="K296" s="219">
        <f t="shared" ca="1" si="127"/>
        <v>0</v>
      </c>
      <c r="L296" s="219">
        <f t="shared" ca="1" si="127"/>
        <v>0</v>
      </c>
      <c r="M296" s="219">
        <f t="shared" ca="1" si="127"/>
        <v>0</v>
      </c>
      <c r="N296" s="219">
        <f t="shared" ca="1" si="127"/>
        <v>0</v>
      </c>
      <c r="O296" s="219">
        <f t="shared" ca="1" si="127"/>
        <v>0</v>
      </c>
      <c r="P296" s="219">
        <f t="shared" ca="1" si="127"/>
        <v>0</v>
      </c>
      <c r="Q296" s="219">
        <f t="shared" ca="1" si="127"/>
        <v>0</v>
      </c>
      <c r="R296" s="219">
        <f t="shared" ca="1" si="127"/>
        <v>0</v>
      </c>
    </row>
    <row r="297" spans="2:18">
      <c r="B297" s="120"/>
      <c r="C297" s="90"/>
      <c r="D297" s="90"/>
      <c r="E297" s="90"/>
      <c r="F297" s="90"/>
      <c r="G297" s="90"/>
      <c r="H297" s="90"/>
      <c r="I297" s="206"/>
      <c r="J297" s="206"/>
      <c r="K297" s="206"/>
      <c r="L297" s="206"/>
      <c r="M297" s="206"/>
      <c r="N297" s="24"/>
      <c r="O297" s="24"/>
      <c r="P297" s="24"/>
      <c r="Q297" s="24"/>
      <c r="R297" s="24"/>
    </row>
    <row r="298" spans="2:18" hidden="1" outlineLevel="1">
      <c r="B298" s="120" t="s">
        <v>390</v>
      </c>
      <c r="C298" s="90"/>
      <c r="D298" s="90"/>
      <c r="E298" s="90"/>
      <c r="F298" s="90"/>
      <c r="G298" s="90"/>
      <c r="H298" s="90"/>
      <c r="I298" s="206">
        <f t="shared" ref="I298:R298" ca="1" si="128">+(I177*$E$46)+(I178*$E$47)</f>
        <v>10376.623594520548</v>
      </c>
      <c r="J298" s="206">
        <f t="shared" ca="1" si="128"/>
        <v>11414.285953972605</v>
      </c>
      <c r="K298" s="206">
        <f t="shared" ca="1" si="128"/>
        <v>12555.714549369864</v>
      </c>
      <c r="L298" s="206">
        <f t="shared" ca="1" si="128"/>
        <v>13560.171713319458</v>
      </c>
      <c r="M298" s="206">
        <f t="shared" ca="1" si="128"/>
        <v>14644.985450385015</v>
      </c>
      <c r="N298" s="206">
        <f t="shared" ca="1" si="128"/>
        <v>15816.584286415815</v>
      </c>
      <c r="O298" s="206">
        <f t="shared" ca="1" si="128"/>
        <v>16765.579343600766</v>
      </c>
      <c r="P298" s="206">
        <f t="shared" ca="1" si="128"/>
        <v>17603.858310780804</v>
      </c>
      <c r="Q298" s="206">
        <f t="shared" ca="1" si="128"/>
        <v>18484.051226319847</v>
      </c>
      <c r="R298" s="206">
        <f t="shared" ca="1" si="128"/>
        <v>19408.253787635844</v>
      </c>
    </row>
    <row r="299" spans="2:18" hidden="1" outlineLevel="1">
      <c r="B299" s="352" t="s">
        <v>391</v>
      </c>
      <c r="C299" s="353"/>
      <c r="D299" s="353"/>
      <c r="E299" s="353"/>
      <c r="F299" s="353"/>
      <c r="G299" s="353"/>
      <c r="H299" s="353"/>
      <c r="I299" s="354" t="str">
        <f ca="1">+IF(I298&gt;I296,"PASS","FAIL")</f>
        <v>PASS</v>
      </c>
      <c r="J299" s="354" t="str">
        <f t="shared" ref="J299:R299" ca="1" si="129">+IF(J298&gt;J296,"PASS","FAIL")</f>
        <v>PASS</v>
      </c>
      <c r="K299" s="354" t="str">
        <f t="shared" ca="1" si="129"/>
        <v>PASS</v>
      </c>
      <c r="L299" s="354" t="str">
        <f t="shared" ca="1" si="129"/>
        <v>PASS</v>
      </c>
      <c r="M299" s="354" t="str">
        <f t="shared" ca="1" si="129"/>
        <v>PASS</v>
      </c>
      <c r="N299" s="354" t="str">
        <f t="shared" ca="1" si="129"/>
        <v>PASS</v>
      </c>
      <c r="O299" s="354" t="str">
        <f t="shared" ca="1" si="129"/>
        <v>PASS</v>
      </c>
      <c r="P299" s="354" t="str">
        <f t="shared" ca="1" si="129"/>
        <v>PASS</v>
      </c>
      <c r="Q299" s="354" t="str">
        <f t="shared" ca="1" si="129"/>
        <v>PASS</v>
      </c>
      <c r="R299" s="354" t="str">
        <f t="shared" ca="1" si="129"/>
        <v>PASS</v>
      </c>
    </row>
    <row r="300" spans="2:18" hidden="1" outlineLevel="1">
      <c r="B300" s="120"/>
      <c r="C300" s="90"/>
      <c r="D300" s="90"/>
      <c r="E300" s="90"/>
      <c r="F300" s="90"/>
      <c r="G300" s="90"/>
      <c r="H300" s="90"/>
      <c r="I300" s="206"/>
      <c r="J300" s="206"/>
      <c r="K300" s="206"/>
      <c r="L300" s="206"/>
      <c r="M300" s="206"/>
      <c r="N300" s="24"/>
      <c r="O300" s="24"/>
      <c r="P300" s="24"/>
      <c r="Q300" s="24"/>
      <c r="R300" s="24"/>
    </row>
    <row r="301" spans="2:18" hidden="1" outlineLevel="1">
      <c r="B301" s="143" t="s">
        <v>290</v>
      </c>
      <c r="C301" s="90"/>
      <c r="D301" s="90"/>
      <c r="E301" s="90"/>
      <c r="F301" s="90"/>
      <c r="G301" s="90"/>
      <c r="H301" s="78"/>
      <c r="I301" s="219">
        <f t="shared" ref="I301:R301" ca="1" si="130">I289+SUM(I293:I294)</f>
        <v>1785.3951880816671</v>
      </c>
      <c r="J301" s="219">
        <f t="shared" ca="1" si="130"/>
        <v>4509.1484915689143</v>
      </c>
      <c r="K301" s="219">
        <f t="shared" ca="1" si="130"/>
        <v>4164.070876148161</v>
      </c>
      <c r="L301" s="219">
        <f t="shared" ca="1" si="130"/>
        <v>5890.0001967233711</v>
      </c>
      <c r="M301" s="219">
        <f t="shared" ca="1" si="130"/>
        <v>6753.9498222432649</v>
      </c>
      <c r="N301" s="219">
        <f t="shared" ca="1" si="130"/>
        <v>10069.038991656211</v>
      </c>
      <c r="O301" s="219">
        <f t="shared" ca="1" si="130"/>
        <v>18052.867765491643</v>
      </c>
      <c r="P301" s="219">
        <f t="shared" ca="1" si="130"/>
        <v>26334.615473606311</v>
      </c>
      <c r="Q301" s="219">
        <f t="shared" ca="1" si="130"/>
        <v>34827.939792219782</v>
      </c>
      <c r="R301" s="219">
        <f t="shared" ca="1" si="130"/>
        <v>43684.283918132453</v>
      </c>
    </row>
    <row r="302" spans="2:18" hidden="1" outlineLevel="1">
      <c r="B302" s="90"/>
      <c r="C302" s="90"/>
      <c r="D302" s="90"/>
      <c r="E302" s="90"/>
      <c r="F302" s="90"/>
      <c r="G302" s="90"/>
      <c r="H302" s="90"/>
      <c r="I302" s="206"/>
      <c r="J302" s="206"/>
      <c r="K302" s="206"/>
      <c r="L302" s="206"/>
      <c r="M302" s="206"/>
      <c r="N302" s="24"/>
      <c r="O302" s="24"/>
      <c r="P302" s="24"/>
      <c r="Q302" s="24"/>
      <c r="R302" s="24"/>
    </row>
    <row r="303" spans="2:18" collapsed="1">
      <c r="B303" s="140" t="s">
        <v>142</v>
      </c>
      <c r="C303" s="90"/>
      <c r="D303" s="90"/>
      <c r="E303" s="90"/>
      <c r="F303" s="90"/>
      <c r="G303" s="90"/>
      <c r="H303" s="90"/>
      <c r="I303" s="206"/>
      <c r="J303" s="206"/>
      <c r="K303" s="206"/>
      <c r="L303" s="206"/>
      <c r="M303" s="206"/>
      <c r="N303" s="24"/>
      <c r="O303" s="24"/>
      <c r="P303" s="24"/>
      <c r="Q303" s="24"/>
      <c r="R303" s="24"/>
    </row>
    <row r="304" spans="2:18">
      <c r="B304" s="90" t="s">
        <v>196</v>
      </c>
      <c r="C304" s="90"/>
      <c r="D304" s="90"/>
      <c r="E304" s="90"/>
      <c r="F304" s="243"/>
      <c r="G304" s="142"/>
      <c r="H304" s="137"/>
      <c r="I304" s="240">
        <f ca="1">H197</f>
        <v>0</v>
      </c>
      <c r="J304" s="217">
        <f ca="1">I309</f>
        <v>0</v>
      </c>
      <c r="K304" s="217">
        <f t="shared" ref="K304:R304" ca="1" si="131">J309</f>
        <v>0</v>
      </c>
      <c r="L304" s="217">
        <f t="shared" ca="1" si="131"/>
        <v>0</v>
      </c>
      <c r="M304" s="217">
        <f t="shared" ca="1" si="131"/>
        <v>0</v>
      </c>
      <c r="N304" s="217">
        <f t="shared" ca="1" si="131"/>
        <v>0</v>
      </c>
      <c r="O304" s="217">
        <f t="shared" ca="1" si="131"/>
        <v>0</v>
      </c>
      <c r="P304" s="217">
        <f t="shared" ca="1" si="131"/>
        <v>0</v>
      </c>
      <c r="Q304" s="217">
        <f t="shared" ca="1" si="131"/>
        <v>0</v>
      </c>
      <c r="R304" s="217">
        <f t="shared" ca="1" si="131"/>
        <v>0</v>
      </c>
    </row>
    <row r="305" spans="2:18">
      <c r="B305" s="90" t="s">
        <v>206</v>
      </c>
      <c r="C305" s="90"/>
      <c r="D305" s="90"/>
      <c r="E305" s="90"/>
      <c r="F305" s="241"/>
      <c r="G305" s="144"/>
      <c r="H305" s="126"/>
      <c r="I305" s="203">
        <v>0</v>
      </c>
      <c r="J305" s="217">
        <f>I305</f>
        <v>0</v>
      </c>
      <c r="K305" s="217">
        <f t="shared" ref="K305:R305" si="132">J305</f>
        <v>0</v>
      </c>
      <c r="L305" s="217">
        <f t="shared" si="132"/>
        <v>0</v>
      </c>
      <c r="M305" s="217">
        <f t="shared" si="132"/>
        <v>0</v>
      </c>
      <c r="N305" s="217">
        <f t="shared" si="132"/>
        <v>0</v>
      </c>
      <c r="O305" s="217">
        <f t="shared" si="132"/>
        <v>0</v>
      </c>
      <c r="P305" s="217">
        <f t="shared" si="132"/>
        <v>0</v>
      </c>
      <c r="Q305" s="217">
        <f t="shared" si="132"/>
        <v>0</v>
      </c>
      <c r="R305" s="217">
        <f t="shared" si="132"/>
        <v>0</v>
      </c>
    </row>
    <row r="306" spans="2:18">
      <c r="B306" s="90" t="s">
        <v>198</v>
      </c>
      <c r="C306" s="90"/>
      <c r="E306" s="90"/>
      <c r="G306" s="90"/>
      <c r="H306" s="406"/>
      <c r="I306" s="219">
        <f t="shared" ref="I306:R306" ca="1" si="133">-MIN(I304,$I304*I308)</f>
        <v>0</v>
      </c>
      <c r="J306" s="219">
        <f t="shared" ca="1" si="133"/>
        <v>0</v>
      </c>
      <c r="K306" s="219">
        <f t="shared" ca="1" si="133"/>
        <v>0</v>
      </c>
      <c r="L306" s="219">
        <f t="shared" ca="1" si="133"/>
        <v>0</v>
      </c>
      <c r="M306" s="219">
        <f t="shared" ca="1" si="133"/>
        <v>0</v>
      </c>
      <c r="N306" s="219">
        <f t="shared" ca="1" si="133"/>
        <v>0</v>
      </c>
      <c r="O306" s="219">
        <f t="shared" ca="1" si="133"/>
        <v>0</v>
      </c>
      <c r="P306" s="219">
        <f t="shared" ca="1" si="133"/>
        <v>0</v>
      </c>
      <c r="Q306" s="219">
        <f t="shared" ca="1" si="133"/>
        <v>0</v>
      </c>
      <c r="R306" s="219">
        <f t="shared" ca="1" si="133"/>
        <v>0</v>
      </c>
    </row>
    <row r="307" spans="2:18">
      <c r="B307" s="90" t="s">
        <v>201</v>
      </c>
      <c r="C307" s="90"/>
      <c r="D307" s="90" t="s">
        <v>208</v>
      </c>
      <c r="E307" s="90"/>
      <c r="F307" s="243">
        <v>1</v>
      </c>
      <c r="G307" s="242">
        <v>1</v>
      </c>
      <c r="H307" s="78"/>
      <c r="I307" s="219">
        <f ca="1">IF($F$307=1,-MIN((I301*$G$307),I304+I305+I306),0)</f>
        <v>0</v>
      </c>
      <c r="J307" s="219">
        <f t="shared" ref="J307:R307" ca="1" si="134">IF($F$307=1,-MIN((J301*$G$307),J304+J305+J306),0)</f>
        <v>0</v>
      </c>
      <c r="K307" s="219">
        <f t="shared" ca="1" si="134"/>
        <v>0</v>
      </c>
      <c r="L307" s="219">
        <f t="shared" ca="1" si="134"/>
        <v>0</v>
      </c>
      <c r="M307" s="219">
        <f t="shared" ca="1" si="134"/>
        <v>0</v>
      </c>
      <c r="N307" s="219">
        <f t="shared" ca="1" si="134"/>
        <v>0</v>
      </c>
      <c r="O307" s="219">
        <f t="shared" ca="1" si="134"/>
        <v>0</v>
      </c>
      <c r="P307" s="219">
        <f t="shared" ca="1" si="134"/>
        <v>0</v>
      </c>
      <c r="Q307" s="219">
        <f t="shared" ca="1" si="134"/>
        <v>0</v>
      </c>
      <c r="R307" s="219">
        <f t="shared" ca="1" si="134"/>
        <v>0</v>
      </c>
    </row>
    <row r="308" spans="2:18">
      <c r="B308" s="90" t="s">
        <v>425</v>
      </c>
      <c r="C308" s="90"/>
      <c r="D308" s="428">
        <v>3</v>
      </c>
      <c r="E308" s="411"/>
      <c r="F308" s="407"/>
      <c r="I308" s="410">
        <f ca="1">I523</f>
        <v>0.08</v>
      </c>
      <c r="J308" s="410">
        <f t="shared" ref="J308:R308" ca="1" si="135">J523</f>
        <v>0.08</v>
      </c>
      <c r="K308" s="410">
        <f t="shared" ca="1" si="135"/>
        <v>0.08</v>
      </c>
      <c r="L308" s="410">
        <f t="shared" ca="1" si="135"/>
        <v>0.08</v>
      </c>
      <c r="M308" s="410">
        <f t="shared" ca="1" si="135"/>
        <v>0.08</v>
      </c>
      <c r="N308" s="410">
        <f t="shared" ca="1" si="135"/>
        <v>0.08</v>
      </c>
      <c r="O308" s="410">
        <f t="shared" ca="1" si="135"/>
        <v>0.08</v>
      </c>
      <c r="P308" s="410">
        <f t="shared" ca="1" si="135"/>
        <v>0.08</v>
      </c>
      <c r="Q308" s="410">
        <f t="shared" ca="1" si="135"/>
        <v>0.08</v>
      </c>
      <c r="R308" s="410">
        <f t="shared" ca="1" si="135"/>
        <v>0.08</v>
      </c>
    </row>
    <row r="309" spans="2:18">
      <c r="B309" s="147" t="s">
        <v>203</v>
      </c>
      <c r="C309" s="91"/>
      <c r="D309" s="91"/>
      <c r="E309" s="91"/>
      <c r="F309" s="145"/>
      <c r="G309" s="145"/>
      <c r="H309" s="84"/>
      <c r="I309" s="222">
        <f t="shared" ref="I309:R309" ca="1" si="136">SUM(I304:I307)</f>
        <v>0</v>
      </c>
      <c r="J309" s="222">
        <f t="shared" ca="1" si="136"/>
        <v>0</v>
      </c>
      <c r="K309" s="222">
        <f t="shared" ca="1" si="136"/>
        <v>0</v>
      </c>
      <c r="L309" s="222">
        <f t="shared" ca="1" si="136"/>
        <v>0</v>
      </c>
      <c r="M309" s="222">
        <f t="shared" ca="1" si="136"/>
        <v>0</v>
      </c>
      <c r="N309" s="222">
        <f t="shared" ca="1" si="136"/>
        <v>0</v>
      </c>
      <c r="O309" s="222">
        <f t="shared" ca="1" si="136"/>
        <v>0</v>
      </c>
      <c r="P309" s="222">
        <f t="shared" ca="1" si="136"/>
        <v>0</v>
      </c>
      <c r="Q309" s="222">
        <f t="shared" ca="1" si="136"/>
        <v>0</v>
      </c>
      <c r="R309" s="222">
        <f t="shared" ca="1" si="136"/>
        <v>0</v>
      </c>
    </row>
    <row r="310" spans="2:18">
      <c r="B310" s="120" t="s">
        <v>204</v>
      </c>
      <c r="C310" s="90"/>
      <c r="D310" s="90" t="s">
        <v>205</v>
      </c>
      <c r="E310" s="90"/>
      <c r="F310" s="243">
        <v>1</v>
      </c>
      <c r="G310" s="142"/>
      <c r="H310" s="78"/>
      <c r="I310" s="219">
        <f t="shared" ref="I310:R310" ca="1" si="137">IF($F$310=1,AVERAGE(I304,I309),I304)</f>
        <v>0</v>
      </c>
      <c r="J310" s="219">
        <f t="shared" ca="1" si="137"/>
        <v>0</v>
      </c>
      <c r="K310" s="219">
        <f t="shared" ca="1" si="137"/>
        <v>0</v>
      </c>
      <c r="L310" s="219">
        <f t="shared" ca="1" si="137"/>
        <v>0</v>
      </c>
      <c r="M310" s="219">
        <f t="shared" ca="1" si="137"/>
        <v>0</v>
      </c>
      <c r="N310" s="219">
        <f t="shared" ca="1" si="137"/>
        <v>0</v>
      </c>
      <c r="O310" s="219">
        <f t="shared" ca="1" si="137"/>
        <v>0</v>
      </c>
      <c r="P310" s="219">
        <f t="shared" ca="1" si="137"/>
        <v>0</v>
      </c>
      <c r="Q310" s="219">
        <f t="shared" ca="1" si="137"/>
        <v>0</v>
      </c>
      <c r="R310" s="219">
        <f t="shared" ca="1" si="137"/>
        <v>0</v>
      </c>
    </row>
    <row r="311" spans="2:18">
      <c r="B311" s="90"/>
      <c r="C311" s="90"/>
      <c r="D311" s="90"/>
      <c r="E311" s="90"/>
      <c r="F311" s="90"/>
      <c r="G311" s="90"/>
      <c r="H311" s="90"/>
      <c r="I311" s="206"/>
      <c r="J311" s="206"/>
      <c r="K311" s="206"/>
      <c r="L311" s="206"/>
      <c r="M311" s="206"/>
      <c r="N311" s="206"/>
      <c r="O311" s="206"/>
      <c r="P311" s="206"/>
      <c r="Q311" s="206"/>
      <c r="R311" s="206"/>
    </row>
    <row r="312" spans="2:18" hidden="1" outlineLevel="1">
      <c r="B312" s="143" t="s">
        <v>211</v>
      </c>
      <c r="C312" s="90"/>
      <c r="D312" s="90"/>
      <c r="E312" s="90"/>
      <c r="F312" s="90"/>
      <c r="G312" s="90"/>
      <c r="H312" s="78"/>
      <c r="I312" s="219">
        <f t="shared" ref="I312:R312" ca="1" si="138">I301+I307</f>
        <v>1785.3951880816671</v>
      </c>
      <c r="J312" s="219">
        <f t="shared" ca="1" si="138"/>
        <v>4509.1484915689143</v>
      </c>
      <c r="K312" s="219">
        <f t="shared" ca="1" si="138"/>
        <v>4164.070876148161</v>
      </c>
      <c r="L312" s="219">
        <f t="shared" ca="1" si="138"/>
        <v>5890.0001967233711</v>
      </c>
      <c r="M312" s="219">
        <f t="shared" ca="1" si="138"/>
        <v>6753.9498222432649</v>
      </c>
      <c r="N312" s="219">
        <f t="shared" ca="1" si="138"/>
        <v>10069.038991656211</v>
      </c>
      <c r="O312" s="219">
        <f t="shared" ca="1" si="138"/>
        <v>18052.867765491643</v>
      </c>
      <c r="P312" s="219">
        <f t="shared" ca="1" si="138"/>
        <v>26334.615473606311</v>
      </c>
      <c r="Q312" s="219">
        <f t="shared" ca="1" si="138"/>
        <v>34827.939792219782</v>
      </c>
      <c r="R312" s="219">
        <f t="shared" ca="1" si="138"/>
        <v>43684.283918132453</v>
      </c>
    </row>
    <row r="313" spans="2:18" hidden="1" outlineLevel="1">
      <c r="B313" s="90"/>
      <c r="C313" s="90"/>
      <c r="D313" s="90"/>
      <c r="E313" s="90"/>
      <c r="F313" s="90"/>
      <c r="G313" s="90"/>
      <c r="H313" s="90"/>
      <c r="I313" s="206"/>
      <c r="J313" s="206"/>
      <c r="K313" s="206"/>
      <c r="L313" s="206"/>
      <c r="M313" s="206"/>
      <c r="N313" s="24"/>
      <c r="O313" s="24"/>
      <c r="P313" s="24"/>
      <c r="Q313" s="24"/>
      <c r="R313" s="24"/>
    </row>
    <row r="314" spans="2:18" collapsed="1">
      <c r="B314" s="140" t="s">
        <v>135</v>
      </c>
      <c r="C314" s="90"/>
      <c r="D314" s="90"/>
      <c r="E314" s="90"/>
      <c r="F314" s="90"/>
      <c r="G314" s="90"/>
      <c r="H314" s="90"/>
      <c r="I314" s="206"/>
      <c r="J314" s="206"/>
      <c r="K314" s="206"/>
      <c r="L314" s="206"/>
      <c r="M314" s="206"/>
      <c r="N314" s="24"/>
      <c r="O314" s="24"/>
      <c r="P314" s="24"/>
      <c r="Q314" s="24"/>
      <c r="R314" s="24"/>
    </row>
    <row r="315" spans="2:18">
      <c r="B315" s="90" t="s">
        <v>196</v>
      </c>
      <c r="C315" s="90"/>
      <c r="D315" s="90" t="s">
        <v>209</v>
      </c>
      <c r="E315" s="90"/>
      <c r="F315" s="243">
        <v>0</v>
      </c>
      <c r="G315" s="142"/>
      <c r="H315" s="137"/>
      <c r="I315" s="240">
        <f ca="1">H198</f>
        <v>20500</v>
      </c>
      <c r="J315" s="217">
        <f ca="1">I320</f>
        <v>18714.604811918332</v>
      </c>
      <c r="K315" s="217">
        <f t="shared" ref="K315:R315" ca="1" si="139">J320</f>
        <v>14205.456320349418</v>
      </c>
      <c r="L315" s="217">
        <f t="shared" ca="1" si="139"/>
        <v>10041.385444201256</v>
      </c>
      <c r="M315" s="217">
        <f t="shared" ca="1" si="139"/>
        <v>4151.3852474778851</v>
      </c>
      <c r="N315" s="217">
        <f t="shared" ca="1" si="139"/>
        <v>0</v>
      </c>
      <c r="O315" s="217">
        <f t="shared" ca="1" si="139"/>
        <v>0</v>
      </c>
      <c r="P315" s="217">
        <f t="shared" ca="1" si="139"/>
        <v>0</v>
      </c>
      <c r="Q315" s="217">
        <f t="shared" ca="1" si="139"/>
        <v>0</v>
      </c>
      <c r="R315" s="217">
        <f t="shared" ca="1" si="139"/>
        <v>0</v>
      </c>
    </row>
    <row r="316" spans="2:18">
      <c r="B316" s="90" t="s">
        <v>206</v>
      </c>
      <c r="C316" s="90"/>
      <c r="D316" s="90" t="s">
        <v>207</v>
      </c>
      <c r="E316" s="90"/>
      <c r="F316" s="242">
        <v>0</v>
      </c>
      <c r="G316" s="144"/>
      <c r="H316" s="126"/>
      <c r="I316" s="203">
        <v>0</v>
      </c>
      <c r="J316" s="217">
        <f>I316</f>
        <v>0</v>
      </c>
      <c r="K316" s="217">
        <f t="shared" ref="K316:R316" si="140">J316</f>
        <v>0</v>
      </c>
      <c r="L316" s="217">
        <f t="shared" si="140"/>
        <v>0</v>
      </c>
      <c r="M316" s="217">
        <f t="shared" si="140"/>
        <v>0</v>
      </c>
      <c r="N316" s="217">
        <f t="shared" si="140"/>
        <v>0</v>
      </c>
      <c r="O316" s="217">
        <f t="shared" si="140"/>
        <v>0</v>
      </c>
      <c r="P316" s="217">
        <f t="shared" si="140"/>
        <v>0</v>
      </c>
      <c r="Q316" s="217">
        <f t="shared" si="140"/>
        <v>0</v>
      </c>
      <c r="R316" s="217">
        <f t="shared" si="140"/>
        <v>0</v>
      </c>
    </row>
    <row r="317" spans="2:18">
      <c r="B317" s="90" t="s">
        <v>198</v>
      </c>
      <c r="C317" s="90"/>
      <c r="D317" s="90"/>
      <c r="E317" s="90"/>
      <c r="F317" s="90"/>
      <c r="G317" s="90"/>
      <c r="H317" s="78"/>
      <c r="I317" s="219">
        <f>IF($F$315=1,-MIN($I$315*$F$316,I315),0)</f>
        <v>0</v>
      </c>
      <c r="J317" s="219">
        <f t="shared" ref="J317:R317" si="141">IF($F$315=1,-MIN($I$315*$F$316,J315),0)</f>
        <v>0</v>
      </c>
      <c r="K317" s="219">
        <f t="shared" si="141"/>
        <v>0</v>
      </c>
      <c r="L317" s="219">
        <f t="shared" si="141"/>
        <v>0</v>
      </c>
      <c r="M317" s="219">
        <f t="shared" si="141"/>
        <v>0</v>
      </c>
      <c r="N317" s="219">
        <f t="shared" si="141"/>
        <v>0</v>
      </c>
      <c r="O317" s="219">
        <f t="shared" si="141"/>
        <v>0</v>
      </c>
      <c r="P317" s="219">
        <f t="shared" si="141"/>
        <v>0</v>
      </c>
      <c r="Q317" s="219">
        <f t="shared" si="141"/>
        <v>0</v>
      </c>
      <c r="R317" s="219">
        <f t="shared" si="141"/>
        <v>0</v>
      </c>
    </row>
    <row r="318" spans="2:18">
      <c r="B318" s="120" t="s">
        <v>210</v>
      </c>
      <c r="C318" s="90"/>
      <c r="D318" s="90"/>
      <c r="E318" s="90"/>
      <c r="F318" s="431">
        <f ca="1">K38</f>
        <v>0</v>
      </c>
      <c r="G318" s="90"/>
      <c r="H318" s="78"/>
      <c r="I318" s="219">
        <f ca="1">I361</f>
        <v>0</v>
      </c>
      <c r="J318" s="219">
        <f t="shared" ref="J318:R318" ca="1" si="142">J361</f>
        <v>0</v>
      </c>
      <c r="K318" s="219">
        <f t="shared" ca="1" si="142"/>
        <v>0</v>
      </c>
      <c r="L318" s="219">
        <f t="shared" ca="1" si="142"/>
        <v>0</v>
      </c>
      <c r="M318" s="219">
        <f t="shared" ca="1" si="142"/>
        <v>0</v>
      </c>
      <c r="N318" s="219">
        <f t="shared" ca="1" si="142"/>
        <v>0</v>
      </c>
      <c r="O318" s="219">
        <f t="shared" ca="1" si="142"/>
        <v>0</v>
      </c>
      <c r="P318" s="219">
        <f t="shared" ca="1" si="142"/>
        <v>0</v>
      </c>
      <c r="Q318" s="219">
        <f t="shared" ca="1" si="142"/>
        <v>0</v>
      </c>
      <c r="R318" s="219">
        <f t="shared" ca="1" si="142"/>
        <v>0</v>
      </c>
    </row>
    <row r="319" spans="2:18">
      <c r="B319" s="90" t="s">
        <v>201</v>
      </c>
      <c r="C319" s="90"/>
      <c r="D319" s="90" t="s">
        <v>208</v>
      </c>
      <c r="E319" s="90"/>
      <c r="F319" s="243">
        <v>1</v>
      </c>
      <c r="G319" s="142"/>
      <c r="H319" s="80"/>
      <c r="I319" s="219">
        <f ca="1">IF($F$319=1,-MIN(I312,SUM(I315:I317)),0)</f>
        <v>-1785.3951880816671</v>
      </c>
      <c r="J319" s="219">
        <f t="shared" ref="J319:R319" ca="1" si="143">IF($F$319=1,-MIN(J312,SUM(J315:J317)),0)</f>
        <v>-4509.1484915689143</v>
      </c>
      <c r="K319" s="219">
        <f t="shared" ca="1" si="143"/>
        <v>-4164.070876148161</v>
      </c>
      <c r="L319" s="219">
        <f t="shared" ca="1" si="143"/>
        <v>-5890.0001967233711</v>
      </c>
      <c r="M319" s="219">
        <f t="shared" ca="1" si="143"/>
        <v>-4151.3852474778851</v>
      </c>
      <c r="N319" s="219">
        <f t="shared" ca="1" si="143"/>
        <v>0</v>
      </c>
      <c r="O319" s="219">
        <f t="shared" ca="1" si="143"/>
        <v>0</v>
      </c>
      <c r="P319" s="219">
        <f t="shared" ca="1" si="143"/>
        <v>0</v>
      </c>
      <c r="Q319" s="219">
        <f t="shared" ca="1" si="143"/>
        <v>0</v>
      </c>
      <c r="R319" s="219">
        <f t="shared" ca="1" si="143"/>
        <v>0</v>
      </c>
    </row>
    <row r="320" spans="2:18">
      <c r="B320" s="147" t="s">
        <v>203</v>
      </c>
      <c r="C320" s="91"/>
      <c r="D320" s="91"/>
      <c r="E320" s="91"/>
      <c r="F320" s="91"/>
      <c r="G320" s="91"/>
      <c r="H320" s="84"/>
      <c r="I320" s="222">
        <f ca="1">SUM(I315:I319)</f>
        <v>18714.604811918332</v>
      </c>
      <c r="J320" s="222">
        <f t="shared" ref="J320:R320" ca="1" si="144">SUM(J315:J319)</f>
        <v>14205.456320349418</v>
      </c>
      <c r="K320" s="222">
        <f t="shared" ca="1" si="144"/>
        <v>10041.385444201256</v>
      </c>
      <c r="L320" s="222">
        <f t="shared" ca="1" si="144"/>
        <v>4151.3852474778851</v>
      </c>
      <c r="M320" s="222">
        <f t="shared" ca="1" si="144"/>
        <v>0</v>
      </c>
      <c r="N320" s="222">
        <f t="shared" ca="1" si="144"/>
        <v>0</v>
      </c>
      <c r="O320" s="222">
        <f t="shared" ca="1" si="144"/>
        <v>0</v>
      </c>
      <c r="P320" s="222">
        <f t="shared" ca="1" si="144"/>
        <v>0</v>
      </c>
      <c r="Q320" s="222">
        <f t="shared" ca="1" si="144"/>
        <v>0</v>
      </c>
      <c r="R320" s="222">
        <f t="shared" ca="1" si="144"/>
        <v>0</v>
      </c>
    </row>
    <row r="321" spans="2:18">
      <c r="B321" s="90" t="s">
        <v>204</v>
      </c>
      <c r="C321" s="90"/>
      <c r="D321" s="120" t="s">
        <v>205</v>
      </c>
      <c r="E321" s="90"/>
      <c r="F321" s="243">
        <v>1</v>
      </c>
      <c r="G321" s="142"/>
      <c r="H321" s="78"/>
      <c r="I321" s="219">
        <f ca="1">IF($F$321=1,AVERAGE(I315,I320),I315)</f>
        <v>19607.302405959166</v>
      </c>
      <c r="J321" s="219">
        <f t="shared" ref="J321:R321" ca="1" si="145">IF($F$321=1,AVERAGE(J315,J320),J315)</f>
        <v>16460.030566133875</v>
      </c>
      <c r="K321" s="219">
        <f t="shared" ca="1" si="145"/>
        <v>12123.420882275337</v>
      </c>
      <c r="L321" s="219">
        <f t="shared" ca="1" si="145"/>
        <v>7096.3853458395706</v>
      </c>
      <c r="M321" s="219">
        <f t="shared" ca="1" si="145"/>
        <v>2075.6926237389425</v>
      </c>
      <c r="N321" s="219">
        <f t="shared" ca="1" si="145"/>
        <v>0</v>
      </c>
      <c r="O321" s="219">
        <f t="shared" ca="1" si="145"/>
        <v>0</v>
      </c>
      <c r="P321" s="219">
        <f t="shared" ca="1" si="145"/>
        <v>0</v>
      </c>
      <c r="Q321" s="219">
        <f t="shared" ca="1" si="145"/>
        <v>0</v>
      </c>
      <c r="R321" s="219">
        <f t="shared" ca="1" si="145"/>
        <v>0</v>
      </c>
    </row>
    <row r="322" spans="2:18">
      <c r="B322" s="90"/>
      <c r="C322" s="90"/>
      <c r="D322" s="120"/>
      <c r="E322" s="90"/>
      <c r="F322" s="243"/>
      <c r="G322" s="142"/>
      <c r="H322" s="78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</row>
    <row r="323" spans="2:18" hidden="1" outlineLevel="1">
      <c r="B323" s="143" t="s">
        <v>430</v>
      </c>
      <c r="C323" s="90"/>
      <c r="D323" s="90"/>
      <c r="E323" s="90"/>
      <c r="F323" s="90"/>
      <c r="G323" s="90"/>
      <c r="H323" s="78"/>
      <c r="I323" s="219">
        <f ca="1">+I301+I307+I319</f>
        <v>0</v>
      </c>
      <c r="J323" s="219">
        <f t="shared" ref="J323:R323" ca="1" si="146">+J301+J307+J319</f>
        <v>0</v>
      </c>
      <c r="K323" s="219">
        <f t="shared" ca="1" si="146"/>
        <v>0</v>
      </c>
      <c r="L323" s="219">
        <f t="shared" ca="1" si="146"/>
        <v>0</v>
      </c>
      <c r="M323" s="219">
        <f t="shared" ca="1" si="146"/>
        <v>2602.5645747653798</v>
      </c>
      <c r="N323" s="219">
        <f t="shared" ca="1" si="146"/>
        <v>10069.038991656211</v>
      </c>
      <c r="O323" s="219">
        <f t="shared" ca="1" si="146"/>
        <v>18052.867765491643</v>
      </c>
      <c r="P323" s="219">
        <f t="shared" ca="1" si="146"/>
        <v>26334.615473606311</v>
      </c>
      <c r="Q323" s="219">
        <f t="shared" ca="1" si="146"/>
        <v>34827.939792219782</v>
      </c>
      <c r="R323" s="219">
        <f t="shared" ca="1" si="146"/>
        <v>43684.283918132453</v>
      </c>
    </row>
    <row r="324" spans="2:18" hidden="1" outlineLevel="1">
      <c r="B324" s="90"/>
      <c r="C324" s="90"/>
      <c r="D324" s="90"/>
      <c r="E324" s="90"/>
      <c r="F324" s="90"/>
      <c r="G324" s="90"/>
      <c r="H324" s="90"/>
      <c r="I324" s="206"/>
      <c r="J324" s="206"/>
      <c r="K324" s="206"/>
      <c r="L324" s="206"/>
      <c r="M324" s="206"/>
      <c r="N324" s="24"/>
      <c r="O324" s="24"/>
      <c r="P324" s="24"/>
      <c r="Q324" s="24"/>
      <c r="R324" s="24"/>
    </row>
    <row r="325" spans="2:18" collapsed="1">
      <c r="B325" s="140" t="s">
        <v>431</v>
      </c>
      <c r="C325" s="90"/>
      <c r="D325" s="90"/>
      <c r="E325" s="90"/>
      <c r="F325" s="90"/>
      <c r="G325" s="90"/>
      <c r="H325" s="90"/>
      <c r="I325" s="206"/>
      <c r="J325" s="206"/>
      <c r="K325" s="206"/>
      <c r="L325" s="206"/>
      <c r="M325" s="206"/>
      <c r="N325" s="24"/>
      <c r="O325" s="24"/>
      <c r="P325" s="24"/>
      <c r="Q325" s="24"/>
      <c r="R325" s="24"/>
    </row>
    <row r="326" spans="2:18">
      <c r="B326" s="90" t="s">
        <v>196</v>
      </c>
      <c r="C326" s="90"/>
      <c r="D326" s="90" t="s">
        <v>209</v>
      </c>
      <c r="E326" s="90"/>
      <c r="F326" s="243">
        <v>0</v>
      </c>
      <c r="G326" s="142"/>
      <c r="H326" s="137"/>
      <c r="I326" s="240">
        <v>0</v>
      </c>
      <c r="J326" s="217">
        <f ca="1">I329</f>
        <v>0</v>
      </c>
      <c r="K326" s="217">
        <f t="shared" ref="K326:R326" ca="1" si="147">J329</f>
        <v>0</v>
      </c>
      <c r="L326" s="217">
        <f t="shared" ca="1" si="147"/>
        <v>0</v>
      </c>
      <c r="M326" s="217">
        <f t="shared" ca="1" si="147"/>
        <v>0</v>
      </c>
      <c r="N326" s="217">
        <f t="shared" ca="1" si="147"/>
        <v>0</v>
      </c>
      <c r="O326" s="217">
        <f t="shared" ca="1" si="147"/>
        <v>0</v>
      </c>
      <c r="P326" s="217">
        <f t="shared" ca="1" si="147"/>
        <v>0</v>
      </c>
      <c r="Q326" s="217">
        <f t="shared" ca="1" si="147"/>
        <v>0</v>
      </c>
      <c r="R326" s="217">
        <f t="shared" ca="1" si="147"/>
        <v>0</v>
      </c>
    </row>
    <row r="327" spans="2:18">
      <c r="B327" s="120" t="s">
        <v>210</v>
      </c>
      <c r="C327" s="90"/>
      <c r="D327" s="90"/>
      <c r="E327" s="90"/>
      <c r="F327" s="242">
        <f ca="1">K43</f>
        <v>0</v>
      </c>
      <c r="G327" s="90"/>
      <c r="H327" s="78"/>
      <c r="I327" s="219">
        <f ca="1">I363</f>
        <v>0</v>
      </c>
      <c r="J327" s="219">
        <f t="shared" ref="J327:R327" ca="1" si="148">J363</f>
        <v>0</v>
      </c>
      <c r="K327" s="219">
        <f t="shared" ca="1" si="148"/>
        <v>0</v>
      </c>
      <c r="L327" s="219">
        <f t="shared" ca="1" si="148"/>
        <v>0</v>
      </c>
      <c r="M327" s="219">
        <f t="shared" ca="1" si="148"/>
        <v>0</v>
      </c>
      <c r="N327" s="219">
        <f t="shared" ca="1" si="148"/>
        <v>0</v>
      </c>
      <c r="O327" s="219">
        <f t="shared" ca="1" si="148"/>
        <v>0</v>
      </c>
      <c r="P327" s="219">
        <f t="shared" ca="1" si="148"/>
        <v>0</v>
      </c>
      <c r="Q327" s="219">
        <f t="shared" ca="1" si="148"/>
        <v>0</v>
      </c>
      <c r="R327" s="219">
        <f t="shared" ca="1" si="148"/>
        <v>0</v>
      </c>
    </row>
    <row r="328" spans="2:18">
      <c r="B328" s="90" t="s">
        <v>201</v>
      </c>
      <c r="C328" s="90"/>
      <c r="D328" s="90" t="s">
        <v>208</v>
      </c>
      <c r="E328" s="90"/>
      <c r="F328" s="243">
        <v>1</v>
      </c>
      <c r="G328" s="142"/>
      <c r="H328" s="80"/>
      <c r="I328" s="219">
        <f ca="1">IF($F$328=1,-MIN(I323,SUM(I326:I327)),0)</f>
        <v>0</v>
      </c>
      <c r="J328" s="219">
        <f t="shared" ref="J328:R328" ca="1" si="149">IF($F$328=1,-MIN(J323,SUM(J326:J327)),0)</f>
        <v>0</v>
      </c>
      <c r="K328" s="219">
        <f t="shared" ca="1" si="149"/>
        <v>0</v>
      </c>
      <c r="L328" s="219">
        <f t="shared" ca="1" si="149"/>
        <v>0</v>
      </c>
      <c r="M328" s="219">
        <f t="shared" ca="1" si="149"/>
        <v>0</v>
      </c>
      <c r="N328" s="219">
        <f t="shared" ca="1" si="149"/>
        <v>0</v>
      </c>
      <c r="O328" s="219">
        <f t="shared" ca="1" si="149"/>
        <v>0</v>
      </c>
      <c r="P328" s="219">
        <f t="shared" ca="1" si="149"/>
        <v>0</v>
      </c>
      <c r="Q328" s="219">
        <f t="shared" ca="1" si="149"/>
        <v>0</v>
      </c>
      <c r="R328" s="219">
        <f t="shared" ca="1" si="149"/>
        <v>0</v>
      </c>
    </row>
    <row r="329" spans="2:18">
      <c r="B329" s="147" t="s">
        <v>203</v>
      </c>
      <c r="C329" s="91"/>
      <c r="D329" s="91"/>
      <c r="E329" s="91"/>
      <c r="F329" s="91"/>
      <c r="G329" s="91"/>
      <c r="H329" s="84"/>
      <c r="I329" s="222">
        <f ca="1">SUM(I326:I328)</f>
        <v>0</v>
      </c>
      <c r="J329" s="222">
        <f t="shared" ref="J329:R329" ca="1" si="150">SUM(J326:J328)</f>
        <v>0</v>
      </c>
      <c r="K329" s="222">
        <f t="shared" ca="1" si="150"/>
        <v>0</v>
      </c>
      <c r="L329" s="222">
        <f t="shared" ca="1" si="150"/>
        <v>0</v>
      </c>
      <c r="M329" s="222">
        <f t="shared" ca="1" si="150"/>
        <v>0</v>
      </c>
      <c r="N329" s="222">
        <f t="shared" ca="1" si="150"/>
        <v>0</v>
      </c>
      <c r="O329" s="222">
        <f t="shared" ca="1" si="150"/>
        <v>0</v>
      </c>
      <c r="P329" s="222">
        <f t="shared" ca="1" si="150"/>
        <v>0</v>
      </c>
      <c r="Q329" s="222">
        <f t="shared" ca="1" si="150"/>
        <v>0</v>
      </c>
      <c r="R329" s="222">
        <f t="shared" ca="1" si="150"/>
        <v>0</v>
      </c>
    </row>
    <row r="330" spans="2:18">
      <c r="B330" s="90"/>
      <c r="C330" s="90"/>
      <c r="D330" s="120"/>
      <c r="E330" s="90"/>
      <c r="F330" s="243"/>
      <c r="G330" s="142"/>
      <c r="H330" s="78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</row>
    <row r="331" spans="2:18">
      <c r="B331" s="232" t="s">
        <v>166</v>
      </c>
      <c r="C331" s="90"/>
      <c r="D331" s="120"/>
      <c r="E331" s="90"/>
      <c r="F331" s="142"/>
      <c r="G331" s="142"/>
      <c r="H331" s="78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</row>
    <row r="332" spans="2:18">
      <c r="B332" s="90" t="s">
        <v>196</v>
      </c>
      <c r="C332" s="90"/>
      <c r="D332" s="120"/>
      <c r="E332" s="90"/>
      <c r="F332" s="142"/>
      <c r="G332" s="142"/>
      <c r="H332" s="78"/>
      <c r="I332" s="219">
        <f ca="1">H186</f>
        <v>461.25</v>
      </c>
      <c r="J332" s="219">
        <f ca="1">I334</f>
        <v>369</v>
      </c>
      <c r="K332" s="219">
        <f t="shared" ref="K332:R332" ca="1" si="151">J334</f>
        <v>276.75</v>
      </c>
      <c r="L332" s="219">
        <f t="shared" ca="1" si="151"/>
        <v>184.5</v>
      </c>
      <c r="M332" s="219">
        <f t="shared" ca="1" si="151"/>
        <v>92.25</v>
      </c>
      <c r="N332" s="219">
        <f t="shared" ca="1" si="151"/>
        <v>0</v>
      </c>
      <c r="O332" s="219">
        <f t="shared" ca="1" si="151"/>
        <v>0</v>
      </c>
      <c r="P332" s="219">
        <f t="shared" ca="1" si="151"/>
        <v>0</v>
      </c>
      <c r="Q332" s="219">
        <f t="shared" ca="1" si="151"/>
        <v>0</v>
      </c>
      <c r="R332" s="219">
        <f t="shared" ca="1" si="151"/>
        <v>0</v>
      </c>
    </row>
    <row r="333" spans="2:18">
      <c r="B333" s="90" t="s">
        <v>265</v>
      </c>
      <c r="C333" s="90"/>
      <c r="D333" s="139"/>
      <c r="E333" s="122"/>
      <c r="F333" s="233"/>
      <c r="G333" s="233"/>
      <c r="H333" s="234"/>
      <c r="I333" s="244">
        <f t="shared" ref="I333:R333" ca="1" si="152">-MIN(I332,$I332/$K$55)</f>
        <v>-92.25</v>
      </c>
      <c r="J333" s="244">
        <f t="shared" ca="1" si="152"/>
        <v>-92.25</v>
      </c>
      <c r="K333" s="244">
        <f t="shared" ca="1" si="152"/>
        <v>-92.25</v>
      </c>
      <c r="L333" s="244">
        <f t="shared" ca="1" si="152"/>
        <v>-92.25</v>
      </c>
      <c r="M333" s="244">
        <f t="shared" ca="1" si="152"/>
        <v>-92.25</v>
      </c>
      <c r="N333" s="244">
        <f t="shared" ca="1" si="152"/>
        <v>0</v>
      </c>
      <c r="O333" s="244">
        <f t="shared" ca="1" si="152"/>
        <v>0</v>
      </c>
      <c r="P333" s="244">
        <f t="shared" ca="1" si="152"/>
        <v>0</v>
      </c>
      <c r="Q333" s="244">
        <f t="shared" ca="1" si="152"/>
        <v>0</v>
      </c>
      <c r="R333" s="244">
        <f t="shared" ca="1" si="152"/>
        <v>0</v>
      </c>
    </row>
    <row r="334" spans="2:18">
      <c r="B334" s="90" t="s">
        <v>203</v>
      </c>
      <c r="C334" s="90"/>
      <c r="D334" s="120"/>
      <c r="E334" s="90"/>
      <c r="F334" s="142"/>
      <c r="G334" s="142"/>
      <c r="H334" s="78"/>
      <c r="I334" s="219">
        <f ca="1">SUM(I332:I333)</f>
        <v>369</v>
      </c>
      <c r="J334" s="219">
        <f t="shared" ref="J334:R334" ca="1" si="153">SUM(J332:J333)</f>
        <v>276.75</v>
      </c>
      <c r="K334" s="219">
        <f t="shared" ca="1" si="153"/>
        <v>184.5</v>
      </c>
      <c r="L334" s="219">
        <f t="shared" ca="1" si="153"/>
        <v>92.25</v>
      </c>
      <c r="M334" s="219">
        <f t="shared" ca="1" si="153"/>
        <v>0</v>
      </c>
      <c r="N334" s="219">
        <f t="shared" ca="1" si="153"/>
        <v>0</v>
      </c>
      <c r="O334" s="219">
        <f t="shared" ca="1" si="153"/>
        <v>0</v>
      </c>
      <c r="P334" s="219">
        <f t="shared" ca="1" si="153"/>
        <v>0</v>
      </c>
      <c r="Q334" s="219">
        <f t="shared" ca="1" si="153"/>
        <v>0</v>
      </c>
      <c r="R334" s="219">
        <f t="shared" ca="1" si="153"/>
        <v>0</v>
      </c>
    </row>
    <row r="335" spans="2:18" ht="4.9000000000000004" customHeight="1">
      <c r="B335" s="122"/>
      <c r="C335" s="122"/>
      <c r="D335" s="139"/>
      <c r="E335" s="122"/>
      <c r="F335" s="146"/>
      <c r="G335" s="146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</row>
    <row r="337" spans="1:18">
      <c r="A337" s="55" t="s">
        <v>51</v>
      </c>
      <c r="B337" s="42" t="s">
        <v>212</v>
      </c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</row>
    <row r="339" spans="1:18" ht="13.2" thickBot="1">
      <c r="B339" s="193"/>
      <c r="C339" s="192"/>
      <c r="D339" s="192"/>
      <c r="E339" s="192"/>
      <c r="F339" s="192"/>
      <c r="G339" s="44"/>
      <c r="H339" s="44"/>
      <c r="I339" s="235">
        <f t="shared" ref="I339:R339" si="154">I282</f>
        <v>43100</v>
      </c>
      <c r="J339" s="235">
        <f t="shared" si="154"/>
        <v>43465</v>
      </c>
      <c r="K339" s="235">
        <f t="shared" si="154"/>
        <v>43830</v>
      </c>
      <c r="L339" s="235">
        <f t="shared" si="154"/>
        <v>44196</v>
      </c>
      <c r="M339" s="235">
        <f t="shared" si="154"/>
        <v>44561</v>
      </c>
      <c r="N339" s="235">
        <f t="shared" si="154"/>
        <v>44926</v>
      </c>
      <c r="O339" s="235">
        <f t="shared" si="154"/>
        <v>45291</v>
      </c>
      <c r="P339" s="235">
        <f t="shared" si="154"/>
        <v>45657</v>
      </c>
      <c r="Q339" s="235">
        <f t="shared" si="154"/>
        <v>46022</v>
      </c>
      <c r="R339" s="235">
        <f t="shared" si="154"/>
        <v>46387</v>
      </c>
    </row>
    <row r="340" spans="1:18" hidden="1" outlineLevel="1">
      <c r="B340" s="91"/>
      <c r="C340" s="91"/>
      <c r="D340" s="91"/>
      <c r="E340" s="91"/>
      <c r="F340" s="91"/>
      <c r="G340" s="91"/>
      <c r="H340" s="148"/>
      <c r="I340" s="148"/>
      <c r="J340" s="148"/>
      <c r="K340" s="148"/>
      <c r="L340" s="148"/>
      <c r="M340" s="148"/>
    </row>
    <row r="341" spans="1:18" hidden="1" outlineLevel="1">
      <c r="B341" s="89" t="s">
        <v>266</v>
      </c>
      <c r="C341" s="90"/>
      <c r="D341" s="90"/>
      <c r="E341" s="90"/>
      <c r="F341" s="90"/>
      <c r="G341" s="90"/>
      <c r="H341" s="149"/>
      <c r="I341" s="273">
        <f ca="1">K56</f>
        <v>7.4999999999999997E-3</v>
      </c>
      <c r="J341" s="152">
        <f ca="1">I341</f>
        <v>7.4999999999999997E-3</v>
      </c>
      <c r="K341" s="152">
        <f t="shared" ref="K341:R341" ca="1" si="155">J341</f>
        <v>7.4999999999999997E-3</v>
      </c>
      <c r="L341" s="152">
        <f t="shared" ca="1" si="155"/>
        <v>7.4999999999999997E-3</v>
      </c>
      <c r="M341" s="152">
        <f t="shared" ca="1" si="155"/>
        <v>7.4999999999999997E-3</v>
      </c>
      <c r="N341" s="152">
        <f t="shared" ca="1" si="155"/>
        <v>7.4999999999999997E-3</v>
      </c>
      <c r="O341" s="152">
        <f t="shared" ca="1" si="155"/>
        <v>7.4999999999999997E-3</v>
      </c>
      <c r="P341" s="152">
        <f t="shared" ca="1" si="155"/>
        <v>7.4999999999999997E-3</v>
      </c>
      <c r="Q341" s="152">
        <f t="shared" ca="1" si="155"/>
        <v>7.4999999999999997E-3</v>
      </c>
      <c r="R341" s="152">
        <f t="shared" ca="1" si="155"/>
        <v>7.4999999999999997E-3</v>
      </c>
    </row>
    <row r="342" spans="1:18" hidden="1" outlineLevel="1">
      <c r="B342" s="90"/>
      <c r="C342" s="90"/>
      <c r="D342" s="90"/>
      <c r="E342" s="90"/>
      <c r="F342" s="90"/>
      <c r="G342" s="90"/>
      <c r="H342" s="150"/>
      <c r="I342" s="150"/>
      <c r="J342" s="150"/>
      <c r="K342" s="150"/>
      <c r="L342" s="150"/>
      <c r="M342" s="150"/>
    </row>
    <row r="343" spans="1:18" hidden="1" outlineLevel="1">
      <c r="B343" s="12" t="s">
        <v>213</v>
      </c>
      <c r="C343" s="90"/>
      <c r="D343" s="90"/>
      <c r="E343" s="90"/>
      <c r="F343" s="90"/>
      <c r="G343" s="90"/>
      <c r="H343" s="150"/>
      <c r="I343" s="150"/>
      <c r="J343" s="150"/>
      <c r="K343" s="150"/>
      <c r="L343" s="150"/>
      <c r="M343" s="150"/>
    </row>
    <row r="344" spans="1:18" hidden="1" outlineLevel="1">
      <c r="B344" s="89" t="s">
        <v>63</v>
      </c>
      <c r="C344" s="90"/>
      <c r="D344" s="90"/>
      <c r="E344" s="90"/>
      <c r="F344" s="90"/>
      <c r="G344" s="90"/>
      <c r="H344" s="151"/>
      <c r="I344" s="152">
        <f ca="1">K26</f>
        <v>4.2500000000000003E-2</v>
      </c>
      <c r="J344" s="152">
        <f ca="1">I344</f>
        <v>4.2500000000000003E-2</v>
      </c>
      <c r="K344" s="152">
        <f t="shared" ref="K344:R344" ca="1" si="156">J344</f>
        <v>4.2500000000000003E-2</v>
      </c>
      <c r="L344" s="152">
        <f t="shared" ca="1" si="156"/>
        <v>4.2500000000000003E-2</v>
      </c>
      <c r="M344" s="152">
        <f t="shared" ca="1" si="156"/>
        <v>4.2500000000000003E-2</v>
      </c>
      <c r="N344" s="152">
        <f t="shared" ca="1" si="156"/>
        <v>4.2500000000000003E-2</v>
      </c>
      <c r="O344" s="152">
        <f t="shared" ca="1" si="156"/>
        <v>4.2500000000000003E-2</v>
      </c>
      <c r="P344" s="152">
        <f t="shared" ca="1" si="156"/>
        <v>4.2500000000000003E-2</v>
      </c>
      <c r="Q344" s="152">
        <f t="shared" ca="1" si="156"/>
        <v>4.2500000000000003E-2</v>
      </c>
      <c r="R344" s="152">
        <f t="shared" ca="1" si="156"/>
        <v>4.2500000000000003E-2</v>
      </c>
    </row>
    <row r="345" spans="1:18" hidden="1" outlineLevel="1">
      <c r="B345" s="89" t="s">
        <v>142</v>
      </c>
      <c r="C345" s="90"/>
      <c r="D345" s="90"/>
      <c r="E345" s="90"/>
      <c r="F345" s="90"/>
      <c r="G345" s="90"/>
      <c r="H345" s="151"/>
      <c r="I345" s="152">
        <f ca="1">K32</f>
        <v>4.2500000000000003E-2</v>
      </c>
      <c r="J345" s="152">
        <f ca="1">I345</f>
        <v>4.2500000000000003E-2</v>
      </c>
      <c r="K345" s="152">
        <f t="shared" ref="K345:R345" ca="1" si="157">J345</f>
        <v>4.2500000000000003E-2</v>
      </c>
      <c r="L345" s="152">
        <f t="shared" ca="1" si="157"/>
        <v>4.2500000000000003E-2</v>
      </c>
      <c r="M345" s="152">
        <f t="shared" ca="1" si="157"/>
        <v>4.2500000000000003E-2</v>
      </c>
      <c r="N345" s="152">
        <f t="shared" ca="1" si="157"/>
        <v>4.2500000000000003E-2</v>
      </c>
      <c r="O345" s="152">
        <f t="shared" ca="1" si="157"/>
        <v>4.2500000000000003E-2</v>
      </c>
      <c r="P345" s="152">
        <f t="shared" ca="1" si="157"/>
        <v>4.2500000000000003E-2</v>
      </c>
      <c r="Q345" s="152">
        <f t="shared" ca="1" si="157"/>
        <v>4.2500000000000003E-2</v>
      </c>
      <c r="R345" s="152">
        <f t="shared" ca="1" si="157"/>
        <v>4.2500000000000003E-2</v>
      </c>
    </row>
    <row r="346" spans="1:18" hidden="1" outlineLevel="1">
      <c r="B346" s="89"/>
      <c r="C346" s="90"/>
      <c r="D346" s="90"/>
      <c r="E346" s="90"/>
      <c r="F346" s="90"/>
      <c r="G346" s="90"/>
      <c r="H346" s="153"/>
      <c r="I346" s="153"/>
      <c r="J346" s="153"/>
      <c r="K346" s="153"/>
      <c r="L346" s="153"/>
      <c r="M346" s="153"/>
    </row>
    <row r="347" spans="1:18" hidden="1" outlineLevel="1">
      <c r="B347" s="12" t="s">
        <v>214</v>
      </c>
      <c r="C347" s="90"/>
      <c r="D347" s="90"/>
      <c r="E347" s="90"/>
      <c r="F347" s="90"/>
      <c r="G347" s="90"/>
      <c r="H347" s="153"/>
      <c r="I347" s="153"/>
      <c r="J347" s="153"/>
      <c r="K347" s="153"/>
      <c r="L347" s="153"/>
      <c r="M347" s="153"/>
    </row>
    <row r="348" spans="1:18" hidden="1" outlineLevel="1">
      <c r="B348" s="89" t="s">
        <v>63</v>
      </c>
      <c r="C348" s="90"/>
      <c r="D348" s="90"/>
      <c r="E348" s="90"/>
      <c r="F348" s="90"/>
      <c r="G348" s="90"/>
      <c r="H348" s="152"/>
      <c r="I348" s="152">
        <f ca="1">I$341+I344</f>
        <v>0.05</v>
      </c>
      <c r="J348" s="152">
        <f t="shared" ref="J348:R348" ca="1" si="158">J$341+J344</f>
        <v>0.05</v>
      </c>
      <c r="K348" s="152">
        <f t="shared" ca="1" si="158"/>
        <v>0.05</v>
      </c>
      <c r="L348" s="152">
        <f t="shared" ca="1" si="158"/>
        <v>0.05</v>
      </c>
      <c r="M348" s="152">
        <f t="shared" ca="1" si="158"/>
        <v>0.05</v>
      </c>
      <c r="N348" s="152">
        <f t="shared" ca="1" si="158"/>
        <v>0.05</v>
      </c>
      <c r="O348" s="152">
        <f t="shared" ca="1" si="158"/>
        <v>0.05</v>
      </c>
      <c r="P348" s="152">
        <f t="shared" ca="1" si="158"/>
        <v>0.05</v>
      </c>
      <c r="Q348" s="152">
        <f t="shared" ca="1" si="158"/>
        <v>0.05</v>
      </c>
      <c r="R348" s="152">
        <f t="shared" ca="1" si="158"/>
        <v>0.05</v>
      </c>
    </row>
    <row r="349" spans="1:18" hidden="1" outlineLevel="1">
      <c r="B349" s="89" t="s">
        <v>142</v>
      </c>
      <c r="C349" s="90"/>
      <c r="D349" s="90"/>
      <c r="E349" s="90"/>
      <c r="F349" s="90"/>
      <c r="G349" s="90"/>
      <c r="H349" s="152"/>
      <c r="I349" s="152">
        <f ca="1">I$341+I345</f>
        <v>0.05</v>
      </c>
      <c r="J349" s="152">
        <f t="shared" ref="J349:R349" ca="1" si="159">J$341+J345</f>
        <v>0.05</v>
      </c>
      <c r="K349" s="152">
        <f t="shared" ca="1" si="159"/>
        <v>0.05</v>
      </c>
      <c r="L349" s="152">
        <f t="shared" ca="1" si="159"/>
        <v>0.05</v>
      </c>
      <c r="M349" s="152">
        <f t="shared" ca="1" si="159"/>
        <v>0.05</v>
      </c>
      <c r="N349" s="152">
        <f t="shared" ca="1" si="159"/>
        <v>0.05</v>
      </c>
      <c r="O349" s="152">
        <f t="shared" ca="1" si="159"/>
        <v>0.05</v>
      </c>
      <c r="P349" s="152">
        <f t="shared" ca="1" si="159"/>
        <v>0.05</v>
      </c>
      <c r="Q349" s="152">
        <f t="shared" ca="1" si="159"/>
        <v>0.05</v>
      </c>
      <c r="R349" s="152">
        <f t="shared" ca="1" si="159"/>
        <v>0.05</v>
      </c>
    </row>
    <row r="350" spans="1:18" hidden="1" outlineLevel="1">
      <c r="B350" s="89" t="s">
        <v>215</v>
      </c>
      <c r="C350" s="90"/>
      <c r="D350" s="90"/>
      <c r="E350" s="90"/>
      <c r="F350" s="90"/>
      <c r="G350" s="90"/>
      <c r="H350" s="152"/>
      <c r="I350" s="152">
        <f ca="1">K37</f>
        <v>0.11</v>
      </c>
      <c r="J350" s="152">
        <f ca="1">I350</f>
        <v>0.11</v>
      </c>
      <c r="K350" s="152">
        <f t="shared" ref="K350:R350" ca="1" si="160">J350</f>
        <v>0.11</v>
      </c>
      <c r="L350" s="152">
        <f t="shared" ca="1" si="160"/>
        <v>0.11</v>
      </c>
      <c r="M350" s="152">
        <f t="shared" ca="1" si="160"/>
        <v>0.11</v>
      </c>
      <c r="N350" s="152">
        <f t="shared" ca="1" si="160"/>
        <v>0.11</v>
      </c>
      <c r="O350" s="152">
        <f t="shared" ca="1" si="160"/>
        <v>0.11</v>
      </c>
      <c r="P350" s="152">
        <f t="shared" ca="1" si="160"/>
        <v>0.11</v>
      </c>
      <c r="Q350" s="152">
        <f t="shared" ca="1" si="160"/>
        <v>0.11</v>
      </c>
      <c r="R350" s="152">
        <f t="shared" ca="1" si="160"/>
        <v>0.11</v>
      </c>
    </row>
    <row r="351" spans="1:18" hidden="1" outlineLevel="1">
      <c r="B351" s="89" t="s">
        <v>216</v>
      </c>
      <c r="C351" s="90"/>
      <c r="D351" s="90"/>
      <c r="E351" s="90"/>
      <c r="F351" s="90"/>
      <c r="G351" s="90"/>
      <c r="H351" s="152"/>
      <c r="I351" s="152">
        <f ca="1">K38</f>
        <v>0</v>
      </c>
      <c r="J351" s="152">
        <f ca="1">I351</f>
        <v>0</v>
      </c>
      <c r="K351" s="152">
        <f t="shared" ref="K351:R351" ca="1" si="161">J351</f>
        <v>0</v>
      </c>
      <c r="L351" s="152">
        <f t="shared" ca="1" si="161"/>
        <v>0</v>
      </c>
      <c r="M351" s="152">
        <f t="shared" ca="1" si="161"/>
        <v>0</v>
      </c>
      <c r="N351" s="152">
        <f t="shared" ca="1" si="161"/>
        <v>0</v>
      </c>
      <c r="O351" s="152">
        <f t="shared" ca="1" si="161"/>
        <v>0</v>
      </c>
      <c r="P351" s="152">
        <f t="shared" ca="1" si="161"/>
        <v>0</v>
      </c>
      <c r="Q351" s="152">
        <f t="shared" ca="1" si="161"/>
        <v>0</v>
      </c>
      <c r="R351" s="152">
        <f t="shared" ca="1" si="161"/>
        <v>0</v>
      </c>
    </row>
    <row r="352" spans="1:18" hidden="1" outlineLevel="1">
      <c r="B352" s="89" t="s">
        <v>436</v>
      </c>
      <c r="C352" s="90"/>
      <c r="D352" s="90"/>
      <c r="E352" s="90"/>
      <c r="F352" s="90"/>
      <c r="G352" s="90"/>
      <c r="H352" s="152"/>
      <c r="I352" s="152">
        <f ca="1">K42</f>
        <v>0</v>
      </c>
      <c r="J352" s="152">
        <f t="shared" ref="J352:R353" ca="1" si="162">I352</f>
        <v>0</v>
      </c>
      <c r="K352" s="152">
        <f t="shared" ca="1" si="162"/>
        <v>0</v>
      </c>
      <c r="L352" s="152">
        <f t="shared" ca="1" si="162"/>
        <v>0</v>
      </c>
      <c r="M352" s="152">
        <f t="shared" ca="1" si="162"/>
        <v>0</v>
      </c>
      <c r="N352" s="152">
        <f t="shared" ca="1" si="162"/>
        <v>0</v>
      </c>
      <c r="O352" s="152">
        <f t="shared" ca="1" si="162"/>
        <v>0</v>
      </c>
      <c r="P352" s="152">
        <f t="shared" ca="1" si="162"/>
        <v>0</v>
      </c>
      <c r="Q352" s="152">
        <f t="shared" ca="1" si="162"/>
        <v>0</v>
      </c>
      <c r="R352" s="152">
        <f t="shared" ca="1" si="162"/>
        <v>0</v>
      </c>
    </row>
    <row r="353" spans="2:18" hidden="1" outlineLevel="1">
      <c r="B353" s="89" t="s">
        <v>435</v>
      </c>
      <c r="C353" s="90"/>
      <c r="D353" s="90"/>
      <c r="E353" s="90"/>
      <c r="F353" s="90"/>
      <c r="G353" s="90"/>
      <c r="H353" s="152"/>
      <c r="I353" s="152">
        <f ca="1">K43</f>
        <v>0</v>
      </c>
      <c r="J353" s="152">
        <f t="shared" ca="1" si="162"/>
        <v>0</v>
      </c>
      <c r="K353" s="152">
        <f t="shared" ca="1" si="162"/>
        <v>0</v>
      </c>
      <c r="L353" s="152">
        <f t="shared" ca="1" si="162"/>
        <v>0</v>
      </c>
      <c r="M353" s="152">
        <f t="shared" ca="1" si="162"/>
        <v>0</v>
      </c>
      <c r="N353" s="152">
        <f t="shared" ca="1" si="162"/>
        <v>0</v>
      </c>
      <c r="O353" s="152">
        <f t="shared" ca="1" si="162"/>
        <v>0</v>
      </c>
      <c r="P353" s="152">
        <f t="shared" ca="1" si="162"/>
        <v>0</v>
      </c>
      <c r="Q353" s="152">
        <f t="shared" ca="1" si="162"/>
        <v>0</v>
      </c>
      <c r="R353" s="152">
        <f t="shared" ca="1" si="162"/>
        <v>0</v>
      </c>
    </row>
    <row r="354" spans="2:18" hidden="1" outlineLevel="1"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</row>
    <row r="355" spans="2:18" hidden="1" outlineLevel="1">
      <c r="B355" s="12" t="s">
        <v>217</v>
      </c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</row>
    <row r="356" spans="2:18" collapsed="1">
      <c r="B356" s="154" t="s">
        <v>63</v>
      </c>
      <c r="C356" s="91"/>
      <c r="D356" s="91"/>
      <c r="E356" s="91"/>
      <c r="F356" s="91"/>
      <c r="G356" s="84"/>
      <c r="H356" s="84"/>
      <c r="I356" s="222">
        <f t="shared" ref="I356:R356" ca="1" si="163">IF(Circ=0,0,I344*I296)</f>
        <v>0</v>
      </c>
      <c r="J356" s="222">
        <f t="shared" ca="1" si="163"/>
        <v>0</v>
      </c>
      <c r="K356" s="222">
        <f t="shared" ca="1" si="163"/>
        <v>0</v>
      </c>
      <c r="L356" s="222">
        <f t="shared" ca="1" si="163"/>
        <v>0</v>
      </c>
      <c r="M356" s="222">
        <f t="shared" ca="1" si="163"/>
        <v>0</v>
      </c>
      <c r="N356" s="222">
        <f t="shared" ca="1" si="163"/>
        <v>0</v>
      </c>
      <c r="O356" s="222">
        <f t="shared" ca="1" si="163"/>
        <v>0</v>
      </c>
      <c r="P356" s="222">
        <f t="shared" ca="1" si="163"/>
        <v>0</v>
      </c>
      <c r="Q356" s="222">
        <f t="shared" ca="1" si="163"/>
        <v>0</v>
      </c>
      <c r="R356" s="222">
        <f t="shared" ca="1" si="163"/>
        <v>0</v>
      </c>
    </row>
    <row r="357" spans="2:18">
      <c r="B357" s="89" t="s">
        <v>84</v>
      </c>
      <c r="C357" s="90"/>
      <c r="D357" s="90"/>
      <c r="E357" s="90"/>
      <c r="F357" s="90"/>
      <c r="G357" s="126"/>
      <c r="H357" s="126"/>
      <c r="I357" s="219">
        <f t="shared" ref="I357:R357" ca="1" si="164">IF(Circ=0,0,($K$29-I296)*$K$27)</f>
        <v>0</v>
      </c>
      <c r="J357" s="219">
        <f t="shared" ca="1" si="164"/>
        <v>0</v>
      </c>
      <c r="K357" s="219">
        <f t="shared" ca="1" si="164"/>
        <v>0</v>
      </c>
      <c r="L357" s="219">
        <f t="shared" ca="1" si="164"/>
        <v>0</v>
      </c>
      <c r="M357" s="219">
        <f t="shared" ca="1" si="164"/>
        <v>0</v>
      </c>
      <c r="N357" s="219">
        <f t="shared" ca="1" si="164"/>
        <v>0</v>
      </c>
      <c r="O357" s="219">
        <f t="shared" ca="1" si="164"/>
        <v>0</v>
      </c>
      <c r="P357" s="219">
        <f t="shared" ca="1" si="164"/>
        <v>0</v>
      </c>
      <c r="Q357" s="219">
        <f t="shared" ca="1" si="164"/>
        <v>0</v>
      </c>
      <c r="R357" s="219">
        <f t="shared" ca="1" si="164"/>
        <v>0</v>
      </c>
    </row>
    <row r="358" spans="2:18">
      <c r="B358" s="89" t="s">
        <v>142</v>
      </c>
      <c r="C358" s="90"/>
      <c r="D358" s="90"/>
      <c r="E358" s="90"/>
      <c r="F358" s="90"/>
      <c r="G358" s="78"/>
      <c r="H358" s="78"/>
      <c r="I358" s="219">
        <f t="shared" ref="I358:R358" ca="1" si="165">I349*I310</f>
        <v>0</v>
      </c>
      <c r="J358" s="219">
        <f t="shared" ca="1" si="165"/>
        <v>0</v>
      </c>
      <c r="K358" s="219">
        <f t="shared" ca="1" si="165"/>
        <v>0</v>
      </c>
      <c r="L358" s="219">
        <f t="shared" ca="1" si="165"/>
        <v>0</v>
      </c>
      <c r="M358" s="219">
        <f t="shared" ca="1" si="165"/>
        <v>0</v>
      </c>
      <c r="N358" s="219">
        <f t="shared" ca="1" si="165"/>
        <v>0</v>
      </c>
      <c r="O358" s="219">
        <f t="shared" ca="1" si="165"/>
        <v>0</v>
      </c>
      <c r="P358" s="219">
        <f t="shared" ca="1" si="165"/>
        <v>0</v>
      </c>
      <c r="Q358" s="219">
        <f t="shared" ca="1" si="165"/>
        <v>0</v>
      </c>
      <c r="R358" s="219">
        <f t="shared" ca="1" si="165"/>
        <v>0</v>
      </c>
    </row>
    <row r="359" spans="2:18" hidden="1" outlineLevel="1">
      <c r="B359" s="89" t="s">
        <v>269</v>
      </c>
      <c r="C359" s="90"/>
      <c r="D359" s="90"/>
      <c r="E359" s="90"/>
      <c r="F359" s="90"/>
      <c r="G359" s="78"/>
      <c r="H359" s="78"/>
      <c r="I359" s="207"/>
      <c r="J359" s="219"/>
      <c r="K359" s="219"/>
      <c r="L359" s="219"/>
      <c r="M359" s="219"/>
      <c r="N359" s="219"/>
      <c r="O359" s="219"/>
      <c r="P359" s="219"/>
      <c r="Q359" s="219"/>
      <c r="R359" s="219"/>
    </row>
    <row r="360" spans="2:18" collapsed="1">
      <c r="B360" s="89" t="s">
        <v>215</v>
      </c>
      <c r="C360" s="90"/>
      <c r="D360" s="90"/>
      <c r="E360" s="90"/>
      <c r="F360" s="90"/>
      <c r="G360" s="78"/>
      <c r="H360" s="78"/>
      <c r="I360" s="219">
        <f t="shared" ref="I360:R360" ca="1" si="166">IF(Circ=0,0,I321*I350)</f>
        <v>2156.8032646555084</v>
      </c>
      <c r="J360" s="219">
        <f t="shared" ca="1" si="166"/>
        <v>1810.6033622747264</v>
      </c>
      <c r="K360" s="219">
        <f t="shared" ca="1" si="166"/>
        <v>1333.5762970502872</v>
      </c>
      <c r="L360" s="219">
        <f t="shared" ca="1" si="166"/>
        <v>780.6023880423528</v>
      </c>
      <c r="M360" s="219">
        <f t="shared" ca="1" si="166"/>
        <v>228.32618861128367</v>
      </c>
      <c r="N360" s="219">
        <f t="shared" ca="1" si="166"/>
        <v>0</v>
      </c>
      <c r="O360" s="219">
        <f t="shared" ca="1" si="166"/>
        <v>0</v>
      </c>
      <c r="P360" s="219">
        <f t="shared" ca="1" si="166"/>
        <v>0</v>
      </c>
      <c r="Q360" s="219">
        <f t="shared" ca="1" si="166"/>
        <v>0</v>
      </c>
      <c r="R360" s="219">
        <f t="shared" ca="1" si="166"/>
        <v>0</v>
      </c>
    </row>
    <row r="361" spans="2:18">
      <c r="B361" s="89" t="s">
        <v>216</v>
      </c>
      <c r="C361" s="90"/>
      <c r="D361" s="90"/>
      <c r="E361" s="90"/>
      <c r="F361" s="90"/>
      <c r="G361" s="78"/>
      <c r="H361" s="78"/>
      <c r="I361" s="219">
        <f t="shared" ref="I361:R361" ca="1" si="167">IF(Circ=0,0,I321*I351)</f>
        <v>0</v>
      </c>
      <c r="J361" s="219">
        <f t="shared" ca="1" si="167"/>
        <v>0</v>
      </c>
      <c r="K361" s="219">
        <f t="shared" ca="1" si="167"/>
        <v>0</v>
      </c>
      <c r="L361" s="219">
        <f t="shared" ca="1" si="167"/>
        <v>0</v>
      </c>
      <c r="M361" s="219">
        <f t="shared" ca="1" si="167"/>
        <v>0</v>
      </c>
      <c r="N361" s="219">
        <f t="shared" ca="1" si="167"/>
        <v>0</v>
      </c>
      <c r="O361" s="219">
        <f t="shared" ca="1" si="167"/>
        <v>0</v>
      </c>
      <c r="P361" s="219">
        <f t="shared" ca="1" si="167"/>
        <v>0</v>
      </c>
      <c r="Q361" s="219">
        <f t="shared" ca="1" si="167"/>
        <v>0</v>
      </c>
      <c r="R361" s="219">
        <f t="shared" ca="1" si="167"/>
        <v>0</v>
      </c>
    </row>
    <row r="362" spans="2:18">
      <c r="B362" s="89" t="s">
        <v>436</v>
      </c>
      <c r="C362" s="90"/>
      <c r="D362" s="90"/>
      <c r="E362" s="90"/>
      <c r="F362" s="90"/>
      <c r="G362" s="78"/>
      <c r="H362" s="78"/>
      <c r="I362" s="219">
        <f t="shared" ref="I362:R362" ca="1" si="168">IF(Circ=0,0,I326*I352)</f>
        <v>0</v>
      </c>
      <c r="J362" s="219">
        <f t="shared" ca="1" si="168"/>
        <v>0</v>
      </c>
      <c r="K362" s="219">
        <f t="shared" ca="1" si="168"/>
        <v>0</v>
      </c>
      <c r="L362" s="219">
        <f t="shared" ca="1" si="168"/>
        <v>0</v>
      </c>
      <c r="M362" s="219">
        <f t="shared" ca="1" si="168"/>
        <v>0</v>
      </c>
      <c r="N362" s="219">
        <f t="shared" ca="1" si="168"/>
        <v>0</v>
      </c>
      <c r="O362" s="219">
        <f t="shared" ca="1" si="168"/>
        <v>0</v>
      </c>
      <c r="P362" s="219">
        <f t="shared" ca="1" si="168"/>
        <v>0</v>
      </c>
      <c r="Q362" s="219">
        <f t="shared" ca="1" si="168"/>
        <v>0</v>
      </c>
      <c r="R362" s="219">
        <f t="shared" ca="1" si="168"/>
        <v>0</v>
      </c>
    </row>
    <row r="363" spans="2:18">
      <c r="B363" s="89" t="s">
        <v>435</v>
      </c>
      <c r="C363" s="90"/>
      <c r="D363" s="90"/>
      <c r="E363" s="90"/>
      <c r="F363" s="90"/>
      <c r="G363" s="78"/>
      <c r="H363" s="78"/>
      <c r="I363" s="219">
        <f t="shared" ref="I363:R363" ca="1" si="169">IF(Circ=0,0,I326*I353)</f>
        <v>0</v>
      </c>
      <c r="J363" s="219">
        <f t="shared" ca="1" si="169"/>
        <v>0</v>
      </c>
      <c r="K363" s="219">
        <f t="shared" ca="1" si="169"/>
        <v>0</v>
      </c>
      <c r="L363" s="219">
        <f t="shared" ca="1" si="169"/>
        <v>0</v>
      </c>
      <c r="M363" s="219">
        <f t="shared" ca="1" si="169"/>
        <v>0</v>
      </c>
      <c r="N363" s="219">
        <f t="shared" ca="1" si="169"/>
        <v>0</v>
      </c>
      <c r="O363" s="219">
        <f t="shared" ca="1" si="169"/>
        <v>0</v>
      </c>
      <c r="P363" s="219">
        <f t="shared" ca="1" si="169"/>
        <v>0</v>
      </c>
      <c r="Q363" s="219">
        <f t="shared" ca="1" si="169"/>
        <v>0</v>
      </c>
      <c r="R363" s="219">
        <f t="shared" ca="1" si="169"/>
        <v>0</v>
      </c>
    </row>
    <row r="364" spans="2:18">
      <c r="B364" s="129" t="s">
        <v>442</v>
      </c>
      <c r="C364" s="94"/>
      <c r="D364" s="94"/>
      <c r="E364" s="94"/>
      <c r="F364" s="94"/>
      <c r="G364" s="94"/>
      <c r="H364" s="79"/>
      <c r="I364" s="205">
        <f ca="1">SUM(I356:I361)</f>
        <v>2156.8032646555084</v>
      </c>
      <c r="J364" s="205">
        <f t="shared" ref="J364:R364" ca="1" si="170">SUM(J356:J361)</f>
        <v>1810.6033622747264</v>
      </c>
      <c r="K364" s="205">
        <f t="shared" ca="1" si="170"/>
        <v>1333.5762970502872</v>
      </c>
      <c r="L364" s="205">
        <f t="shared" ca="1" si="170"/>
        <v>780.6023880423528</v>
      </c>
      <c r="M364" s="205">
        <f t="shared" ca="1" si="170"/>
        <v>228.32618861128367</v>
      </c>
      <c r="N364" s="205">
        <f t="shared" ca="1" si="170"/>
        <v>0</v>
      </c>
      <c r="O364" s="205">
        <f t="shared" ca="1" si="170"/>
        <v>0</v>
      </c>
      <c r="P364" s="205">
        <f t="shared" ca="1" si="170"/>
        <v>0</v>
      </c>
      <c r="Q364" s="205">
        <f t="shared" ca="1" si="170"/>
        <v>0</v>
      </c>
      <c r="R364" s="205">
        <f t="shared" ca="1" si="170"/>
        <v>0</v>
      </c>
    </row>
    <row r="365" spans="2:18">
      <c r="B365" s="89"/>
      <c r="C365" s="90"/>
      <c r="D365" s="90"/>
      <c r="E365" s="90"/>
      <c r="F365" s="90"/>
      <c r="G365" s="90"/>
      <c r="H365" s="78"/>
      <c r="I365" s="219"/>
      <c r="J365" s="219"/>
      <c r="K365" s="219"/>
      <c r="L365" s="219"/>
      <c r="M365" s="219"/>
      <c r="N365" s="219"/>
      <c r="O365" s="219"/>
      <c r="P365" s="219"/>
      <c r="Q365" s="219"/>
      <c r="R365" s="219"/>
    </row>
    <row r="366" spans="2:18">
      <c r="B366" s="89" t="s">
        <v>111</v>
      </c>
      <c r="C366" s="90"/>
      <c r="D366" s="90"/>
      <c r="E366" s="90"/>
      <c r="F366" s="90"/>
      <c r="G366" s="90"/>
      <c r="H366" s="78"/>
      <c r="I366" s="219">
        <f ca="1">I356+I357+I358+I360+I362</f>
        <v>2156.8032646555084</v>
      </c>
      <c r="J366" s="219">
        <f t="shared" ref="J366:R366" ca="1" si="171">J356+J357+J358+J360+J362</f>
        <v>1810.6033622747264</v>
      </c>
      <c r="K366" s="219">
        <f t="shared" ca="1" si="171"/>
        <v>1333.5762970502872</v>
      </c>
      <c r="L366" s="219">
        <f t="shared" ca="1" si="171"/>
        <v>780.6023880423528</v>
      </c>
      <c r="M366" s="219">
        <f t="shared" ca="1" si="171"/>
        <v>228.32618861128367</v>
      </c>
      <c r="N366" s="219">
        <f t="shared" ca="1" si="171"/>
        <v>0</v>
      </c>
      <c r="O366" s="219">
        <f t="shared" ca="1" si="171"/>
        <v>0</v>
      </c>
      <c r="P366" s="219">
        <f t="shared" ca="1" si="171"/>
        <v>0</v>
      </c>
      <c r="Q366" s="219">
        <f t="shared" ca="1" si="171"/>
        <v>0</v>
      </c>
      <c r="R366" s="219">
        <f t="shared" ca="1" si="171"/>
        <v>0</v>
      </c>
    </row>
    <row r="367" spans="2:18">
      <c r="B367" s="89" t="s">
        <v>428</v>
      </c>
      <c r="C367" s="90"/>
      <c r="D367" s="90"/>
      <c r="E367" s="90"/>
      <c r="F367" s="90"/>
      <c r="G367" s="90"/>
      <c r="H367" s="78"/>
      <c r="I367" s="421">
        <f ca="1">I366/(I292+I304+I321+I326)</f>
        <v>0.11</v>
      </c>
      <c r="J367" s="420"/>
      <c r="K367" s="420"/>
      <c r="L367" s="420"/>
      <c r="M367" s="420"/>
      <c r="N367" s="219"/>
      <c r="O367" s="219"/>
      <c r="P367" s="219"/>
      <c r="Q367" s="219"/>
      <c r="R367" s="219"/>
    </row>
    <row r="368" spans="2:18">
      <c r="B368" s="89"/>
      <c r="C368" s="90"/>
      <c r="D368" s="90"/>
      <c r="E368" s="90"/>
      <c r="F368" s="90"/>
      <c r="G368" s="90"/>
      <c r="H368" s="78"/>
      <c r="I368" s="219"/>
      <c r="J368" s="219"/>
      <c r="K368" s="219"/>
      <c r="L368" s="219"/>
      <c r="M368" s="219"/>
      <c r="N368" s="24"/>
      <c r="O368" s="24"/>
      <c r="P368" s="24"/>
      <c r="Q368" s="24"/>
      <c r="R368" s="24"/>
    </row>
    <row r="369" spans="1:18">
      <c r="B369" s="140" t="s">
        <v>218</v>
      </c>
      <c r="C369" s="90"/>
      <c r="D369" s="90"/>
      <c r="E369" s="90"/>
      <c r="F369" s="90"/>
      <c r="G369" s="90"/>
      <c r="H369" s="78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</row>
    <row r="370" spans="1:18">
      <c r="B370" s="154" t="s">
        <v>193</v>
      </c>
      <c r="C370" s="91"/>
      <c r="D370" s="91"/>
      <c r="E370" s="91"/>
      <c r="F370" s="91"/>
      <c r="G370" s="84"/>
      <c r="H370" s="84"/>
      <c r="I370" s="222">
        <f t="shared" ref="I370:R370" si="172">I275</f>
        <v>0</v>
      </c>
      <c r="J370" s="222">
        <f t="shared" ca="1" si="172"/>
        <v>250</v>
      </c>
      <c r="K370" s="222">
        <f t="shared" ca="1" si="172"/>
        <v>250</v>
      </c>
      <c r="L370" s="222">
        <f t="shared" ca="1" si="172"/>
        <v>250</v>
      </c>
      <c r="M370" s="222">
        <f t="shared" ca="1" si="172"/>
        <v>250</v>
      </c>
      <c r="N370" s="222">
        <f t="shared" ca="1" si="172"/>
        <v>2852.5645747653798</v>
      </c>
      <c r="O370" s="222">
        <f t="shared" ca="1" si="172"/>
        <v>10319.038991656211</v>
      </c>
      <c r="P370" s="222">
        <f t="shared" ca="1" si="172"/>
        <v>18302.867765491643</v>
      </c>
      <c r="Q370" s="222">
        <f t="shared" ca="1" si="172"/>
        <v>26584.615473606311</v>
      </c>
      <c r="R370" s="222">
        <f t="shared" ca="1" si="172"/>
        <v>35077.939792219782</v>
      </c>
    </row>
    <row r="371" spans="1:18">
      <c r="B371" s="89" t="s">
        <v>195</v>
      </c>
      <c r="C371" s="90"/>
      <c r="D371" s="90"/>
      <c r="E371" s="90"/>
      <c r="F371" s="90"/>
      <c r="G371" s="78"/>
      <c r="H371" s="78"/>
      <c r="I371" s="219">
        <f t="shared" ref="I371:R371" ca="1" si="173">I277</f>
        <v>250</v>
      </c>
      <c r="J371" s="219">
        <f t="shared" ca="1" si="173"/>
        <v>250</v>
      </c>
      <c r="K371" s="219">
        <f t="shared" ca="1" si="173"/>
        <v>250</v>
      </c>
      <c r="L371" s="219">
        <f t="shared" ca="1" si="173"/>
        <v>250</v>
      </c>
      <c r="M371" s="219">
        <f t="shared" ca="1" si="173"/>
        <v>2852.5645747653798</v>
      </c>
      <c r="N371" s="219">
        <f t="shared" ca="1" si="173"/>
        <v>10319.038991656211</v>
      </c>
      <c r="O371" s="219">
        <f t="shared" ca="1" si="173"/>
        <v>18302.867765491643</v>
      </c>
      <c r="P371" s="219">
        <f t="shared" ca="1" si="173"/>
        <v>26584.615473606311</v>
      </c>
      <c r="Q371" s="219">
        <f t="shared" ca="1" si="173"/>
        <v>35077.939792219782</v>
      </c>
      <c r="R371" s="219">
        <f t="shared" ca="1" si="173"/>
        <v>43934.283918132453</v>
      </c>
    </row>
    <row r="372" spans="1:18">
      <c r="B372" s="155" t="s">
        <v>219</v>
      </c>
      <c r="C372" s="94"/>
      <c r="D372" s="94"/>
      <c r="E372" s="94"/>
      <c r="F372" s="94"/>
      <c r="G372" s="79"/>
      <c r="H372" s="79"/>
      <c r="I372" s="205">
        <f ca="1">AVERAGE(I370:I371)</f>
        <v>125</v>
      </c>
      <c r="J372" s="205">
        <f t="shared" ref="J372:R372" ca="1" si="174">AVERAGE(J370:J371)</f>
        <v>250</v>
      </c>
      <c r="K372" s="205">
        <f t="shared" ca="1" si="174"/>
        <v>250</v>
      </c>
      <c r="L372" s="205">
        <f t="shared" ca="1" si="174"/>
        <v>250</v>
      </c>
      <c r="M372" s="205">
        <f t="shared" ca="1" si="174"/>
        <v>1551.2822873826899</v>
      </c>
      <c r="N372" s="205">
        <f t="shared" ca="1" si="174"/>
        <v>6585.8017832107953</v>
      </c>
      <c r="O372" s="205">
        <f t="shared" ca="1" si="174"/>
        <v>14310.953378573926</v>
      </c>
      <c r="P372" s="205">
        <f t="shared" ca="1" si="174"/>
        <v>22443.741619548979</v>
      </c>
      <c r="Q372" s="205">
        <f t="shared" ca="1" si="174"/>
        <v>30831.277632913047</v>
      </c>
      <c r="R372" s="205">
        <f t="shared" ca="1" si="174"/>
        <v>39506.111855176117</v>
      </c>
    </row>
    <row r="373" spans="1:18">
      <c r="B373" s="143"/>
      <c r="C373" s="90"/>
      <c r="D373" s="90"/>
      <c r="E373" s="90"/>
      <c r="F373" s="90"/>
      <c r="G373" s="90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</row>
    <row r="374" spans="1:18">
      <c r="B374" s="143" t="s">
        <v>220</v>
      </c>
      <c r="C374" s="90"/>
      <c r="D374" s="90"/>
      <c r="E374" s="90"/>
      <c r="F374" s="90"/>
      <c r="G374" s="158"/>
      <c r="H374" s="156"/>
      <c r="I374" s="156">
        <f ca="1">$K$54</f>
        <v>0.01</v>
      </c>
      <c r="J374" s="156">
        <f ca="1">I374</f>
        <v>0.01</v>
      </c>
      <c r="K374" s="156">
        <f t="shared" ref="K374:R374" ca="1" si="175">J374</f>
        <v>0.01</v>
      </c>
      <c r="L374" s="156">
        <f t="shared" ca="1" si="175"/>
        <v>0.01</v>
      </c>
      <c r="M374" s="156">
        <f t="shared" ca="1" si="175"/>
        <v>0.01</v>
      </c>
      <c r="N374" s="156">
        <f t="shared" ca="1" si="175"/>
        <v>0.01</v>
      </c>
      <c r="O374" s="156">
        <f t="shared" ca="1" si="175"/>
        <v>0.01</v>
      </c>
      <c r="P374" s="156">
        <f t="shared" ca="1" si="175"/>
        <v>0.01</v>
      </c>
      <c r="Q374" s="156">
        <f t="shared" ca="1" si="175"/>
        <v>0.01</v>
      </c>
      <c r="R374" s="156">
        <f t="shared" ca="1" si="175"/>
        <v>0.01</v>
      </c>
    </row>
    <row r="375" spans="1:18">
      <c r="B375" s="155" t="s">
        <v>218</v>
      </c>
      <c r="C375" s="94"/>
      <c r="D375" s="94"/>
      <c r="E375" s="94"/>
      <c r="F375" s="94"/>
      <c r="G375" s="79"/>
      <c r="H375" s="79"/>
      <c r="I375" s="247">
        <f ca="1">-I372*I374</f>
        <v>-1.25</v>
      </c>
      <c r="J375" s="247">
        <f t="shared" ref="J375:R375" ca="1" si="176">-J372*J374</f>
        <v>-2.5</v>
      </c>
      <c r="K375" s="247">
        <f t="shared" ca="1" si="176"/>
        <v>-2.5</v>
      </c>
      <c r="L375" s="247">
        <f t="shared" ca="1" si="176"/>
        <v>-2.5</v>
      </c>
      <c r="M375" s="247">
        <f t="shared" ca="1" si="176"/>
        <v>-15.512822873826899</v>
      </c>
      <c r="N375" s="247">
        <f t="shared" ca="1" si="176"/>
        <v>-65.858017832107947</v>
      </c>
      <c r="O375" s="247">
        <f t="shared" ca="1" si="176"/>
        <v>-143.10953378573927</v>
      </c>
      <c r="P375" s="247">
        <f t="shared" ca="1" si="176"/>
        <v>-224.43741619548979</v>
      </c>
      <c r="Q375" s="247">
        <f t="shared" ca="1" si="176"/>
        <v>-308.31277632913049</v>
      </c>
      <c r="R375" s="247">
        <f t="shared" ca="1" si="176"/>
        <v>-395.06111855176118</v>
      </c>
    </row>
    <row r="376" spans="1:18" ht="4.9000000000000004" customHeight="1">
      <c r="B376" s="157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</row>
    <row r="378" spans="1:18">
      <c r="A378" s="55" t="s">
        <v>51</v>
      </c>
      <c r="B378" s="42" t="s">
        <v>278</v>
      </c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</row>
    <row r="380" spans="1:18">
      <c r="B380" s="25" t="s">
        <v>291</v>
      </c>
      <c r="I380" s="24">
        <f ca="1">SUM(I312,I316,I319,I328)</f>
        <v>0</v>
      </c>
      <c r="J380" s="24">
        <f t="shared" ref="J380:R380" ca="1" si="177">SUM(J312,J316,J319,J328)</f>
        <v>0</v>
      </c>
      <c r="K380" s="24">
        <f t="shared" ca="1" si="177"/>
        <v>0</v>
      </c>
      <c r="L380" s="24">
        <f t="shared" ca="1" si="177"/>
        <v>0</v>
      </c>
      <c r="M380" s="24">
        <f t="shared" ca="1" si="177"/>
        <v>2602.5645747653798</v>
      </c>
      <c r="N380" s="24">
        <f t="shared" ca="1" si="177"/>
        <v>10069.038991656211</v>
      </c>
      <c r="O380" s="24">
        <f t="shared" ca="1" si="177"/>
        <v>18052.867765491643</v>
      </c>
      <c r="P380" s="24">
        <f t="shared" ca="1" si="177"/>
        <v>26334.615473606311</v>
      </c>
      <c r="Q380" s="24">
        <f t="shared" ca="1" si="177"/>
        <v>34827.939792219782</v>
      </c>
      <c r="R380" s="24">
        <f t="shared" ca="1" si="177"/>
        <v>43684.283918132453</v>
      </c>
    </row>
    <row r="381" spans="1:18">
      <c r="B381" s="25" t="s">
        <v>292</v>
      </c>
      <c r="I381" s="260">
        <v>0</v>
      </c>
      <c r="J381" s="257">
        <f>I381</f>
        <v>0</v>
      </c>
      <c r="K381" s="257">
        <f t="shared" ref="K381:R381" si="178">J381</f>
        <v>0</v>
      </c>
      <c r="L381" s="257">
        <f t="shared" si="178"/>
        <v>0</v>
      </c>
      <c r="M381" s="257">
        <f t="shared" si="178"/>
        <v>0</v>
      </c>
      <c r="N381" s="257">
        <f t="shared" si="178"/>
        <v>0</v>
      </c>
      <c r="O381" s="257">
        <f t="shared" si="178"/>
        <v>0</v>
      </c>
      <c r="P381" s="257">
        <f t="shared" si="178"/>
        <v>0</v>
      </c>
      <c r="Q381" s="257">
        <f t="shared" si="178"/>
        <v>0</v>
      </c>
      <c r="R381" s="257">
        <f t="shared" si="178"/>
        <v>0</v>
      </c>
    </row>
    <row r="382" spans="1:18">
      <c r="I382" s="24">
        <f ca="1">I380*I381</f>
        <v>0</v>
      </c>
      <c r="J382" s="24">
        <f t="shared" ref="J382:R382" ca="1" si="179">J380*J381</f>
        <v>0</v>
      </c>
      <c r="K382" s="24">
        <f t="shared" ca="1" si="179"/>
        <v>0</v>
      </c>
      <c r="L382" s="24">
        <f t="shared" ca="1" si="179"/>
        <v>0</v>
      </c>
      <c r="M382" s="24">
        <f t="shared" ca="1" si="179"/>
        <v>0</v>
      </c>
      <c r="N382" s="24">
        <f t="shared" ca="1" si="179"/>
        <v>0</v>
      </c>
      <c r="O382" s="24">
        <f t="shared" ca="1" si="179"/>
        <v>0</v>
      </c>
      <c r="P382" s="24">
        <f t="shared" ca="1" si="179"/>
        <v>0</v>
      </c>
      <c r="Q382" s="24">
        <f t="shared" ca="1" si="179"/>
        <v>0</v>
      </c>
      <c r="R382" s="24">
        <f t="shared" ca="1" si="179"/>
        <v>0</v>
      </c>
    </row>
    <row r="384" spans="1:18">
      <c r="A384" s="55" t="s">
        <v>51</v>
      </c>
      <c r="B384" s="42" t="s">
        <v>221</v>
      </c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</row>
    <row r="386" spans="2:18" ht="13.2" thickBot="1">
      <c r="B386" s="197" t="s">
        <v>222</v>
      </c>
      <c r="C386" s="192"/>
      <c r="D386" s="192"/>
      <c r="E386" s="192"/>
      <c r="F386" s="44"/>
      <c r="G386" s="44"/>
      <c r="H386" s="44"/>
      <c r="I386" s="235">
        <f t="shared" ref="I386:R386" si="180">I339</f>
        <v>43100</v>
      </c>
      <c r="J386" s="235">
        <f t="shared" si="180"/>
        <v>43465</v>
      </c>
      <c r="K386" s="235">
        <f t="shared" si="180"/>
        <v>43830</v>
      </c>
      <c r="L386" s="235">
        <f t="shared" si="180"/>
        <v>44196</v>
      </c>
      <c r="M386" s="235">
        <f t="shared" si="180"/>
        <v>44561</v>
      </c>
      <c r="N386" s="235">
        <f t="shared" si="180"/>
        <v>44926</v>
      </c>
      <c r="O386" s="235">
        <f t="shared" si="180"/>
        <v>45291</v>
      </c>
      <c r="P386" s="235">
        <f t="shared" si="180"/>
        <v>45657</v>
      </c>
      <c r="Q386" s="235">
        <f t="shared" si="180"/>
        <v>46022</v>
      </c>
      <c r="R386" s="235">
        <f t="shared" si="180"/>
        <v>46387</v>
      </c>
    </row>
    <row r="387" spans="2:18">
      <c r="B387" s="90"/>
      <c r="C387" s="90"/>
      <c r="D387" s="90"/>
      <c r="E387" s="90"/>
      <c r="F387" s="90"/>
      <c r="G387" s="90"/>
      <c r="H387" s="90"/>
      <c r="I387" s="91"/>
      <c r="J387" s="91"/>
      <c r="K387" s="91"/>
      <c r="L387" s="91"/>
      <c r="M387" s="91"/>
    </row>
    <row r="388" spans="2:18">
      <c r="B388" s="90" t="s">
        <v>196</v>
      </c>
      <c r="C388" s="90"/>
      <c r="D388" s="90"/>
      <c r="E388" s="90"/>
      <c r="F388" s="90"/>
      <c r="G388" s="90"/>
      <c r="H388" s="78"/>
      <c r="I388" s="240">
        <f ca="1">H205</f>
        <v>10211.25</v>
      </c>
      <c r="J388" s="219">
        <f ca="1">I391</f>
        <v>14000.864364657011</v>
      </c>
      <c r="K388" s="219">
        <f t="shared" ref="K388:R388" ca="1" si="181">J391</f>
        <v>18868.996175294418</v>
      </c>
      <c r="L388" s="219">
        <f t="shared" ca="1" si="181"/>
        <v>24300.59999241792</v>
      </c>
      <c r="M388" s="219">
        <f t="shared" ca="1" si="181"/>
        <v>30230.847629199598</v>
      </c>
      <c r="N388" s="219">
        <f t="shared" ca="1" si="181"/>
        <v>36732.885718705831</v>
      </c>
      <c r="O388" s="219">
        <f t="shared" ca="1" si="181"/>
        <v>43776.166496240658</v>
      </c>
      <c r="P388" s="219">
        <f t="shared" ca="1" si="181"/>
        <v>51161.198471197735</v>
      </c>
      <c r="Q388" s="219">
        <f t="shared" ca="1" si="181"/>
        <v>58731.678335303186</v>
      </c>
      <c r="R388" s="219">
        <f t="shared" ca="1" si="181"/>
        <v>66487.384562706997</v>
      </c>
    </row>
    <row r="389" spans="2:18">
      <c r="B389" s="90" t="s">
        <v>153</v>
      </c>
      <c r="C389" s="90"/>
      <c r="D389" s="90"/>
      <c r="E389" s="90"/>
      <c r="F389" s="90"/>
      <c r="G389" s="90"/>
      <c r="H389" s="78"/>
      <c r="I389" s="219">
        <f t="shared" ref="I389:R389" ca="1" si="182">I151</f>
        <v>4971.9838353444929</v>
      </c>
      <c r="J389" s="219">
        <f t="shared" ca="1" si="182"/>
        <v>6448.1137377252753</v>
      </c>
      <c r="K389" s="219">
        <f t="shared" ca="1" si="182"/>
        <v>7714.1888029497131</v>
      </c>
      <c r="L389" s="219">
        <f t="shared" ca="1" si="182"/>
        <v>8943.5249519576519</v>
      </c>
      <c r="M389" s="219">
        <f t="shared" ca="1" si="182"/>
        <v>10313.785193462552</v>
      </c>
      <c r="N389" s="219">
        <f t="shared" ca="1" si="182"/>
        <v>11493.825493768114</v>
      </c>
      <c r="O389" s="219">
        <f t="shared" ca="1" si="182"/>
        <v>12301.810832277908</v>
      </c>
      <c r="P389" s="219">
        <f t="shared" ca="1" si="182"/>
        <v>13022.786924612265</v>
      </c>
      <c r="Q389" s="219">
        <f t="shared" ca="1" si="182"/>
        <v>13780.792905166749</v>
      </c>
      <c r="R389" s="219">
        <f t="shared" ca="1" si="182"/>
        <v>14577.878398831264</v>
      </c>
    </row>
    <row r="390" spans="2:18">
      <c r="B390" s="90" t="s">
        <v>438</v>
      </c>
      <c r="C390" s="90"/>
      <c r="D390" s="90"/>
      <c r="E390" s="90"/>
      <c r="F390" s="90"/>
      <c r="G390" s="90"/>
      <c r="H390" s="128"/>
      <c r="I390" s="271">
        <f ca="1">SUM(I270:I272)+I328</f>
        <v>-1182.3694706874826</v>
      </c>
      <c r="J390" s="271">
        <f t="shared" ref="J390:R390" ca="1" si="183">SUM(J270:J272)+J328</f>
        <v>-1579.9819270878672</v>
      </c>
      <c r="K390" s="271">
        <f t="shared" ca="1" si="183"/>
        <v>-2282.5849858262109</v>
      </c>
      <c r="L390" s="271">
        <f t="shared" ca="1" si="183"/>
        <v>-3013.2773151759757</v>
      </c>
      <c r="M390" s="271">
        <f t="shared" ca="1" si="183"/>
        <v>-3811.7471039563206</v>
      </c>
      <c r="N390" s="271">
        <f t="shared" ca="1" si="183"/>
        <v>-4450.5447162332839</v>
      </c>
      <c r="O390" s="271">
        <f t="shared" ca="1" si="183"/>
        <v>-4916.7788573208309</v>
      </c>
      <c r="P390" s="271">
        <f t="shared" ca="1" si="183"/>
        <v>-5452.3070605068133</v>
      </c>
      <c r="Q390" s="271">
        <f t="shared" ca="1" si="183"/>
        <v>-6025.0866777629462</v>
      </c>
      <c r="R390" s="271">
        <f t="shared" ca="1" si="183"/>
        <v>-6484.3201236887535</v>
      </c>
    </row>
    <row r="391" spans="2:18">
      <c r="B391" s="94" t="s">
        <v>203</v>
      </c>
      <c r="C391" s="94"/>
      <c r="D391" s="94"/>
      <c r="E391" s="94"/>
      <c r="F391" s="94"/>
      <c r="G391" s="94"/>
      <c r="H391" s="79"/>
      <c r="I391" s="205">
        <f t="shared" ref="I391:R391" ca="1" si="184">SUM(I388:I390)</f>
        <v>14000.864364657011</v>
      </c>
      <c r="J391" s="205">
        <f t="shared" ca="1" si="184"/>
        <v>18868.996175294418</v>
      </c>
      <c r="K391" s="205">
        <f t="shared" ca="1" si="184"/>
        <v>24300.59999241792</v>
      </c>
      <c r="L391" s="205">
        <f t="shared" ca="1" si="184"/>
        <v>30230.847629199598</v>
      </c>
      <c r="M391" s="205">
        <f t="shared" ca="1" si="184"/>
        <v>36732.885718705831</v>
      </c>
      <c r="N391" s="205">
        <f t="shared" ca="1" si="184"/>
        <v>43776.166496240658</v>
      </c>
      <c r="O391" s="205">
        <f t="shared" ca="1" si="184"/>
        <v>51161.198471197735</v>
      </c>
      <c r="P391" s="205">
        <f t="shared" ca="1" si="184"/>
        <v>58731.678335303186</v>
      </c>
      <c r="Q391" s="205">
        <f t="shared" ca="1" si="184"/>
        <v>66487.384562706997</v>
      </c>
      <c r="R391" s="205">
        <f t="shared" ca="1" si="184"/>
        <v>74580.942837849507</v>
      </c>
    </row>
    <row r="392" spans="2:18" ht="4.9000000000000004" customHeight="1"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</row>
    <row r="393" spans="2:18"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</row>
    <row r="394" spans="2:18" ht="13.2" thickBot="1">
      <c r="B394" s="197" t="s">
        <v>223</v>
      </c>
      <c r="C394" s="192"/>
      <c r="D394" s="192"/>
      <c r="E394" s="192"/>
      <c r="F394" s="44"/>
      <c r="G394" s="44"/>
      <c r="H394" s="192"/>
      <c r="I394" s="235">
        <f t="shared" ref="I394:R394" si="185">I386</f>
        <v>43100</v>
      </c>
      <c r="J394" s="235">
        <f t="shared" si="185"/>
        <v>43465</v>
      </c>
      <c r="K394" s="235">
        <f t="shared" si="185"/>
        <v>43830</v>
      </c>
      <c r="L394" s="235">
        <f t="shared" si="185"/>
        <v>44196</v>
      </c>
      <c r="M394" s="235">
        <f t="shared" si="185"/>
        <v>44561</v>
      </c>
      <c r="N394" s="235">
        <f t="shared" si="185"/>
        <v>44926</v>
      </c>
      <c r="O394" s="235">
        <f t="shared" si="185"/>
        <v>45291</v>
      </c>
      <c r="P394" s="235">
        <f t="shared" si="185"/>
        <v>45657</v>
      </c>
      <c r="Q394" s="235">
        <f t="shared" si="185"/>
        <v>46022</v>
      </c>
      <c r="R394" s="235">
        <f t="shared" si="185"/>
        <v>46387</v>
      </c>
    </row>
    <row r="395" spans="2:18">
      <c r="B395" s="90"/>
      <c r="C395" s="90"/>
      <c r="D395" s="90"/>
      <c r="E395" s="90"/>
      <c r="F395" s="90"/>
      <c r="G395" s="90"/>
      <c r="H395" s="90"/>
      <c r="I395" s="91"/>
      <c r="J395" s="91"/>
      <c r="K395" s="91"/>
      <c r="L395" s="91"/>
      <c r="M395" s="91"/>
    </row>
    <row r="396" spans="2:18">
      <c r="B396" s="90" t="s">
        <v>196</v>
      </c>
      <c r="C396" s="90"/>
      <c r="D396" s="90"/>
      <c r="E396" s="90"/>
      <c r="F396" s="90"/>
      <c r="G396" s="119"/>
      <c r="H396" s="102"/>
      <c r="I396" s="240">
        <f>H182</f>
        <v>10342.629000000001</v>
      </c>
      <c r="J396" s="219">
        <f ca="1">I399</f>
        <v>9783.3661000000011</v>
      </c>
      <c r="K396" s="219">
        <f t="shared" ref="K396:R396" ca="1" si="186">J399</f>
        <v>9649.1032000000014</v>
      </c>
      <c r="L396" s="219">
        <f t="shared" ca="1" si="186"/>
        <v>10364.840300000002</v>
      </c>
      <c r="M396" s="219">
        <f t="shared" ca="1" si="186"/>
        <v>9930.5774000000019</v>
      </c>
      <c r="N396" s="219">
        <f t="shared" ca="1" si="186"/>
        <v>9158.8145000000022</v>
      </c>
      <c r="O396" s="219">
        <f t="shared" ca="1" si="186"/>
        <v>8074.5516000000025</v>
      </c>
      <c r="P396" s="219">
        <f t="shared" ca="1" si="186"/>
        <v>6940.2887000000028</v>
      </c>
      <c r="Q396" s="219">
        <f t="shared" ca="1" si="186"/>
        <v>5756.0258000000031</v>
      </c>
      <c r="R396" s="219">
        <f t="shared" ca="1" si="186"/>
        <v>4521.7629000000034</v>
      </c>
    </row>
    <row r="397" spans="2:18">
      <c r="B397" s="9" t="s">
        <v>224</v>
      </c>
      <c r="C397" s="90"/>
      <c r="D397" s="90"/>
      <c r="E397" s="90"/>
      <c r="F397" s="90"/>
      <c r="G397" s="119"/>
      <c r="H397" s="102"/>
      <c r="I397" s="219">
        <f t="shared" ref="I397:R397" ca="1" si="187">-I154</f>
        <v>-1059.2629000000002</v>
      </c>
      <c r="J397" s="219">
        <f t="shared" ca="1" si="187"/>
        <v>-1134.2629000000002</v>
      </c>
      <c r="K397" s="219">
        <f t="shared" ca="1" si="187"/>
        <v>-1284.2629000000002</v>
      </c>
      <c r="L397" s="219">
        <f t="shared" ca="1" si="187"/>
        <v>-1434.2629000000002</v>
      </c>
      <c r="M397" s="219">
        <f t="shared" ca="1" si="187"/>
        <v>-1521.7629000000002</v>
      </c>
      <c r="N397" s="219">
        <f t="shared" ca="1" si="187"/>
        <v>-1584.2629000000002</v>
      </c>
      <c r="O397" s="219">
        <f t="shared" ca="1" si="187"/>
        <v>-1634.2629000000002</v>
      </c>
      <c r="P397" s="219">
        <f t="shared" ca="1" si="187"/>
        <v>-1684.2629000000002</v>
      </c>
      <c r="Q397" s="219">
        <f t="shared" ca="1" si="187"/>
        <v>-1734.2629000000002</v>
      </c>
      <c r="R397" s="219">
        <f t="shared" ca="1" si="187"/>
        <v>-1784.2628999999995</v>
      </c>
    </row>
    <row r="398" spans="2:18">
      <c r="B398" s="9" t="s">
        <v>225</v>
      </c>
      <c r="C398" s="90"/>
      <c r="D398" s="90"/>
      <c r="E398" s="90"/>
      <c r="F398" s="90"/>
      <c r="G398" s="119"/>
      <c r="H398" s="102"/>
      <c r="I398" s="219">
        <f ca="1">I513</f>
        <v>500</v>
      </c>
      <c r="J398" s="219">
        <f t="shared" ref="J398:R398" ca="1" si="188">J513</f>
        <v>1000</v>
      </c>
      <c r="K398" s="219">
        <f t="shared" ca="1" si="188"/>
        <v>2000</v>
      </c>
      <c r="L398" s="219">
        <f t="shared" ca="1" si="188"/>
        <v>1000</v>
      </c>
      <c r="M398" s="219">
        <f t="shared" ca="1" si="188"/>
        <v>750</v>
      </c>
      <c r="N398" s="219">
        <f t="shared" ca="1" si="188"/>
        <v>500</v>
      </c>
      <c r="O398" s="219">
        <f t="shared" ca="1" si="188"/>
        <v>500</v>
      </c>
      <c r="P398" s="219">
        <f t="shared" ca="1" si="188"/>
        <v>500</v>
      </c>
      <c r="Q398" s="219">
        <f t="shared" ca="1" si="188"/>
        <v>500</v>
      </c>
      <c r="R398" s="219">
        <f t="shared" ca="1" si="188"/>
        <v>500</v>
      </c>
    </row>
    <row r="399" spans="2:18">
      <c r="B399" s="159" t="s">
        <v>203</v>
      </c>
      <c r="C399" s="94"/>
      <c r="D399" s="94"/>
      <c r="E399" s="94"/>
      <c r="F399" s="94"/>
      <c r="G399" s="160"/>
      <c r="H399" s="109"/>
      <c r="I399" s="205">
        <f ca="1">SUM(I396:I398)</f>
        <v>9783.3661000000011</v>
      </c>
      <c r="J399" s="205">
        <f t="shared" ref="J399:R399" ca="1" si="189">SUM(J396:J398)</f>
        <v>9649.1032000000014</v>
      </c>
      <c r="K399" s="205">
        <f t="shared" ca="1" si="189"/>
        <v>10364.840300000002</v>
      </c>
      <c r="L399" s="205">
        <f t="shared" ca="1" si="189"/>
        <v>9930.5774000000019</v>
      </c>
      <c r="M399" s="205">
        <f t="shared" ca="1" si="189"/>
        <v>9158.8145000000022</v>
      </c>
      <c r="N399" s="205">
        <f t="shared" ca="1" si="189"/>
        <v>8074.5516000000025</v>
      </c>
      <c r="O399" s="205">
        <f t="shared" ca="1" si="189"/>
        <v>6940.2887000000028</v>
      </c>
      <c r="P399" s="205">
        <f t="shared" ca="1" si="189"/>
        <v>5756.0258000000031</v>
      </c>
      <c r="Q399" s="205">
        <f t="shared" ca="1" si="189"/>
        <v>4521.7629000000034</v>
      </c>
      <c r="R399" s="205">
        <f t="shared" ca="1" si="189"/>
        <v>3237.5000000000036</v>
      </c>
    </row>
    <row r="400" spans="2:18" ht="4.9000000000000004" customHeight="1"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</row>
    <row r="402" spans="1:18">
      <c r="A402" s="55" t="s">
        <v>51</v>
      </c>
      <c r="B402" s="42" t="s">
        <v>240</v>
      </c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</row>
    <row r="404" spans="1:18">
      <c r="B404" s="25" t="s">
        <v>226</v>
      </c>
      <c r="D404" s="239" t="s">
        <v>227</v>
      </c>
      <c r="E404" s="162"/>
      <c r="F404" s="162"/>
      <c r="G404" s="162"/>
      <c r="L404" s="166"/>
      <c r="M404" s="167"/>
      <c r="N404" s="167"/>
      <c r="O404" s="167"/>
      <c r="P404" s="167"/>
      <c r="Q404" s="167"/>
      <c r="R404" s="167"/>
    </row>
    <row r="405" spans="1:18" ht="13.2" thickBot="1">
      <c r="E405" s="162"/>
      <c r="F405" s="162"/>
      <c r="G405" s="162"/>
      <c r="I405" s="235">
        <v>42736</v>
      </c>
      <c r="J405" s="235">
        <f>EOMONTH(I405,12)</f>
        <v>43131</v>
      </c>
      <c r="K405" s="235">
        <f t="shared" ref="K405:R405" si="190">EOMONTH(J405,12)</f>
        <v>43496</v>
      </c>
      <c r="L405" s="235">
        <f t="shared" si="190"/>
        <v>43861</v>
      </c>
      <c r="M405" s="235">
        <f t="shared" si="190"/>
        <v>44227</v>
      </c>
      <c r="N405" s="235">
        <f t="shared" si="190"/>
        <v>44592</v>
      </c>
      <c r="O405" s="235">
        <f t="shared" si="190"/>
        <v>44957</v>
      </c>
      <c r="P405" s="235">
        <f t="shared" si="190"/>
        <v>45322</v>
      </c>
      <c r="Q405" s="235">
        <f t="shared" si="190"/>
        <v>45688</v>
      </c>
      <c r="R405" s="235">
        <f t="shared" si="190"/>
        <v>46053</v>
      </c>
    </row>
    <row r="406" spans="1:18">
      <c r="B406" s="25" t="s">
        <v>228</v>
      </c>
      <c r="E406" s="163" t="s">
        <v>229</v>
      </c>
      <c r="F406" s="24">
        <f>$G$103</f>
        <v>478.49677000000003</v>
      </c>
      <c r="G406" s="163" t="s">
        <v>230</v>
      </c>
      <c r="H406" s="168">
        <v>10</v>
      </c>
      <c r="I406" s="24">
        <f>$F406/$H406</f>
        <v>47.849677</v>
      </c>
      <c r="J406" s="24">
        <f>+MIN($F406-SUM($I406:I406),$F406/$H406)</f>
        <v>47.849677</v>
      </c>
      <c r="K406" s="24">
        <f>+MIN($F406-SUM($I406:J406),$F406/$H406)</f>
        <v>47.849677</v>
      </c>
      <c r="L406" s="24">
        <f>+MIN($F406-SUM($I406:K406),$F406/$H406)</f>
        <v>47.849677</v>
      </c>
      <c r="M406" s="24">
        <f>+MIN($F406-SUM($I406:L406),$F406/$H406)</f>
        <v>47.849677</v>
      </c>
      <c r="N406" s="24">
        <f>+MIN($F406-SUM($I406:M406),$F406/$H406)</f>
        <v>47.849677</v>
      </c>
      <c r="O406" s="24">
        <f>+MIN($F406-SUM($I406:N406),$F406/$H406)</f>
        <v>47.849677</v>
      </c>
      <c r="P406" s="24">
        <f>+MIN($F406-SUM($I406:O406),$F406/$H406)</f>
        <v>47.849677</v>
      </c>
      <c r="Q406" s="24">
        <f>+MIN($F406-SUM($I406:P406),$F406/$H406)</f>
        <v>47.849677</v>
      </c>
      <c r="R406" s="24">
        <f>+MIN($F406-SUM($I406:Q406),$F406/$H406)</f>
        <v>47.849677</v>
      </c>
    </row>
    <row r="407" spans="1:18">
      <c r="L407" s="161"/>
      <c r="M407" s="161"/>
      <c r="N407" s="161"/>
      <c r="O407" s="161"/>
      <c r="P407" s="161"/>
      <c r="Q407" s="161"/>
      <c r="R407" s="161"/>
    </row>
    <row r="408" spans="1:18">
      <c r="G408" s="164" t="s">
        <v>231</v>
      </c>
      <c r="H408" s="164" t="s">
        <v>232</v>
      </c>
      <c r="L408" s="161"/>
      <c r="M408" s="161"/>
      <c r="N408" s="161"/>
      <c r="O408" s="161"/>
      <c r="P408" s="161"/>
      <c r="Q408" s="161"/>
      <c r="R408" s="161"/>
    </row>
    <row r="409" spans="1:18">
      <c r="G409" s="165">
        <f>I405</f>
        <v>42736</v>
      </c>
      <c r="H409" s="24">
        <f ca="1">-I261</f>
        <v>500</v>
      </c>
      <c r="I409" s="24">
        <f ca="1">+IF(Mid_Year="Yes",0.5*$H409/$H406,$H409/$H406)</f>
        <v>25</v>
      </c>
      <c r="J409" s="24">
        <f ca="1">+MIN($H409-SUM($I409:I409),$H409/$H406)</f>
        <v>50</v>
      </c>
      <c r="K409" s="24">
        <f ca="1">+MIN($H409-SUM($I409:J409),$H409/$H$406)</f>
        <v>50</v>
      </c>
      <c r="L409" s="24">
        <f ca="1">+MIN($H409-SUM($I409:K409),$H409/$H$406)</f>
        <v>50</v>
      </c>
      <c r="M409" s="24">
        <f ca="1">+MIN($H409-SUM($I409:L409),$H409/$H$406)</f>
        <v>50</v>
      </c>
      <c r="N409" s="24">
        <f ca="1">+MIN($H409-SUM($I409:M409),$H409/$H$406)</f>
        <v>50</v>
      </c>
      <c r="O409" s="24">
        <f ca="1">+MIN($H409-SUM($I409:N409),$H409/$H$406)</f>
        <v>50</v>
      </c>
      <c r="P409" s="24">
        <f ca="1">+MIN($H409-SUM($I409:O409),$H409/$H$406)</f>
        <v>50</v>
      </c>
      <c r="Q409" s="24">
        <f ca="1">+MIN($H409-SUM($I409:P409),$H409/$H$406)</f>
        <v>50</v>
      </c>
      <c r="R409" s="24">
        <f ca="1">+MIN($H409-SUM($I409:Q409),$H409/$H$406)</f>
        <v>50</v>
      </c>
    </row>
    <row r="410" spans="1:18">
      <c r="G410" s="165">
        <f>J405</f>
        <v>43131</v>
      </c>
      <c r="H410" s="24">
        <f ca="1">-J261</f>
        <v>1000</v>
      </c>
      <c r="J410" s="24">
        <f ca="1">+IF(Mid_Year="Yes",0.5*$H410/$H$406,$H410/$H$406)</f>
        <v>50</v>
      </c>
      <c r="K410" s="24">
        <f ca="1">+MIN($H410-SUM($I410:J410),$H410/$H$406)</f>
        <v>100</v>
      </c>
      <c r="L410" s="24">
        <f ca="1">+MIN($H410-SUM($I410:K410),$H410/$H$406)</f>
        <v>100</v>
      </c>
      <c r="M410" s="24">
        <f ca="1">+MIN($H410-SUM($I410:L410),$H410/$H$406)</f>
        <v>100</v>
      </c>
      <c r="N410" s="24">
        <f ca="1">+MIN($H410-SUM($I410:M410),$H410/$H$406)</f>
        <v>100</v>
      </c>
      <c r="O410" s="24">
        <f ca="1">+MIN($H410-SUM($I410:N410),$H410/$H$406)</f>
        <v>100</v>
      </c>
      <c r="P410" s="24">
        <f ca="1">+MIN($H410-SUM($I410:O410),$H410/$H$406)</f>
        <v>100</v>
      </c>
      <c r="Q410" s="24">
        <f ca="1">+MIN($H410-SUM($I410:P410),$H410/$H$406)</f>
        <v>100</v>
      </c>
      <c r="R410" s="24">
        <f ca="1">+MIN($H410-SUM($I410:Q410),$H410/$H$406)</f>
        <v>100</v>
      </c>
    </row>
    <row r="411" spans="1:18">
      <c r="G411" s="165">
        <f>+K405</f>
        <v>43496</v>
      </c>
      <c r="H411" s="24">
        <f ca="1">-+K261</f>
        <v>2000</v>
      </c>
      <c r="K411" s="24">
        <f ca="1">+IF(Mid_Year="Yes",0.5*$H411/$H$406,$H411/$H$406)</f>
        <v>100</v>
      </c>
      <c r="L411" s="24">
        <f ca="1">+MIN($H411-SUM($I411:K411),$H411/$H$406)</f>
        <v>200</v>
      </c>
      <c r="M411" s="24">
        <f ca="1">+MIN($H411-SUM($I411:L411),$H411/$H$406)</f>
        <v>200</v>
      </c>
      <c r="N411" s="24">
        <f ca="1">+MIN($H411-SUM($I411:M411),$H411/$H$406)</f>
        <v>200</v>
      </c>
      <c r="O411" s="24">
        <f ca="1">+MIN($H411-SUM($I411:N411),$H411/$H$406)</f>
        <v>200</v>
      </c>
      <c r="P411" s="24">
        <f ca="1">+MIN($H411-SUM($I411:O411),$H411/$H$406)</f>
        <v>200</v>
      </c>
      <c r="Q411" s="24">
        <f ca="1">+MIN($H411-SUM($I411:P411),$H411/$H$406)</f>
        <v>200</v>
      </c>
      <c r="R411" s="24">
        <f ca="1">+MIN($H411-SUM($I411:Q411),$H411/$H$406)</f>
        <v>200</v>
      </c>
    </row>
    <row r="412" spans="1:18">
      <c r="G412" s="165">
        <f>+L405</f>
        <v>43861</v>
      </c>
      <c r="H412" s="24">
        <f ca="1">-+L261</f>
        <v>1000</v>
      </c>
      <c r="L412" s="24">
        <f ca="1">+IF(Mid_Year="Yes",0.5*$H412/$H$406,$H412/$H$406)</f>
        <v>50</v>
      </c>
      <c r="M412" s="24">
        <f ca="1">+MIN($H412-SUM($I412:L412),$H412/$H$406)</f>
        <v>100</v>
      </c>
      <c r="N412" s="24">
        <f ca="1">+MIN($H412-SUM($I412:M412),$H412/$H$406)</f>
        <v>100</v>
      </c>
      <c r="O412" s="24">
        <f ca="1">+MIN($H412-SUM($I412:N412),$H412/$H$406)</f>
        <v>100</v>
      </c>
      <c r="P412" s="24">
        <f ca="1">+MIN($H412-SUM($I412:O412),$H412/$H$406)</f>
        <v>100</v>
      </c>
      <c r="Q412" s="24">
        <f ca="1">+MIN($H412-SUM($I412:P412),$H412/$H$406)</f>
        <v>100</v>
      </c>
      <c r="R412" s="24">
        <f ca="1">+MIN($H412-SUM($I412:Q412),$H412/$H$406)</f>
        <v>100</v>
      </c>
    </row>
    <row r="413" spans="1:18">
      <c r="G413" s="165">
        <f>+M405</f>
        <v>44227</v>
      </c>
      <c r="H413" s="24">
        <f ca="1">-+M261</f>
        <v>750</v>
      </c>
      <c r="L413" s="24"/>
      <c r="M413" s="24">
        <f ca="1">+IF(Mid_Year="Yes",0.5*$H413/$H$406,$H413/$H$406)</f>
        <v>37.5</v>
      </c>
      <c r="N413" s="24">
        <f ca="1">+MIN($H413-SUM($I413:M413),$H413/$H$406)</f>
        <v>75</v>
      </c>
      <c r="O413" s="24">
        <f ca="1">+MIN($H413-SUM($I413:N413),$H413/$H$406)</f>
        <v>75</v>
      </c>
      <c r="P413" s="24">
        <f ca="1">+MIN($H413-SUM($I413:O413),$H413/$H$406)</f>
        <v>75</v>
      </c>
      <c r="Q413" s="24">
        <f ca="1">+MIN($H413-SUM($I413:P413),$H413/$H$406)</f>
        <v>75</v>
      </c>
      <c r="R413" s="24">
        <f ca="1">+MIN($H413-SUM($I413:Q413),$H413/$H$406)</f>
        <v>75</v>
      </c>
    </row>
    <row r="414" spans="1:18">
      <c r="G414" s="165">
        <f>+N405</f>
        <v>44592</v>
      </c>
      <c r="H414" s="24">
        <f ca="1">-+N261</f>
        <v>500</v>
      </c>
      <c r="L414" s="24"/>
      <c r="M414" s="24"/>
      <c r="N414" s="24">
        <f ca="1">+IF(Mid_Year="Yes",0.5*$H414/$H$406,$H414/$H$406)</f>
        <v>25</v>
      </c>
      <c r="O414" s="24">
        <f ca="1">+MIN($H414-SUM($I414:N414),$H414/$H$406)</f>
        <v>50</v>
      </c>
      <c r="P414" s="24">
        <f ca="1">+MIN($H414-SUM($I414:O414),$H414/$H$406)</f>
        <v>50</v>
      </c>
      <c r="Q414" s="24">
        <f ca="1">+MIN($H414-SUM($I414:P414),$H414/$H$406)</f>
        <v>50</v>
      </c>
      <c r="R414" s="24">
        <f ca="1">+MIN($H414-SUM($I414:Q414),$H414/$H$406)</f>
        <v>50</v>
      </c>
    </row>
    <row r="415" spans="1:18">
      <c r="G415" s="165">
        <f>+O405</f>
        <v>44957</v>
      </c>
      <c r="H415" s="24">
        <f ca="1">-+O261</f>
        <v>500</v>
      </c>
      <c r="L415" s="24"/>
      <c r="M415" s="24"/>
      <c r="N415" s="24"/>
      <c r="O415" s="24">
        <f ca="1">+IF(Mid_Year="Yes",0.5*$H415/$H$406,$H415/$H$406)</f>
        <v>25</v>
      </c>
      <c r="P415" s="24">
        <f ca="1">+MIN($H415-SUM($I415:O415),$H415/$H$406)</f>
        <v>50</v>
      </c>
      <c r="Q415" s="24">
        <f ca="1">+MIN($H415-SUM($I415:P415),$H415/$H$406)</f>
        <v>50</v>
      </c>
      <c r="R415" s="24">
        <f ca="1">+MIN($H415-SUM($I415:Q415),$H415/$H$406)</f>
        <v>50</v>
      </c>
    </row>
    <row r="416" spans="1:18">
      <c r="G416" s="165">
        <f>+P405</f>
        <v>45322</v>
      </c>
      <c r="H416" s="24">
        <f ca="1">-+P261</f>
        <v>500</v>
      </c>
      <c r="L416" s="24"/>
      <c r="M416" s="24"/>
      <c r="N416" s="24"/>
      <c r="O416" s="24"/>
      <c r="P416" s="24">
        <f ca="1">+IF(Mid_Year="Yes",0.5*$H416/$H$406,$H416/$H$406)</f>
        <v>25</v>
      </c>
      <c r="Q416" s="24">
        <f ca="1">+MIN($H416-SUM($I416:P416),$H416/$H$406)</f>
        <v>50</v>
      </c>
      <c r="R416" s="24">
        <f ca="1">+MIN($H416-SUM($I416:Q416),$H416/$H$406)</f>
        <v>50</v>
      </c>
    </row>
    <row r="417" spans="2:18">
      <c r="G417" s="165">
        <f>+Q405</f>
        <v>45688</v>
      </c>
      <c r="H417" s="24">
        <f ca="1">-+Q261</f>
        <v>500</v>
      </c>
      <c r="L417" s="24"/>
      <c r="M417" s="24"/>
      <c r="N417" s="24"/>
      <c r="O417" s="24"/>
      <c r="P417" s="24"/>
      <c r="Q417" s="24">
        <f ca="1">+IF(Mid_Year="Yes",0.5*$H417/$H$406,$H417/$H$406)</f>
        <v>25</v>
      </c>
      <c r="R417" s="24">
        <f ca="1">+MIN($H417-SUM($I417:Q417),$H417/$H$406)</f>
        <v>50</v>
      </c>
    </row>
    <row r="418" spans="2:18">
      <c r="G418" s="165">
        <f>+R405</f>
        <v>46053</v>
      </c>
      <c r="H418" s="24">
        <f ca="1">-+R261</f>
        <v>500</v>
      </c>
      <c r="I418" s="61"/>
      <c r="J418" s="61"/>
      <c r="K418" s="61"/>
      <c r="L418" s="61"/>
      <c r="M418" s="61"/>
      <c r="N418" s="61"/>
      <c r="O418" s="61"/>
      <c r="P418" s="61"/>
      <c r="Q418" s="61"/>
      <c r="R418" s="61">
        <f ca="1">+IF(Mid_Year="Yes",0.5*$H418/$H$406,$H418/$H$406)</f>
        <v>25</v>
      </c>
    </row>
    <row r="419" spans="2:18">
      <c r="B419" s="25" t="s">
        <v>233</v>
      </c>
      <c r="E419" s="162"/>
      <c r="F419" s="162"/>
      <c r="G419" s="162"/>
      <c r="I419" s="30">
        <f ca="1">SUM(I406:I418)</f>
        <v>72.849677</v>
      </c>
      <c r="J419" s="30">
        <f t="shared" ref="J419:R419" ca="1" si="191">SUM(J406:J418)</f>
        <v>147.84967699999999</v>
      </c>
      <c r="K419" s="30">
        <f t="shared" ca="1" si="191"/>
        <v>297.84967699999999</v>
      </c>
      <c r="L419" s="30">
        <f t="shared" ca="1" si="191"/>
        <v>447.84967699999999</v>
      </c>
      <c r="M419" s="30">
        <f t="shared" ca="1" si="191"/>
        <v>535.34967699999993</v>
      </c>
      <c r="N419" s="30">
        <f t="shared" ca="1" si="191"/>
        <v>597.84967699999993</v>
      </c>
      <c r="O419" s="30">
        <f t="shared" ca="1" si="191"/>
        <v>647.84967699999993</v>
      </c>
      <c r="P419" s="30">
        <f t="shared" ca="1" si="191"/>
        <v>697.84967699999993</v>
      </c>
      <c r="Q419" s="30">
        <f t="shared" ca="1" si="191"/>
        <v>747.84967699999993</v>
      </c>
      <c r="R419" s="30">
        <f t="shared" ca="1" si="191"/>
        <v>797.84967699999993</v>
      </c>
    </row>
    <row r="421" spans="2:18">
      <c r="B421" s="67" t="s">
        <v>234</v>
      </c>
      <c r="E421" s="162"/>
      <c r="F421" s="162"/>
      <c r="G421" s="162"/>
    </row>
    <row r="422" spans="2:18">
      <c r="B422" s="25" t="s">
        <v>237</v>
      </c>
      <c r="E422" s="163" t="s">
        <v>239</v>
      </c>
      <c r="F422" s="387">
        <f>-$F$41</f>
        <v>9864.1322300000011</v>
      </c>
      <c r="G422" s="163" t="s">
        <v>230</v>
      </c>
      <c r="H422" s="168">
        <v>10</v>
      </c>
      <c r="I422" s="30">
        <f>F422/H422</f>
        <v>986.41322300000013</v>
      </c>
      <c r="J422" s="24">
        <f>+MIN($F422-SUM($I422:I422),$F422/$H422)</f>
        <v>986.41322300000013</v>
      </c>
      <c r="K422" s="24">
        <f>+MIN($F422-SUM($I422:J422),$F422/$H422)</f>
        <v>986.41322300000013</v>
      </c>
      <c r="L422" s="24">
        <f>+MIN($F422-SUM($I422:K422),$F422/$H422)</f>
        <v>986.41322300000013</v>
      </c>
      <c r="M422" s="24">
        <f>+MIN($F422-SUM($I422:L422),$F422/$H422)</f>
        <v>986.41322300000013</v>
      </c>
      <c r="N422" s="24">
        <f>+MIN($F422-SUM($I422:M422),$F422/$H422)</f>
        <v>986.41322300000013</v>
      </c>
      <c r="O422" s="24">
        <f>+MIN($F422-SUM($I422:N422),$F422/$H422)</f>
        <v>986.41322300000013</v>
      </c>
      <c r="P422" s="24">
        <f>+MIN($F422-SUM($I422:O422),$F422/$H422)</f>
        <v>986.41322300000013</v>
      </c>
      <c r="Q422" s="24">
        <f>+MIN($F422-SUM($I422:P422),$F422/$H422)</f>
        <v>986.41322300000013</v>
      </c>
      <c r="R422" s="24">
        <f>+MIN($F422-SUM($I422:Q422),$F422/$H422)</f>
        <v>986.41322299999956</v>
      </c>
    </row>
    <row r="423" spans="2:18">
      <c r="B423" s="25" t="s">
        <v>238</v>
      </c>
      <c r="E423" s="163" t="s">
        <v>239</v>
      </c>
      <c r="F423" s="306">
        <v>0</v>
      </c>
      <c r="G423" s="163" t="s">
        <v>230</v>
      </c>
      <c r="H423" s="306">
        <v>0</v>
      </c>
      <c r="I423" s="30">
        <v>0</v>
      </c>
      <c r="J423" s="30">
        <v>0</v>
      </c>
      <c r="K423" s="30">
        <v>0</v>
      </c>
      <c r="L423" s="30">
        <v>0</v>
      </c>
      <c r="M423" s="24">
        <v>0</v>
      </c>
      <c r="N423" s="24">
        <v>0</v>
      </c>
      <c r="O423" s="24">
        <v>0</v>
      </c>
      <c r="P423" s="24">
        <v>0</v>
      </c>
      <c r="Q423" s="24">
        <v>0</v>
      </c>
      <c r="R423" s="24">
        <v>0</v>
      </c>
    </row>
    <row r="424" spans="2:18" ht="11.25" customHeight="1">
      <c r="E424" s="20"/>
      <c r="G424" s="163"/>
      <c r="L424" s="24"/>
      <c r="M424" s="24"/>
      <c r="N424" s="24"/>
      <c r="O424" s="24"/>
      <c r="P424" s="24"/>
      <c r="Q424" s="24"/>
      <c r="R424" s="24"/>
    </row>
    <row r="425" spans="2:18">
      <c r="B425" s="67" t="s">
        <v>235</v>
      </c>
      <c r="E425" s="20"/>
      <c r="G425" s="163"/>
      <c r="L425" s="24"/>
      <c r="M425" s="24"/>
      <c r="N425" s="24"/>
      <c r="O425" s="24"/>
      <c r="P425" s="24"/>
      <c r="Q425" s="24"/>
      <c r="R425" s="24"/>
    </row>
    <row r="426" spans="2:18">
      <c r="B426" s="25" t="s">
        <v>228</v>
      </c>
      <c r="E426" s="163" t="s">
        <v>239</v>
      </c>
      <c r="F426" s="38">
        <f>F406</f>
        <v>478.49677000000003</v>
      </c>
      <c r="G426" s="163" t="s">
        <v>230</v>
      </c>
      <c r="H426" s="168">
        <v>7</v>
      </c>
      <c r="I426" s="270">
        <f t="shared" ref="I426:R426" si="192">$F426*INDEX($B$444:$R$446,MATCH($H$426,$B$444:$B$446,0),MATCH(I$442,$B$442:$R$442,0))</f>
        <v>68.377188433000001</v>
      </c>
      <c r="J426" s="270">
        <f t="shared" si="192"/>
        <v>117.18385897300001</v>
      </c>
      <c r="K426" s="270">
        <f t="shared" si="192"/>
        <v>83.689085073000001</v>
      </c>
      <c r="L426" s="270">
        <f t="shared" si="192"/>
        <v>59.764246573000001</v>
      </c>
      <c r="M426" s="270">
        <f t="shared" si="192"/>
        <v>42.729761561000004</v>
      </c>
      <c r="N426" s="270">
        <f t="shared" si="192"/>
        <v>42.681911884000002</v>
      </c>
      <c r="O426" s="270">
        <f t="shared" si="192"/>
        <v>42.729761561000004</v>
      </c>
      <c r="P426" s="270">
        <f t="shared" si="192"/>
        <v>21.340955942000001</v>
      </c>
      <c r="Q426" s="270">
        <f t="shared" si="192"/>
        <v>0</v>
      </c>
      <c r="R426" s="270">
        <f t="shared" si="192"/>
        <v>0</v>
      </c>
    </row>
    <row r="427" spans="2:18">
      <c r="B427" s="25" t="s">
        <v>237</v>
      </c>
      <c r="E427" s="163" t="s">
        <v>239</v>
      </c>
      <c r="F427" s="38">
        <f>-F41</f>
        <v>9864.1322300000011</v>
      </c>
      <c r="G427" s="163" t="s">
        <v>230</v>
      </c>
      <c r="H427" s="168">
        <v>7</v>
      </c>
      <c r="I427" s="270">
        <f t="shared" ref="I427:R427" si="193">IF(Deal_Type="Stock",0,$F427*INDEX($B$444:$R$446,MATCH($H$427,$B$444:$B$446,0),MATCH(I$442,$B$442:$R$442,0)))</f>
        <v>1409.5844956670001</v>
      </c>
      <c r="J427" s="270">
        <f t="shared" si="193"/>
        <v>2415.7259831270003</v>
      </c>
      <c r="K427" s="270">
        <f t="shared" si="193"/>
        <v>1725.2367270270001</v>
      </c>
      <c r="L427" s="270">
        <f t="shared" si="193"/>
        <v>1232.0301155270001</v>
      </c>
      <c r="M427" s="270">
        <f t="shared" si="193"/>
        <v>880.86700813900018</v>
      </c>
      <c r="N427" s="270">
        <f t="shared" si="193"/>
        <v>879.88059491600006</v>
      </c>
      <c r="O427" s="270">
        <f t="shared" si="193"/>
        <v>880.86700813900018</v>
      </c>
      <c r="P427" s="270">
        <f t="shared" si="193"/>
        <v>439.94029745800003</v>
      </c>
      <c r="Q427" s="270">
        <f t="shared" si="193"/>
        <v>0</v>
      </c>
      <c r="R427" s="270">
        <f t="shared" si="193"/>
        <v>0</v>
      </c>
    </row>
    <row r="428" spans="2:18">
      <c r="B428" s="25" t="s">
        <v>232</v>
      </c>
      <c r="E428" s="163"/>
      <c r="F428" s="24"/>
      <c r="G428" s="163" t="s">
        <v>230</v>
      </c>
      <c r="H428" s="168">
        <v>7</v>
      </c>
      <c r="I428" s="24">
        <f ca="1">I441</f>
        <v>71.45</v>
      </c>
      <c r="J428" s="24">
        <f t="shared" ref="J428:R428" ca="1" si="194">J441</f>
        <v>265.35000000000002</v>
      </c>
      <c r="K428" s="24">
        <f t="shared" ca="1" si="194"/>
        <v>618.15000000000009</v>
      </c>
      <c r="L428" s="24">
        <f t="shared" ca="1" si="194"/>
        <v>870.05</v>
      </c>
      <c r="M428" s="24">
        <f t="shared" ca="1" si="194"/>
        <v>871.42499999999995</v>
      </c>
      <c r="N428" s="24">
        <f t="shared" ca="1" si="194"/>
        <v>813.72500000000014</v>
      </c>
      <c r="O428" s="24">
        <f t="shared" ca="1" si="194"/>
        <v>762.42500000000018</v>
      </c>
      <c r="P428" s="24">
        <f t="shared" ca="1" si="194"/>
        <v>754.32500000000016</v>
      </c>
      <c r="Q428" s="24">
        <f t="shared" ca="1" si="194"/>
        <v>723.17500000000018</v>
      </c>
      <c r="R428" s="24">
        <f t="shared" ca="1" si="194"/>
        <v>633.85</v>
      </c>
    </row>
    <row r="429" spans="2:18">
      <c r="E429" s="163"/>
      <c r="F429" s="24"/>
      <c r="G429" s="163"/>
      <c r="H429" s="168"/>
      <c r="I429" s="24"/>
      <c r="J429" s="24"/>
      <c r="K429" s="24"/>
      <c r="L429" s="24"/>
      <c r="M429" s="24"/>
      <c r="N429" s="24"/>
      <c r="O429" s="24"/>
      <c r="P429" s="24"/>
      <c r="Q429" s="24"/>
      <c r="R429" s="24"/>
    </row>
    <row r="430" spans="2:18">
      <c r="E430" s="163"/>
      <c r="F430" s="24"/>
      <c r="G430" s="164" t="str">
        <f t="shared" ref="G430:G440" si="195">G408</f>
        <v>Year</v>
      </c>
      <c r="H430" s="164" t="str">
        <f t="shared" ref="H430:H440" si="196">H408</f>
        <v>CapEx</v>
      </c>
      <c r="L430" s="161"/>
      <c r="M430" s="161"/>
      <c r="N430" s="161"/>
      <c r="O430" s="161"/>
      <c r="P430" s="161"/>
      <c r="Q430" s="161"/>
      <c r="R430" s="161"/>
    </row>
    <row r="431" spans="2:18">
      <c r="E431" s="163"/>
      <c r="F431" s="24"/>
      <c r="G431" s="165">
        <f t="shared" si="195"/>
        <v>42736</v>
      </c>
      <c r="H431" s="24">
        <f t="shared" ca="1" si="196"/>
        <v>500</v>
      </c>
      <c r="I431" s="270">
        <f t="shared" ref="I431:R431" ca="1" si="197">$H431*INDEX($B$444:$R$446,MATCH($H$428,$B$444:$B$446),MATCH(I$442,$B$442:$R$442,0))</f>
        <v>71.45</v>
      </c>
      <c r="J431" s="270">
        <f t="shared" ca="1" si="197"/>
        <v>122.45</v>
      </c>
      <c r="K431" s="270">
        <f t="shared" ca="1" si="197"/>
        <v>87.45</v>
      </c>
      <c r="L431" s="270">
        <f t="shared" ca="1" si="197"/>
        <v>62.449999999999996</v>
      </c>
      <c r="M431" s="270">
        <f t="shared" ca="1" si="197"/>
        <v>44.650000000000006</v>
      </c>
      <c r="N431" s="270">
        <f t="shared" ca="1" si="197"/>
        <v>44.6</v>
      </c>
      <c r="O431" s="270">
        <f t="shared" ca="1" si="197"/>
        <v>44.650000000000006</v>
      </c>
      <c r="P431" s="270">
        <f t="shared" ca="1" si="197"/>
        <v>22.3</v>
      </c>
      <c r="Q431" s="270">
        <f t="shared" ca="1" si="197"/>
        <v>0</v>
      </c>
      <c r="R431" s="270">
        <f t="shared" ca="1" si="197"/>
        <v>0</v>
      </c>
    </row>
    <row r="432" spans="2:18">
      <c r="E432" s="163"/>
      <c r="F432" s="24"/>
      <c r="G432" s="165">
        <f t="shared" si="195"/>
        <v>43131</v>
      </c>
      <c r="H432" s="24">
        <f t="shared" ca="1" si="196"/>
        <v>1000</v>
      </c>
      <c r="I432" s="270"/>
      <c r="J432" s="270">
        <f t="shared" ref="J432:R432" ca="1" si="198">$H432*INDEX($B$444:$R$446,MATCH($H$428,$B$444:$B$446),MATCH(I$442,$B$442:$R$442,0))</f>
        <v>142.9</v>
      </c>
      <c r="K432" s="270">
        <f t="shared" ca="1" si="198"/>
        <v>244.9</v>
      </c>
      <c r="L432" s="270">
        <f t="shared" ca="1" si="198"/>
        <v>174.9</v>
      </c>
      <c r="M432" s="270">
        <f t="shared" ca="1" si="198"/>
        <v>124.89999999999999</v>
      </c>
      <c r="N432" s="270">
        <f t="shared" ca="1" si="198"/>
        <v>89.300000000000011</v>
      </c>
      <c r="O432" s="270">
        <f t="shared" ca="1" si="198"/>
        <v>89.2</v>
      </c>
      <c r="P432" s="270">
        <f t="shared" ca="1" si="198"/>
        <v>89.300000000000011</v>
      </c>
      <c r="Q432" s="270">
        <f t="shared" ca="1" si="198"/>
        <v>44.6</v>
      </c>
      <c r="R432" s="270">
        <f t="shared" ca="1" si="198"/>
        <v>0</v>
      </c>
    </row>
    <row r="433" spans="1:47">
      <c r="E433" s="163"/>
      <c r="F433" s="24"/>
      <c r="G433" s="165">
        <f t="shared" si="195"/>
        <v>43496</v>
      </c>
      <c r="H433" s="24">
        <f t="shared" ca="1" si="196"/>
        <v>2000</v>
      </c>
      <c r="I433" s="270"/>
      <c r="J433" s="270"/>
      <c r="K433" s="270">
        <f t="shared" ref="K433:R433" ca="1" si="199">$H433*INDEX($B$444:$R$446,MATCH($H$428,$B$444:$B$446),MATCH(I$442,$B$442:$R$442,0))</f>
        <v>285.8</v>
      </c>
      <c r="L433" s="270">
        <f t="shared" ca="1" si="199"/>
        <v>489.8</v>
      </c>
      <c r="M433" s="270">
        <f t="shared" ca="1" si="199"/>
        <v>349.8</v>
      </c>
      <c r="N433" s="270">
        <f t="shared" ca="1" si="199"/>
        <v>249.79999999999998</v>
      </c>
      <c r="O433" s="270">
        <f t="shared" ca="1" si="199"/>
        <v>178.60000000000002</v>
      </c>
      <c r="P433" s="270">
        <f t="shared" ca="1" si="199"/>
        <v>178.4</v>
      </c>
      <c r="Q433" s="270">
        <f t="shared" ca="1" si="199"/>
        <v>178.60000000000002</v>
      </c>
      <c r="R433" s="270">
        <f t="shared" ca="1" si="199"/>
        <v>89.2</v>
      </c>
    </row>
    <row r="434" spans="1:47">
      <c r="E434" s="163"/>
      <c r="F434" s="24"/>
      <c r="G434" s="165">
        <f t="shared" si="195"/>
        <v>43861</v>
      </c>
      <c r="H434" s="24">
        <f t="shared" ca="1" si="196"/>
        <v>1000</v>
      </c>
      <c r="I434" s="270"/>
      <c r="J434" s="270"/>
      <c r="K434" s="270"/>
      <c r="L434" s="270">
        <f t="shared" ref="L434:R434" ca="1" si="200">$H434*INDEX($B$444:$R$446,MATCH($H$428,$B$444:$B$446),MATCH(I$442,$B$442:$R$442,0))</f>
        <v>142.9</v>
      </c>
      <c r="M434" s="270">
        <f t="shared" ca="1" si="200"/>
        <v>244.9</v>
      </c>
      <c r="N434" s="270">
        <f t="shared" ca="1" si="200"/>
        <v>174.9</v>
      </c>
      <c r="O434" s="270">
        <f t="shared" ca="1" si="200"/>
        <v>124.89999999999999</v>
      </c>
      <c r="P434" s="270">
        <f t="shared" ca="1" si="200"/>
        <v>89.300000000000011</v>
      </c>
      <c r="Q434" s="270">
        <f t="shared" ca="1" si="200"/>
        <v>89.2</v>
      </c>
      <c r="R434" s="270">
        <f t="shared" ca="1" si="200"/>
        <v>89.300000000000011</v>
      </c>
    </row>
    <row r="435" spans="1:47">
      <c r="E435" s="163"/>
      <c r="F435" s="24"/>
      <c r="G435" s="165">
        <f t="shared" si="195"/>
        <v>44227</v>
      </c>
      <c r="H435" s="24">
        <f t="shared" ca="1" si="196"/>
        <v>750</v>
      </c>
      <c r="I435" s="270"/>
      <c r="J435" s="270"/>
      <c r="K435" s="270"/>
      <c r="L435" s="270"/>
      <c r="M435" s="270">
        <f t="shared" ref="M435:R435" ca="1" si="201">$H435*INDEX($B$444:$R$446,MATCH($H$428,$B$444:$B$446),MATCH(I$442,$B$442:$R$442,0))</f>
        <v>107.175</v>
      </c>
      <c r="N435" s="270">
        <f t="shared" ca="1" si="201"/>
        <v>183.67500000000001</v>
      </c>
      <c r="O435" s="270">
        <f t="shared" ca="1" si="201"/>
        <v>131.17500000000001</v>
      </c>
      <c r="P435" s="270">
        <f t="shared" ca="1" si="201"/>
        <v>93.674999999999997</v>
      </c>
      <c r="Q435" s="270">
        <f t="shared" ca="1" si="201"/>
        <v>66.975000000000009</v>
      </c>
      <c r="R435" s="270">
        <f t="shared" ca="1" si="201"/>
        <v>66.900000000000006</v>
      </c>
    </row>
    <row r="436" spans="1:47">
      <c r="E436" s="163"/>
      <c r="F436" s="24"/>
      <c r="G436" s="165">
        <f t="shared" si="195"/>
        <v>44592</v>
      </c>
      <c r="H436" s="24">
        <f t="shared" ca="1" si="196"/>
        <v>500</v>
      </c>
      <c r="I436" s="270"/>
      <c r="J436" s="270"/>
      <c r="K436" s="270"/>
      <c r="L436" s="270"/>
      <c r="M436" s="270"/>
      <c r="N436" s="270">
        <f ca="1">$H436*INDEX($B$444:$R$446,MATCH($H$428,$B$444:$B$446),MATCH(I$442,$B$442:$R$442,0))</f>
        <v>71.45</v>
      </c>
      <c r="O436" s="270">
        <f ca="1">$H436*INDEX($B$444:$R$446,MATCH($H$428,$B$444:$B$446),MATCH(J$442,$B$442:$R$442,0))</f>
        <v>122.45</v>
      </c>
      <c r="P436" s="270">
        <f ca="1">$H436*INDEX($B$444:$R$446,MATCH($H$428,$B$444:$B$446),MATCH(K$442,$B$442:$R$442,0))</f>
        <v>87.45</v>
      </c>
      <c r="Q436" s="270">
        <f ca="1">$H436*INDEX($B$444:$R$446,MATCH($H$428,$B$444:$B$446),MATCH(L$442,$B$442:$R$442,0))</f>
        <v>62.449999999999996</v>
      </c>
      <c r="R436" s="270">
        <f ca="1">$H436*INDEX($B$444:$R$446,MATCH($H$428,$B$444:$B$446),MATCH(M$442,$B$442:$R$442,0))</f>
        <v>44.650000000000006</v>
      </c>
    </row>
    <row r="437" spans="1:47">
      <c r="E437" s="163"/>
      <c r="F437" s="24"/>
      <c r="G437" s="165">
        <f t="shared" si="195"/>
        <v>44957</v>
      </c>
      <c r="H437" s="24">
        <f t="shared" ca="1" si="196"/>
        <v>500</v>
      </c>
      <c r="I437" s="270"/>
      <c r="J437" s="270"/>
      <c r="K437" s="270"/>
      <c r="L437" s="270"/>
      <c r="M437" s="270"/>
      <c r="N437" s="270"/>
      <c r="O437" s="270">
        <f ca="1">$H437*INDEX($B$444:$R$446,MATCH($H$428,$B$444:$B$446),MATCH(I$442,$B$442:$R$442,0))</f>
        <v>71.45</v>
      </c>
      <c r="P437" s="270">
        <f ca="1">$H437*INDEX($B$444:$R$446,MATCH($H$428,$B$444:$B$446),MATCH(J$442,$B$442:$R$442,0))</f>
        <v>122.45</v>
      </c>
      <c r="Q437" s="270">
        <f ca="1">$H437*INDEX($B$444:$R$446,MATCH($H$428,$B$444:$B$446),MATCH(K$442,$B$442:$R$442,0))</f>
        <v>87.45</v>
      </c>
      <c r="R437" s="270">
        <f ca="1">$H437*INDEX($B$444:$R$446,MATCH($H$428,$B$444:$B$446),MATCH(L$442,$B$442:$R$442,0))</f>
        <v>62.449999999999996</v>
      </c>
    </row>
    <row r="438" spans="1:47">
      <c r="E438" s="163"/>
      <c r="F438" s="24"/>
      <c r="G438" s="165">
        <f t="shared" si="195"/>
        <v>45322</v>
      </c>
      <c r="H438" s="24">
        <f t="shared" ca="1" si="196"/>
        <v>500</v>
      </c>
      <c r="I438" s="270"/>
      <c r="J438" s="270"/>
      <c r="K438" s="270"/>
      <c r="L438" s="270"/>
      <c r="M438" s="270"/>
      <c r="N438" s="270"/>
      <c r="O438" s="270"/>
      <c r="P438" s="270">
        <f ca="1">$H438*INDEX($B$444:$R$446,MATCH($H$428,$B$444:$B$446),MATCH(I$442,$B$442:$R$442,0))</f>
        <v>71.45</v>
      </c>
      <c r="Q438" s="270">
        <f ca="1">$H438*INDEX($B$444:$R$446,MATCH($H$428,$B$444:$B$446),MATCH(J$442,$B$442:$R$442,0))</f>
        <v>122.45</v>
      </c>
      <c r="R438" s="270">
        <f ca="1">$H438*INDEX($B$444:$R$446,MATCH($H$428,$B$444:$B$446),MATCH(K$442,$B$442:$R$442,0))</f>
        <v>87.45</v>
      </c>
    </row>
    <row r="439" spans="1:47">
      <c r="E439" s="163"/>
      <c r="F439" s="24"/>
      <c r="G439" s="165">
        <f t="shared" si="195"/>
        <v>45688</v>
      </c>
      <c r="H439" s="24">
        <f t="shared" ca="1" si="196"/>
        <v>500</v>
      </c>
      <c r="I439" s="270"/>
      <c r="J439" s="270"/>
      <c r="K439" s="270"/>
      <c r="L439" s="270"/>
      <c r="M439" s="270"/>
      <c r="N439" s="270"/>
      <c r="O439" s="270"/>
      <c r="P439" s="270"/>
      <c r="Q439" s="270">
        <f ca="1">$H439*INDEX($B$444:$R$446,MATCH($H$428,$B$444:$B$446),MATCH(I$442,$B$442:$R$442,0))</f>
        <v>71.45</v>
      </c>
      <c r="R439" s="270">
        <f ca="1">$H439*INDEX($B$444:$R$446,MATCH($H$428,$B$444:$B$446),MATCH(J$442,$B$442:$R$442,0))</f>
        <v>122.45</v>
      </c>
    </row>
    <row r="440" spans="1:47">
      <c r="E440" s="163"/>
      <c r="F440" s="24"/>
      <c r="G440" s="165">
        <f t="shared" si="195"/>
        <v>46053</v>
      </c>
      <c r="H440" s="24">
        <f t="shared" ca="1" si="196"/>
        <v>500</v>
      </c>
      <c r="I440" s="255"/>
      <c r="J440" s="255"/>
      <c r="K440" s="255"/>
      <c r="L440" s="255"/>
      <c r="M440" s="255"/>
      <c r="N440" s="255"/>
      <c r="O440" s="255"/>
      <c r="P440" s="255"/>
      <c r="Q440" s="255"/>
      <c r="R440" s="255">
        <f ca="1">$H440*INDEX($B$444:$R$446,MATCH($H$428,$B$444:$B$446),MATCH(I$442,$B$442:$R$442,0))</f>
        <v>71.45</v>
      </c>
    </row>
    <row r="441" spans="1:47">
      <c r="E441" s="163"/>
      <c r="F441" s="24"/>
      <c r="G441" s="162"/>
      <c r="I441" s="30">
        <f ca="1">SUM(I431:I440)</f>
        <v>71.45</v>
      </c>
      <c r="J441" s="30">
        <f t="shared" ref="J441:R441" ca="1" si="202">SUM(J431:J440)</f>
        <v>265.35000000000002</v>
      </c>
      <c r="K441" s="30">
        <f t="shared" ca="1" si="202"/>
        <v>618.15000000000009</v>
      </c>
      <c r="L441" s="30">
        <f t="shared" ca="1" si="202"/>
        <v>870.05</v>
      </c>
      <c r="M441" s="30">
        <f t="shared" ca="1" si="202"/>
        <v>871.42499999999995</v>
      </c>
      <c r="N441" s="30">
        <f t="shared" ca="1" si="202"/>
        <v>813.72500000000014</v>
      </c>
      <c r="O441" s="30">
        <f t="shared" ca="1" si="202"/>
        <v>762.42500000000018</v>
      </c>
      <c r="P441" s="30">
        <f t="shared" ca="1" si="202"/>
        <v>754.32500000000016</v>
      </c>
      <c r="Q441" s="30">
        <f t="shared" ca="1" si="202"/>
        <v>723.17500000000018</v>
      </c>
      <c r="R441" s="30">
        <f t="shared" ca="1" si="202"/>
        <v>633.85</v>
      </c>
    </row>
    <row r="442" spans="1:47" ht="16.5" hidden="1" customHeight="1" outlineLevel="1" thickBot="1">
      <c r="B442" s="261" t="s">
        <v>294</v>
      </c>
      <c r="E442" s="163"/>
      <c r="F442" s="24"/>
      <c r="G442" s="163"/>
      <c r="H442" s="168"/>
      <c r="I442" s="235" t="s">
        <v>296</v>
      </c>
      <c r="J442" s="235" t="s">
        <v>297</v>
      </c>
      <c r="K442" s="235" t="s">
        <v>298</v>
      </c>
      <c r="L442" s="235" t="s">
        <v>299</v>
      </c>
      <c r="M442" s="235" t="s">
        <v>300</v>
      </c>
      <c r="N442" s="235" t="s">
        <v>301</v>
      </c>
      <c r="O442" s="235" t="s">
        <v>302</v>
      </c>
      <c r="P442" s="235" t="s">
        <v>303</v>
      </c>
      <c r="Q442" s="235" t="s">
        <v>304</v>
      </c>
      <c r="R442" s="235" t="s">
        <v>305</v>
      </c>
      <c r="S442" s="235" t="s">
        <v>306</v>
      </c>
      <c r="T442" s="235"/>
      <c r="U442" s="235" t="s">
        <v>307</v>
      </c>
      <c r="V442" s="235" t="s">
        <v>308</v>
      </c>
      <c r="W442" s="235" t="s">
        <v>309</v>
      </c>
      <c r="X442" s="235" t="s">
        <v>310</v>
      </c>
      <c r="Y442" s="235" t="s">
        <v>311</v>
      </c>
      <c r="Z442" s="235" t="s">
        <v>312</v>
      </c>
      <c r="AA442" s="235" t="s">
        <v>313</v>
      </c>
      <c r="AB442" s="235" t="s">
        <v>314</v>
      </c>
      <c r="AC442" s="235" t="s">
        <v>315</v>
      </c>
      <c r="AD442" s="235" t="s">
        <v>316</v>
      </c>
      <c r="AE442" s="235" t="s">
        <v>317</v>
      </c>
      <c r="AF442" s="235" t="s">
        <v>318</v>
      </c>
      <c r="AG442" s="235" t="s">
        <v>319</v>
      </c>
      <c r="AH442" s="235" t="s">
        <v>320</v>
      </c>
      <c r="AI442" s="235" t="s">
        <v>321</v>
      </c>
      <c r="AJ442" s="235" t="s">
        <v>322</v>
      </c>
      <c r="AK442" s="235" t="s">
        <v>323</v>
      </c>
      <c r="AL442" s="235" t="s">
        <v>324</v>
      </c>
      <c r="AM442" s="235" t="s">
        <v>325</v>
      </c>
      <c r="AN442" s="235" t="s">
        <v>326</v>
      </c>
      <c r="AO442" s="235" t="s">
        <v>327</v>
      </c>
      <c r="AP442" s="235" t="s">
        <v>328</v>
      </c>
      <c r="AQ442" s="235" t="s">
        <v>329</v>
      </c>
      <c r="AR442" s="235" t="s">
        <v>330</v>
      </c>
      <c r="AS442" s="235" t="s">
        <v>331</v>
      </c>
      <c r="AT442" s="235" t="s">
        <v>332</v>
      </c>
      <c r="AU442" s="235" t="s">
        <v>333</v>
      </c>
    </row>
    <row r="443" spans="1:47" hidden="1" outlineLevel="1">
      <c r="B443" s="47" t="s">
        <v>295</v>
      </c>
      <c r="E443" s="163"/>
      <c r="F443" s="24"/>
      <c r="G443" s="163"/>
      <c r="H443" s="168"/>
      <c r="I443" s="262"/>
      <c r="J443" s="262"/>
      <c r="K443" s="262"/>
      <c r="L443" s="262"/>
      <c r="M443" s="262"/>
      <c r="N443" s="262"/>
      <c r="O443" s="262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  <c r="AC443" s="262"/>
      <c r="AD443" s="262"/>
      <c r="AE443" s="262"/>
      <c r="AF443" s="262"/>
      <c r="AG443" s="262"/>
      <c r="AH443" s="262"/>
      <c r="AI443" s="262"/>
      <c r="AJ443" s="262"/>
      <c r="AK443" s="262"/>
      <c r="AL443" s="262"/>
      <c r="AM443" s="262"/>
      <c r="AN443" s="262"/>
      <c r="AO443" s="262"/>
      <c r="AP443" s="262"/>
      <c r="AQ443" s="262"/>
      <c r="AR443" s="262"/>
      <c r="AS443" s="262"/>
      <c r="AT443" s="262"/>
      <c r="AU443" s="262"/>
    </row>
    <row r="444" spans="1:47" hidden="1" outlineLevel="1">
      <c r="A444" s="266"/>
      <c r="B444" s="269">
        <v>5</v>
      </c>
      <c r="C444" s="268"/>
      <c r="E444" s="163"/>
      <c r="F444" s="24"/>
      <c r="G444" s="163"/>
      <c r="H444" s="168"/>
      <c r="I444" s="263">
        <v>0.2</v>
      </c>
      <c r="J444" s="263">
        <v>0.32</v>
      </c>
      <c r="K444" s="263">
        <v>0.192</v>
      </c>
      <c r="L444" s="263">
        <v>0.1152</v>
      </c>
      <c r="M444" s="263">
        <v>0.1152</v>
      </c>
      <c r="N444" s="263">
        <v>5.7599999999999998E-2</v>
      </c>
      <c r="O444" s="264"/>
      <c r="P444" s="264"/>
      <c r="Q444" s="264"/>
      <c r="R444" s="264"/>
      <c r="S444" s="264"/>
      <c r="T444" s="264"/>
      <c r="U444" s="264"/>
      <c r="V444" s="264"/>
      <c r="W444" s="264"/>
      <c r="X444" s="264"/>
      <c r="Y444" s="264"/>
      <c r="Z444" s="264"/>
      <c r="AA444" s="264"/>
      <c r="AB444" s="264"/>
      <c r="AC444" s="264"/>
      <c r="AD444" s="264"/>
      <c r="AE444" s="264"/>
      <c r="AF444" s="264"/>
      <c r="AG444" s="264"/>
      <c r="AH444" s="264"/>
      <c r="AI444" s="264"/>
      <c r="AJ444" s="264"/>
      <c r="AK444" s="264"/>
      <c r="AL444" s="264"/>
      <c r="AM444" s="264"/>
      <c r="AN444" s="264"/>
      <c r="AO444" s="264"/>
      <c r="AP444" s="264"/>
      <c r="AQ444" s="264"/>
      <c r="AR444" s="264"/>
      <c r="AS444" s="264"/>
      <c r="AT444" s="264"/>
      <c r="AU444" s="264"/>
    </row>
    <row r="445" spans="1:47" hidden="1" outlineLevel="1">
      <c r="B445" s="269">
        <v>7</v>
      </c>
      <c r="C445" s="267"/>
      <c r="E445" s="163"/>
      <c r="F445" s="24"/>
      <c r="G445" s="163"/>
      <c r="H445" s="168"/>
      <c r="I445" s="265">
        <v>0.1429</v>
      </c>
      <c r="J445" s="265">
        <v>0.24490000000000001</v>
      </c>
      <c r="K445" s="265">
        <v>0.1749</v>
      </c>
      <c r="L445" s="265">
        <v>0.1249</v>
      </c>
      <c r="M445" s="265">
        <v>8.9300000000000004E-2</v>
      </c>
      <c r="N445" s="265">
        <v>8.9200000000000002E-2</v>
      </c>
      <c r="O445" s="265">
        <v>8.9300000000000004E-2</v>
      </c>
      <c r="P445" s="265">
        <v>4.4600000000000001E-2</v>
      </c>
      <c r="Q445" s="264"/>
      <c r="R445" s="264"/>
      <c r="S445" s="264"/>
      <c r="T445" s="264"/>
      <c r="U445" s="264"/>
      <c r="V445" s="264"/>
      <c r="W445" s="264"/>
      <c r="X445" s="264"/>
      <c r="Y445" s="264"/>
      <c r="Z445" s="264"/>
      <c r="AA445" s="264"/>
      <c r="AB445" s="264"/>
      <c r="AC445" s="264"/>
      <c r="AD445" s="264"/>
      <c r="AE445" s="264"/>
      <c r="AF445" s="264"/>
      <c r="AG445" s="264"/>
      <c r="AH445" s="264"/>
      <c r="AI445" s="264"/>
      <c r="AJ445" s="264"/>
      <c r="AK445" s="264"/>
      <c r="AL445" s="264"/>
      <c r="AM445" s="264"/>
      <c r="AN445" s="264"/>
      <c r="AO445" s="264"/>
      <c r="AP445" s="264"/>
      <c r="AQ445" s="264"/>
      <c r="AR445" s="264"/>
      <c r="AS445" s="264"/>
      <c r="AT445" s="264"/>
      <c r="AU445" s="264"/>
    </row>
    <row r="446" spans="1:47" hidden="1" outlineLevel="1">
      <c r="B446" s="269">
        <v>39</v>
      </c>
      <c r="C446" s="267"/>
      <c r="E446" s="163"/>
      <c r="F446" s="24"/>
      <c r="G446" s="163"/>
      <c r="H446" s="168"/>
      <c r="I446" s="265">
        <f>1/39/2</f>
        <v>1.282051282051282E-2</v>
      </c>
      <c r="J446" s="265">
        <f t="shared" ref="J446:AS446" si="203">1/39</f>
        <v>2.564102564102564E-2</v>
      </c>
      <c r="K446" s="265">
        <f t="shared" si="203"/>
        <v>2.564102564102564E-2</v>
      </c>
      <c r="L446" s="265">
        <f t="shared" si="203"/>
        <v>2.564102564102564E-2</v>
      </c>
      <c r="M446" s="265">
        <f t="shared" si="203"/>
        <v>2.564102564102564E-2</v>
      </c>
      <c r="N446" s="265">
        <f t="shared" si="203"/>
        <v>2.564102564102564E-2</v>
      </c>
      <c r="O446" s="265">
        <f t="shared" si="203"/>
        <v>2.564102564102564E-2</v>
      </c>
      <c r="P446" s="265">
        <f t="shared" si="203"/>
        <v>2.564102564102564E-2</v>
      </c>
      <c r="Q446" s="265">
        <f t="shared" si="203"/>
        <v>2.564102564102564E-2</v>
      </c>
      <c r="R446" s="265">
        <f t="shared" si="203"/>
        <v>2.564102564102564E-2</v>
      </c>
      <c r="S446" s="265">
        <f t="shared" si="203"/>
        <v>2.564102564102564E-2</v>
      </c>
      <c r="T446" s="265"/>
      <c r="U446" s="265">
        <f t="shared" si="203"/>
        <v>2.564102564102564E-2</v>
      </c>
      <c r="V446" s="265">
        <f t="shared" si="203"/>
        <v>2.564102564102564E-2</v>
      </c>
      <c r="W446" s="265">
        <f t="shared" si="203"/>
        <v>2.564102564102564E-2</v>
      </c>
      <c r="X446" s="265">
        <f t="shared" si="203"/>
        <v>2.564102564102564E-2</v>
      </c>
      <c r="Y446" s="265">
        <f t="shared" si="203"/>
        <v>2.564102564102564E-2</v>
      </c>
      <c r="Z446" s="265">
        <f t="shared" si="203"/>
        <v>2.564102564102564E-2</v>
      </c>
      <c r="AA446" s="265">
        <f t="shared" si="203"/>
        <v>2.564102564102564E-2</v>
      </c>
      <c r="AB446" s="265">
        <f t="shared" si="203"/>
        <v>2.564102564102564E-2</v>
      </c>
      <c r="AC446" s="265">
        <f t="shared" si="203"/>
        <v>2.564102564102564E-2</v>
      </c>
      <c r="AD446" s="265">
        <f t="shared" si="203"/>
        <v>2.564102564102564E-2</v>
      </c>
      <c r="AE446" s="265">
        <f t="shared" si="203"/>
        <v>2.564102564102564E-2</v>
      </c>
      <c r="AF446" s="265">
        <f t="shared" si="203"/>
        <v>2.564102564102564E-2</v>
      </c>
      <c r="AG446" s="265">
        <f t="shared" si="203"/>
        <v>2.564102564102564E-2</v>
      </c>
      <c r="AH446" s="265">
        <f t="shared" si="203"/>
        <v>2.564102564102564E-2</v>
      </c>
      <c r="AI446" s="265">
        <f t="shared" si="203"/>
        <v>2.564102564102564E-2</v>
      </c>
      <c r="AJ446" s="265">
        <f t="shared" si="203"/>
        <v>2.564102564102564E-2</v>
      </c>
      <c r="AK446" s="265">
        <f t="shared" si="203"/>
        <v>2.564102564102564E-2</v>
      </c>
      <c r="AL446" s="265">
        <f t="shared" si="203"/>
        <v>2.564102564102564E-2</v>
      </c>
      <c r="AM446" s="265">
        <f t="shared" si="203"/>
        <v>2.564102564102564E-2</v>
      </c>
      <c r="AN446" s="265">
        <f t="shared" si="203"/>
        <v>2.564102564102564E-2</v>
      </c>
      <c r="AO446" s="265">
        <f t="shared" si="203"/>
        <v>2.564102564102564E-2</v>
      </c>
      <c r="AP446" s="265">
        <f t="shared" si="203"/>
        <v>2.564102564102564E-2</v>
      </c>
      <c r="AQ446" s="265">
        <f t="shared" si="203"/>
        <v>2.564102564102564E-2</v>
      </c>
      <c r="AR446" s="265">
        <f t="shared" si="203"/>
        <v>2.564102564102564E-2</v>
      </c>
      <c r="AS446" s="265">
        <f t="shared" si="203"/>
        <v>2.564102564102564E-2</v>
      </c>
      <c r="AT446" s="265">
        <f>1/39</f>
        <v>2.564102564102564E-2</v>
      </c>
      <c r="AU446" s="265">
        <f>1/39/2</f>
        <v>1.282051282051282E-2</v>
      </c>
    </row>
    <row r="447" spans="1:47" collapsed="1">
      <c r="E447" s="163"/>
      <c r="F447" s="24"/>
      <c r="G447" s="163"/>
      <c r="H447" s="168"/>
      <c r="I447" s="24"/>
      <c r="J447" s="24"/>
      <c r="K447" s="24"/>
      <c r="L447" s="24"/>
      <c r="M447" s="24"/>
      <c r="N447" s="24"/>
      <c r="O447" s="24"/>
      <c r="P447" s="24"/>
      <c r="Q447" s="24"/>
      <c r="R447" s="24"/>
    </row>
    <row r="448" spans="1:47">
      <c r="B448" s="25" t="s">
        <v>238</v>
      </c>
      <c r="E448" s="163" t="s">
        <v>239</v>
      </c>
      <c r="F448" s="306">
        <v>0</v>
      </c>
      <c r="G448" s="163" t="s">
        <v>230</v>
      </c>
      <c r="H448" s="306">
        <v>0</v>
      </c>
      <c r="I448" s="24"/>
      <c r="J448" s="24"/>
      <c r="K448" s="24"/>
      <c r="L448" s="24"/>
      <c r="M448" s="24"/>
      <c r="N448" s="24"/>
      <c r="O448" s="24"/>
      <c r="P448" s="24"/>
      <c r="Q448" s="24"/>
      <c r="R448" s="24"/>
    </row>
    <row r="449" spans="1:18">
      <c r="B449" s="25" t="s">
        <v>236</v>
      </c>
      <c r="E449" s="163" t="s">
        <v>239</v>
      </c>
      <c r="F449" s="38">
        <f ca="1">F42</f>
        <v>14677.77151589041</v>
      </c>
      <c r="G449" s="163" t="s">
        <v>230</v>
      </c>
      <c r="H449" s="168">
        <v>15</v>
      </c>
      <c r="I449" s="24">
        <f ca="1">IF(Deal_Type="Stock",0,F449/H449)</f>
        <v>978.51810105936067</v>
      </c>
      <c r="J449" s="24">
        <f ca="1">IF(Deal_Type="stock",0,MIN($F449-SUM($I449:I449),$F449/$H449))</f>
        <v>978.51810105936067</v>
      </c>
      <c r="K449" s="24">
        <f ca="1">IF(Deal_Type="stock",0,MIN($F449-SUM($I449:J449),$F449/$H449))</f>
        <v>978.51810105936067</v>
      </c>
      <c r="L449" s="24">
        <f ca="1">IF(Deal_Type="stock",0,MIN($F449-SUM($I449:K449),$F449/$H449))</f>
        <v>978.51810105936067</v>
      </c>
      <c r="M449" s="24">
        <f ca="1">IF(Deal_Type="stock",0,MIN($F449-SUM($I449:L449),$F449/$H449))</f>
        <v>978.51810105936067</v>
      </c>
      <c r="N449" s="24">
        <f ca="1">IF(Deal_Type="stock",0,MIN($F449-SUM($I449:M449),$F449/$H449))</f>
        <v>978.51810105936067</v>
      </c>
      <c r="O449" s="24">
        <f ca="1">IF(Deal_Type="stock",0,MIN($F449-SUM($I449:N449),$F449/$H449))</f>
        <v>978.51810105936067</v>
      </c>
      <c r="P449" s="24">
        <f ca="1">IF(Deal_Type="stock",0,MIN($F449-SUM($I449:O449),$F449/$H449))</f>
        <v>978.51810105936067</v>
      </c>
      <c r="Q449" s="24">
        <f ca="1">IF(Deal_Type="stock",0,MIN($F449-SUM($I449:P449),$F449/$H449))</f>
        <v>978.51810105936067</v>
      </c>
      <c r="R449" s="24">
        <f ca="1">IF(Deal_Type="stock",0,MIN($F449-SUM($I449:Q449),$F449/$H449))</f>
        <v>978.51810105936067</v>
      </c>
    </row>
    <row r="450" spans="1:18" ht="4.9000000000000004" customHeight="1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2" spans="1:18">
      <c r="A452" s="55" t="s">
        <v>51</v>
      </c>
      <c r="B452" s="42" t="s">
        <v>241</v>
      </c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</row>
    <row r="454" spans="1:18" ht="13.2" thickBot="1">
      <c r="B454" s="193"/>
      <c r="C454" s="192"/>
      <c r="D454" s="192"/>
      <c r="E454" s="192"/>
      <c r="F454" s="192"/>
      <c r="G454" s="192"/>
      <c r="H454" s="44"/>
      <c r="I454" s="235">
        <f t="shared" ref="I454:R454" si="204">I405</f>
        <v>42736</v>
      </c>
      <c r="J454" s="235">
        <f t="shared" si="204"/>
        <v>43131</v>
      </c>
      <c r="K454" s="235">
        <f t="shared" si="204"/>
        <v>43496</v>
      </c>
      <c r="L454" s="235">
        <f t="shared" si="204"/>
        <v>43861</v>
      </c>
      <c r="M454" s="235">
        <f t="shared" si="204"/>
        <v>44227</v>
      </c>
      <c r="N454" s="235">
        <f t="shared" si="204"/>
        <v>44592</v>
      </c>
      <c r="O454" s="235">
        <f t="shared" si="204"/>
        <v>44957</v>
      </c>
      <c r="P454" s="235">
        <f t="shared" si="204"/>
        <v>45322</v>
      </c>
      <c r="Q454" s="235">
        <f t="shared" si="204"/>
        <v>45688</v>
      </c>
      <c r="R454" s="235">
        <f t="shared" si="204"/>
        <v>46053</v>
      </c>
    </row>
    <row r="455" spans="1:18">
      <c r="B455" s="90"/>
      <c r="C455" s="90"/>
      <c r="D455" s="90"/>
      <c r="E455" s="90"/>
      <c r="F455" s="90"/>
      <c r="G455" s="90"/>
      <c r="H455" s="90"/>
      <c r="I455" s="91"/>
      <c r="J455" s="91"/>
      <c r="K455" s="91"/>
      <c r="L455" s="91"/>
      <c r="M455" s="91"/>
    </row>
    <row r="456" spans="1:18">
      <c r="B456" s="169" t="s">
        <v>242</v>
      </c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</row>
    <row r="457" spans="1:18">
      <c r="B457" s="90" t="s">
        <v>243</v>
      </c>
      <c r="C457" s="90"/>
      <c r="D457" s="90"/>
      <c r="E457" s="90"/>
      <c r="F457" s="90"/>
      <c r="G457" s="90"/>
      <c r="H457" s="126"/>
      <c r="I457" s="251">
        <f t="shared" ref="I457:R457" ca="1" si="205">I147</f>
        <v>4971.9838353444929</v>
      </c>
      <c r="J457" s="251">
        <f t="shared" ca="1" si="205"/>
        <v>6448.1137377252753</v>
      </c>
      <c r="K457" s="251">
        <f t="shared" ca="1" si="205"/>
        <v>7714.1888029497131</v>
      </c>
      <c r="L457" s="251">
        <f t="shared" ca="1" si="205"/>
        <v>8943.5249519576519</v>
      </c>
      <c r="M457" s="251">
        <f t="shared" ca="1" si="205"/>
        <v>10313.785193462552</v>
      </c>
      <c r="N457" s="251">
        <f t="shared" ca="1" si="205"/>
        <v>11493.825493768114</v>
      </c>
      <c r="O457" s="251">
        <f t="shared" ca="1" si="205"/>
        <v>12301.810832277908</v>
      </c>
      <c r="P457" s="251">
        <f t="shared" ca="1" si="205"/>
        <v>13022.786924612265</v>
      </c>
      <c r="Q457" s="251">
        <f t="shared" ca="1" si="205"/>
        <v>13780.792905166749</v>
      </c>
      <c r="R457" s="251">
        <f t="shared" ca="1" si="205"/>
        <v>14577.878398831264</v>
      </c>
    </row>
    <row r="458" spans="1:18">
      <c r="B458" s="90"/>
      <c r="C458" s="90"/>
      <c r="D458" s="90"/>
      <c r="E458" s="90"/>
      <c r="F458" s="90"/>
      <c r="G458" s="90"/>
      <c r="H458" s="126"/>
      <c r="I458" s="95"/>
      <c r="J458" s="95"/>
      <c r="K458" s="95"/>
      <c r="L458" s="95"/>
      <c r="M458" s="95"/>
    </row>
    <row r="459" spans="1:18">
      <c r="B459" s="90" t="s">
        <v>271</v>
      </c>
      <c r="C459" s="90"/>
      <c r="D459" s="90"/>
      <c r="E459" s="90"/>
      <c r="F459" s="90"/>
      <c r="G459" s="90"/>
      <c r="H459" s="170"/>
      <c r="I459" s="206">
        <f t="shared" ref="I459:R459" si="206">I423</f>
        <v>0</v>
      </c>
      <c r="J459" s="206">
        <f t="shared" si="206"/>
        <v>0</v>
      </c>
      <c r="K459" s="206">
        <f t="shared" si="206"/>
        <v>0</v>
      </c>
      <c r="L459" s="206">
        <f t="shared" si="206"/>
        <v>0</v>
      </c>
      <c r="M459" s="206">
        <f t="shared" si="206"/>
        <v>0</v>
      </c>
      <c r="N459" s="206">
        <f t="shared" si="206"/>
        <v>0</v>
      </c>
      <c r="O459" s="206">
        <f t="shared" si="206"/>
        <v>0</v>
      </c>
      <c r="P459" s="206">
        <f t="shared" si="206"/>
        <v>0</v>
      </c>
      <c r="Q459" s="206">
        <f t="shared" si="206"/>
        <v>0</v>
      </c>
      <c r="R459" s="206">
        <f t="shared" si="206"/>
        <v>0</v>
      </c>
    </row>
    <row r="460" spans="1:18" s="46" customFormat="1" ht="12.75" customHeight="1">
      <c r="B460" s="90" t="s">
        <v>272</v>
      </c>
      <c r="C460" s="90"/>
      <c r="D460" s="90"/>
      <c r="E460" s="90"/>
      <c r="F460" s="90"/>
      <c r="G460" s="90"/>
      <c r="H460" s="126"/>
      <c r="I460" s="254">
        <f ca="1">SUM(I419,I422)</f>
        <v>1059.2629000000002</v>
      </c>
      <c r="J460" s="254">
        <f t="shared" ref="J460:R460" ca="1" si="207">SUM(J419,J422)</f>
        <v>1134.2629000000002</v>
      </c>
      <c r="K460" s="254">
        <f t="shared" ca="1" si="207"/>
        <v>1284.2629000000002</v>
      </c>
      <c r="L460" s="254">
        <f t="shared" ca="1" si="207"/>
        <v>1434.2629000000002</v>
      </c>
      <c r="M460" s="254">
        <f t="shared" ca="1" si="207"/>
        <v>1521.7629000000002</v>
      </c>
      <c r="N460" s="254">
        <f t="shared" ca="1" si="207"/>
        <v>1584.2629000000002</v>
      </c>
      <c r="O460" s="254">
        <f t="shared" ca="1" si="207"/>
        <v>1634.2629000000002</v>
      </c>
      <c r="P460" s="254">
        <f t="shared" ca="1" si="207"/>
        <v>1684.2629000000002</v>
      </c>
      <c r="Q460" s="254">
        <f t="shared" ca="1" si="207"/>
        <v>1734.2629000000002</v>
      </c>
      <c r="R460" s="254">
        <f t="shared" ca="1" si="207"/>
        <v>1784.2628999999995</v>
      </c>
    </row>
    <row r="461" spans="1:18" s="46" customFormat="1" ht="12.75" customHeight="1">
      <c r="B461" s="90" t="s">
        <v>293</v>
      </c>
      <c r="C461" s="90"/>
      <c r="D461" s="90"/>
      <c r="E461" s="90"/>
      <c r="F461" s="90"/>
      <c r="G461" s="90"/>
      <c r="H461" s="126"/>
      <c r="I461" s="254">
        <f ca="1">-SUM(I426:I428)</f>
        <v>-1549.4116841</v>
      </c>
      <c r="J461" s="254">
        <f t="shared" ref="J461:R461" ca="1" si="208">-SUM(J426:J428)</f>
        <v>-2798.2598421000002</v>
      </c>
      <c r="K461" s="254">
        <f t="shared" ca="1" si="208"/>
        <v>-2427.0758121000003</v>
      </c>
      <c r="L461" s="254">
        <f t="shared" ca="1" si="208"/>
        <v>-2161.8443621000001</v>
      </c>
      <c r="M461" s="254">
        <f t="shared" ca="1" si="208"/>
        <v>-1795.0217697000003</v>
      </c>
      <c r="N461" s="254">
        <f t="shared" ca="1" si="208"/>
        <v>-1736.2875068000003</v>
      </c>
      <c r="O461" s="254">
        <f t="shared" ca="1" si="208"/>
        <v>-1686.0217697000003</v>
      </c>
      <c r="P461" s="254">
        <f t="shared" ca="1" si="208"/>
        <v>-1215.6062534000002</v>
      </c>
      <c r="Q461" s="254">
        <f t="shared" ca="1" si="208"/>
        <v>-723.17500000000018</v>
      </c>
      <c r="R461" s="254">
        <f t="shared" ca="1" si="208"/>
        <v>-633.85</v>
      </c>
    </row>
    <row r="462" spans="1:18">
      <c r="B462" s="90" t="s">
        <v>270</v>
      </c>
      <c r="C462" s="90"/>
      <c r="D462" s="90"/>
      <c r="E462" s="90"/>
      <c r="F462" s="90"/>
      <c r="G462" s="90"/>
      <c r="H462" s="95"/>
      <c r="I462" s="255">
        <f ca="1">-I449</f>
        <v>-978.51810105936067</v>
      </c>
      <c r="J462" s="255">
        <f t="shared" ref="J462:R462" ca="1" si="209">-J449</f>
        <v>-978.51810105936067</v>
      </c>
      <c r="K462" s="255">
        <f t="shared" ca="1" si="209"/>
        <v>-978.51810105936067</v>
      </c>
      <c r="L462" s="255">
        <f t="shared" ca="1" si="209"/>
        <v>-978.51810105936067</v>
      </c>
      <c r="M462" s="255">
        <f t="shared" ca="1" si="209"/>
        <v>-978.51810105936067</v>
      </c>
      <c r="N462" s="255">
        <f t="shared" ca="1" si="209"/>
        <v>-978.51810105936067</v>
      </c>
      <c r="O462" s="255">
        <f t="shared" ca="1" si="209"/>
        <v>-978.51810105936067</v>
      </c>
      <c r="P462" s="255">
        <f t="shared" ca="1" si="209"/>
        <v>-978.51810105936067</v>
      </c>
      <c r="Q462" s="255">
        <f t="shared" ca="1" si="209"/>
        <v>-978.51810105936067</v>
      </c>
      <c r="R462" s="255">
        <f t="shared" ca="1" si="209"/>
        <v>-978.51810105936067</v>
      </c>
    </row>
    <row r="463" spans="1:18">
      <c r="B463" s="13" t="s">
        <v>244</v>
      </c>
      <c r="C463" s="90"/>
      <c r="D463" s="90"/>
      <c r="E463" s="90"/>
      <c r="F463" s="90"/>
      <c r="G463" s="90"/>
      <c r="H463" s="95"/>
      <c r="I463" s="254">
        <f ca="1">SUM(I457,I459:I462)</f>
        <v>3503.3169501851335</v>
      </c>
      <c r="J463" s="254">
        <f t="shared" ref="J463:R463" ca="1" si="210">SUM(J457,J459:J462)</f>
        <v>3805.5986945659151</v>
      </c>
      <c r="K463" s="254">
        <f t="shared" ca="1" si="210"/>
        <v>5592.8577897903524</v>
      </c>
      <c r="L463" s="254">
        <f t="shared" ca="1" si="210"/>
        <v>7237.4253887982904</v>
      </c>
      <c r="M463" s="254">
        <f t="shared" ca="1" si="210"/>
        <v>9062.0082227031908</v>
      </c>
      <c r="N463" s="254">
        <f t="shared" ca="1" si="210"/>
        <v>10363.282785908754</v>
      </c>
      <c r="O463" s="254">
        <f t="shared" ca="1" si="210"/>
        <v>11271.533861518546</v>
      </c>
      <c r="P463" s="254">
        <f t="shared" ca="1" si="210"/>
        <v>12512.925470152904</v>
      </c>
      <c r="Q463" s="254">
        <f t="shared" ca="1" si="210"/>
        <v>13813.362704107387</v>
      </c>
      <c r="R463" s="254">
        <f t="shared" ca="1" si="210"/>
        <v>14749.773197771903</v>
      </c>
    </row>
    <row r="464" spans="1:18">
      <c r="B464" s="13"/>
      <c r="C464" s="90"/>
      <c r="D464" s="90"/>
      <c r="E464" s="90"/>
      <c r="F464" s="90"/>
      <c r="G464" s="90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</row>
    <row r="465" spans="2:18">
      <c r="B465" s="25" t="s">
        <v>273</v>
      </c>
      <c r="C465" s="90"/>
      <c r="D465" s="90"/>
      <c r="E465" s="90"/>
      <c r="F465" s="90"/>
      <c r="G465" s="90"/>
      <c r="H465" s="95"/>
      <c r="I465" s="272">
        <f>$R$15</f>
        <v>0.45</v>
      </c>
      <c r="J465" s="259">
        <f>I465</f>
        <v>0.45</v>
      </c>
      <c r="K465" s="259">
        <f t="shared" ref="K465:R465" si="211">J465</f>
        <v>0.45</v>
      </c>
      <c r="L465" s="259">
        <f t="shared" si="211"/>
        <v>0.45</v>
      </c>
      <c r="M465" s="259">
        <f t="shared" si="211"/>
        <v>0.45</v>
      </c>
      <c r="N465" s="259">
        <f t="shared" si="211"/>
        <v>0.45</v>
      </c>
      <c r="O465" s="259">
        <f t="shared" si="211"/>
        <v>0.45</v>
      </c>
      <c r="P465" s="259">
        <f t="shared" si="211"/>
        <v>0.45</v>
      </c>
      <c r="Q465" s="259">
        <f t="shared" si="211"/>
        <v>0.45</v>
      </c>
      <c r="R465" s="259">
        <f t="shared" si="211"/>
        <v>0.45</v>
      </c>
    </row>
    <row r="466" spans="2:18">
      <c r="B466" s="13"/>
      <c r="C466" s="90"/>
      <c r="D466" s="90"/>
      <c r="E466" s="90"/>
      <c r="F466" s="90"/>
      <c r="G466" s="90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</row>
    <row r="467" spans="2:18">
      <c r="B467" s="25" t="s">
        <v>274</v>
      </c>
      <c r="C467" s="90"/>
      <c r="D467" s="90"/>
      <c r="E467" s="90"/>
      <c r="F467" s="90"/>
      <c r="G467" s="90"/>
      <c r="H467" s="95"/>
      <c r="I467" s="254">
        <f ca="1">I463*I465</f>
        <v>1576.4926275833102</v>
      </c>
      <c r="J467" s="254">
        <f t="shared" ref="J467:R467" ca="1" si="212">J463*J465</f>
        <v>1712.5194125546618</v>
      </c>
      <c r="K467" s="254">
        <f t="shared" ca="1" si="212"/>
        <v>2516.7860054056587</v>
      </c>
      <c r="L467" s="254">
        <f t="shared" ca="1" si="212"/>
        <v>3256.8414249592306</v>
      </c>
      <c r="M467" s="254">
        <f t="shared" ca="1" si="212"/>
        <v>4077.9037002164359</v>
      </c>
      <c r="N467" s="254">
        <f t="shared" ca="1" si="212"/>
        <v>4663.4772536589389</v>
      </c>
      <c r="O467" s="254">
        <f t="shared" ca="1" si="212"/>
        <v>5072.1902376833459</v>
      </c>
      <c r="P467" s="254">
        <f t="shared" ca="1" si="212"/>
        <v>5630.8164615688074</v>
      </c>
      <c r="Q467" s="254">
        <f t="shared" ca="1" si="212"/>
        <v>6216.0132168483242</v>
      </c>
      <c r="R467" s="254">
        <f t="shared" ca="1" si="212"/>
        <v>6637.3979389973565</v>
      </c>
    </row>
    <row r="468" spans="2:18">
      <c r="B468" s="13"/>
      <c r="C468" s="90"/>
      <c r="D468" s="90"/>
      <c r="E468" s="90"/>
      <c r="F468" s="90"/>
      <c r="G468" s="90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</row>
    <row r="469" spans="2:18">
      <c r="B469" s="171" t="s">
        <v>247</v>
      </c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</row>
    <row r="470" spans="2:18">
      <c r="B470" s="120" t="s">
        <v>248</v>
      </c>
      <c r="C470" s="90"/>
      <c r="D470" s="90"/>
      <c r="E470" s="90"/>
      <c r="F470" s="90"/>
      <c r="G470" s="90"/>
      <c r="H470" s="102"/>
      <c r="I470" s="256">
        <v>0</v>
      </c>
      <c r="J470" s="254">
        <f ca="1">I473</f>
        <v>0</v>
      </c>
      <c r="K470" s="254">
        <f t="shared" ref="K470:R470" ca="1" si="213">J473</f>
        <v>0</v>
      </c>
      <c r="L470" s="254">
        <f t="shared" ca="1" si="213"/>
        <v>0</v>
      </c>
      <c r="M470" s="254">
        <f t="shared" ca="1" si="213"/>
        <v>0</v>
      </c>
      <c r="N470" s="254">
        <f t="shared" ca="1" si="213"/>
        <v>0</v>
      </c>
      <c r="O470" s="254">
        <f t="shared" ca="1" si="213"/>
        <v>0</v>
      </c>
      <c r="P470" s="254">
        <f t="shared" ca="1" si="213"/>
        <v>0</v>
      </c>
      <c r="Q470" s="254">
        <f t="shared" ca="1" si="213"/>
        <v>0</v>
      </c>
      <c r="R470" s="254">
        <f t="shared" ca="1" si="213"/>
        <v>0</v>
      </c>
    </row>
    <row r="471" spans="2:18">
      <c r="B471" s="120" t="s">
        <v>249</v>
      </c>
      <c r="C471" s="90"/>
      <c r="D471" s="90"/>
      <c r="E471" s="90"/>
      <c r="F471" s="90"/>
      <c r="G471" s="90"/>
      <c r="H471" s="119"/>
      <c r="I471" s="254">
        <f ca="1">IF(I467&lt;0,-I467,0)</f>
        <v>0</v>
      </c>
      <c r="J471" s="254">
        <f ca="1">IF(J467&lt;0,-J467,0)</f>
        <v>0</v>
      </c>
      <c r="K471" s="254">
        <f t="shared" ref="K471:R471" ca="1" si="214">IF(K467&lt;0,-K467,0)</f>
        <v>0</v>
      </c>
      <c r="L471" s="254">
        <f t="shared" ca="1" si="214"/>
        <v>0</v>
      </c>
      <c r="M471" s="254">
        <f t="shared" ca="1" si="214"/>
        <v>0</v>
      </c>
      <c r="N471" s="254">
        <f t="shared" ca="1" si="214"/>
        <v>0</v>
      </c>
      <c r="O471" s="254">
        <f t="shared" ca="1" si="214"/>
        <v>0</v>
      </c>
      <c r="P471" s="254">
        <f t="shared" ca="1" si="214"/>
        <v>0</v>
      </c>
      <c r="Q471" s="254">
        <f t="shared" ca="1" si="214"/>
        <v>0</v>
      </c>
      <c r="R471" s="254">
        <f t="shared" ca="1" si="214"/>
        <v>0</v>
      </c>
    </row>
    <row r="472" spans="2:18">
      <c r="B472" s="139" t="s">
        <v>250</v>
      </c>
      <c r="C472" s="122"/>
      <c r="D472" s="122"/>
      <c r="E472" s="122"/>
      <c r="F472" s="122"/>
      <c r="G472" s="122"/>
      <c r="H472" s="173"/>
      <c r="I472" s="255">
        <f ca="1">IF(I467&gt;0,-MIN(I467,SUM(I470:I471)),0)</f>
        <v>0</v>
      </c>
      <c r="J472" s="255">
        <f ca="1">IF(J467&gt;0,-MIN(J467,SUM(J470:J471)),0)</f>
        <v>0</v>
      </c>
      <c r="K472" s="255">
        <f t="shared" ref="K472:R472" ca="1" si="215">IF(K467&gt;0,-MIN(K467,SUM(K470:K471)),0)</f>
        <v>0</v>
      </c>
      <c r="L472" s="255">
        <f t="shared" ca="1" si="215"/>
        <v>0</v>
      </c>
      <c r="M472" s="255">
        <f t="shared" ca="1" si="215"/>
        <v>0</v>
      </c>
      <c r="N472" s="255">
        <f t="shared" ca="1" si="215"/>
        <v>0</v>
      </c>
      <c r="O472" s="255">
        <f t="shared" ca="1" si="215"/>
        <v>0</v>
      </c>
      <c r="P472" s="255">
        <f t="shared" ca="1" si="215"/>
        <v>0</v>
      </c>
      <c r="Q472" s="255">
        <f t="shared" ca="1" si="215"/>
        <v>0</v>
      </c>
      <c r="R472" s="255">
        <f t="shared" ca="1" si="215"/>
        <v>0</v>
      </c>
    </row>
    <row r="473" spans="2:18">
      <c r="B473" s="120" t="s">
        <v>251</v>
      </c>
      <c r="C473" s="90"/>
      <c r="D473" s="90"/>
      <c r="E473" s="90"/>
      <c r="F473" s="90"/>
      <c r="G473" s="90"/>
      <c r="H473" s="119"/>
      <c r="I473" s="254">
        <f ca="1">SUM(I470:I472)</f>
        <v>0</v>
      </c>
      <c r="J473" s="254">
        <f ca="1">SUM(J470:J472)</f>
        <v>0</v>
      </c>
      <c r="K473" s="254">
        <f t="shared" ref="K473:R473" ca="1" si="216">SUM(K470:K472)</f>
        <v>0</v>
      </c>
      <c r="L473" s="254">
        <f t="shared" ca="1" si="216"/>
        <v>0</v>
      </c>
      <c r="M473" s="254">
        <f t="shared" ca="1" si="216"/>
        <v>0</v>
      </c>
      <c r="N473" s="254">
        <f t="shared" ca="1" si="216"/>
        <v>0</v>
      </c>
      <c r="O473" s="254">
        <f t="shared" ca="1" si="216"/>
        <v>0</v>
      </c>
      <c r="P473" s="254">
        <f t="shared" ca="1" si="216"/>
        <v>0</v>
      </c>
      <c r="Q473" s="254">
        <f t="shared" ca="1" si="216"/>
        <v>0</v>
      </c>
      <c r="R473" s="254">
        <f t="shared" ca="1" si="216"/>
        <v>0</v>
      </c>
    </row>
    <row r="474" spans="2:18"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</row>
    <row r="475" spans="2:18">
      <c r="B475" s="172" t="s">
        <v>275</v>
      </c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</row>
    <row r="476" spans="2:18">
      <c r="B476" s="120" t="s">
        <v>276</v>
      </c>
      <c r="C476" s="90"/>
      <c r="D476" s="90"/>
      <c r="E476" s="90"/>
      <c r="F476" s="90"/>
      <c r="G476" s="90"/>
      <c r="H476" s="95"/>
      <c r="I476" s="254">
        <f ca="1">I463</f>
        <v>3503.3169501851335</v>
      </c>
      <c r="J476" s="254">
        <f t="shared" ref="J476:R476" ca="1" si="217">J463</f>
        <v>3805.5986945659151</v>
      </c>
      <c r="K476" s="254">
        <f t="shared" ca="1" si="217"/>
        <v>5592.8577897903524</v>
      </c>
      <c r="L476" s="254">
        <f t="shared" ca="1" si="217"/>
        <v>7237.4253887982904</v>
      </c>
      <c r="M476" s="254">
        <f t="shared" ca="1" si="217"/>
        <v>9062.0082227031908</v>
      </c>
      <c r="N476" s="254">
        <f t="shared" ca="1" si="217"/>
        <v>10363.282785908754</v>
      </c>
      <c r="O476" s="254">
        <f t="shared" ca="1" si="217"/>
        <v>11271.533861518546</v>
      </c>
      <c r="P476" s="254">
        <f t="shared" ca="1" si="217"/>
        <v>12512.925470152904</v>
      </c>
      <c r="Q476" s="254">
        <f t="shared" ca="1" si="217"/>
        <v>13813.362704107387</v>
      </c>
      <c r="R476" s="254">
        <f t="shared" ca="1" si="217"/>
        <v>14749.773197771903</v>
      </c>
    </row>
    <row r="477" spans="2:18">
      <c r="B477" s="120" t="s">
        <v>277</v>
      </c>
      <c r="C477" s="90"/>
      <c r="D477" s="90"/>
      <c r="E477" s="90"/>
      <c r="F477" s="90"/>
      <c r="G477" s="90"/>
      <c r="H477" s="174"/>
      <c r="I477" s="255">
        <f ca="1">I472</f>
        <v>0</v>
      </c>
      <c r="J477" s="255">
        <f t="shared" ref="J477:R477" ca="1" si="218">J472</f>
        <v>0</v>
      </c>
      <c r="K477" s="255">
        <f t="shared" ca="1" si="218"/>
        <v>0</v>
      </c>
      <c r="L477" s="255">
        <f t="shared" ca="1" si="218"/>
        <v>0</v>
      </c>
      <c r="M477" s="255">
        <f t="shared" ca="1" si="218"/>
        <v>0</v>
      </c>
      <c r="N477" s="255">
        <f t="shared" ca="1" si="218"/>
        <v>0</v>
      </c>
      <c r="O477" s="255">
        <f t="shared" ca="1" si="218"/>
        <v>0</v>
      </c>
      <c r="P477" s="255">
        <f t="shared" ca="1" si="218"/>
        <v>0</v>
      </c>
      <c r="Q477" s="255">
        <f t="shared" ca="1" si="218"/>
        <v>0</v>
      </c>
      <c r="R477" s="255">
        <f t="shared" ca="1" si="218"/>
        <v>0</v>
      </c>
    </row>
    <row r="478" spans="2:18">
      <c r="B478" s="138" t="s">
        <v>245</v>
      </c>
      <c r="C478" s="91"/>
      <c r="D478" s="91"/>
      <c r="E478" s="91"/>
      <c r="F478" s="91"/>
      <c r="G478" s="91"/>
      <c r="H478" s="95"/>
      <c r="I478" s="254">
        <f ca="1">SUM(I476:I477)</f>
        <v>3503.3169501851335</v>
      </c>
      <c r="J478" s="254">
        <f t="shared" ref="J478:R478" ca="1" si="219">SUM(J476:J477)</f>
        <v>3805.5986945659151</v>
      </c>
      <c r="K478" s="254">
        <f t="shared" ca="1" si="219"/>
        <v>5592.8577897903524</v>
      </c>
      <c r="L478" s="254">
        <f t="shared" ca="1" si="219"/>
        <v>7237.4253887982904</v>
      </c>
      <c r="M478" s="254">
        <f t="shared" ca="1" si="219"/>
        <v>9062.0082227031908</v>
      </c>
      <c r="N478" s="254">
        <f t="shared" ca="1" si="219"/>
        <v>10363.282785908754</v>
      </c>
      <c r="O478" s="254">
        <f t="shared" ca="1" si="219"/>
        <v>11271.533861518546</v>
      </c>
      <c r="P478" s="254">
        <f t="shared" ca="1" si="219"/>
        <v>12512.925470152904</v>
      </c>
      <c r="Q478" s="254">
        <f t="shared" ca="1" si="219"/>
        <v>13813.362704107387</v>
      </c>
      <c r="R478" s="254">
        <f t="shared" ca="1" si="219"/>
        <v>14749.773197771903</v>
      </c>
    </row>
    <row r="479" spans="2:18">
      <c r="B479" s="139" t="s">
        <v>273</v>
      </c>
      <c r="C479" s="122"/>
      <c r="D479" s="122"/>
      <c r="E479" s="122"/>
      <c r="F479" s="122"/>
      <c r="G479" s="122"/>
      <c r="H479" s="174"/>
      <c r="I479" s="257">
        <f>I465</f>
        <v>0.45</v>
      </c>
      <c r="J479" s="257">
        <f t="shared" ref="J479:R479" si="220">J465</f>
        <v>0.45</v>
      </c>
      <c r="K479" s="257">
        <f t="shared" si="220"/>
        <v>0.45</v>
      </c>
      <c r="L479" s="257">
        <f t="shared" si="220"/>
        <v>0.45</v>
      </c>
      <c r="M479" s="257">
        <f t="shared" si="220"/>
        <v>0.45</v>
      </c>
      <c r="N479" s="257">
        <f t="shared" si="220"/>
        <v>0.45</v>
      </c>
      <c r="O479" s="257">
        <f t="shared" si="220"/>
        <v>0.45</v>
      </c>
      <c r="P479" s="257">
        <f t="shared" si="220"/>
        <v>0.45</v>
      </c>
      <c r="Q479" s="257">
        <f t="shared" si="220"/>
        <v>0.45</v>
      </c>
      <c r="R479" s="257">
        <f t="shared" si="220"/>
        <v>0.45</v>
      </c>
    </row>
    <row r="480" spans="2:18">
      <c r="B480" s="120" t="s">
        <v>246</v>
      </c>
      <c r="C480" s="90"/>
      <c r="D480" s="90"/>
      <c r="E480" s="90"/>
      <c r="F480" s="90"/>
      <c r="G480" s="90"/>
      <c r="H480" s="95"/>
      <c r="I480" s="254">
        <f ca="1">I478*I479</f>
        <v>1576.4926275833102</v>
      </c>
      <c r="J480" s="254">
        <f t="shared" ref="J480:R480" ca="1" si="221">J478*J479</f>
        <v>1712.5194125546618</v>
      </c>
      <c r="K480" s="254">
        <f t="shared" ca="1" si="221"/>
        <v>2516.7860054056587</v>
      </c>
      <c r="L480" s="254">
        <f t="shared" ca="1" si="221"/>
        <v>3256.8414249592306</v>
      </c>
      <c r="M480" s="254">
        <f t="shared" ca="1" si="221"/>
        <v>4077.9037002164359</v>
      </c>
      <c r="N480" s="254">
        <f t="shared" ca="1" si="221"/>
        <v>4663.4772536589389</v>
      </c>
      <c r="O480" s="254">
        <f t="shared" ca="1" si="221"/>
        <v>5072.1902376833459</v>
      </c>
      <c r="P480" s="254">
        <f t="shared" ca="1" si="221"/>
        <v>5630.8164615688074</v>
      </c>
      <c r="Q480" s="254">
        <f t="shared" ca="1" si="221"/>
        <v>6216.0132168483242</v>
      </c>
      <c r="R480" s="254">
        <f t="shared" ca="1" si="221"/>
        <v>6637.3979389973565</v>
      </c>
    </row>
    <row r="481" spans="1:18" ht="12.75" customHeight="1"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</row>
    <row r="482" spans="1:18">
      <c r="B482" s="120" t="s">
        <v>151</v>
      </c>
      <c r="C482" s="90"/>
      <c r="D482" s="90"/>
      <c r="E482" s="90"/>
      <c r="F482" s="90"/>
      <c r="G482" s="90"/>
      <c r="H482" s="95"/>
      <c r="I482" s="254">
        <f ca="1">I480</f>
        <v>1576.4926275833102</v>
      </c>
      <c r="J482" s="254">
        <f t="shared" ref="J482:R482" ca="1" si="222">J480</f>
        <v>1712.5194125546618</v>
      </c>
      <c r="K482" s="254">
        <f t="shared" ca="1" si="222"/>
        <v>2516.7860054056587</v>
      </c>
      <c r="L482" s="254">
        <f t="shared" ca="1" si="222"/>
        <v>3256.8414249592306</v>
      </c>
      <c r="M482" s="254">
        <f t="shared" ca="1" si="222"/>
        <v>4077.9037002164359</v>
      </c>
      <c r="N482" s="254">
        <f t="shared" ca="1" si="222"/>
        <v>4663.4772536589389</v>
      </c>
      <c r="O482" s="254">
        <f t="shared" ca="1" si="222"/>
        <v>5072.1902376833459</v>
      </c>
      <c r="P482" s="254">
        <f t="shared" ca="1" si="222"/>
        <v>5630.8164615688074</v>
      </c>
      <c r="Q482" s="254">
        <f t="shared" ca="1" si="222"/>
        <v>6216.0132168483242</v>
      </c>
      <c r="R482" s="254">
        <f t="shared" ca="1" si="222"/>
        <v>6637.3979389973565</v>
      </c>
    </row>
    <row r="483" spans="1:18">
      <c r="B483" s="120" t="s">
        <v>152</v>
      </c>
      <c r="C483" s="90"/>
      <c r="D483" s="90"/>
      <c r="E483" s="90"/>
      <c r="F483" s="90"/>
      <c r="G483" s="90"/>
      <c r="H483" s="95"/>
      <c r="I483" s="254">
        <f ca="1">I467-I482</f>
        <v>0</v>
      </c>
      <c r="J483" s="254">
        <f t="shared" ref="J483:R483" ca="1" si="223">J467-J482</f>
        <v>0</v>
      </c>
      <c r="K483" s="254">
        <f t="shared" ca="1" si="223"/>
        <v>0</v>
      </c>
      <c r="L483" s="254">
        <f t="shared" ca="1" si="223"/>
        <v>0</v>
      </c>
      <c r="M483" s="254">
        <f t="shared" ca="1" si="223"/>
        <v>0</v>
      </c>
      <c r="N483" s="254">
        <f t="shared" ca="1" si="223"/>
        <v>0</v>
      </c>
      <c r="O483" s="254">
        <f t="shared" ca="1" si="223"/>
        <v>0</v>
      </c>
      <c r="P483" s="254">
        <f t="shared" ca="1" si="223"/>
        <v>0</v>
      </c>
      <c r="Q483" s="254">
        <f t="shared" ca="1" si="223"/>
        <v>0</v>
      </c>
      <c r="R483" s="254">
        <f t="shared" ca="1" si="223"/>
        <v>0</v>
      </c>
    </row>
    <row r="484" spans="1:18">
      <c r="B484" s="120"/>
      <c r="C484" s="90"/>
      <c r="D484" s="90"/>
      <c r="E484" s="90"/>
      <c r="F484" s="90"/>
      <c r="G484" s="90"/>
      <c r="H484" s="95"/>
      <c r="I484" s="254"/>
      <c r="J484" s="254"/>
      <c r="K484" s="254"/>
      <c r="L484" s="254"/>
      <c r="M484" s="254"/>
      <c r="N484" s="254"/>
      <c r="O484" s="254"/>
      <c r="P484" s="254"/>
      <c r="Q484" s="254"/>
      <c r="R484" s="254"/>
    </row>
    <row r="485" spans="1:18">
      <c r="B485" s="120" t="s">
        <v>281</v>
      </c>
      <c r="C485" s="90"/>
      <c r="D485" s="90"/>
      <c r="E485" s="90"/>
      <c r="F485" s="90"/>
      <c r="G485" s="90"/>
      <c r="H485" s="95"/>
      <c r="I485" s="256">
        <v>0</v>
      </c>
      <c r="J485" s="254">
        <f ca="1">I488</f>
        <v>394.12315689582761</v>
      </c>
      <c r="K485" s="254">
        <f t="shared" ref="K485:R485" ca="1" si="224">J488</f>
        <v>526.66064236262241</v>
      </c>
      <c r="L485" s="254">
        <f t="shared" ca="1" si="224"/>
        <v>760.86166194206999</v>
      </c>
      <c r="M485" s="254">
        <f t="shared" ca="1" si="224"/>
        <v>1004.4257717253249</v>
      </c>
      <c r="N485" s="254">
        <f t="shared" ca="1" si="224"/>
        <v>1270.5823679854402</v>
      </c>
      <c r="O485" s="254">
        <f t="shared" ca="1" si="224"/>
        <v>1483.5149054110952</v>
      </c>
      <c r="P485" s="254">
        <f t="shared" ca="1" si="224"/>
        <v>1638.9262857736103</v>
      </c>
      <c r="Q485" s="254">
        <f t="shared" ca="1" si="224"/>
        <v>1817.4356868356044</v>
      </c>
      <c r="R485" s="254">
        <f t="shared" ca="1" si="224"/>
        <v>2008.3622259209824</v>
      </c>
    </row>
    <row r="486" spans="1:18">
      <c r="B486" s="120" t="s">
        <v>282</v>
      </c>
      <c r="C486" s="90"/>
      <c r="D486" s="90"/>
      <c r="E486" s="90"/>
      <c r="F486" s="90"/>
      <c r="G486" s="90"/>
      <c r="H486" s="95"/>
      <c r="I486" s="254">
        <f ca="1">I482</f>
        <v>1576.4926275833102</v>
      </c>
      <c r="J486" s="254">
        <f ca="1">J482</f>
        <v>1712.5194125546618</v>
      </c>
      <c r="K486" s="254">
        <f t="shared" ref="K486:R486" ca="1" si="225">K482</f>
        <v>2516.7860054056587</v>
      </c>
      <c r="L486" s="254">
        <f t="shared" ca="1" si="225"/>
        <v>3256.8414249592306</v>
      </c>
      <c r="M486" s="254">
        <f t="shared" ca="1" si="225"/>
        <v>4077.9037002164359</v>
      </c>
      <c r="N486" s="254">
        <f t="shared" ca="1" si="225"/>
        <v>4663.4772536589389</v>
      </c>
      <c r="O486" s="254">
        <f t="shared" ca="1" si="225"/>
        <v>5072.1902376833459</v>
      </c>
      <c r="P486" s="254">
        <f t="shared" ca="1" si="225"/>
        <v>5630.8164615688074</v>
      </c>
      <c r="Q486" s="254">
        <f t="shared" ca="1" si="225"/>
        <v>6216.0132168483242</v>
      </c>
      <c r="R486" s="254">
        <f t="shared" ca="1" si="225"/>
        <v>6637.3979389973565</v>
      </c>
    </row>
    <row r="487" spans="1:18">
      <c r="B487" s="139" t="s">
        <v>283</v>
      </c>
      <c r="C487" s="122"/>
      <c r="D487" s="122"/>
      <c r="E487" s="122"/>
      <c r="F487" s="122"/>
      <c r="G487" s="122"/>
      <c r="H487" s="175"/>
      <c r="I487" s="255">
        <f ca="1">MIN(-(I485+I486)/4*3,0)</f>
        <v>-1182.3694706874826</v>
      </c>
      <c r="J487" s="255">
        <f t="shared" ref="J487:R487" ca="1" si="226">MIN(-(J485+J486)/4*3,0)</f>
        <v>-1579.9819270878672</v>
      </c>
      <c r="K487" s="255">
        <f t="shared" ca="1" si="226"/>
        <v>-2282.5849858262109</v>
      </c>
      <c r="L487" s="255">
        <f t="shared" ca="1" si="226"/>
        <v>-3013.2773151759757</v>
      </c>
      <c r="M487" s="255">
        <f t="shared" ca="1" si="226"/>
        <v>-3811.7471039563206</v>
      </c>
      <c r="N487" s="255">
        <f t="shared" ca="1" si="226"/>
        <v>-4450.5447162332839</v>
      </c>
      <c r="O487" s="255">
        <f t="shared" ca="1" si="226"/>
        <v>-4916.7788573208309</v>
      </c>
      <c r="P487" s="255">
        <f t="shared" ca="1" si="226"/>
        <v>-5452.3070605068133</v>
      </c>
      <c r="Q487" s="255">
        <f t="shared" ca="1" si="226"/>
        <v>-6025.0866777629462</v>
      </c>
      <c r="R487" s="255">
        <f t="shared" ca="1" si="226"/>
        <v>-6484.3201236887535</v>
      </c>
    </row>
    <row r="488" spans="1:18">
      <c r="B488" s="120" t="s">
        <v>284</v>
      </c>
      <c r="C488" s="90"/>
      <c r="D488" s="90"/>
      <c r="E488" s="90"/>
      <c r="F488" s="90"/>
      <c r="G488" s="90"/>
      <c r="H488" s="95"/>
      <c r="I488" s="254">
        <f ca="1">SUM(I485:I487)</f>
        <v>394.12315689582761</v>
      </c>
      <c r="J488" s="254">
        <f ca="1">SUM(J485:J487)</f>
        <v>526.66064236262241</v>
      </c>
      <c r="K488" s="254">
        <f t="shared" ref="K488:R488" ca="1" si="227">SUM(K485:K487)</f>
        <v>760.86166194206999</v>
      </c>
      <c r="L488" s="254">
        <f t="shared" ca="1" si="227"/>
        <v>1004.4257717253249</v>
      </c>
      <c r="M488" s="254">
        <f t="shared" ca="1" si="227"/>
        <v>1270.5823679854402</v>
      </c>
      <c r="N488" s="254">
        <f t="shared" ca="1" si="227"/>
        <v>1483.5149054110952</v>
      </c>
      <c r="O488" s="254">
        <f t="shared" ca="1" si="227"/>
        <v>1638.9262857736103</v>
      </c>
      <c r="P488" s="254">
        <f t="shared" ca="1" si="227"/>
        <v>1817.4356868356044</v>
      </c>
      <c r="Q488" s="254">
        <f t="shared" ca="1" si="227"/>
        <v>2008.3622259209824</v>
      </c>
      <c r="R488" s="254">
        <f t="shared" ca="1" si="227"/>
        <v>2161.4400412295845</v>
      </c>
    </row>
    <row r="489" spans="1:18">
      <c r="B489" s="120"/>
      <c r="C489" s="90"/>
      <c r="D489" s="90"/>
      <c r="E489" s="90"/>
      <c r="F489" s="90"/>
      <c r="G489" s="90"/>
      <c r="H489" s="95"/>
      <c r="I489" s="254"/>
      <c r="J489" s="254"/>
      <c r="K489" s="254"/>
      <c r="L489" s="254"/>
      <c r="M489" s="254"/>
      <c r="N489" s="254"/>
      <c r="O489" s="254"/>
      <c r="P489" s="254"/>
      <c r="Q489" s="254"/>
      <c r="R489" s="254"/>
    </row>
    <row r="490" spans="1:18" ht="4.9000000000000004" customHeight="1">
      <c r="B490" s="139"/>
      <c r="C490" s="122"/>
      <c r="D490" s="122"/>
      <c r="E490" s="122"/>
      <c r="F490" s="122"/>
      <c r="G490" s="122"/>
      <c r="H490" s="122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</row>
    <row r="492" spans="1:18">
      <c r="A492" s="55" t="s">
        <v>51</v>
      </c>
      <c r="B492" s="42" t="s">
        <v>252</v>
      </c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</row>
    <row r="494" spans="1:18">
      <c r="B494" s="183">
        <f>R13</f>
        <v>3</v>
      </c>
      <c r="I494" s="24">
        <f ca="1">I72</f>
        <v>8536.8000000000011</v>
      </c>
      <c r="J494" s="24">
        <f t="shared" ref="J494:M494" ca="1" si="228">J72</f>
        <v>9390.4800000000014</v>
      </c>
      <c r="K494" s="24">
        <f t="shared" ca="1" si="228"/>
        <v>10329.528</v>
      </c>
      <c r="L494" s="24">
        <f t="shared" ca="1" si="228"/>
        <v>11155.890240000004</v>
      </c>
      <c r="M494" s="24">
        <f t="shared" ca="1" si="228"/>
        <v>12048.361459200009</v>
      </c>
    </row>
    <row r="495" spans="1:18" ht="13.2" thickBot="1">
      <c r="B495" s="192"/>
      <c r="C495" s="192"/>
      <c r="D495" s="192"/>
      <c r="E495" s="192"/>
      <c r="F495" s="192"/>
      <c r="G495" s="44"/>
      <c r="H495" s="44"/>
      <c r="I495" s="235">
        <f t="shared" ref="I495:R495" si="229">I454</f>
        <v>42736</v>
      </c>
      <c r="J495" s="235">
        <f t="shared" si="229"/>
        <v>43131</v>
      </c>
      <c r="K495" s="235">
        <f t="shared" si="229"/>
        <v>43496</v>
      </c>
      <c r="L495" s="235">
        <f t="shared" si="229"/>
        <v>43861</v>
      </c>
      <c r="M495" s="235">
        <f t="shared" si="229"/>
        <v>44227</v>
      </c>
      <c r="N495" s="235">
        <f t="shared" si="229"/>
        <v>44592</v>
      </c>
      <c r="O495" s="235">
        <f t="shared" si="229"/>
        <v>44957</v>
      </c>
      <c r="P495" s="235">
        <f t="shared" si="229"/>
        <v>45322</v>
      </c>
      <c r="Q495" s="235">
        <f t="shared" si="229"/>
        <v>45688</v>
      </c>
      <c r="R495" s="235">
        <f t="shared" si="229"/>
        <v>46053</v>
      </c>
    </row>
    <row r="496" spans="1:18">
      <c r="B496" s="90"/>
      <c r="C496" s="90"/>
      <c r="D496" s="90"/>
      <c r="E496" s="90"/>
      <c r="F496" s="90"/>
      <c r="G496" s="90"/>
      <c r="H496" s="153"/>
      <c r="I496" s="148"/>
      <c r="J496" s="148"/>
      <c r="K496" s="148"/>
      <c r="L496" s="148"/>
      <c r="M496" s="148"/>
    </row>
    <row r="497" spans="2:18">
      <c r="B497" s="90"/>
      <c r="C497" s="90"/>
      <c r="D497" s="90"/>
      <c r="E497" s="90"/>
      <c r="F497" s="90"/>
      <c r="G497" s="90"/>
      <c r="H497" s="153"/>
      <c r="I497" s="153"/>
      <c r="J497" s="153"/>
      <c r="K497" s="153"/>
      <c r="L497" s="153"/>
      <c r="M497" s="153"/>
    </row>
    <row r="498" spans="2:18">
      <c r="B498" s="90"/>
      <c r="C498" s="90"/>
      <c r="D498" s="90"/>
      <c r="E498" s="176" t="str">
        <f ca="1">"Active Case: "&amp;OFFSET(E498,D499,0)</f>
        <v>Active Case: Growth</v>
      </c>
      <c r="F498" s="98"/>
      <c r="G498" s="177"/>
      <c r="H498" s="177"/>
      <c r="I498" s="177">
        <f ca="1">OFFSET(I498,$D499,0)</f>
        <v>0.6</v>
      </c>
      <c r="J498" s="177">
        <f t="shared" ref="J498:R498" ca="1" si="230">OFFSET(J498,$D499,0)</f>
        <v>0.1</v>
      </c>
      <c r="K498" s="177">
        <f t="shared" ca="1" si="230"/>
        <v>0.1</v>
      </c>
      <c r="L498" s="177">
        <f t="shared" ca="1" si="230"/>
        <v>0.08</v>
      </c>
      <c r="M498" s="177">
        <f t="shared" ca="1" si="230"/>
        <v>0.08</v>
      </c>
      <c r="N498" s="177">
        <f t="shared" ca="1" si="230"/>
        <v>0.08</v>
      </c>
      <c r="O498" s="177">
        <f t="shared" ca="1" si="230"/>
        <v>0.06</v>
      </c>
      <c r="P498" s="177">
        <f t="shared" ca="1" si="230"/>
        <v>0.05</v>
      </c>
      <c r="Q498" s="177">
        <f t="shared" ca="1" si="230"/>
        <v>0.05</v>
      </c>
      <c r="R498" s="177">
        <f t="shared" ca="1" si="230"/>
        <v>0.05</v>
      </c>
    </row>
    <row r="499" spans="2:18">
      <c r="B499" s="181" t="s">
        <v>253</v>
      </c>
      <c r="C499" s="182"/>
      <c r="D499" s="178">
        <f>$B$494</f>
        <v>3</v>
      </c>
      <c r="E499" s="388" t="s">
        <v>443</v>
      </c>
      <c r="F499" s="90"/>
      <c r="G499" s="179"/>
      <c r="H499" s="179"/>
      <c r="I499" s="184">
        <v>0.3</v>
      </c>
      <c r="J499" s="184">
        <v>0.03</v>
      </c>
      <c r="K499" s="184">
        <v>0.03</v>
      </c>
      <c r="L499" s="184">
        <v>0.03</v>
      </c>
      <c r="M499" s="184">
        <v>0.03</v>
      </c>
      <c r="N499" s="184">
        <v>0.03</v>
      </c>
      <c r="O499" s="184">
        <v>0.03</v>
      </c>
      <c r="P499" s="184">
        <v>0.03</v>
      </c>
      <c r="Q499" s="184">
        <v>0.03</v>
      </c>
      <c r="R499" s="184">
        <v>0.03</v>
      </c>
    </row>
    <row r="500" spans="2:18">
      <c r="B500" s="90"/>
      <c r="C500" s="90"/>
      <c r="D500" s="90"/>
      <c r="E500" s="388" t="s">
        <v>254</v>
      </c>
      <c r="F500" s="90"/>
      <c r="G500" s="90"/>
      <c r="H500" s="153"/>
      <c r="I500" s="184">
        <v>0.45</v>
      </c>
      <c r="J500" s="184">
        <v>0.1</v>
      </c>
      <c r="K500" s="184">
        <v>0.05</v>
      </c>
      <c r="L500" s="184">
        <v>0.05</v>
      </c>
      <c r="M500" s="184">
        <v>0.05</v>
      </c>
      <c r="N500" s="184">
        <v>0.05</v>
      </c>
      <c r="O500" s="184">
        <v>0.05</v>
      </c>
      <c r="P500" s="184">
        <v>0.05</v>
      </c>
      <c r="Q500" s="184">
        <v>0.05</v>
      </c>
      <c r="R500" s="184">
        <v>0.05</v>
      </c>
    </row>
    <row r="501" spans="2:18">
      <c r="B501" s="90"/>
      <c r="C501" s="90"/>
      <c r="D501" s="90"/>
      <c r="E501" s="388" t="s">
        <v>429</v>
      </c>
      <c r="F501" s="90"/>
      <c r="G501" s="90"/>
      <c r="H501" s="153"/>
      <c r="I501" s="184">
        <v>0.6</v>
      </c>
      <c r="J501" s="184">
        <v>0.1</v>
      </c>
      <c r="K501" s="184">
        <v>0.1</v>
      </c>
      <c r="L501" s="184">
        <v>0.08</v>
      </c>
      <c r="M501" s="184">
        <v>0.08</v>
      </c>
      <c r="N501" s="184">
        <v>0.08</v>
      </c>
      <c r="O501" s="184">
        <v>0.06</v>
      </c>
      <c r="P501" s="184">
        <v>0.05</v>
      </c>
      <c r="Q501" s="184">
        <v>0.05</v>
      </c>
      <c r="R501" s="184">
        <v>0.05</v>
      </c>
    </row>
    <row r="502" spans="2:18">
      <c r="B502" s="90"/>
      <c r="C502" s="90"/>
      <c r="D502" s="90"/>
      <c r="E502" s="122"/>
      <c r="F502" s="122"/>
      <c r="G502" s="122"/>
      <c r="H502" s="180"/>
      <c r="I502" s="180"/>
      <c r="J502" s="180"/>
      <c r="K502" s="180"/>
      <c r="L502" s="180"/>
      <c r="M502" s="180"/>
    </row>
    <row r="503" spans="2:18">
      <c r="B503" s="90"/>
      <c r="C503" s="90"/>
      <c r="D503" s="90"/>
      <c r="E503" s="176" t="str">
        <f ca="1">"Active Case: "&amp;OFFSET(E503,D504,0)</f>
        <v>Active Case: Growth</v>
      </c>
      <c r="F503" s="98"/>
      <c r="G503" s="177"/>
      <c r="H503" s="177"/>
      <c r="I503" s="177">
        <f ca="1">OFFSET(I503,$D504,0)</f>
        <v>0.67396737979241683</v>
      </c>
      <c r="J503" s="177">
        <f t="shared" ref="J503:R503" ca="1" si="231">OFFSET(J503,$D504,0)</f>
        <v>0.67396737979241683</v>
      </c>
      <c r="K503" s="177">
        <f t="shared" ca="1" si="231"/>
        <v>0.67396737979241683</v>
      </c>
      <c r="L503" s="177">
        <f t="shared" ca="1" si="231"/>
        <v>0.67396737979241683</v>
      </c>
      <c r="M503" s="177">
        <f t="shared" ca="1" si="231"/>
        <v>0.67396737979241683</v>
      </c>
      <c r="N503" s="177">
        <f t="shared" ca="1" si="231"/>
        <v>0.67396737979241683</v>
      </c>
      <c r="O503" s="177">
        <f t="shared" ca="1" si="231"/>
        <v>0.67396737979241683</v>
      </c>
      <c r="P503" s="177">
        <f t="shared" ca="1" si="231"/>
        <v>0.67396737979241683</v>
      </c>
      <c r="Q503" s="177">
        <f t="shared" ca="1" si="231"/>
        <v>0.67396737979241683</v>
      </c>
      <c r="R503" s="177">
        <f t="shared" ca="1" si="231"/>
        <v>0.67396737979241683</v>
      </c>
    </row>
    <row r="504" spans="2:18">
      <c r="B504" s="182" t="s">
        <v>255</v>
      </c>
      <c r="C504" s="98"/>
      <c r="D504" s="178">
        <f>$B$494</f>
        <v>3</v>
      </c>
      <c r="E504" s="90" t="str">
        <f>$E499</f>
        <v>No Growth</v>
      </c>
      <c r="F504" s="90"/>
      <c r="G504" s="179"/>
      <c r="H504" s="179"/>
      <c r="I504" s="290">
        <f>G160</f>
        <v>0.67396737979241683</v>
      </c>
      <c r="J504" s="184">
        <f t="shared" ref="J504:K506" si="232">I504</f>
        <v>0.67396737979241683</v>
      </c>
      <c r="K504" s="184">
        <f t="shared" si="232"/>
        <v>0.67396737979241683</v>
      </c>
      <c r="L504" s="184">
        <f t="shared" ref="L504:R504" si="233">K504</f>
        <v>0.67396737979241683</v>
      </c>
      <c r="M504" s="184">
        <f t="shared" si="233"/>
        <v>0.67396737979241683</v>
      </c>
      <c r="N504" s="184">
        <f t="shared" si="233"/>
        <v>0.67396737979241683</v>
      </c>
      <c r="O504" s="184">
        <f t="shared" si="233"/>
        <v>0.67396737979241683</v>
      </c>
      <c r="P504" s="184">
        <f t="shared" si="233"/>
        <v>0.67396737979241683</v>
      </c>
      <c r="Q504" s="184">
        <f t="shared" si="233"/>
        <v>0.67396737979241683</v>
      </c>
      <c r="R504" s="184">
        <f t="shared" si="233"/>
        <v>0.67396737979241683</v>
      </c>
    </row>
    <row r="505" spans="2:18">
      <c r="B505" s="90"/>
      <c r="C505" s="90"/>
      <c r="D505" s="90"/>
      <c r="E505" s="90" t="str">
        <f>$E500</f>
        <v>Base Case</v>
      </c>
      <c r="F505" s="90"/>
      <c r="G505" s="90"/>
      <c r="H505" s="90"/>
      <c r="I505" s="290">
        <f>I504</f>
        <v>0.67396737979241683</v>
      </c>
      <c r="J505" s="184">
        <f t="shared" si="232"/>
        <v>0.67396737979241683</v>
      </c>
      <c r="K505" s="184">
        <f t="shared" si="232"/>
        <v>0.67396737979241683</v>
      </c>
      <c r="L505" s="184">
        <f t="shared" ref="L505:R505" si="234">K505</f>
        <v>0.67396737979241683</v>
      </c>
      <c r="M505" s="184">
        <f t="shared" si="234"/>
        <v>0.67396737979241683</v>
      </c>
      <c r="N505" s="184">
        <f t="shared" si="234"/>
        <v>0.67396737979241683</v>
      </c>
      <c r="O505" s="184">
        <f t="shared" si="234"/>
        <v>0.67396737979241683</v>
      </c>
      <c r="P505" s="184">
        <f t="shared" si="234"/>
        <v>0.67396737979241683</v>
      </c>
      <c r="Q505" s="184">
        <f t="shared" si="234"/>
        <v>0.67396737979241683</v>
      </c>
      <c r="R505" s="184">
        <f t="shared" si="234"/>
        <v>0.67396737979241683</v>
      </c>
    </row>
    <row r="506" spans="2:18">
      <c r="B506" s="90"/>
      <c r="C506" s="90"/>
      <c r="D506" s="90"/>
      <c r="E506" s="90" t="str">
        <f>$E501</f>
        <v>Growth</v>
      </c>
      <c r="F506" s="90"/>
      <c r="G506" s="90"/>
      <c r="H506" s="90"/>
      <c r="I506" s="290">
        <f>I505</f>
        <v>0.67396737979241683</v>
      </c>
      <c r="J506" s="184">
        <f t="shared" si="232"/>
        <v>0.67396737979241683</v>
      </c>
      <c r="K506" s="184">
        <f t="shared" si="232"/>
        <v>0.67396737979241683</v>
      </c>
      <c r="L506" s="184">
        <f t="shared" ref="L506:R506" si="235">K506</f>
        <v>0.67396737979241683</v>
      </c>
      <c r="M506" s="184">
        <f t="shared" si="235"/>
        <v>0.67396737979241683</v>
      </c>
      <c r="N506" s="184">
        <f t="shared" si="235"/>
        <v>0.67396737979241683</v>
      </c>
      <c r="O506" s="184">
        <f t="shared" si="235"/>
        <v>0.67396737979241683</v>
      </c>
      <c r="P506" s="184">
        <f t="shared" si="235"/>
        <v>0.67396737979241683</v>
      </c>
      <c r="Q506" s="184">
        <f t="shared" si="235"/>
        <v>0.67396737979241683</v>
      </c>
      <c r="R506" s="184">
        <f t="shared" si="235"/>
        <v>0.67396737979241683</v>
      </c>
    </row>
    <row r="507" spans="2:18"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</row>
    <row r="508" spans="2:18">
      <c r="B508" s="90"/>
      <c r="C508" s="90"/>
      <c r="D508" s="90"/>
      <c r="E508" s="176" t="str">
        <f ca="1">"Active Case: "&amp;OFFSET(E508,D509,0)</f>
        <v>Active Case: Growth</v>
      </c>
      <c r="F508" s="98"/>
      <c r="G508" s="177"/>
      <c r="H508" s="177"/>
      <c r="I508" s="177">
        <f ca="1">OFFSET(I508,$D509,0)</f>
        <v>0.1</v>
      </c>
      <c r="J508" s="177">
        <f t="shared" ref="J508:R508" ca="1" si="236">OFFSET(J508,$D509,0)</f>
        <v>0.1</v>
      </c>
      <c r="K508" s="177">
        <f t="shared" ca="1" si="236"/>
        <v>0.1</v>
      </c>
      <c r="L508" s="177">
        <f t="shared" ca="1" si="236"/>
        <v>0.1</v>
      </c>
      <c r="M508" s="177">
        <f t="shared" ca="1" si="236"/>
        <v>0.1</v>
      </c>
      <c r="N508" s="177">
        <f t="shared" ca="1" si="236"/>
        <v>0.1</v>
      </c>
      <c r="O508" s="177">
        <f t="shared" ca="1" si="236"/>
        <v>0.1</v>
      </c>
      <c r="P508" s="177">
        <f t="shared" ca="1" si="236"/>
        <v>0.1</v>
      </c>
      <c r="Q508" s="177">
        <f t="shared" ca="1" si="236"/>
        <v>0.1</v>
      </c>
      <c r="R508" s="177">
        <f t="shared" ca="1" si="236"/>
        <v>0.1</v>
      </c>
    </row>
    <row r="509" spans="2:18">
      <c r="B509" s="182" t="s">
        <v>257</v>
      </c>
      <c r="C509" s="98"/>
      <c r="D509" s="178">
        <f>$B$494</f>
        <v>3</v>
      </c>
      <c r="E509" s="90" t="str">
        <f>$E504</f>
        <v>No Growth</v>
      </c>
      <c r="F509" s="90"/>
      <c r="G509" s="179"/>
      <c r="H509" s="179"/>
      <c r="I509" s="184">
        <v>0.1</v>
      </c>
      <c r="J509" s="184">
        <v>0.1</v>
      </c>
      <c r="K509" s="184">
        <v>0.09</v>
      </c>
      <c r="L509" s="184">
        <v>0.08</v>
      </c>
      <c r="M509" s="184">
        <v>7.0000000000000007E-2</v>
      </c>
      <c r="N509" s="184">
        <f>M509</f>
        <v>7.0000000000000007E-2</v>
      </c>
      <c r="O509" s="184">
        <f>N509</f>
        <v>7.0000000000000007E-2</v>
      </c>
      <c r="P509" s="184">
        <f>O509</f>
        <v>7.0000000000000007E-2</v>
      </c>
      <c r="Q509" s="184">
        <f>P509</f>
        <v>7.0000000000000007E-2</v>
      </c>
      <c r="R509" s="184">
        <f>Q509</f>
        <v>7.0000000000000007E-2</v>
      </c>
    </row>
    <row r="510" spans="2:18">
      <c r="B510" s="90"/>
      <c r="C510" s="90"/>
      <c r="D510" s="90"/>
      <c r="E510" s="90" t="str">
        <f>$E505</f>
        <v>Base Case</v>
      </c>
      <c r="F510" s="90"/>
      <c r="G510" s="90"/>
      <c r="H510" s="90"/>
      <c r="I510" s="184">
        <v>0.1</v>
      </c>
      <c r="J510" s="184">
        <v>0.1</v>
      </c>
      <c r="K510" s="184">
        <v>0.1</v>
      </c>
      <c r="L510" s="184">
        <v>0.1</v>
      </c>
      <c r="M510" s="184">
        <v>0.1</v>
      </c>
      <c r="N510" s="184">
        <v>0.1</v>
      </c>
      <c r="O510" s="184">
        <v>0.1</v>
      </c>
      <c r="P510" s="184">
        <v>0.1</v>
      </c>
      <c r="Q510" s="184">
        <v>0.1</v>
      </c>
      <c r="R510" s="184">
        <v>0.1</v>
      </c>
    </row>
    <row r="511" spans="2:18">
      <c r="B511" s="90"/>
      <c r="C511" s="90"/>
      <c r="D511" s="90"/>
      <c r="E511" s="90" t="str">
        <f>$E506</f>
        <v>Growth</v>
      </c>
      <c r="F511" s="90"/>
      <c r="G511" s="90"/>
      <c r="H511" s="90"/>
      <c r="I511" s="184">
        <v>0.1</v>
      </c>
      <c r="J511" s="184">
        <v>0.1</v>
      </c>
      <c r="K511" s="184">
        <v>0.1</v>
      </c>
      <c r="L511" s="184">
        <v>0.1</v>
      </c>
      <c r="M511" s="184">
        <v>0.1</v>
      </c>
      <c r="N511" s="184">
        <v>0.1</v>
      </c>
      <c r="O511" s="184">
        <v>0.1</v>
      </c>
      <c r="P511" s="184">
        <v>0.1</v>
      </c>
      <c r="Q511" s="184">
        <v>0.1</v>
      </c>
      <c r="R511" s="184">
        <v>0.1</v>
      </c>
    </row>
    <row r="512" spans="2:18"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</row>
    <row r="513" spans="2:18">
      <c r="B513" s="90"/>
      <c r="C513" s="90"/>
      <c r="D513" s="90"/>
      <c r="E513" s="176" t="str">
        <f ca="1">"Active Case: "&amp;OFFSET(E513,D514,0)</f>
        <v>Active Case: Growth</v>
      </c>
      <c r="F513" s="98"/>
      <c r="G513" s="177"/>
      <c r="H513" s="177"/>
      <c r="I513" s="391">
        <f ca="1">OFFSET(I513,$D514,0)</f>
        <v>500</v>
      </c>
      <c r="J513" s="391">
        <f t="shared" ref="J513:R513" ca="1" si="237">OFFSET(J513,$D514,0)</f>
        <v>1000</v>
      </c>
      <c r="K513" s="391">
        <f t="shared" ca="1" si="237"/>
        <v>2000</v>
      </c>
      <c r="L513" s="391">
        <f t="shared" ca="1" si="237"/>
        <v>1000</v>
      </c>
      <c r="M513" s="391">
        <f t="shared" ca="1" si="237"/>
        <v>750</v>
      </c>
      <c r="N513" s="391">
        <f t="shared" ca="1" si="237"/>
        <v>500</v>
      </c>
      <c r="O513" s="391">
        <f t="shared" ca="1" si="237"/>
        <v>500</v>
      </c>
      <c r="P513" s="391">
        <f t="shared" ca="1" si="237"/>
        <v>500</v>
      </c>
      <c r="Q513" s="391">
        <f t="shared" ca="1" si="237"/>
        <v>500</v>
      </c>
      <c r="R513" s="391">
        <f t="shared" ca="1" si="237"/>
        <v>500</v>
      </c>
    </row>
    <row r="514" spans="2:18">
      <c r="B514" s="182" t="s">
        <v>256</v>
      </c>
      <c r="C514" s="98"/>
      <c r="D514" s="178">
        <f>$B$494</f>
        <v>3</v>
      </c>
      <c r="E514" s="90" t="str">
        <f>$E509</f>
        <v>No Growth</v>
      </c>
      <c r="F514" s="90"/>
      <c r="G514" s="179"/>
      <c r="H514" s="179"/>
      <c r="I514" s="392">
        <v>250</v>
      </c>
      <c r="J514" s="392">
        <v>500</v>
      </c>
      <c r="K514" s="392">
        <v>300</v>
      </c>
      <c r="L514" s="392">
        <v>300</v>
      </c>
      <c r="M514" s="392">
        <v>300</v>
      </c>
      <c r="N514" s="392">
        <v>300</v>
      </c>
      <c r="O514" s="392">
        <v>300</v>
      </c>
      <c r="P514" s="392">
        <v>300</v>
      </c>
      <c r="Q514" s="392">
        <v>300</v>
      </c>
      <c r="R514" s="392">
        <v>300</v>
      </c>
    </row>
    <row r="515" spans="2:18">
      <c r="E515" s="90" t="str">
        <f>$E510</f>
        <v>Base Case</v>
      </c>
      <c r="I515" s="392">
        <v>250</v>
      </c>
      <c r="J515" s="392">
        <v>750</v>
      </c>
      <c r="K515" s="392">
        <v>1000</v>
      </c>
      <c r="L515" s="392">
        <v>500</v>
      </c>
      <c r="M515" s="392">
        <v>500</v>
      </c>
      <c r="N515" s="392">
        <v>500</v>
      </c>
      <c r="O515" s="392">
        <v>500</v>
      </c>
      <c r="P515" s="392">
        <v>500</v>
      </c>
      <c r="Q515" s="392">
        <v>500</v>
      </c>
      <c r="R515" s="392">
        <v>500</v>
      </c>
    </row>
    <row r="516" spans="2:18">
      <c r="E516" s="90" t="str">
        <f>$E511</f>
        <v>Growth</v>
      </c>
      <c r="I516" s="392">
        <v>500</v>
      </c>
      <c r="J516" s="392">
        <v>1000</v>
      </c>
      <c r="K516" s="392">
        <v>2000</v>
      </c>
      <c r="L516" s="392">
        <v>1000</v>
      </c>
      <c r="M516" s="392">
        <v>750</v>
      </c>
      <c r="N516" s="392">
        <v>500</v>
      </c>
      <c r="O516" s="392">
        <v>500</v>
      </c>
      <c r="P516" s="392">
        <v>500</v>
      </c>
      <c r="Q516" s="392">
        <v>500</v>
      </c>
      <c r="R516" s="392">
        <v>500</v>
      </c>
    </row>
    <row r="518" spans="2:18">
      <c r="B518" s="90"/>
      <c r="C518" s="90"/>
      <c r="D518" s="90"/>
      <c r="E518" s="176" t="str">
        <f ca="1">"Active Case: "&amp;OFFSET(E518,D519,0)</f>
        <v>Active Case: Growth</v>
      </c>
      <c r="F518" s="98"/>
      <c r="G518" s="177"/>
      <c r="H518" s="177"/>
      <c r="I518" s="394">
        <f ca="1">OFFSET(I518,$D519,0)</f>
        <v>0</v>
      </c>
    </row>
    <row r="519" spans="2:18">
      <c r="B519" s="182" t="s">
        <v>418</v>
      </c>
      <c r="C519" s="98"/>
      <c r="D519" s="178">
        <f>$B$494</f>
        <v>3</v>
      </c>
      <c r="E519" s="90" t="str">
        <f>$E514</f>
        <v>No Growth</v>
      </c>
      <c r="F519" s="90"/>
      <c r="G519" s="179"/>
      <c r="H519" s="179"/>
      <c r="I519" s="393">
        <v>0</v>
      </c>
    </row>
    <row r="520" spans="2:18">
      <c r="E520" s="90" t="str">
        <f>$E515</f>
        <v>Base Case</v>
      </c>
      <c r="I520" s="393">
        <v>0</v>
      </c>
    </row>
    <row r="521" spans="2:18">
      <c r="E521" s="90" t="str">
        <f>$E516</f>
        <v>Growth</v>
      </c>
      <c r="I521" s="393">
        <v>0</v>
      </c>
      <c r="J521" s="41"/>
      <c r="K521" s="41"/>
      <c r="L521" s="41"/>
      <c r="M521" s="41"/>
    </row>
    <row r="523" spans="2:18">
      <c r="B523" s="90"/>
      <c r="C523" s="90"/>
      <c r="D523" s="90"/>
      <c r="E523" s="176" t="str">
        <f ca="1">OFFSET(E523,D524,0)</f>
        <v>12.5 Year</v>
      </c>
      <c r="F523" s="98"/>
      <c r="G523" s="177"/>
      <c r="H523" s="177"/>
      <c r="I523" s="394">
        <f ca="1">OFFSET(I523,$D524,0)</f>
        <v>0.08</v>
      </c>
      <c r="J523" s="394">
        <f t="shared" ref="J523:O523" ca="1" si="238">OFFSET(J523,$D524,0)</f>
        <v>0.08</v>
      </c>
      <c r="K523" s="394">
        <f t="shared" ca="1" si="238"/>
        <v>0.08</v>
      </c>
      <c r="L523" s="394">
        <f t="shared" ca="1" si="238"/>
        <v>0.08</v>
      </c>
      <c r="M523" s="394">
        <f t="shared" ca="1" si="238"/>
        <v>0.08</v>
      </c>
      <c r="N523" s="394">
        <f t="shared" ca="1" si="238"/>
        <v>0.08</v>
      </c>
      <c r="O523" s="394">
        <f t="shared" ca="1" si="238"/>
        <v>0.08</v>
      </c>
      <c r="P523" s="394">
        <f ca="1">OFFSET(P523,$D524,0)</f>
        <v>0.08</v>
      </c>
      <c r="Q523" s="394">
        <f ca="1">OFFSET(Q523,$D524,0)</f>
        <v>0.08</v>
      </c>
      <c r="R523" s="394">
        <f ca="1">OFFSET(R523,$D524,0)</f>
        <v>0.08</v>
      </c>
    </row>
    <row r="524" spans="2:18">
      <c r="B524" s="182" t="s">
        <v>424</v>
      </c>
      <c r="C524" s="98"/>
      <c r="D524" s="178">
        <f>D308</f>
        <v>3</v>
      </c>
      <c r="E524" s="90" t="s">
        <v>452</v>
      </c>
      <c r="F524" s="90"/>
      <c r="G524" s="179"/>
      <c r="H524" s="179"/>
      <c r="I524" s="413">
        <v>0.1</v>
      </c>
      <c r="J524" s="413">
        <v>0.1</v>
      </c>
      <c r="K524" s="413">
        <v>0.125</v>
      </c>
      <c r="L524" s="413">
        <v>0.125</v>
      </c>
      <c r="M524" s="413">
        <v>0.15</v>
      </c>
      <c r="N524" s="413">
        <v>0.2</v>
      </c>
      <c r="O524" s="413">
        <v>0.2</v>
      </c>
      <c r="P524" s="413">
        <v>0</v>
      </c>
      <c r="Q524" s="413">
        <v>0</v>
      </c>
      <c r="R524" s="413">
        <v>0</v>
      </c>
    </row>
    <row r="525" spans="2:18">
      <c r="E525" s="90" t="s">
        <v>450</v>
      </c>
      <c r="I525" s="413">
        <v>0.1</v>
      </c>
      <c r="J525" s="413">
        <v>0.1</v>
      </c>
      <c r="K525" s="413">
        <v>0.1</v>
      </c>
      <c r="L525" s="413">
        <v>0.1</v>
      </c>
      <c r="M525" s="413">
        <v>0.1</v>
      </c>
      <c r="N525" s="413">
        <v>0.1</v>
      </c>
      <c r="O525" s="413">
        <v>0.1</v>
      </c>
      <c r="P525" s="413">
        <v>0.1</v>
      </c>
      <c r="Q525" s="413">
        <v>0.1</v>
      </c>
      <c r="R525" s="413">
        <v>0.1</v>
      </c>
    </row>
    <row r="526" spans="2:18">
      <c r="E526" s="90" t="s">
        <v>453</v>
      </c>
      <c r="I526" s="413">
        <v>0.08</v>
      </c>
      <c r="J526" s="413">
        <v>0.08</v>
      </c>
      <c r="K526" s="413">
        <v>0.08</v>
      </c>
      <c r="L526" s="413">
        <v>0.08</v>
      </c>
      <c r="M526" s="413">
        <v>0.08</v>
      </c>
      <c r="N526" s="413">
        <v>0.08</v>
      </c>
      <c r="O526" s="413">
        <v>0.08</v>
      </c>
      <c r="P526" s="413">
        <v>0.08</v>
      </c>
      <c r="Q526" s="413">
        <v>0.08</v>
      </c>
      <c r="R526" s="413">
        <v>0.08</v>
      </c>
    </row>
  </sheetData>
  <dataConsolidate/>
  <dataValidations disablePrompts="1" count="3">
    <dataValidation type="list" allowBlank="1" showInputMessage="1" showErrorMessage="1" sqref="R17">
      <formula1>$W$8:$W$9</formula1>
    </dataValidation>
    <dataValidation type="list" allowBlank="1" showInputMessage="1" showErrorMessage="1" sqref="R9">
      <formula1>$W$6:$W$7</formula1>
    </dataValidation>
    <dataValidation type="list" allowBlank="1" showInputMessage="1" showErrorMessage="1" sqref="H426:H428">
      <formula1>$B$444:$B$446</formula1>
    </dataValidation>
  </dataValidations>
  <hyperlinks>
    <hyperlink ref="B442" r:id="rId1"/>
  </hyperlinks>
  <pageMargins left="0.7" right="0.7" top="0.75" bottom="0.75" header="0.3" footer="0.3"/>
  <pageSetup orientation="portrait" r:id="rId2"/>
  <ignoredErrors>
    <ignoredError sqref="H172" formula="1"/>
  </ignoredErrors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343C"/>
  </sheetPr>
  <dimension ref="A1"/>
  <sheetViews>
    <sheetView zoomScale="80" zoomScaleNormal="80" workbookViewId="0">
      <selection activeCell="C49" sqref="C49"/>
    </sheetView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showGridLines="0" tabSelected="1" zoomScale="80" zoomScaleNormal="80" workbookViewId="0">
      <selection activeCell="F17" sqref="F17"/>
    </sheetView>
  </sheetViews>
  <sheetFormatPr defaultColWidth="8.83984375" defaultRowHeight="14.4"/>
  <cols>
    <col min="1" max="1" width="2.68359375" style="15" customWidth="1"/>
    <col min="2" max="2" width="25.68359375" style="15" bestFit="1" customWidth="1"/>
    <col min="3" max="3" width="15.578125" style="15" customWidth="1"/>
    <col min="4" max="4" width="12.578125" style="15" customWidth="1"/>
    <col min="5" max="5" width="13.578125" style="15" customWidth="1"/>
    <col min="6" max="6" width="13.578125" customWidth="1"/>
    <col min="7" max="7" width="2.578125" customWidth="1"/>
    <col min="8" max="8" width="25.68359375" bestFit="1" customWidth="1"/>
    <col min="9" max="9" width="16.26171875" customWidth="1"/>
    <col min="10" max="10" width="1.41796875" customWidth="1"/>
    <col min="11" max="14" width="12.68359375" customWidth="1"/>
    <col min="15" max="15" width="9.15625" customWidth="1"/>
    <col min="16" max="16384" width="8.83984375" style="15"/>
  </cols>
  <sheetData>
    <row r="1" spans="1:15" ht="20.399999999999999" thickBot="1">
      <c r="A1" s="17" t="str">
        <f>Cover!$B$17</f>
        <v>Boccella Precast</v>
      </c>
      <c r="B1" s="16"/>
      <c r="C1" s="16"/>
      <c r="D1" s="16"/>
      <c r="E1" s="16"/>
      <c r="F1" s="16"/>
      <c r="G1" s="16"/>
      <c r="H1" s="16"/>
      <c r="I1" s="16"/>
      <c r="J1" s="15"/>
      <c r="K1" s="15"/>
      <c r="L1" s="15"/>
      <c r="M1" s="15"/>
      <c r="N1" s="15"/>
      <c r="O1" s="15"/>
    </row>
    <row r="2" spans="1:15">
      <c r="A2" s="25" t="s">
        <v>359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>
      <c r="A3" s="2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>
      <c r="A4" s="55" t="s">
        <v>51</v>
      </c>
      <c r="B4" s="327" t="s">
        <v>359</v>
      </c>
      <c r="C4" s="329"/>
      <c r="D4" s="329"/>
      <c r="E4" s="329"/>
      <c r="F4" s="329"/>
      <c r="G4" s="329"/>
      <c r="H4" s="329"/>
      <c r="I4" s="329"/>
      <c r="J4" s="15"/>
      <c r="K4" s="15"/>
      <c r="L4" s="15"/>
      <c r="M4" s="15"/>
      <c r="N4" s="15"/>
      <c r="O4" s="15"/>
    </row>
    <row r="5" spans="1:15" ht="14.5" customHeight="1">
      <c r="B5" s="18"/>
      <c r="C5" s="300"/>
    </row>
    <row r="6" spans="1:15" ht="14.5" customHeight="1" thickBot="1">
      <c r="B6" s="25"/>
      <c r="C6" s="300"/>
      <c r="D6" s="303" t="s">
        <v>368</v>
      </c>
      <c r="F6" s="15"/>
      <c r="G6" s="15"/>
      <c r="H6" s="15"/>
      <c r="I6" s="15"/>
      <c r="K6" s="294" t="s">
        <v>44</v>
      </c>
      <c r="L6" s="294" t="s">
        <v>532</v>
      </c>
    </row>
    <row r="7" spans="1:15" ht="14.5" customHeight="1" thickBot="1">
      <c r="B7" s="366" t="s">
        <v>360</v>
      </c>
      <c r="C7" s="294" t="s">
        <v>364</v>
      </c>
      <c r="D7" s="294" t="s">
        <v>44</v>
      </c>
      <c r="E7" s="294" t="s">
        <v>366</v>
      </c>
      <c r="F7" s="294" t="s">
        <v>367</v>
      </c>
      <c r="G7" s="385"/>
      <c r="H7" s="366" t="s">
        <v>361</v>
      </c>
      <c r="I7" s="294" t="s">
        <v>365</v>
      </c>
      <c r="K7" s="345">
        <v>6605</v>
      </c>
      <c r="L7">
        <v>30000</v>
      </c>
      <c r="M7" s="532">
        <f>L7/K7</f>
        <v>4.5420136260408785</v>
      </c>
    </row>
    <row r="8" spans="1:15" ht="16" customHeight="1">
      <c r="B8" s="365" t="s">
        <v>63</v>
      </c>
      <c r="C8" s="298">
        <f ca="1">Model!D20</f>
        <v>0</v>
      </c>
      <c r="D8" s="305">
        <f ca="1">C8/$K$7</f>
        <v>0</v>
      </c>
      <c r="E8" s="304">
        <f ca="1">Model!K26</f>
        <v>4.2500000000000003E-2</v>
      </c>
      <c r="F8" s="56"/>
      <c r="G8" s="56"/>
      <c r="H8" s="365" t="s">
        <v>414</v>
      </c>
      <c r="I8" s="298">
        <f ca="1">C15-I9-I13-I10</f>
        <v>27187.5</v>
      </c>
    </row>
    <row r="9" spans="1:15" ht="16" customHeight="1">
      <c r="B9" s="365" t="s">
        <v>64</v>
      </c>
      <c r="C9" s="367">
        <f ca="1">Model!D21</f>
        <v>0</v>
      </c>
      <c r="D9" s="305">
        <f ca="1">C9/$K$7</f>
        <v>0</v>
      </c>
      <c r="E9" s="304">
        <f ca="1">Model!K32</f>
        <v>4.2500000000000003E-2</v>
      </c>
      <c r="F9" s="241">
        <f ca="1">Model!K34</f>
        <v>5</v>
      </c>
      <c r="G9" s="241"/>
      <c r="H9" s="365" t="s">
        <v>348</v>
      </c>
      <c r="I9" s="299">
        <f ca="1">SUM(Model!F11:F13)</f>
        <v>1500</v>
      </c>
    </row>
    <row r="10" spans="1:15" ht="16" customHeight="1">
      <c r="B10" s="365" t="s">
        <v>408</v>
      </c>
      <c r="C10" s="367">
        <f ca="1">Model!D22</f>
        <v>20500</v>
      </c>
      <c r="D10" s="305">
        <f ca="1">C10/$K$7</f>
        <v>3.1037093111279335</v>
      </c>
      <c r="E10" s="304" t="s">
        <v>451</v>
      </c>
      <c r="F10" s="241"/>
      <c r="G10" s="241"/>
      <c r="H10" s="365" t="s">
        <v>552</v>
      </c>
      <c r="I10" s="299">
        <f>Model!F14</f>
        <v>250</v>
      </c>
    </row>
    <row r="11" spans="1:15" ht="16" customHeight="1">
      <c r="B11" s="365"/>
      <c r="C11" s="367"/>
      <c r="D11" s="305"/>
      <c r="E11" s="304"/>
      <c r="F11" s="241"/>
      <c r="G11" s="241"/>
      <c r="H11" s="365"/>
      <c r="I11" s="299"/>
    </row>
    <row r="12" spans="1:15" ht="16" customHeight="1">
      <c r="B12" s="365" t="s">
        <v>402</v>
      </c>
      <c r="C12" s="591">
        <f ca="1">Model!D25</f>
        <v>2700</v>
      </c>
      <c r="D12" s="305">
        <f ca="1">C12/$K$7</f>
        <v>0.40878122634367903</v>
      </c>
      <c r="E12" s="479">
        <f ca="1">C12/SUM($C$12:$C$14)</f>
        <v>0.24</v>
      </c>
      <c r="F12" s="241"/>
      <c r="G12" s="241"/>
      <c r="H12" s="365"/>
      <c r="I12" s="299"/>
    </row>
    <row r="13" spans="1:15" ht="16" customHeight="1">
      <c r="B13" s="25" t="s">
        <v>521</v>
      </c>
      <c r="C13" s="367">
        <f ca="1">Model!D26</f>
        <v>2812.5</v>
      </c>
      <c r="D13" s="305">
        <f ca="1">C13/$K$7</f>
        <v>0.42581377744133231</v>
      </c>
      <c r="E13" s="479">
        <f ca="1">C13/SUM($C$12:$C$14)</f>
        <v>0.25</v>
      </c>
      <c r="F13" s="241"/>
      <c r="G13" s="241"/>
      <c r="H13" s="365" t="str">
        <f>B13</f>
        <v>Management Rolled Equity</v>
      </c>
      <c r="I13" s="299">
        <f ca="1">C13</f>
        <v>2812.5</v>
      </c>
      <c r="M13">
        <v>19000</v>
      </c>
    </row>
    <row r="14" spans="1:15" ht="16" customHeight="1">
      <c r="B14" s="25" t="s">
        <v>69</v>
      </c>
      <c r="C14" s="591">
        <f ca="1">Model!D27</f>
        <v>5737.5</v>
      </c>
      <c r="D14" s="305">
        <f ca="1">C14/$K$7</f>
        <v>0.86866010598031795</v>
      </c>
      <c r="E14" s="479">
        <f ca="1">C14/SUM($C$12:$C$14)</f>
        <v>0.51</v>
      </c>
      <c r="F14" s="56"/>
      <c r="G14" s="56"/>
      <c r="H14" s="365"/>
      <c r="I14" s="370"/>
      <c r="M14">
        <f>M13*0.0225</f>
        <v>427.5</v>
      </c>
    </row>
    <row r="15" spans="1:15" ht="16" customHeight="1" thickBot="1">
      <c r="B15" s="32" t="s">
        <v>363</v>
      </c>
      <c r="C15" s="301">
        <f ca="1">SUM(C8:C14)</f>
        <v>31750</v>
      </c>
      <c r="D15" s="301"/>
      <c r="E15" s="301"/>
      <c r="F15" s="301"/>
      <c r="G15" s="389"/>
      <c r="H15" s="32" t="s">
        <v>57</v>
      </c>
      <c r="I15" s="301">
        <f ca="1">SUM(I8:I14)</f>
        <v>31750</v>
      </c>
    </row>
    <row r="16" spans="1:15">
      <c r="C16" s="302">
        <f ca="1">C15-I15</f>
        <v>0</v>
      </c>
      <c r="H16" s="25"/>
    </row>
    <row r="18" spans="3:3">
      <c r="C18" s="531"/>
    </row>
    <row r="19" spans="3:3">
      <c r="C19" s="368"/>
    </row>
    <row r="20" spans="3:3">
      <c r="C20" s="401">
        <f ca="1">C15-C10</f>
        <v>11250</v>
      </c>
    </row>
    <row r="21" spans="3:3">
      <c r="C21" s="401">
        <f ca="1">C20*0.2</f>
        <v>2250</v>
      </c>
    </row>
    <row r="22" spans="3:3">
      <c r="C22" s="369"/>
    </row>
  </sheetData>
  <pageMargins left="0.7" right="0.7" top="0.75" bottom="0.75" header="0.3" footer="0.3"/>
  <pageSetup scale="8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showGridLines="0" zoomScale="80" zoomScaleNormal="80" workbookViewId="0">
      <selection activeCell="C10" sqref="C10"/>
    </sheetView>
  </sheetViews>
  <sheetFormatPr defaultColWidth="8.83984375" defaultRowHeight="14.4"/>
  <cols>
    <col min="1" max="1" width="2.68359375" style="15" customWidth="1"/>
    <col min="2" max="2" width="25.68359375" style="15" customWidth="1"/>
    <col min="3" max="3" width="15.578125" style="15" customWidth="1"/>
    <col min="4" max="4" width="10.15625" style="15" bestFit="1" customWidth="1"/>
    <col min="5" max="5" width="16" style="15" bestFit="1" customWidth="1"/>
    <col min="6" max="6" width="8" bestFit="1" customWidth="1"/>
    <col min="7" max="7" width="2.578125" customWidth="1"/>
    <col min="8" max="8" width="25.68359375" customWidth="1"/>
    <col min="9" max="9" width="13.26171875" bestFit="1" customWidth="1"/>
    <col min="10" max="10" width="1.41796875" customWidth="1"/>
    <col min="11" max="14" width="12.68359375" customWidth="1"/>
    <col min="15" max="15" width="9.15625" customWidth="1"/>
    <col min="16" max="16384" width="8.83984375" style="15"/>
  </cols>
  <sheetData>
    <row r="1" spans="1:15" ht="20.399999999999999" thickBot="1">
      <c r="A1" s="17" t="str">
        <f>Cover!$B$17</f>
        <v>Boccella Precast</v>
      </c>
      <c r="B1" s="16"/>
      <c r="C1" s="16"/>
      <c r="D1" s="16"/>
      <c r="E1" s="16"/>
      <c r="F1" s="16"/>
      <c r="G1" s="16"/>
      <c r="H1" s="16"/>
      <c r="I1" s="16"/>
      <c r="J1" s="15"/>
      <c r="K1" s="15"/>
      <c r="L1" s="15"/>
      <c r="M1" s="15"/>
      <c r="N1" s="15"/>
      <c r="O1" s="15"/>
    </row>
    <row r="2" spans="1:15">
      <c r="A2" s="25" t="s">
        <v>359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>
      <c r="A3" s="2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>
      <c r="A4" s="55" t="s">
        <v>51</v>
      </c>
      <c r="B4" s="327" t="s">
        <v>359</v>
      </c>
      <c r="C4" s="329"/>
      <c r="D4" s="329"/>
      <c r="E4" s="329"/>
      <c r="F4" s="329"/>
      <c r="G4" s="329"/>
      <c r="H4" s="329"/>
      <c r="I4" s="329"/>
      <c r="J4" s="15"/>
      <c r="K4" s="15"/>
      <c r="L4" s="15"/>
      <c r="M4" s="15"/>
      <c r="N4" s="15"/>
      <c r="O4" s="15"/>
    </row>
    <row r="5" spans="1:15" ht="14.5" customHeight="1">
      <c r="B5" s="18"/>
      <c r="C5" s="300"/>
    </row>
    <row r="6" spans="1:15" ht="14.5" customHeight="1" thickBot="1">
      <c r="B6" s="25"/>
      <c r="C6" s="300"/>
      <c r="D6" s="385" t="s">
        <v>368</v>
      </c>
      <c r="F6" s="15"/>
      <c r="G6" s="15"/>
      <c r="H6" s="15"/>
      <c r="I6" s="15"/>
      <c r="K6" s="294" t="s">
        <v>44</v>
      </c>
      <c r="L6" s="294" t="s">
        <v>532</v>
      </c>
    </row>
    <row r="7" spans="1:15" ht="14.5" customHeight="1" thickBot="1">
      <c r="B7" s="366" t="s">
        <v>360</v>
      </c>
      <c r="C7" s="294" t="s">
        <v>364</v>
      </c>
      <c r="D7" s="294" t="s">
        <v>44</v>
      </c>
      <c r="E7" s="294" t="s">
        <v>536</v>
      </c>
      <c r="F7" s="294" t="s">
        <v>367</v>
      </c>
      <c r="G7" s="385"/>
      <c r="H7" s="366" t="s">
        <v>361</v>
      </c>
      <c r="I7" s="294" t="s">
        <v>365</v>
      </c>
      <c r="K7" s="345">
        <v>6605</v>
      </c>
      <c r="L7">
        <v>30000</v>
      </c>
      <c r="M7" s="532">
        <f>L7/K7</f>
        <v>4.5420136260408785</v>
      </c>
    </row>
    <row r="8" spans="1:15" ht="16" customHeight="1">
      <c r="B8" s="365" t="s">
        <v>533</v>
      </c>
      <c r="C8" s="367">
        <f ca="1">Model!D22</f>
        <v>20500</v>
      </c>
      <c r="D8" s="305">
        <f ca="1">C8/$K$7</f>
        <v>3.1037093111279335</v>
      </c>
      <c r="E8" s="304" t="s">
        <v>538</v>
      </c>
      <c r="F8" s="56" t="s">
        <v>537</v>
      </c>
      <c r="G8" s="56"/>
      <c r="H8" s="365" t="s">
        <v>414</v>
      </c>
      <c r="I8" s="298">
        <f ca="1">C13-I9-I12</f>
        <v>27187.5</v>
      </c>
    </row>
    <row r="9" spans="1:15" ht="16" customHeight="1">
      <c r="F9" s="241"/>
      <c r="G9" s="241"/>
      <c r="H9" s="365" t="s">
        <v>348</v>
      </c>
      <c r="I9" s="299">
        <f ca="1">SUM(Model!F9:F14)</f>
        <v>1750</v>
      </c>
    </row>
    <row r="10" spans="1:15" ht="16" customHeight="1">
      <c r="B10" s="25" t="s">
        <v>69</v>
      </c>
      <c r="C10" s="367">
        <f ca="1">Model!D27</f>
        <v>5737.5</v>
      </c>
      <c r="D10" s="305">
        <f ca="1">C10/$K$7</f>
        <v>0.86866010598031795</v>
      </c>
      <c r="E10" s="479"/>
      <c r="F10" s="241"/>
      <c r="G10" s="241"/>
      <c r="H10" s="365" t="s">
        <v>552</v>
      </c>
      <c r="I10" s="299">
        <v>250</v>
      </c>
    </row>
    <row r="11" spans="1:15" ht="16" customHeight="1">
      <c r="B11" s="365" t="s">
        <v>534</v>
      </c>
      <c r="C11" s="367">
        <f ca="1">Model!D25</f>
        <v>2700</v>
      </c>
      <c r="D11" s="305">
        <f ca="1">C11/$K$7</f>
        <v>0.40878122634367903</v>
      </c>
      <c r="E11" s="479"/>
      <c r="F11" s="241"/>
      <c r="G11" s="241"/>
      <c r="H11" s="15"/>
      <c r="I11" s="15"/>
      <c r="M11">
        <v>19000</v>
      </c>
    </row>
    <row r="12" spans="1:15" ht="16" customHeight="1">
      <c r="B12" s="25" t="s">
        <v>535</v>
      </c>
      <c r="C12" s="367">
        <f ca="1">Model!D26</f>
        <v>2812.5</v>
      </c>
      <c r="D12" s="305">
        <f ca="1">C12/$K$7</f>
        <v>0.42581377744133231</v>
      </c>
      <c r="E12" s="479"/>
      <c r="F12" s="56"/>
      <c r="G12" s="56"/>
      <c r="H12" s="365" t="str">
        <f>B12</f>
        <v>Boccella Rolled Equity</v>
      </c>
      <c r="I12" s="299">
        <f ca="1">C12</f>
        <v>2812.5</v>
      </c>
      <c r="M12">
        <f>M11*0.0225</f>
        <v>427.5</v>
      </c>
    </row>
    <row r="13" spans="1:15" ht="16" customHeight="1" thickBot="1">
      <c r="B13" s="32" t="s">
        <v>363</v>
      </c>
      <c r="C13" s="301">
        <f ca="1">SUM(C8:C12)</f>
        <v>31750</v>
      </c>
      <c r="D13" s="301"/>
      <c r="E13" s="301"/>
      <c r="F13" s="301"/>
      <c r="G13" s="389"/>
      <c r="H13" s="32" t="s">
        <v>57</v>
      </c>
      <c r="I13" s="301">
        <f ca="1">SUM(I8:I12)</f>
        <v>32000</v>
      </c>
    </row>
    <row r="14" spans="1:15">
      <c r="C14" s="302">
        <f ca="1">C13-I13</f>
        <v>-250</v>
      </c>
      <c r="H14" s="25"/>
    </row>
    <row r="16" spans="1:15">
      <c r="C16" s="531"/>
    </row>
    <row r="17" spans="3:3">
      <c r="C17" s="368"/>
    </row>
    <row r="18" spans="3:3">
      <c r="C18" s="401"/>
    </row>
    <row r="20" spans="3:3">
      <c r="C20" s="369"/>
    </row>
  </sheetData>
  <pageMargins left="0.7" right="0.7" top="0.75" bottom="0.75" header="0.3" footer="0.3"/>
  <pageSetup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Cover</vt:lpstr>
      <vt:lpstr>Histroical Financials&gt;&gt;</vt:lpstr>
      <vt:lpstr>Balance Sheet</vt:lpstr>
      <vt:lpstr>Income Statement</vt:lpstr>
      <vt:lpstr>Financial Model&gt;&gt;</vt:lpstr>
      <vt:lpstr>Model</vt:lpstr>
      <vt:lpstr>LBO Returns&gt;&gt;</vt:lpstr>
      <vt:lpstr>Sources &amp; Uses</vt:lpstr>
      <vt:lpstr>Sources &amp; Uses - Presentation</vt:lpstr>
      <vt:lpstr>Carry Value</vt:lpstr>
      <vt:lpstr>Returns Analysis - 5 Year</vt:lpstr>
      <vt:lpstr>Outputs&gt;&gt;</vt:lpstr>
      <vt:lpstr>Returns Summary</vt:lpstr>
      <vt:lpstr>IS Summary</vt:lpstr>
      <vt:lpstr>BS Summary</vt:lpstr>
      <vt:lpstr>P&amp;L</vt:lpstr>
      <vt:lpstr>Circ</vt:lpstr>
      <vt:lpstr>Deal_Type</vt:lpstr>
      <vt:lpstr>Mid_Year</vt:lpstr>
      <vt:lpstr>'BS Summary'!Print_Area</vt:lpstr>
      <vt:lpstr>'Carry Value'!Print_Area</vt:lpstr>
      <vt:lpstr>Cover!Print_Area</vt:lpstr>
      <vt:lpstr>'IS Summary'!Print_Area</vt:lpstr>
      <vt:lpstr>'P&amp;L'!Print_Area</vt:lpstr>
      <vt:lpstr>'Sources &amp; Uses'!Print_Area</vt:lpstr>
      <vt:lpstr>'Sources &amp; Uses - Presentation'!Print_Area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Sigfusson</dc:creator>
  <cp:lastModifiedBy>Michael PC</cp:lastModifiedBy>
  <cp:lastPrinted>2017-02-27T19:50:55Z</cp:lastPrinted>
  <dcterms:created xsi:type="dcterms:W3CDTF">2015-05-21T17:50:02Z</dcterms:created>
  <dcterms:modified xsi:type="dcterms:W3CDTF">2017-06-28T13:41:34Z</dcterms:modified>
</cp:coreProperties>
</file>