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C:\Egnyte\Shared\Potential Deals Under Consideration\1. Active\Colorado Timberline\5. Model\"/>
    </mc:Choice>
  </mc:AlternateContent>
  <bookViews>
    <workbookView xWindow="0" yWindow="0" windowWidth="15360" windowHeight="7695" tabRatio="964" firstSheet="1" activeTab="2"/>
  </bookViews>
  <sheets>
    <sheet name="Debt Equity Comparison" sheetId="56" state="hidden" r:id="rId1"/>
    <sheet name="Valuation &amp; Sources &amp; Uses" sheetId="7" r:id="rId2"/>
    <sheet name="Data Tables" sheetId="54" r:id="rId3"/>
    <sheet name="Proj Rev &amp; EBITDA Chart" sheetId="75" r:id="rId4"/>
    <sheet name="Economics" sheetId="55" r:id="rId5"/>
    <sheet name="Covenants" sheetId="53" state="hidden" r:id="rId6"/>
    <sheet name="Sheet6" sheetId="60" state="hidden" r:id="rId7"/>
    <sheet name="NWC Summary" sheetId="74" r:id="rId8"/>
    <sheet name="Sep15" sheetId="82" r:id="rId9"/>
    <sheet name="Summary Income Statement" sheetId="2" r:id="rId10"/>
    <sheet name="CL - Tables" sheetId="79" r:id="rId11"/>
    <sheet name="CL - Monthly Financials" sheetId="80" r:id="rId12"/>
    <sheet name="CL- R&amp;D" sheetId="81" r:id="rId13"/>
    <sheet name="CL - Aug15 LTM QE" sheetId="76" r:id="rId14"/>
    <sheet name="Summary Balance Sheet" sheetId="62" r:id="rId15"/>
    <sheet name="SOCF" sheetId="4" r:id="rId16"/>
    <sheet name="PPA" sheetId="63" r:id="rId17"/>
    <sheet name="BS Assumptions" sheetId="5" r:id="rId18"/>
    <sheet name="IS Assumptions" sheetId="6" r:id="rId19"/>
    <sheet name="Debt and Spec. Dist" sheetId="8" r:id="rId20"/>
    <sheet name="Taxes" sheetId="9" r:id="rId21"/>
    <sheet name="CapEx and Depreciation" sheetId="43" r:id="rId22"/>
    <sheet name="LBO Returns&gt;&gt;" sheetId="64" r:id="rId23"/>
    <sheet name="Returns Analysis - 5 Year" sheetId="65" r:id="rId24"/>
    <sheet name="Returns Analysis" sheetId="66" r:id="rId25"/>
    <sheet name="Equity Return" sheetId="67" r:id="rId26"/>
    <sheet name="Sources &amp; Uses" sheetId="68" r:id="rId27"/>
    <sheet name="DCF Outputs&gt;&gt;" sheetId="69" r:id="rId28"/>
    <sheet name="DCF Output" sheetId="70" r:id="rId29"/>
    <sheet name="Outputs&gt;&gt;" sheetId="71" r:id="rId30"/>
    <sheet name="Summary Charts" sheetId="72" r:id="rId31"/>
    <sheet name="IS Summary" sheetId="73" r:id="rId32"/>
  </sheets>
  <externalReferences>
    <externalReference r:id="rId33"/>
    <externalReference r:id="rId34"/>
    <externalReference r:id="rId35"/>
    <externalReference r:id="rId36"/>
    <externalReference r:id="rId37"/>
    <externalReference r:id="rId38"/>
    <externalReference r:id="rId39"/>
  </externalReferences>
  <definedNames>
    <definedName name="\P" localSheetId="21">#REF!</definedName>
    <definedName name="\P" localSheetId="19">#REF!</definedName>
    <definedName name="\P" localSheetId="18">#REF!</definedName>
    <definedName name="\P" localSheetId="16">#REF!</definedName>
    <definedName name="\P" localSheetId="3">#REF!</definedName>
    <definedName name="\P" localSheetId="14">#REF!</definedName>
    <definedName name="\P" localSheetId="20">#REF!</definedName>
    <definedName name="\P">#REF!</definedName>
    <definedName name="__FDS_HYPERLINK_TOGGLE_STATE__" hidden="1">"ON"</definedName>
    <definedName name="__FDS_UNIQUE_RANGE_ID_GENERATOR_COUNTER" hidden="1">1</definedName>
    <definedName name="_1__123Graph_ACHART_2" hidden="1">[1]france!$B$41:$M$41</definedName>
    <definedName name="_10__123Graph_CCHART_3" hidden="1">[1]italy!$B$43:$M$43</definedName>
    <definedName name="_11__123Graph_CCHART_4" hidden="1">[1]uk!$B$43:$M$43</definedName>
    <definedName name="_11Table2_" hidden="1">#REF!</definedName>
    <definedName name="_12__123Graph_CCHART_5" hidden="1">[1]netherlands!$B$43:$M$43</definedName>
    <definedName name="_13__123Graph_DCHART_2" hidden="1">[1]france!$B$44:$M$44</definedName>
    <definedName name="_14__123Graph_DCHART_3" hidden="1">[1]italy!$B$44:$M$44</definedName>
    <definedName name="_15__123Graph_DCHART_4" hidden="1">[1]uk!$B$44:$M$44</definedName>
    <definedName name="_16__123Graph_DCHART_5" hidden="1">[1]netherlands!$B$44:$M$44</definedName>
    <definedName name="_17__123Graph_ECHART_2" hidden="1">[1]france!$B$45:$M$45</definedName>
    <definedName name="_18__123Graph_ECHART_3" hidden="1">[1]italy!$B$45:$M$45</definedName>
    <definedName name="_19__123Graph_ECHART_4" hidden="1">[1]uk!$B$45:$M$45</definedName>
    <definedName name="_1Table2_" hidden="1">#REF!</definedName>
    <definedName name="_2__123Graph_ACHART_3" hidden="1">[1]italy!$B$41:$M$41</definedName>
    <definedName name="_20__123Graph_ECHART_5" hidden="1">[1]netherlands!$B$45:$M$45</definedName>
    <definedName name="_21__123Graph_FCHART_2" hidden="1">[1]france!$B$46:$M$46</definedName>
    <definedName name="_22__123Graph_FCHART_3" hidden="1">[1]italy!$B$46:$M$46</definedName>
    <definedName name="_22S" hidden="1">#REF!</definedName>
    <definedName name="_23__123Graph_FCHART_4" hidden="1">[1]uk!$B$46:$M$46</definedName>
    <definedName name="_24__123Graph_FCHART_5" hidden="1">[1]netherlands!$B$46:$M$46</definedName>
    <definedName name="_2S" hidden="1">#REF!</definedName>
    <definedName name="_3__123Graph_ACHART_4" hidden="1">[1]uk!$B$41:$M$41</definedName>
    <definedName name="_33Table2_" hidden="1">#REF!</definedName>
    <definedName name="_3Table2_" hidden="1">#REF!</definedName>
    <definedName name="_4__123Graph_ACHART_5" hidden="1">[1]netherlands!$B$41:$M$41</definedName>
    <definedName name="_44Table2_" hidden="1">#REF!</definedName>
    <definedName name="_4Table2_" hidden="1">#REF!</definedName>
    <definedName name="_5__123Graph_BCHART_2" hidden="1">[1]france!$B$42:$M$42</definedName>
    <definedName name="_6__123Graph_BCHART_3" hidden="1">[1]italy!$B$42:$M$42</definedName>
    <definedName name="_7__123Graph_BCHART_4" hidden="1">[1]uk!$B$42:$M$42</definedName>
    <definedName name="_8__123Graph_BCHART_5" hidden="1">[1]netherlands!$B$42:$M$42</definedName>
    <definedName name="_9__123Graph_CCHART_2" hidden="1">[1]france!$B$43:$M$43</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573</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Fill" hidden="1">#REF!</definedName>
    <definedName name="_Key1" hidden="1">#REF!</definedName>
    <definedName name="_Key2" hidden="1">#REF!</definedName>
    <definedName name="_Order1" hidden="1">255</definedName>
    <definedName name="_Order1a" hidden="1">0</definedName>
    <definedName name="_Order2" hidden="1">255</definedName>
    <definedName name="_Sort" hidden="1">#REF!</definedName>
    <definedName name="_Table1_In1" hidden="1">#REF!</definedName>
    <definedName name="_Table2_In1" hidden="1">#REF!</definedName>
    <definedName name="_Table2_In2" hidden="1">#REF!</definedName>
    <definedName name="_Table2_Out" hidden="1">#REF!</definedName>
    <definedName name="_wr1" hidden="1">{"hist_bs",#N/A,FALSE,"Exhibit D,E1,E2";#N/A,#N/A,FALSE,"Exhibit E3";#N/A,#N/A,FALSE,"Mgmt. Projtn";#N/A,#N/A,FALSE,"Exhibit B-1";#N/A,#N/A,FALSE,"Exhibit A";#N/A,#N/A,FALSE,"WACC";#N/A,#N/A,FALSE,"Control";"hist_inc",#N/A,FALSE,"Exhibit D,E1,E2"}</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nscount" hidden="1">5</definedName>
    <definedName name="ASSUM" localSheetId="21">#REF!</definedName>
    <definedName name="ASSUM" localSheetId="19">#REF!</definedName>
    <definedName name="ASSUM" localSheetId="18">#REF!</definedName>
    <definedName name="ASSUM" localSheetId="16">#REF!</definedName>
    <definedName name="ASSUM" localSheetId="3">#REF!</definedName>
    <definedName name="ASSUM" localSheetId="14">#REF!</definedName>
    <definedName name="ASSUM" localSheetId="20">#REF!</definedName>
    <definedName name="ASSUM">#REF!</definedName>
    <definedName name="Beg_Bal" localSheetId="21">#REF!</definedName>
    <definedName name="Beg_Bal" localSheetId="19">#REF!</definedName>
    <definedName name="Beg_Bal" localSheetId="18">#REF!</definedName>
    <definedName name="Beg_Bal" localSheetId="16">#REF!</definedName>
    <definedName name="Beg_Bal" localSheetId="3">#REF!</definedName>
    <definedName name="Beg_Bal" localSheetId="14">#REF!</definedName>
    <definedName name="Beg_Bal" localSheetId="20">#REF!</definedName>
    <definedName name="Beg_Bal">#REF!</definedName>
    <definedName name="Bud" hidden="1">{#N/A,#N/A,TRUE,"Trend";#N/A,#N/A,TRUE,"Employee Statistics";#N/A,#N/A,TRUE,"Overhead Analysis";#N/A,#N/A,TRUE,"Activity Analysis";#N/A,#N/A,TRUE,"Market Sector Analysis";#N/A,#N/A,TRUE,"Customer Analysis";#N/A,#N/A,TRUE,"Divisional Customers";#N/A,#N/A,TRUE,"Capex";#N/A,#N/A,TRUE,"Bridge 1";#N/A,#N/A,TRUE,"Bridge 2";#N/A,#N/A,TRUE,"Bridge 3";#N/A,#N/A,TRUE,"Bridge 4"}</definedName>
    <definedName name="budget" hidden="1">{#N/A,#N/A,TRUE,"Trend";#N/A,#N/A,TRUE,"Employee Statistics";#N/A,#N/A,TRUE,"Overhead Analysis";#N/A,#N/A,TRUE,"Activity Analysis";#N/A,#N/A,TRUE,"Market Sector Analysis";#N/A,#N/A,TRUE,"Customer Analysis";#N/A,#N/A,TRUE,"Divisional Customers";#N/A,#N/A,TRUE,"Capex";#N/A,#N/A,TRUE,"Bridge 1";#N/A,#N/A,TRUE,"Bridge 2";#N/A,#N/A,TRUE,"Bridge 3";#N/A,#N/A,TRUE,"Bridge 4"}</definedName>
    <definedName name="BUDGET2" hidden="1">{#N/A,#N/A,TRUE,"Trend";#N/A,#N/A,TRUE,"Employee Statistics";#N/A,#N/A,TRUE,"Overhead Analysis";#N/A,#N/A,TRUE,"Activity Analysis";#N/A,#N/A,TRUE,"Market Sector Analysis";#N/A,#N/A,TRUE,"Customer Analysis";#N/A,#N/A,TRUE,"Divisional Customers";#N/A,#N/A,TRUE,"Capex";#N/A,#N/A,TRUE,"Bridge 1";#N/A,#N/A,TRUE,"Bridge 2";#N/A,#N/A,TRUE,"Bridge 3";#N/A,#N/A,TRUE,"Bridge 4"}</definedName>
    <definedName name="BVPS" localSheetId="21">#REF!</definedName>
    <definedName name="BVPS" localSheetId="19">#REF!</definedName>
    <definedName name="BVPS" localSheetId="18">#REF!</definedName>
    <definedName name="BVPS" localSheetId="16">#REF!</definedName>
    <definedName name="BVPS" localSheetId="3">#REF!</definedName>
    <definedName name="BVPS" localSheetId="14">#REF!</definedName>
    <definedName name="BVPS" localSheetId="20">#REF!</definedName>
    <definedName name="BVPS">#REF!</definedName>
    <definedName name="Circ">[2]Model!$D$5</definedName>
    <definedName name="Data" localSheetId="21">#REF!</definedName>
    <definedName name="Data" localSheetId="19">#REF!</definedName>
    <definedName name="Data" localSheetId="18">#REF!</definedName>
    <definedName name="Data" localSheetId="16">#REF!</definedName>
    <definedName name="Data" localSheetId="3">#REF!</definedName>
    <definedName name="Data" localSheetId="14">#REF!</definedName>
    <definedName name="Data" localSheetId="20">#REF!</definedName>
    <definedName name="Data">#REF!</definedName>
    <definedName name="Days">'[3]Input Sheet'!$B$21</definedName>
    <definedName name="Days_Month">'[3]Input Sheet'!$B$22</definedName>
    <definedName name="Deal_Type">[2]Model!$R$9</definedName>
    <definedName name="dev_tech" hidden="1">[4]BEV!#REF!</definedName>
    <definedName name="dffdf" localSheetId="21">IF('CapEx and Depreciation'!Loan_Amount*'CapEx and Depreciation'!Interest_Rate*'CapEx and Depreciation'!Loan_Years*'CapEx and Depreciation'!Loan_Start&gt;0,1,0)</definedName>
    <definedName name="dffdf" localSheetId="18">IF(Loan_Amount*Interest_Rate*Loan_Years*Loan_Start&gt;0,1,0)</definedName>
    <definedName name="dffdf" localSheetId="16">IF(PPA!Loan_Amount*PPA!Interest_Rate*PPA!Loan_Years*PPA!Loan_Start&gt;0,1,0)</definedName>
    <definedName name="dffdf" localSheetId="3">IF('Proj Rev &amp; EBITDA Chart'!Loan_Amount*'Proj Rev &amp; EBITDA Chart'!Interest_Rate*'Proj Rev &amp; EBITDA Chart'!Loan_Years*'Proj Rev &amp; EBITDA Chart'!Loan_Start&gt;0,1,0)</definedName>
    <definedName name="dffdf" localSheetId="14">IF('Summary Balance Sheet'!Loan_Amount*'Summary Balance Sheet'!Interest_Rate*'Summary Balance Sheet'!Loan_Years*'Summary Balance Sheet'!Loan_Start&gt;0,1,0)</definedName>
    <definedName name="dffdf" localSheetId="20">IF(Loan_Amount*Interest_Rate*Loan_Years*Loan_Start&gt;0,1,0)</definedName>
    <definedName name="dffdf">IF(Loan_Amount*Interest_Rate*Loan_Years*Loan_Start&gt;0,1,0)</definedName>
    <definedName name="End_Bal" localSheetId="21">#REF!</definedName>
    <definedName name="End_Bal" localSheetId="19">#REF!</definedName>
    <definedName name="End_Bal" localSheetId="18">#REF!</definedName>
    <definedName name="End_Bal" localSheetId="16">#REF!</definedName>
    <definedName name="End_Bal" localSheetId="3">#REF!</definedName>
    <definedName name="End_Bal" localSheetId="14">#REF!</definedName>
    <definedName name="End_Bal" localSheetId="20">#REF!</definedName>
    <definedName name="End_Bal">#REF!</definedName>
    <definedName name="EPS" localSheetId="21">#REF!</definedName>
    <definedName name="EPS" localSheetId="19">#REF!</definedName>
    <definedName name="EPS" localSheetId="18">#REF!</definedName>
    <definedName name="EPS" localSheetId="16">#REF!</definedName>
    <definedName name="EPS" localSheetId="3">#REF!</definedName>
    <definedName name="EPS" localSheetId="14">#REF!</definedName>
    <definedName name="EPS" localSheetId="20">#REF!</definedName>
    <definedName name="EPS">#REF!</definedName>
    <definedName name="Exhibit_II" localSheetId="21">[5]BS!#REF!</definedName>
    <definedName name="Exhibit_II" localSheetId="19">[5]BS!#REF!</definedName>
    <definedName name="Exhibit_II" localSheetId="18">[5]BS!#REF!</definedName>
    <definedName name="Exhibit_II" localSheetId="16">[5]BS!#REF!</definedName>
    <definedName name="Exhibit_II" localSheetId="3">[5]BS!#REF!</definedName>
    <definedName name="Exhibit_II" localSheetId="14">[5]BS!#REF!</definedName>
    <definedName name="Exhibit_II" localSheetId="20">[5]BS!#REF!</definedName>
    <definedName name="Exhibit_II">[5]BS!#REF!</definedName>
    <definedName name="Exhibit_III" localSheetId="21">#REF!</definedName>
    <definedName name="Exhibit_III" localSheetId="19">#REF!</definedName>
    <definedName name="Exhibit_III" localSheetId="18">#REF!</definedName>
    <definedName name="Exhibit_III" localSheetId="16">#REF!</definedName>
    <definedName name="Exhibit_III" localSheetId="3">#REF!</definedName>
    <definedName name="Exhibit_III" localSheetId="14">#REF!</definedName>
    <definedName name="Exhibit_III" localSheetId="20">#REF!</definedName>
    <definedName name="Exhibit_III">#REF!</definedName>
    <definedName name="Exhibit_IV" localSheetId="21">#REF!</definedName>
    <definedName name="Exhibit_IV" localSheetId="19">#REF!</definedName>
    <definedName name="Exhibit_IV" localSheetId="18">#REF!</definedName>
    <definedName name="Exhibit_IV" localSheetId="16">#REF!</definedName>
    <definedName name="Exhibit_IV" localSheetId="3">#REF!</definedName>
    <definedName name="Exhibit_IV" localSheetId="14">#REF!</definedName>
    <definedName name="Exhibit_IV" localSheetId="20">#REF!</definedName>
    <definedName name="Exhibit_IV">#REF!</definedName>
    <definedName name="Extra_Pay" localSheetId="21">#REF!</definedName>
    <definedName name="Extra_Pay" localSheetId="19">#REF!</definedName>
    <definedName name="Extra_Pay" localSheetId="18">#REF!</definedName>
    <definedName name="Extra_Pay" localSheetId="16">#REF!</definedName>
    <definedName name="Extra_Pay" localSheetId="3">#REF!</definedName>
    <definedName name="Extra_Pay" localSheetId="14">#REF!</definedName>
    <definedName name="Extra_Pay" localSheetId="20">#REF!</definedName>
    <definedName name="Extra_Pay">#REF!</definedName>
    <definedName name="fd" localSheetId="21">#REF!</definedName>
    <definedName name="fd" localSheetId="16">#REF!</definedName>
    <definedName name="fd" localSheetId="3">#REF!</definedName>
    <definedName name="fd" localSheetId="14">#REF!</definedName>
    <definedName name="fd" localSheetId="20">#REF!</definedName>
    <definedName name="fd">#REF!</definedName>
    <definedName name="fdf" localSheetId="21">#REF!</definedName>
    <definedName name="fdf" localSheetId="16">#REF!</definedName>
    <definedName name="fdf" localSheetId="3">#REF!</definedName>
    <definedName name="fdf" localSheetId="14">#REF!</definedName>
    <definedName name="fdf" localSheetId="20">#REF!</definedName>
    <definedName name="fdf">#REF!</definedName>
    <definedName name="fdfd" localSheetId="21">Scheduled_Payment+Extra_Payment</definedName>
    <definedName name="fdfd" localSheetId="18">Scheduled_Payment+Extra_Payment</definedName>
    <definedName name="fdfd" localSheetId="16">Scheduled_Payment+Extra_Payment</definedName>
    <definedName name="fdfd" localSheetId="3">Scheduled_Payment+Extra_Payment</definedName>
    <definedName name="fdfd" localSheetId="14">Scheduled_Payment+Extra_Payment</definedName>
    <definedName name="fdfd" localSheetId="20">Scheduled_Payment+Extra_Payment</definedName>
    <definedName name="fdfd">Scheduled_Payment+Extra_Payment</definedName>
    <definedName name="Full_Print" localSheetId="21">#REF!</definedName>
    <definedName name="Full_Print" localSheetId="19">#REF!</definedName>
    <definedName name="Full_Print" localSheetId="18">#REF!</definedName>
    <definedName name="Full_Print" localSheetId="16">#REF!</definedName>
    <definedName name="Full_Print" localSheetId="3">#REF!</definedName>
    <definedName name="Full_Print" localSheetId="14">#REF!</definedName>
    <definedName name="Full_Print" localSheetId="20">#REF!</definedName>
    <definedName name="Full_Print">#REF!</definedName>
    <definedName name="Guideline" hidden="1">[6]Hf!#REF!</definedName>
    <definedName name="Header_Row" localSheetId="21">ROW(#REF!)</definedName>
    <definedName name="Header_Row" localSheetId="19">ROW(#REF!)</definedName>
    <definedName name="Header_Row" localSheetId="18">ROW(#REF!)</definedName>
    <definedName name="Header_Row" localSheetId="16">ROW(#REF!)</definedName>
    <definedName name="Header_Row" localSheetId="14">ROW(#REF!)</definedName>
    <definedName name="Header_Row" localSheetId="20">ROW(#REF!)</definedName>
    <definedName name="Header_Row">ROW(#REF!)</definedName>
    <definedName name="inflList" hidden="1">"00000000000000000000000000000000000000000000000000000000000000000000000000000000000000000000000000000000000000000000000000000000000000000000000000000000000000000000000000000000000000000000000000000000"</definedName>
    <definedName name="Int" localSheetId="21">#REF!</definedName>
    <definedName name="Int" localSheetId="19">#REF!</definedName>
    <definedName name="Int" localSheetId="18">#REF!</definedName>
    <definedName name="Int" localSheetId="16">#REF!</definedName>
    <definedName name="Int" localSheetId="3">#REF!</definedName>
    <definedName name="Int" localSheetId="14">#REF!</definedName>
    <definedName name="Int" localSheetId="20">#REF!</definedName>
    <definedName name="Int">#REF!</definedName>
    <definedName name="Interest_Rate" localSheetId="21">#REF!</definedName>
    <definedName name="Interest_Rate" localSheetId="19">#REF!</definedName>
    <definedName name="Interest_Rate" localSheetId="18">#REF!</definedName>
    <definedName name="Interest_Rate" localSheetId="16">#REF!</definedName>
    <definedName name="Interest_Rate" localSheetId="3">#REF!</definedName>
    <definedName name="Interest_Rate" localSheetId="14">#REF!</definedName>
    <definedName name="Interest_Rate" localSheetId="20">#REF!</definedName>
    <definedName name="Interest_Rate">#REF!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L_DATE_SCHEDULE" hidden="1">"c2481"</definedName>
    <definedName name="IQ_CALL_FEATURE" hidden="1">"c2197"</definedName>
    <definedName name="IQ_CALL_PRICE_SCHEDULE" hidden="1">"c2482"</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ACT_OR_EST" hidden="1">"c2217"</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ACT_OR_EST" hidden="1">"c2218"</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ACT_OR_EST" hidden="1">"c2219"</definedName>
    <definedName name="IQ_EBIT_EST" hidden="1">"c1681"</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GW_ACT_OR_EST" hidden="1">"c2223"</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LOW_EST" hidden="1">"c401"</definedName>
    <definedName name="IQ_EPS_MEDIAN_EST" hidden="1">"c1661"</definedName>
    <definedName name="IQ_EPS_NORM" hidden="1">"c1902"</definedName>
    <definedName name="IQ_EPS_NORM_EST" hidden="1">"c2226"</definedName>
    <definedName name="IQ_EPS_NORM_HIGH_EST" hidden="1">"c2228"</definedName>
    <definedName name="IQ_EPS_NORM_LOW_EST" hidden="1">"c2229"</definedName>
    <definedName name="IQ_EPS_NORM_MEDIAN_EST" hidden="1">"c2227"</definedName>
    <definedName name="IQ_EPS_NORM_NUM_EST" hidden="1">"c2230"</definedName>
    <definedName name="IQ_EPS_NORM_STDDEV_EST" hidden="1">"c2231"</definedName>
    <definedName name="IQ_EPS_NUM_EST" hidden="1">"c402"</definedName>
    <definedName name="IQ_EPS_REPORT_ACT_OR_EST" hidden="1">"c2224"</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NORM" hidden="1">"c2232"</definedName>
    <definedName name="IQ_EST_ACT_EPS_REPORTED" hidden="1">"c1750"</definedName>
    <definedName name="IQ_EST_ACT_FFO" hidden="1">"c1666"</definedName>
    <definedName name="IQ_EST_ACT_NAV" hidden="1">"c1757"</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V" hidden="1">"c2113"</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DATE" hidden="1">"c1634"</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GW_DIFF" hidden="1">"c1891"</definedName>
    <definedName name="IQ_EST_EPS_GW_SURPRISE_PERCENT" hidden="1">"c1892"</definedName>
    <definedName name="IQ_EST_EPS_NORM_DIFF" hidden="1">"c2247"</definedName>
    <definedName name="IQ_EST_EPS_NORM_SURPRISE_PERCENT" hidden="1">"c2248"</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CT_OR_EST" hidden="1">"c2216"</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STDDEV_EST" hidden="1">"c422"</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41526.5941203704</definedName>
    <definedName name="IQ_NAV_ACT_OR_EST" hidden="1">"c2225"</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CT_OR_EST" hidden="1">"c2222"</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FAS" hidden="1">"c795"</definedName>
    <definedName name="IQ_NI_STDDEV_EST" hidden="1">"c1721"</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_EPS_ACT_OR_EST" hidden="1">"c2249"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ACT_OR_EST" hidden="1">"c2220"</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G_FWD" hidden="1">"c1863"</definedName>
    <definedName name="IQ_PENSION" hidden="1">"c1031"</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_TAX_ACT_OR_EST" hidden="1">"c2221"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CFPS_FWD" hidden="1">"c2237"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ACT_OR_EST" hidden="1">"c2214"</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REVISION_DATE_" hidden="1">39272.6419212963</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j" hidden="1">#REF!</definedName>
    <definedName name="Last_Row" localSheetId="17">IF('BS Assumptions'!Values_Entered,Header_Row+'BS Assumptions'!Number_of_Payments,Header_Row)</definedName>
    <definedName name="Last_Row" localSheetId="21">IF('CapEx and Depreciation'!Values_Entered,'CapEx and Depreciation'!Header_Row+'CapEx and Depreciation'!Number_of_Payments,'CapEx and Depreciation'!Header_Row)</definedName>
    <definedName name="Last_Row" localSheetId="19">IF('Debt and Spec. Dist'!Values_Entered,'Debt and Spec. Dist'!Header_Row+'Debt and Spec. Dist'!Number_of_Payments,'Debt and Spec. Dist'!Header_Row)</definedName>
    <definedName name="Last_Row" localSheetId="18">IF('IS Assumptions'!Values_Entered,'IS Assumptions'!Header_Row+'IS Assumptions'!Number_of_Payments,'IS Assumptions'!Header_Row)</definedName>
    <definedName name="Last_Row" localSheetId="16">IF(PPA!Values_Entered,PPA!Header_Row+PPA!Number_of_Payments,PPA!Header_Row)</definedName>
    <definedName name="Last_Row" localSheetId="3">IF('Proj Rev &amp; EBITDA Chart'!Values_Entered,Header_Row+'Proj Rev &amp; EBITDA Chart'!Number_of_Payments,Header_Row)</definedName>
    <definedName name="Last_Row" localSheetId="14">IF('Summary Balance Sheet'!Values_Entered,'Summary Balance Sheet'!Header_Row+'Summary Balance Sheet'!Number_of_Payments,'Summary Balance Sheet'!Header_Row)</definedName>
    <definedName name="Last_Row" localSheetId="20">IF(Taxes!Values_Entered,Taxes!Header_Row+Taxes!Number_of_Payments,Taxes!Header_Row)</definedName>
    <definedName name="Last_Row">IF(Values_Entered,Header_Row+Number_of_Payments,Header_Row)</definedName>
    <definedName name="ListOffset" hidden="1">1</definedName>
    <definedName name="Loan_Amount" localSheetId="21">#REF!</definedName>
    <definedName name="Loan_Amount" localSheetId="19">#REF!</definedName>
    <definedName name="Loan_Amount" localSheetId="18">#REF!</definedName>
    <definedName name="Loan_Amount" localSheetId="16">#REF!</definedName>
    <definedName name="Loan_Amount" localSheetId="3">#REF!</definedName>
    <definedName name="Loan_Amount" localSheetId="14">#REF!</definedName>
    <definedName name="Loan_Amount" localSheetId="20">#REF!</definedName>
    <definedName name="Loan_Amount">#REF!</definedName>
    <definedName name="Loan_Start" localSheetId="21">#REF!</definedName>
    <definedName name="Loan_Start" localSheetId="19">#REF!</definedName>
    <definedName name="Loan_Start" localSheetId="18">#REF!</definedName>
    <definedName name="Loan_Start" localSheetId="16">#REF!</definedName>
    <definedName name="Loan_Start" localSheetId="3">#REF!</definedName>
    <definedName name="Loan_Start" localSheetId="14">#REF!</definedName>
    <definedName name="Loan_Start" localSheetId="20">#REF!</definedName>
    <definedName name="Loan_Start">#REF!</definedName>
    <definedName name="Loan_Years" localSheetId="21">#REF!</definedName>
    <definedName name="Loan_Years" localSheetId="19">#REF!</definedName>
    <definedName name="Loan_Years" localSheetId="18">#REF!</definedName>
    <definedName name="Loan_Years" localSheetId="16">#REF!</definedName>
    <definedName name="Loan_Years" localSheetId="3">#REF!</definedName>
    <definedName name="Loan_Years" localSheetId="14">#REF!</definedName>
    <definedName name="Loan_Years" localSheetId="20">#REF!</definedName>
    <definedName name="Loan_Years">#REF!</definedName>
    <definedName name="Mid_Year">[2]Model!$D$377</definedName>
    <definedName name="Note4">#REF!</definedName>
    <definedName name="Note4b">#REF!</definedName>
    <definedName name="Note5">#REF!</definedName>
    <definedName name="Num_Pmt_Per_Year" localSheetId="21">#REF!</definedName>
    <definedName name="Num_Pmt_Per_Year" localSheetId="19">#REF!</definedName>
    <definedName name="Num_Pmt_Per_Year" localSheetId="18">#REF!</definedName>
    <definedName name="Num_Pmt_Per_Year" localSheetId="16">#REF!</definedName>
    <definedName name="Num_Pmt_Per_Year" localSheetId="3">#REF!</definedName>
    <definedName name="Num_Pmt_Per_Year" localSheetId="14">#REF!</definedName>
    <definedName name="Num_Pmt_Per_Year" localSheetId="20">#REF!</definedName>
    <definedName name="Num_Pmt_Per_Year">#REF!</definedName>
    <definedName name="Number_of_Payments" localSheetId="17">MATCH(0.01,End_Bal,-1)+1</definedName>
    <definedName name="Number_of_Payments" localSheetId="21">MATCH(0.01,'CapEx and Depreciation'!End_Bal,-1)+1</definedName>
    <definedName name="Number_of_Payments" localSheetId="19">MATCH(0.01,'Debt and Spec. Dist'!End_Bal,-1)+1</definedName>
    <definedName name="Number_of_Payments" localSheetId="18">MATCH(0.01,'IS Assumptions'!End_Bal,-1)+1</definedName>
    <definedName name="Number_of_Payments" localSheetId="16">MATCH(0.01,PPA!End_Bal,-1)+1</definedName>
    <definedName name="Number_of_Payments" localSheetId="3">MATCH(0.01,'Proj Rev &amp; EBITDA Chart'!End_Bal,-1)+1</definedName>
    <definedName name="Number_of_Payments" localSheetId="14">MATCH(0.01,'Summary Balance Sheet'!End_Bal,-1)+1</definedName>
    <definedName name="Number_of_Payments" localSheetId="20">MATCH(0.01,Taxes!End_Bal,-1)+1</definedName>
    <definedName name="Number_of_Payments">MATCH(0.01,End_Bal,-1)+1</definedName>
    <definedName name="Pal_Workbook_GUID" hidden="1">"BFC1YLD1P7JC935Y43Z4Z365"</definedName>
    <definedName name="Paulie" hidden="1">{#N/A,#N/A,TRUE,"Trend";#N/A,#N/A,TRUE,"Employee Statistics";#N/A,#N/A,TRUE,"Overhead Analysis";#N/A,#N/A,TRUE,"Activity Analysis";#N/A,#N/A,TRUE,"Market Sector Analysis";#N/A,#N/A,TRUE,"Customer Analysis";#N/A,#N/A,TRUE,"Divisional Customers";#N/A,#N/A,TRUE,"Capex";#N/A,#N/A,TRUE,"Bridge 1";#N/A,#N/A,TRUE,"Bridge 2";#N/A,#N/A,TRUE,"Bridge 3";#N/A,#N/A,TRUE,"Bridge 4"}</definedName>
    <definedName name="Paulie2" hidden="1">{#N/A,#N/A,TRUE,"Trend";#N/A,#N/A,TRUE,"Employee Statistics";#N/A,#N/A,TRUE,"Overhead Analysis";#N/A,#N/A,TRUE,"Activity Analysis";#N/A,#N/A,TRUE,"Market Sector Analysis";#N/A,#N/A,TRUE,"Customer Analysis";#N/A,#N/A,TRUE,"Divisional Customers";#N/A,#N/A,TRUE,"Capex";#N/A,#N/A,TRUE,"Bridge 1";#N/A,#N/A,TRUE,"Bridge 2";#N/A,#N/A,TRUE,"Bridge 3";#N/A,#N/A,TRUE,"Bridge 4"}</definedName>
    <definedName name="Paulie3" hidden="1">{#N/A,#N/A,TRUE,"Trend";#N/A,#N/A,TRUE,"Employee Statistics";#N/A,#N/A,TRUE,"Overhead Analysis";#N/A,#N/A,TRUE,"Activity Analysis";#N/A,#N/A,TRUE,"Market Sector Analysis";#N/A,#N/A,TRUE,"Customer Analysis";#N/A,#N/A,TRUE,"Divisional Customers";#N/A,#N/A,TRUE,"Capex";#N/A,#N/A,TRUE,"Bridge 1";#N/A,#N/A,TRUE,"Bridge 2";#N/A,#N/A,TRUE,"Bridge 3";#N/A,#N/A,TRUE,"Bridge 4"}</definedName>
    <definedName name="Pay_Date" localSheetId="21">#REF!</definedName>
    <definedName name="Pay_Date" localSheetId="19">#REF!</definedName>
    <definedName name="Pay_Date" localSheetId="18">#REF!</definedName>
    <definedName name="Pay_Date" localSheetId="16">#REF!</definedName>
    <definedName name="Pay_Date" localSheetId="3">#REF!</definedName>
    <definedName name="Pay_Date" localSheetId="14">#REF!</definedName>
    <definedName name="Pay_Date" localSheetId="20">#REF!</definedName>
    <definedName name="Pay_Date">#REF!</definedName>
    <definedName name="Pay_Num" localSheetId="21">#REF!</definedName>
    <definedName name="Pay_Num" localSheetId="19">#REF!</definedName>
    <definedName name="Pay_Num" localSheetId="18">#REF!</definedName>
    <definedName name="Pay_Num" localSheetId="16">#REF!</definedName>
    <definedName name="Pay_Num" localSheetId="3">#REF!</definedName>
    <definedName name="Pay_Num" localSheetId="14">#REF!</definedName>
    <definedName name="Pay_Num" localSheetId="20">#REF!</definedName>
    <definedName name="Pay_Num">#REF!</definedName>
    <definedName name="Payment_Date" localSheetId="17">DATE(YEAR(Loan_Start),MONTH(Loan_Start)+Payment_Number,DAY(Loan_Start))</definedName>
    <definedName name="Payment_Date" localSheetId="21">DATE(YEAR('CapEx and Depreciation'!Loan_Start),MONTH('CapEx and Depreciation'!Loan_Start)+Payment_Number,DAY('CapEx and Depreciation'!Loan_Start))</definedName>
    <definedName name="Payment_Date" localSheetId="19">DATE(YEAR('Debt and Spec. Dist'!Loan_Start),MONTH('Debt and Spec. Dist'!Loan_Start)+Payment_Number,DAY('Debt and Spec. Dist'!Loan_Start))</definedName>
    <definedName name="Payment_Date" localSheetId="18">DATE(YEAR('IS Assumptions'!Loan_Start),MONTH('IS Assumptions'!Loan_Start)+Payment_Number,DAY('IS Assumptions'!Loan_Start))</definedName>
    <definedName name="Payment_Date" localSheetId="16">DATE(YEAR(PPA!Loan_Start),MONTH(PPA!Loan_Start)+Payment_Number,DAY(PPA!Loan_Start))</definedName>
    <definedName name="Payment_Date" localSheetId="3">DATE(YEAR('Proj Rev &amp; EBITDA Chart'!Loan_Start),MONTH('Proj Rev &amp; EBITDA Chart'!Loan_Start)+Payment_Number,DAY('Proj Rev &amp; EBITDA Chart'!Loan_Start))</definedName>
    <definedName name="Payment_Date" localSheetId="14">DATE(YEAR('Summary Balance Sheet'!Loan_Start),MONTH('Summary Balance Sheet'!Loan_Start)+Payment_Number,DAY('Summary Balance Sheet'!Loan_Start))</definedName>
    <definedName name="Payment_Date" localSheetId="20">DATE(YEAR(Taxes!Loan_Start),MONTH(Taxes!Loan_Start)+Payment_Number,DAY(Taxes!Loan_Start))</definedName>
    <definedName name="Payment_Date">DATE(YEAR(Loan_Start),MONTH(Loan_Start)+Payment_Number,DAY(Loan_Start))</definedName>
    <definedName name="Pmt_Date_Owner" localSheetId="17">DATE(YEAR(Loan_Start),MONTH(Loan_Start)+Payment_Number,DAY(Loan_Start))</definedName>
    <definedName name="Pmt_Date_Owner" localSheetId="21">DATE(YEAR('CapEx and Depreciation'!Loan_Start),MONTH('CapEx and Depreciation'!Loan_Start)+Payment_Number,DAY('CapEx and Depreciation'!Loan_Start))</definedName>
    <definedName name="Pmt_Date_Owner" localSheetId="19">DATE(YEAR('Debt and Spec. Dist'!Loan_Start),MONTH('Debt and Spec. Dist'!Loan_Start)+Payment_Number,DAY('Debt and Spec. Dist'!Loan_Start))</definedName>
    <definedName name="Pmt_Date_Owner" localSheetId="18">DATE(YEAR('IS Assumptions'!Loan_Start),MONTH('IS Assumptions'!Loan_Start)+Payment_Number,DAY('IS Assumptions'!Loan_Start))</definedName>
    <definedName name="Pmt_Date_Owner" localSheetId="16">DATE(YEAR(PPA!Loan_Start),MONTH(PPA!Loan_Start)+Payment_Number,DAY(PPA!Loan_Start))</definedName>
    <definedName name="Pmt_Date_Owner" localSheetId="3">DATE(YEAR('Proj Rev &amp; EBITDA Chart'!Loan_Start),MONTH('Proj Rev &amp; EBITDA Chart'!Loan_Start)+Payment_Number,DAY('Proj Rev &amp; EBITDA Chart'!Loan_Start))</definedName>
    <definedName name="Pmt_Date_Owner" localSheetId="14">DATE(YEAR('Summary Balance Sheet'!Loan_Start),MONTH('Summary Balance Sheet'!Loan_Start)+Payment_Number,DAY('Summary Balance Sheet'!Loan_Start))</definedName>
    <definedName name="Pmt_Date_Owner" localSheetId="20">DATE(YEAR(Taxes!Loan_Start),MONTH(Taxes!Loan_Start)+Payment_Number,DAY(Taxes!Loan_Start))</definedName>
    <definedName name="Pmt_Date_Owner">DATE(YEAR(Loan_Start),MONTH(Loan_Start)+Payment_Number,DAY(Loan_Start))</definedName>
    <definedName name="Princ" localSheetId="21">#REF!</definedName>
    <definedName name="Princ" localSheetId="19">#REF!</definedName>
    <definedName name="Princ" localSheetId="18">#REF!</definedName>
    <definedName name="Princ" localSheetId="16">#REF!</definedName>
    <definedName name="Princ" localSheetId="3">#REF!</definedName>
    <definedName name="Princ" localSheetId="14">#REF!</definedName>
    <definedName name="Princ" localSheetId="20">#REF!</definedName>
    <definedName name="Princ">#REF!</definedName>
    <definedName name="_xlnm.Print_Area" localSheetId="17">'BS Assumptions'!$A$1:$AG$52</definedName>
    <definedName name="_xlnm.Print_Area" localSheetId="21">'CapEx and Depreciation'!$A$1:$J$19</definedName>
    <definedName name="_xlnm.Print_Area" localSheetId="5">Covenants!$A$1:$X$28</definedName>
    <definedName name="_xlnm.Print_Area" localSheetId="2">'Data Tables'!$B$1:$L$19</definedName>
    <definedName name="_xlnm.Print_Area" localSheetId="0">'Debt Equity Comparison'!$A$1:$H$34</definedName>
    <definedName name="_xlnm.Print_Area" localSheetId="4">Economics!$A$1:$X$30</definedName>
    <definedName name="_xlnm.Print_Area" localSheetId="18">'IS Assumptions'!$A$1:$AL$60</definedName>
    <definedName name="_xlnm.Print_Area" localSheetId="16">PPA!$A$1:$D$72</definedName>
    <definedName name="_xlnm.Print_Area" localSheetId="6">Sheet6!$L$1:$U$23</definedName>
    <definedName name="_xlnm.Print_Area" localSheetId="14">'Summary Balance Sheet'!$A$1:$AN$67</definedName>
    <definedName name="_xlnm.Print_Area" localSheetId="9">'Summary Income Statement'!$A$1:$AV$74</definedName>
    <definedName name="_xlnm.Print_Area" localSheetId="20">Taxes!$A$2:$AF$43</definedName>
    <definedName name="_xlnm.Print_Area" localSheetId="1">'Valuation &amp; Sources &amp; Uses'!$A$1:$N$51</definedName>
    <definedName name="Print_Area_Reset" localSheetId="17">OFFSET(Full_Print,0,0,'BS Assumptions'!Last_Row)</definedName>
    <definedName name="Print_Area_Reset" localSheetId="21">OFFSET('CapEx and Depreciation'!Full_Print,0,0,'CapEx and Depreciation'!Last_Row)</definedName>
    <definedName name="Print_Area_Reset" localSheetId="19">OFFSET('Debt and Spec. Dist'!Full_Print,0,0,'Debt and Spec. Dist'!Last_Row)</definedName>
    <definedName name="Print_Area_Reset" localSheetId="18">OFFSET('IS Assumptions'!Full_Print,0,0,'IS Assumptions'!Last_Row)</definedName>
    <definedName name="Print_Area_Reset" localSheetId="16">OFFSET(PPA!Full_Print,0,0,PPA!Last_Row)</definedName>
    <definedName name="Print_Area_Reset" localSheetId="3">OFFSET('Proj Rev &amp; EBITDA Chart'!Full_Print,0,0,'Proj Rev &amp; EBITDA Chart'!Last_Row)</definedName>
    <definedName name="Print_Area_Reset" localSheetId="14">OFFSET('Summary Balance Sheet'!Full_Print,0,0,'Summary Balance Sheet'!Last_Row)</definedName>
    <definedName name="Print_Area_Reset" localSheetId="20">OFFSET(Taxes!Full_Print,0,0,Taxes!Last_Row)</definedName>
    <definedName name="Print_Area_Reset">OFFSET(Full_Print,0,0,Last_Row)</definedName>
    <definedName name="_xlnm.Print_Titles" localSheetId="17">'BS Assumptions'!$A:$F</definedName>
    <definedName name="_xlnm.Print_Titles" localSheetId="18">'IS Assumptions'!$A:$F,'IS Assumptions'!$1:$11</definedName>
    <definedName name="_xlnm.Print_Titles" localSheetId="16">PPA!$A:$A</definedName>
    <definedName name="_xlnm.Print_Titles" localSheetId="15">SOCF!$A:$F</definedName>
    <definedName name="_xlnm.Print_Titles" localSheetId="14">'Summary Balance Sheet'!$A:$A</definedName>
    <definedName name="_xlnm.Print_Titles" localSheetId="9">'Summary Income Statement'!$A:$A</definedName>
    <definedName name="QBCANSUPPORTUPDATE" localSheetId="18">FALSE</definedName>
    <definedName name="QBCOMPANYFILENAME" localSheetId="18">"Z:\American Shooting Centers.QBW"</definedName>
    <definedName name="QBENDDATE" localSheetId="18">20100131</definedName>
    <definedName name="QBHEADERSONSCREEN" localSheetId="18">FALSE</definedName>
    <definedName name="QBMETADATASIZE" localSheetId="18">0</definedName>
    <definedName name="QBPRESERVECOLOR" localSheetId="18">TRUE</definedName>
    <definedName name="QBPRESERVEFONT" localSheetId="18">TRUE</definedName>
    <definedName name="QBPRESERVEROWHEIGHT" localSheetId="18">TRUE</definedName>
    <definedName name="QBPRESERVESPACE" localSheetId="18">TRUE</definedName>
    <definedName name="QBREPORTCOLAXIS" localSheetId="18">0</definedName>
    <definedName name="QBREPORTCOMPANYID" localSheetId="18">"03b693e97b6d4bf5a9f841efd753ebc8"</definedName>
    <definedName name="QBREPORTCOMPARECOL_ANNUALBUDGET" localSheetId="18">FALSE</definedName>
    <definedName name="QBREPORTCOMPARECOL_AVGCOGS" localSheetId="18">FALSE</definedName>
    <definedName name="QBREPORTCOMPARECOL_AVGPRICE" localSheetId="18">FALSE</definedName>
    <definedName name="QBREPORTCOMPARECOL_BUDDIFF" localSheetId="18">FALSE</definedName>
    <definedName name="QBREPORTCOMPARECOL_BUDGET" localSheetId="18">FALSE</definedName>
    <definedName name="QBREPORTCOMPARECOL_BUDPCT" localSheetId="18">FALSE</definedName>
    <definedName name="QBREPORTCOMPARECOL_COGS" localSheetId="18">FALSE</definedName>
    <definedName name="QBREPORTCOMPARECOL_EXCLUDEAMOUNT" localSheetId="18">FALSE</definedName>
    <definedName name="QBREPORTCOMPARECOL_EXCLUDECURPERIOD" localSheetId="18">FALSE</definedName>
    <definedName name="QBREPORTCOMPARECOL_FORECAST" localSheetId="18">FALSE</definedName>
    <definedName name="QBREPORTCOMPARECOL_GROSSMARGIN" localSheetId="18">FALSE</definedName>
    <definedName name="QBREPORTCOMPARECOL_GROSSMARGINPCT" localSheetId="18">FALSE</definedName>
    <definedName name="QBREPORTCOMPARECOL_HOURS" localSheetId="18">FALSE</definedName>
    <definedName name="QBREPORTCOMPARECOL_PCTCOL" localSheetId="18">FALSE</definedName>
    <definedName name="QBREPORTCOMPARECOL_PCTEXPENSE" localSheetId="18">FALSE</definedName>
    <definedName name="QBREPORTCOMPARECOL_PCTINCOME" localSheetId="18">FALSE</definedName>
    <definedName name="QBREPORTCOMPARECOL_PCTOFSALES" localSheetId="18">FALSE</definedName>
    <definedName name="QBREPORTCOMPARECOL_PCTROW" localSheetId="18">FALSE</definedName>
    <definedName name="QBREPORTCOMPARECOL_PPDIFF" localSheetId="18">FALSE</definedName>
    <definedName name="QBREPORTCOMPARECOL_PPPCT" localSheetId="18">FALSE</definedName>
    <definedName name="QBREPORTCOMPARECOL_PREVPERIOD" localSheetId="18">FALSE</definedName>
    <definedName name="QBREPORTCOMPARECOL_PREVYEAR" localSheetId="18">FALSE</definedName>
    <definedName name="QBREPORTCOMPARECOL_PYDIFF" localSheetId="18">FALSE</definedName>
    <definedName name="QBREPORTCOMPARECOL_PYPCT" localSheetId="18">FALSE</definedName>
    <definedName name="QBREPORTCOMPARECOL_QTY" localSheetId="18">FALSE</definedName>
    <definedName name="QBREPORTCOMPARECOL_RATE" localSheetId="18">FALSE</definedName>
    <definedName name="QBREPORTCOMPARECOL_TRIPBILLEDMILES" localSheetId="18">FALSE</definedName>
    <definedName name="QBREPORTCOMPARECOL_TRIPBILLINGAMOUNT" localSheetId="18">FALSE</definedName>
    <definedName name="QBREPORTCOMPARECOL_TRIPMILES" localSheetId="18">FALSE</definedName>
    <definedName name="QBREPORTCOMPARECOL_TRIPNOTBILLABLEMILES" localSheetId="18">FALSE</definedName>
    <definedName name="QBREPORTCOMPARECOL_TRIPTAXDEDUCTIBLEAMOUNT" localSheetId="18">FALSE</definedName>
    <definedName name="QBREPORTCOMPARECOL_TRIPUNBILLEDMILES" localSheetId="18">FALSE</definedName>
    <definedName name="QBREPORTCOMPARECOL_YTD" localSheetId="18">FALSE</definedName>
    <definedName name="QBREPORTCOMPARECOL_YTDBUDGET" localSheetId="18">FALSE</definedName>
    <definedName name="QBREPORTCOMPARECOL_YTDPCT" localSheetId="18">FALSE</definedName>
    <definedName name="QBREPORTROWAXIS" localSheetId="18">11</definedName>
    <definedName name="QBREPORTSUBCOLAXIS" localSheetId="18">0</definedName>
    <definedName name="QBREPORTTYPE" localSheetId="18">0</definedName>
    <definedName name="QBROWHEADERS" localSheetId="18">6</definedName>
    <definedName name="QBSTARTDATE" localSheetId="18">20100101</definedName>
    <definedName name="ReportGroup" hidden="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PS" localSheetId="21">#REF!</definedName>
    <definedName name="RPS" localSheetId="19">#REF!</definedName>
    <definedName name="RPS" localSheetId="18">#REF!</definedName>
    <definedName name="RPS" localSheetId="16">#REF!</definedName>
    <definedName name="RPS" localSheetId="3">#REF!</definedName>
    <definedName name="RPS" localSheetId="14">#REF!</definedName>
    <definedName name="RPS" localSheetId="20">#REF!</definedName>
    <definedName name="RPS">#REF!</definedName>
    <definedName name="Sched_Pay" localSheetId="21">#REF!</definedName>
    <definedName name="Sched_Pay" localSheetId="19">#REF!</definedName>
    <definedName name="Sched_Pay" localSheetId="18">#REF!</definedName>
    <definedName name="Sched_Pay" localSheetId="16">#REF!</definedName>
    <definedName name="Sched_Pay" localSheetId="3">#REF!</definedName>
    <definedName name="Sched_Pay" localSheetId="14">#REF!</definedName>
    <definedName name="Sched_Pay" localSheetId="20">#REF!</definedName>
    <definedName name="Sched_Pay">#REF!</definedName>
    <definedName name="Scheduled_Extra_Payments" localSheetId="21">#REF!</definedName>
    <definedName name="Scheduled_Extra_Payments" localSheetId="19">#REF!</definedName>
    <definedName name="Scheduled_Extra_Payments" localSheetId="18">#REF!</definedName>
    <definedName name="Scheduled_Extra_Payments" localSheetId="16">#REF!</definedName>
    <definedName name="Scheduled_Extra_Payments" localSheetId="3">#REF!</definedName>
    <definedName name="Scheduled_Extra_Payments" localSheetId="14">#REF!</definedName>
    <definedName name="Scheduled_Extra_Payments" localSheetId="20">#REF!</definedName>
    <definedName name="Scheduled_Extra_Payments">#REF!</definedName>
    <definedName name="Scheduled_Interest_Rate" localSheetId="21">#REF!</definedName>
    <definedName name="Scheduled_Interest_Rate" localSheetId="19">#REF!</definedName>
    <definedName name="Scheduled_Interest_Rate" localSheetId="18">#REF!</definedName>
    <definedName name="Scheduled_Interest_Rate" localSheetId="16">#REF!</definedName>
    <definedName name="Scheduled_Interest_Rate" localSheetId="3">#REF!</definedName>
    <definedName name="Scheduled_Interest_Rate" localSheetId="14">#REF!</definedName>
    <definedName name="Scheduled_Interest_Rate" localSheetId="20">#REF!</definedName>
    <definedName name="Scheduled_Interest_Rate">#REF!</definedName>
    <definedName name="Scheduled_Monthly_Payment" localSheetId="21">#REF!</definedName>
    <definedName name="Scheduled_Monthly_Payment" localSheetId="19">#REF!</definedName>
    <definedName name="Scheduled_Monthly_Payment" localSheetId="18">#REF!</definedName>
    <definedName name="Scheduled_Monthly_Payment" localSheetId="16">#REF!</definedName>
    <definedName name="Scheduled_Monthly_Payment" localSheetId="3">#REF!</definedName>
    <definedName name="Scheduled_Monthly_Payment" localSheetId="14">#REF!</definedName>
    <definedName name="Scheduled_Monthly_Payment" localSheetId="20">#REF!</definedName>
    <definedName name="Scheduled_Monthly_Payment">#REF!</definedName>
    <definedName name="Set">" "</definedName>
    <definedName name="sort2" hidden="1">#REF!</definedName>
    <definedName name="stuff" hidden="1">[7]BEV!#REF!</definedName>
    <definedName name="Tax_Rate">[2]Model!$R$13</definedName>
    <definedName name="TAXES" localSheetId="21">#REF!</definedName>
    <definedName name="TAXES" localSheetId="19">#REF!</definedName>
    <definedName name="TAXES" localSheetId="18">#REF!</definedName>
    <definedName name="TAXES" localSheetId="16">#REF!</definedName>
    <definedName name="TAXES" localSheetId="3">#REF!</definedName>
    <definedName name="TAXES" localSheetId="14">#REF!</definedName>
    <definedName name="TAXES" localSheetId="20">#REF!</definedName>
    <definedName name="TAXES">#REF!</definedName>
    <definedName name="test1" hidden="1">{#N/A,#N/A,TRUE,"MAIN FT TERM";#N/A,#N/A,TRUE,"MCI  FT TERM ";#N/A,#N/A,TRUE,"OC12 EQV"}</definedName>
    <definedName name="test2" hidden="1">#REF!</definedName>
    <definedName name="test3" hidden="1">#REF!</definedName>
    <definedName name="test4" hidden="1">#REF!</definedName>
    <definedName name="test5" hidden="1">#REF!</definedName>
    <definedName name="Ticker">"INTC"</definedName>
    <definedName name="Total_Interest" localSheetId="21">#REF!</definedName>
    <definedName name="Total_Interest" localSheetId="19">#REF!</definedName>
    <definedName name="Total_Interest" localSheetId="18">#REF!</definedName>
    <definedName name="Total_Interest" localSheetId="16">#REF!</definedName>
    <definedName name="Total_Interest" localSheetId="3">#REF!</definedName>
    <definedName name="Total_Interest" localSheetId="14">#REF!</definedName>
    <definedName name="Total_Interest" localSheetId="20">#REF!</definedName>
    <definedName name="Total_Interest">#REF!</definedName>
    <definedName name="Total_Pay" localSheetId="21">#REF!</definedName>
    <definedName name="Total_Pay" localSheetId="19">#REF!</definedName>
    <definedName name="Total_Pay" localSheetId="18">#REF!</definedName>
    <definedName name="Total_Pay" localSheetId="16">#REF!</definedName>
    <definedName name="Total_Pay" localSheetId="3">#REF!</definedName>
    <definedName name="Total_Pay" localSheetId="14">#REF!</definedName>
    <definedName name="Total_Pay" localSheetId="20">#REF!</definedName>
    <definedName name="Total_Pay">#REF!</definedName>
    <definedName name="Total_Payment" localSheetId="17">Scheduled_Payment+Extra_Payment</definedName>
    <definedName name="Total_Payment" localSheetId="21">Scheduled_Payment+Extra_Payment</definedName>
    <definedName name="Total_Payment" localSheetId="19">Scheduled_Payment+Extra_Payment</definedName>
    <definedName name="Total_Payment" localSheetId="18">Scheduled_Payment+Extra_Payment</definedName>
    <definedName name="Total_Payment" localSheetId="16">Scheduled_Payment+Extra_Payment</definedName>
    <definedName name="Total_Payment" localSheetId="3">Scheduled_Payment+Extra_Payment</definedName>
    <definedName name="Total_Payment" localSheetId="14">Scheduled_Payment+Extra_Payment</definedName>
    <definedName name="Total_Payment" localSheetId="20">Scheduled_Payment+Extra_Payment</definedName>
    <definedName name="Total_Payment">Scheduled_Payment+Extra_Payment</definedName>
    <definedName name="treeList" hidden="1">"00000000000000000000000000000000000000000000000000000000000000000000000000000000000000000000000000000000000000000000000000000000000000000000000000000000000000000000000000000000000000000000000000000000"</definedName>
    <definedName name="Values_Entered" localSheetId="17">IF(Loan_Amount*Interest_Rate*Loan_Years*Loan_Start&gt;0,1,0)</definedName>
    <definedName name="Values_Entered" localSheetId="21">IF('CapEx and Depreciation'!Loan_Amount*'CapEx and Depreciation'!Interest_Rate*'CapEx and Depreciation'!Loan_Years*'CapEx and Depreciation'!Loan_Start&gt;0,1,0)</definedName>
    <definedName name="Values_Entered" localSheetId="19">IF('Debt and Spec. Dist'!Loan_Amount*'Debt and Spec. Dist'!Interest_Rate*'Debt and Spec. Dist'!Loan_Years*'Debt and Spec. Dist'!Loan_Start&gt;0,1,0)</definedName>
    <definedName name="Values_Entered" localSheetId="18">IF('IS Assumptions'!Loan_Amount*'IS Assumptions'!Interest_Rate*'IS Assumptions'!Loan_Years*'IS Assumptions'!Loan_Start&gt;0,1,0)</definedName>
    <definedName name="Values_Entered" localSheetId="16">IF(PPA!Loan_Amount*PPA!Interest_Rate*PPA!Loan_Years*PPA!Loan_Start&gt;0,1,0)</definedName>
    <definedName name="Values_Entered" localSheetId="3">IF('Proj Rev &amp; EBITDA Chart'!Loan_Amount*'Proj Rev &amp; EBITDA Chart'!Interest_Rate*'Proj Rev &amp; EBITDA Chart'!Loan_Years*'Proj Rev &amp; EBITDA Chart'!Loan_Start&gt;0,1,0)</definedName>
    <definedName name="Values_Entered" localSheetId="14">IF('Summary Balance Sheet'!Loan_Amount*'Summary Balance Sheet'!Interest_Rate*'Summary Balance Sheet'!Loan_Years*'Summary Balance Sheet'!Loan_Start&gt;0,1,0)</definedName>
    <definedName name="Values_Entered" localSheetId="20">IF(Taxes!Loan_Amount*Taxes!Interest_Rate*Taxes!Loan_Years*Taxes!Loan_Start&gt;0,1,0)</definedName>
    <definedName name="Values_Entered">IF(Loan_Amount*Interest_Rate*Loan_Years*Loan_Start&gt;0,1,0)</definedName>
    <definedName name="wrn.1999" hidden="1">{#N/A,#N/A,TRUE,"Trend";#N/A,#N/A,TRUE,"Employee Statistics";#N/A,#N/A,TRUE,"Overhead Analysis";#N/A,#N/A,TRUE,"Activity Analysis";#N/A,#N/A,TRUE,"Market Sector Analysis";#N/A,#N/A,TRUE,"Customer Analysis";#N/A,#N/A,TRUE,"Divisional Customers";#N/A,#N/A,TRUE,"Capex";#N/A,#N/A,TRUE,"Bridge 1";#N/A,#N/A,TRUE,"Bridge 2";#N/A,#N/A,TRUE,"Bridge 3";#N/A,#N/A,TRUE,"Bridge 4"}</definedName>
    <definedName name="wrn.1999._.Budget._.Supplementary." hidden="1">{#N/A,#N/A,TRUE,"Trend";#N/A,#N/A,TRUE,"Employee Statistics";#N/A,#N/A,TRUE,"Overhead Analysis";#N/A,#N/A,TRUE,"Activity Analysis";#N/A,#N/A,TRUE,"Market Sector Analysis";#N/A,#N/A,TRUE,"Customer Analysis";#N/A,#N/A,TRUE,"Divisional Customers";#N/A,#N/A,TRUE,"Capex";#N/A,#N/A,TRUE,"Bridge 1";#N/A,#N/A,TRUE,"Bridge 2";#N/A,#N/A,TRUE,"Bridge 3";#N/A,#N/A,TRUE,"Bridge 4"}</definedName>
    <definedName name="wrn.all._.sheets." hidden="1">{#N/A,#N/A,TRUE,"MAIN FT TERM";#N/A,#N/A,TRUE,"MCI  FT TERM ";#N/A,#N/A,TRUE,"OC12 EQV"}</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icem." hidden="1">{#N/A,#N/A,FALSE,"Exb 2";#N/A,#N/A,FALSE,"Exb 3(a)";#N/A,#N/A,FALSE,"WACC";#N/A,#N/A,FALSE,"Exh 4(a)";#N/A,#N/A,FALSE,"Exh 4(b)";#N/A,#N/A,FALSE,"Exb 5(a)";#N/A,#N/A,FALSE,"Exb 5(b)"}</definedName>
    <definedName name="wrn.nema." hidden="1">{#N/A,#N/A,FALSE,"Distbn Ntwrk";#N/A,#N/A,FALSE,"Workforce";#N/A,#N/A,FALSE,"cur-prod1";#N/A,#N/A,FALSE,"in-proc"}</definedName>
    <definedName name="wrn.PRINT." hidden="1">{#N/A,#N/A,FALSE,"TOC";#N/A,#N/A,FALSE,"Assum";#N/A,#N/A,FALSE,"Op-BS";#N/A,#N/A,FALSE,"IS";#N/A,#N/A,FALSE,"BSCF";#N/A,#N/A,FALSE,"Ratios";#N/A,#N/A,FALSE,"BAX_IS";#N/A,#N/A,FALSE,"BAX_BSCF";#N/A,#N/A,FALSE,"BAX_Rate";#N/A,#N/A,FALSE,"NMC_IS";#N/A,#N/A,FALSE,"NMC_BSCF";#N/A,#N/A,FALSE,"NMC_Rate"}</definedName>
    <definedName name="wrn.print._.graphs." hidden="1">{"cap_structure",#N/A,FALSE,"Graph-Mkt Cap";"price",#N/A,FALSE,"Graph-Price";"ebit",#N/A,FALSE,"Graph-EBITDA";"ebitda",#N/A,FALSE,"Graph-EBITDA"}</definedName>
    <definedName name="wrn.print._.raw._.data._.entry." hidden="1">{"inputs raw data",#N/A,TRUE,"INPUT"}</definedName>
    <definedName name="wrn.print._.summary._.sheets." hidden="1">{"summary1",#N/A,TRUE,"Comps";"summary2",#N/A,TRUE,"Comps";"summary3",#N/A,TRUE,"Comps"}</definedName>
    <definedName name="wrn.sdi." hidden="1">{#N/A,#N/A,FALSE,"Customer Base";#N/A,#N/A,FALSE,"Workforce";#N/A,#N/A,FALSE,"cur prod";#N/A,#N/A,FALSE,"in-proc";#N/A,#N/A,FALSE,"Trademark"}</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s>
  <calcPr calcId="152511" calcMode="autoNoTable"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0" i="54" l="1"/>
  <c r="D36" i="7"/>
  <c r="H5" i="62"/>
  <c r="N37" i="6" l="1"/>
  <c r="C26" i="7"/>
  <c r="G20" i="54"/>
  <c r="H20" i="54" s="1"/>
  <c r="I20" i="54" s="1"/>
  <c r="J20" i="54" s="1"/>
  <c r="K20" i="54" s="1"/>
  <c r="L20" i="54" s="1"/>
  <c r="N23" i="6"/>
  <c r="N12" i="6"/>
  <c r="N22" i="6"/>
  <c r="N30" i="6"/>
  <c r="N36" i="6"/>
  <c r="N42" i="6"/>
  <c r="J29" i="2" l="1"/>
  <c r="I29" i="2"/>
  <c r="H29" i="2"/>
  <c r="I37" i="2"/>
  <c r="H37" i="2"/>
  <c r="H36" i="2"/>
  <c r="I36" i="2"/>
  <c r="I35" i="2"/>
  <c r="H35" i="2"/>
  <c r="F35" i="2"/>
  <c r="G35" i="2"/>
  <c r="G19" i="2"/>
  <c r="F29" i="2"/>
  <c r="G36" i="2"/>
  <c r="F36" i="2"/>
  <c r="AC35" i="76"/>
  <c r="AB35" i="76"/>
  <c r="AA35" i="76"/>
  <c r="AC34" i="76"/>
  <c r="AB34" i="76"/>
  <c r="AA34" i="76"/>
  <c r="AC33" i="76"/>
  <c r="AB33" i="76"/>
  <c r="AA33" i="76"/>
  <c r="AC32" i="76"/>
  <c r="AB32" i="76"/>
  <c r="AA32" i="76"/>
  <c r="AC31" i="76"/>
  <c r="AB31" i="76"/>
  <c r="AA31" i="76"/>
  <c r="AC30" i="76"/>
  <c r="AB30" i="76"/>
  <c r="AA30" i="76"/>
  <c r="AC29" i="76"/>
  <c r="AC36" i="76" s="1"/>
  <c r="AB29" i="76"/>
  <c r="AA29" i="76"/>
  <c r="AC28" i="76"/>
  <c r="AB28" i="76"/>
  <c r="AB36" i="76" s="1"/>
  <c r="AA28" i="76"/>
  <c r="AA36" i="76" s="1"/>
  <c r="AC24" i="76"/>
  <c r="AB24" i="76"/>
  <c r="AA24" i="76"/>
  <c r="AC23" i="76"/>
  <c r="AB23" i="76"/>
  <c r="AA23" i="76"/>
  <c r="AC22" i="76"/>
  <c r="AB22" i="76"/>
  <c r="AA22" i="76"/>
  <c r="AC21" i="76"/>
  <c r="AB21" i="76"/>
  <c r="AA21" i="76"/>
  <c r="AC20" i="76"/>
  <c r="AB20" i="76"/>
  <c r="AA20" i="76"/>
  <c r="AC19" i="76"/>
  <c r="AB19" i="76"/>
  <c r="AA19" i="76"/>
  <c r="AC18" i="76"/>
  <c r="AB18" i="76"/>
  <c r="AA18" i="76"/>
  <c r="AC17" i="76"/>
  <c r="AB17" i="76"/>
  <c r="AA17" i="76"/>
  <c r="AC16" i="76"/>
  <c r="AB16" i="76"/>
  <c r="AA16" i="76"/>
  <c r="AC15" i="76"/>
  <c r="AB15" i="76"/>
  <c r="AA15" i="76"/>
  <c r="AC14" i="76"/>
  <c r="AB14" i="76"/>
  <c r="AA14" i="76"/>
  <c r="AC13" i="76"/>
  <c r="AB13" i="76"/>
  <c r="AB25" i="76" s="1"/>
  <c r="AA13" i="76"/>
  <c r="AC12" i="76"/>
  <c r="AB12" i="76"/>
  <c r="AA12" i="76"/>
  <c r="AA25" i="76" s="1"/>
  <c r="AC8" i="76"/>
  <c r="AB8" i="76"/>
  <c r="AA8" i="76"/>
  <c r="AC7" i="76"/>
  <c r="AB7" i="76"/>
  <c r="AB9" i="76" s="1"/>
  <c r="AB39" i="76" s="1"/>
  <c r="AA7" i="76"/>
  <c r="AC6" i="76"/>
  <c r="AB6" i="76"/>
  <c r="AA6" i="76"/>
  <c r="AC5" i="76"/>
  <c r="AB5" i="76"/>
  <c r="AA5" i="76"/>
  <c r="AC9" i="76"/>
  <c r="AC25" i="76"/>
  <c r="AA9" i="76"/>
  <c r="G39" i="2"/>
  <c r="G29" i="2"/>
  <c r="AC12" i="6"/>
  <c r="AD12" i="6" s="1"/>
  <c r="N116" i="82"/>
  <c r="G8" i="62"/>
  <c r="G6" i="62"/>
  <c r="G7" i="62"/>
  <c r="G11" i="62" s="1"/>
  <c r="G29" i="62" s="1"/>
  <c r="G9" i="62"/>
  <c r="G48" i="62"/>
  <c r="G49" i="62" s="1"/>
  <c r="G44" i="62"/>
  <c r="G35" i="62"/>
  <c r="G42" i="62" s="1"/>
  <c r="G24" i="62"/>
  <c r="G5" i="62"/>
  <c r="G3" i="62"/>
  <c r="AJ45" i="8"/>
  <c r="AI45" i="8"/>
  <c r="AH45" i="8"/>
  <c r="AG45" i="8"/>
  <c r="AF45" i="8"/>
  <c r="AE45" i="8"/>
  <c r="AD45" i="8"/>
  <c r="AC45" i="8"/>
  <c r="AB45" i="8"/>
  <c r="AA45" i="8"/>
  <c r="Z45" i="8"/>
  <c r="Y45" i="8"/>
  <c r="X45" i="8"/>
  <c r="W45" i="8"/>
  <c r="V45" i="8"/>
  <c r="U45" i="8"/>
  <c r="T45" i="8"/>
  <c r="S45" i="8"/>
  <c r="R45" i="8"/>
  <c r="Q45" i="8"/>
  <c r="AJ79" i="8"/>
  <c r="AI79" i="8"/>
  <c r="AH79" i="8"/>
  <c r="AG79" i="8"/>
  <c r="AF79" i="8"/>
  <c r="AE79" i="8"/>
  <c r="AD79" i="8"/>
  <c r="AC79" i="8"/>
  <c r="AB79" i="8"/>
  <c r="AA79" i="8"/>
  <c r="Z79" i="8"/>
  <c r="Y79" i="8"/>
  <c r="X79" i="8"/>
  <c r="W79" i="8"/>
  <c r="V79" i="8"/>
  <c r="U79" i="8"/>
  <c r="T79" i="8"/>
  <c r="S79" i="8"/>
  <c r="R79" i="8"/>
  <c r="Q79" i="8"/>
  <c r="P84" i="8"/>
  <c r="P49" i="8"/>
  <c r="K42" i="2"/>
  <c r="N31" i="82"/>
  <c r="E112" i="82"/>
  <c r="C112" i="82"/>
  <c r="K104" i="82"/>
  <c r="L104" i="82" s="1"/>
  <c r="I104" i="82"/>
  <c r="E104" i="82"/>
  <c r="C99" i="82"/>
  <c r="E97" i="82"/>
  <c r="E96" i="82"/>
  <c r="E95" i="82"/>
  <c r="E94" i="82"/>
  <c r="K93" i="82"/>
  <c r="E93" i="82"/>
  <c r="K89" i="82"/>
  <c r="I78" i="82"/>
  <c r="G78" i="82"/>
  <c r="K76" i="82"/>
  <c r="E65" i="82"/>
  <c r="C65" i="82"/>
  <c r="L51" i="82"/>
  <c r="I51" i="82"/>
  <c r="G51" i="82"/>
  <c r="C48" i="82"/>
  <c r="C101" i="82" s="1"/>
  <c r="E47" i="82"/>
  <c r="E43" i="82"/>
  <c r="E37" i="82"/>
  <c r="K34" i="82"/>
  <c r="G15" i="82"/>
  <c r="H15" i="82" s="1"/>
  <c r="C15" i="82"/>
  <c r="E14" i="82"/>
  <c r="I14" i="82" s="1"/>
  <c r="E13" i="82"/>
  <c r="I13" i="82" s="1"/>
  <c r="L13" i="82" s="1"/>
  <c r="I12" i="82"/>
  <c r="E12" i="82"/>
  <c r="F12" i="82" s="1"/>
  <c r="G10" i="82"/>
  <c r="C10" i="82"/>
  <c r="C17" i="82" s="1"/>
  <c r="C106" i="82" s="1"/>
  <c r="I9" i="82"/>
  <c r="I10" i="82" s="1"/>
  <c r="G9" i="82"/>
  <c r="L8" i="82"/>
  <c r="N8" i="82" s="1"/>
  <c r="E8" i="82"/>
  <c r="E10" i="82" s="1"/>
  <c r="AA39" i="76" l="1"/>
  <c r="AC39" i="76"/>
  <c r="G50" i="62"/>
  <c r="G51" i="62" s="1"/>
  <c r="J74" i="82"/>
  <c r="J70" i="82"/>
  <c r="J73" i="82"/>
  <c r="J72" i="82"/>
  <c r="J71" i="82"/>
  <c r="J69" i="82"/>
  <c r="I17" i="82"/>
  <c r="J75" i="82"/>
  <c r="J10" i="82"/>
  <c r="J68" i="82"/>
  <c r="J13" i="82"/>
  <c r="F91" i="82"/>
  <c r="F88" i="82"/>
  <c r="F84" i="82"/>
  <c r="F80" i="82"/>
  <c r="F76" i="82"/>
  <c r="F72" i="82"/>
  <c r="F68" i="82"/>
  <c r="F64" i="82"/>
  <c r="F111" i="82"/>
  <c r="F90" i="82"/>
  <c r="F87" i="82"/>
  <c r="F83" i="82"/>
  <c r="F79" i="82"/>
  <c r="F75" i="82"/>
  <c r="F110" i="82"/>
  <c r="F104" i="82"/>
  <c r="F92" i="82"/>
  <c r="F85" i="82"/>
  <c r="F78" i="82"/>
  <c r="F59" i="82"/>
  <c r="F55" i="82"/>
  <c r="F51" i="82"/>
  <c r="F44" i="82"/>
  <c r="F41" i="82"/>
  <c r="F31" i="82"/>
  <c r="F82" i="82"/>
  <c r="F71" i="82"/>
  <c r="F70" i="82"/>
  <c r="F69" i="82"/>
  <c r="F62" i="82"/>
  <c r="F58" i="82"/>
  <c r="F54" i="82"/>
  <c r="F40" i="82"/>
  <c r="F109" i="82"/>
  <c r="F86" i="82"/>
  <c r="F60" i="82"/>
  <c r="F52" i="82"/>
  <c r="F42" i="82"/>
  <c r="F36" i="82"/>
  <c r="F27" i="82"/>
  <c r="F65" i="82"/>
  <c r="F45" i="82"/>
  <c r="F38" i="82"/>
  <c r="F33" i="82"/>
  <c r="F81" i="82"/>
  <c r="F74" i="82"/>
  <c r="F63" i="82"/>
  <c r="F35" i="82"/>
  <c r="F98" i="82"/>
  <c r="F89" i="82"/>
  <c r="F73" i="82"/>
  <c r="F57" i="82"/>
  <c r="F46" i="82"/>
  <c r="F32" i="82"/>
  <c r="F29" i="82"/>
  <c r="F56" i="82"/>
  <c r="F30" i="82"/>
  <c r="F61" i="82"/>
  <c r="F53" i="82"/>
  <c r="F39" i="82"/>
  <c r="F34" i="82"/>
  <c r="C114" i="82"/>
  <c r="C116" i="82"/>
  <c r="C117" i="82" s="1"/>
  <c r="N13" i="82"/>
  <c r="N10" i="82"/>
  <c r="H10" i="82"/>
  <c r="J14" i="82"/>
  <c r="L14" i="82"/>
  <c r="I15" i="82"/>
  <c r="J15" i="82" s="1"/>
  <c r="J51" i="82"/>
  <c r="J104" i="82"/>
  <c r="L9" i="82"/>
  <c r="N9" i="82" s="1"/>
  <c r="L10" i="82"/>
  <c r="F14" i="82"/>
  <c r="E48" i="82"/>
  <c r="N51" i="82"/>
  <c r="H78" i="82"/>
  <c r="L12" i="82"/>
  <c r="F13" i="82"/>
  <c r="F37" i="82"/>
  <c r="L78" i="82"/>
  <c r="J78" i="82"/>
  <c r="G43" i="82"/>
  <c r="H43" i="82" s="1"/>
  <c r="F43" i="82"/>
  <c r="H75" i="82"/>
  <c r="H71" i="82"/>
  <c r="H74" i="82"/>
  <c r="H104" i="82"/>
  <c r="H70" i="82"/>
  <c r="H69" i="82"/>
  <c r="H68" i="82"/>
  <c r="H14" i="82"/>
  <c r="H73" i="82"/>
  <c r="H72" i="82"/>
  <c r="E15" i="82"/>
  <c r="F15" i="82" s="1"/>
  <c r="J12" i="82"/>
  <c r="G17" i="82"/>
  <c r="N104" i="82"/>
  <c r="O104" i="82" s="1"/>
  <c r="M104" i="82"/>
  <c r="H12" i="82"/>
  <c r="H13" i="82"/>
  <c r="F47" i="82"/>
  <c r="H51" i="82"/>
  <c r="E99" i="82"/>
  <c r="F99" i="82" s="1"/>
  <c r="F93" i="82"/>
  <c r="F95" i="82"/>
  <c r="I47" i="82"/>
  <c r="F97" i="82"/>
  <c r="F94" i="82"/>
  <c r="G96" i="82"/>
  <c r="H96" i="82" s="1"/>
  <c r="F96" i="82"/>
  <c r="F112" i="82"/>
  <c r="I95" i="82"/>
  <c r="I97" i="82"/>
  <c r="G90" i="82" l="1"/>
  <c r="H90" i="82" s="1"/>
  <c r="G87" i="82"/>
  <c r="H87" i="82" s="1"/>
  <c r="G83" i="82"/>
  <c r="H83" i="82" s="1"/>
  <c r="G79" i="82"/>
  <c r="H79" i="82" s="1"/>
  <c r="G63" i="82"/>
  <c r="H63" i="82" s="1"/>
  <c r="G86" i="82"/>
  <c r="H86" i="82" s="1"/>
  <c r="G82" i="82"/>
  <c r="H82" i="82" s="1"/>
  <c r="G98" i="82"/>
  <c r="H98" i="82" s="1"/>
  <c r="G97" i="82"/>
  <c r="H97" i="82" s="1"/>
  <c r="G91" i="82"/>
  <c r="H91" i="82" s="1"/>
  <c r="G84" i="82"/>
  <c r="H84" i="82" s="1"/>
  <c r="G62" i="82"/>
  <c r="H62" i="82" s="1"/>
  <c r="G58" i="82"/>
  <c r="H58" i="82" s="1"/>
  <c r="G54" i="82"/>
  <c r="H54" i="82" s="1"/>
  <c r="G40" i="82"/>
  <c r="H40" i="82" s="1"/>
  <c r="G34" i="82"/>
  <c r="H34" i="82" s="1"/>
  <c r="G30" i="82"/>
  <c r="H30" i="82" s="1"/>
  <c r="G89" i="82"/>
  <c r="H89" i="82" s="1"/>
  <c r="G81" i="82"/>
  <c r="H81" i="82" s="1"/>
  <c r="G76" i="82"/>
  <c r="G61" i="82"/>
  <c r="H61" i="82" s="1"/>
  <c r="G57" i="82"/>
  <c r="H57" i="82" s="1"/>
  <c r="G53" i="82"/>
  <c r="H53" i="82" s="1"/>
  <c r="G46" i="82"/>
  <c r="H46" i="82" s="1"/>
  <c r="G64" i="82"/>
  <c r="H64" i="82" s="1"/>
  <c r="G59" i="82"/>
  <c r="H59" i="82" s="1"/>
  <c r="G41" i="82"/>
  <c r="H41" i="82" s="1"/>
  <c r="G32" i="82"/>
  <c r="H32" i="82" s="1"/>
  <c r="G29" i="82"/>
  <c r="H29" i="82" s="1"/>
  <c r="G85" i="82"/>
  <c r="H85" i="82" s="1"/>
  <c r="G55" i="82"/>
  <c r="H55" i="82" s="1"/>
  <c r="G44" i="82"/>
  <c r="H44" i="82" s="1"/>
  <c r="G39" i="82"/>
  <c r="H39" i="82" s="1"/>
  <c r="G35" i="82"/>
  <c r="H35" i="82" s="1"/>
  <c r="G88" i="82"/>
  <c r="H88" i="82" s="1"/>
  <c r="G60" i="82"/>
  <c r="H60" i="82" s="1"/>
  <c r="G52" i="82"/>
  <c r="G47" i="82"/>
  <c r="H47" i="82" s="1"/>
  <c r="G42" i="82"/>
  <c r="H42" i="82" s="1"/>
  <c r="G36" i="82"/>
  <c r="H36" i="82" s="1"/>
  <c r="G31" i="82"/>
  <c r="H31" i="82" s="1"/>
  <c r="G27" i="82"/>
  <c r="G80" i="82"/>
  <c r="H80" i="82" s="1"/>
  <c r="G56" i="82"/>
  <c r="H56" i="82" s="1"/>
  <c r="G45" i="82"/>
  <c r="H45" i="82" s="1"/>
  <c r="G38" i="82"/>
  <c r="H38" i="82" s="1"/>
  <c r="G33" i="82"/>
  <c r="H33" i="82" s="1"/>
  <c r="G92" i="82"/>
  <c r="H92" i="82" s="1"/>
  <c r="G95" i="82"/>
  <c r="H95" i="82" s="1"/>
  <c r="J17" i="82"/>
  <c r="J95" i="82"/>
  <c r="L95" i="82"/>
  <c r="J47" i="82"/>
  <c r="L47" i="82"/>
  <c r="O51" i="82"/>
  <c r="M73" i="82"/>
  <c r="M69" i="82"/>
  <c r="M74" i="82"/>
  <c r="M71" i="82"/>
  <c r="M70" i="82"/>
  <c r="M75" i="82"/>
  <c r="M68" i="82"/>
  <c r="M10" i="82"/>
  <c r="M72" i="82"/>
  <c r="G93" i="82"/>
  <c r="H93" i="82" s="1"/>
  <c r="M78" i="82"/>
  <c r="N78" i="82"/>
  <c r="O78" i="82" s="1"/>
  <c r="M13" i="82"/>
  <c r="J97" i="82"/>
  <c r="L97" i="82"/>
  <c r="G37" i="82"/>
  <c r="H37" i="82" s="1"/>
  <c r="O72" i="82"/>
  <c r="O68" i="82"/>
  <c r="O75" i="82"/>
  <c r="O74" i="82"/>
  <c r="O73" i="82"/>
  <c r="O10" i="82"/>
  <c r="O70" i="82"/>
  <c r="O71" i="82"/>
  <c r="O69" i="82"/>
  <c r="H17" i="82"/>
  <c r="M14" i="82"/>
  <c r="N14" i="82"/>
  <c r="O14" i="82" s="1"/>
  <c r="E17" i="82"/>
  <c r="I98" i="82"/>
  <c r="I92" i="82"/>
  <c r="I89" i="82"/>
  <c r="I85" i="82"/>
  <c r="I81" i="82"/>
  <c r="I91" i="82"/>
  <c r="I88" i="82"/>
  <c r="I84" i="82"/>
  <c r="I80" i="82"/>
  <c r="I76" i="82"/>
  <c r="I82" i="82"/>
  <c r="I63" i="82"/>
  <c r="I60" i="82"/>
  <c r="I56" i="82"/>
  <c r="I52" i="82"/>
  <c r="I45" i="82"/>
  <c r="I42" i="82"/>
  <c r="I38" i="82"/>
  <c r="I35" i="82"/>
  <c r="I32" i="82"/>
  <c r="I27" i="82"/>
  <c r="I87" i="82"/>
  <c r="I79" i="82"/>
  <c r="I64" i="82"/>
  <c r="I59" i="82"/>
  <c r="I55" i="82"/>
  <c r="I44" i="82"/>
  <c r="I41" i="82"/>
  <c r="I57" i="82"/>
  <c r="I46" i="82"/>
  <c r="I33" i="82"/>
  <c r="I30" i="82"/>
  <c r="I61" i="82"/>
  <c r="I53" i="82"/>
  <c r="I36" i="82"/>
  <c r="I58" i="82"/>
  <c r="I40" i="82"/>
  <c r="I29" i="82"/>
  <c r="I96" i="82"/>
  <c r="I54" i="82"/>
  <c r="I39" i="82"/>
  <c r="I34" i="82"/>
  <c r="I31" i="82"/>
  <c r="I94" i="82"/>
  <c r="I90" i="82"/>
  <c r="I83" i="82"/>
  <c r="I62" i="82"/>
  <c r="I37" i="82"/>
  <c r="I86" i="82"/>
  <c r="G94" i="82"/>
  <c r="H94" i="82" s="1"/>
  <c r="I93" i="82"/>
  <c r="M51" i="82"/>
  <c r="M12" i="82"/>
  <c r="L15" i="82"/>
  <c r="M15" i="82" s="1"/>
  <c r="N12" i="82"/>
  <c r="E101" i="82"/>
  <c r="F101" i="82" s="1"/>
  <c r="F48" i="82"/>
  <c r="O13" i="82"/>
  <c r="I43" i="82"/>
  <c r="X36" i="76"/>
  <c r="X28" i="76"/>
  <c r="G37" i="2" s="1"/>
  <c r="X29" i="76"/>
  <c r="X30" i="76"/>
  <c r="X31" i="76"/>
  <c r="X32" i="76"/>
  <c r="X33" i="76"/>
  <c r="X34" i="76"/>
  <c r="W28" i="76"/>
  <c r="W29" i="76"/>
  <c r="W30" i="76"/>
  <c r="W31" i="76"/>
  <c r="W32" i="76"/>
  <c r="W33" i="76"/>
  <c r="W34" i="76"/>
  <c r="X12" i="76"/>
  <c r="X13" i="76"/>
  <c r="X14" i="76"/>
  <c r="X15" i="76"/>
  <c r="X16" i="76"/>
  <c r="X17" i="76"/>
  <c r="X18" i="76"/>
  <c r="X19" i="76"/>
  <c r="X20" i="76"/>
  <c r="X21" i="76"/>
  <c r="X22" i="76"/>
  <c r="X23" i="76"/>
  <c r="W12" i="76"/>
  <c r="W13" i="76"/>
  <c r="W14" i="76"/>
  <c r="W15" i="76"/>
  <c r="W16" i="76"/>
  <c r="W17" i="76"/>
  <c r="W18" i="76"/>
  <c r="W19" i="76"/>
  <c r="W20" i="76"/>
  <c r="W21" i="76"/>
  <c r="W22" i="76"/>
  <c r="W23" i="76"/>
  <c r="AH112" i="80"/>
  <c r="AH97" i="80"/>
  <c r="AH92" i="80"/>
  <c r="AH98" i="80" s="1"/>
  <c r="AH74" i="80"/>
  <c r="AH62" i="80"/>
  <c r="AH52" i="80"/>
  <c r="AH51" i="80"/>
  <c r="AH46" i="80"/>
  <c r="AH40" i="80"/>
  <c r="AH19" i="80"/>
  <c r="AH20" i="80" s="1"/>
  <c r="Y32" i="76"/>
  <c r="Y31" i="76"/>
  <c r="Y29" i="76"/>
  <c r="Y28" i="76"/>
  <c r="Y23" i="76"/>
  <c r="Y22" i="76"/>
  <c r="Y21" i="76"/>
  <c r="Y20" i="76"/>
  <c r="Y19" i="76"/>
  <c r="Y18" i="76"/>
  <c r="Y17" i="76"/>
  <c r="Y16" i="76"/>
  <c r="Y14" i="76"/>
  <c r="Y13" i="76"/>
  <c r="Y8" i="76"/>
  <c r="Y7" i="76"/>
  <c r="Y6" i="76"/>
  <c r="Y5" i="76"/>
  <c r="Q25" i="76"/>
  <c r="Q9" i="76"/>
  <c r="S31" i="7"/>
  <c r="H17" i="7"/>
  <c r="AH50" i="80" l="1"/>
  <c r="Y9" i="76"/>
  <c r="X25" i="76"/>
  <c r="W36" i="76"/>
  <c r="F37" i="2"/>
  <c r="W25" i="76"/>
  <c r="J93" i="82"/>
  <c r="L93" i="82"/>
  <c r="L96" i="82"/>
  <c r="J96" i="82"/>
  <c r="J44" i="82"/>
  <c r="L44" i="82"/>
  <c r="L52" i="82"/>
  <c r="J52" i="82"/>
  <c r="I65" i="82"/>
  <c r="J65" i="82" s="1"/>
  <c r="J34" i="82"/>
  <c r="L34" i="82"/>
  <c r="L53" i="82"/>
  <c r="J53" i="82"/>
  <c r="L87" i="82"/>
  <c r="J87" i="82"/>
  <c r="J76" i="82"/>
  <c r="I99" i="82"/>
  <c r="J99" i="82" s="1"/>
  <c r="L76" i="82"/>
  <c r="N47" i="82"/>
  <c r="O47" i="82" s="1"/>
  <c r="M47" i="82"/>
  <c r="L43" i="82"/>
  <c r="J43" i="82"/>
  <c r="L62" i="82"/>
  <c r="J62" i="82"/>
  <c r="L36" i="82"/>
  <c r="J36" i="82"/>
  <c r="L79" i="82"/>
  <c r="J79" i="82"/>
  <c r="J88" i="82"/>
  <c r="L88" i="82"/>
  <c r="L83" i="82"/>
  <c r="J83" i="82"/>
  <c r="L46" i="82"/>
  <c r="J46" i="82"/>
  <c r="L38" i="82"/>
  <c r="J38" i="82"/>
  <c r="L92" i="82"/>
  <c r="J92" i="82"/>
  <c r="L90" i="82"/>
  <c r="J90" i="82"/>
  <c r="J39" i="82"/>
  <c r="L39" i="82"/>
  <c r="L40" i="82"/>
  <c r="J40" i="82"/>
  <c r="L57" i="82"/>
  <c r="J57" i="82"/>
  <c r="J59" i="82"/>
  <c r="L59" i="82"/>
  <c r="I48" i="82"/>
  <c r="L27" i="82"/>
  <c r="J27" i="82"/>
  <c r="J42" i="82"/>
  <c r="L42" i="82"/>
  <c r="L60" i="82"/>
  <c r="J60" i="82"/>
  <c r="J80" i="82"/>
  <c r="L80" i="82"/>
  <c r="J81" i="82"/>
  <c r="L81" i="82"/>
  <c r="L98" i="82"/>
  <c r="J98" i="82"/>
  <c r="G48" i="82"/>
  <c r="H27" i="82"/>
  <c r="N15" i="82"/>
  <c r="O12" i="82"/>
  <c r="J31" i="82"/>
  <c r="L31" i="82"/>
  <c r="J33" i="82"/>
  <c r="L33" i="82"/>
  <c r="J35" i="82"/>
  <c r="L35" i="82"/>
  <c r="L82" i="82"/>
  <c r="J82" i="82"/>
  <c r="L89" i="82"/>
  <c r="J89" i="82"/>
  <c r="H76" i="82"/>
  <c r="G99" i="82"/>
  <c r="H99" i="82" s="1"/>
  <c r="J29" i="82"/>
  <c r="L29" i="82"/>
  <c r="J55" i="82"/>
  <c r="L55" i="82"/>
  <c r="J56" i="82"/>
  <c r="L56" i="82"/>
  <c r="J91" i="82"/>
  <c r="L91" i="82"/>
  <c r="L17" i="82"/>
  <c r="L86" i="82"/>
  <c r="J86" i="82"/>
  <c r="L61" i="82"/>
  <c r="J61" i="82"/>
  <c r="J37" i="82"/>
  <c r="L37" i="82"/>
  <c r="L94" i="82"/>
  <c r="J94" i="82"/>
  <c r="L54" i="82"/>
  <c r="J54" i="82"/>
  <c r="L58" i="82"/>
  <c r="J58" i="82"/>
  <c r="L30" i="82"/>
  <c r="J30" i="82"/>
  <c r="J41" i="82"/>
  <c r="L41" i="82"/>
  <c r="J64" i="82"/>
  <c r="L64" i="82"/>
  <c r="L32" i="82"/>
  <c r="J32" i="82"/>
  <c r="J45" i="82"/>
  <c r="L45" i="82"/>
  <c r="L63" i="82"/>
  <c r="J63" i="82"/>
  <c r="J84" i="82"/>
  <c r="L84" i="82"/>
  <c r="L85" i="82"/>
  <c r="J85" i="82"/>
  <c r="E106" i="82"/>
  <c r="F17" i="82"/>
  <c r="N97" i="82"/>
  <c r="O97" i="82" s="1"/>
  <c r="M97" i="82"/>
  <c r="N95" i="82"/>
  <c r="O95" i="82" s="1"/>
  <c r="M95" i="82"/>
  <c r="H52" i="82"/>
  <c r="G65" i="82"/>
  <c r="H65" i="82" s="1"/>
  <c r="AH48" i="80"/>
  <c r="AH108" i="80"/>
  <c r="AH113" i="80" s="1"/>
  <c r="AH117" i="80" s="1"/>
  <c r="AH53" i="80"/>
  <c r="AH65" i="80" s="1"/>
  <c r="AH77" i="80" s="1"/>
  <c r="N84" i="82" l="1"/>
  <c r="O84" i="82" s="1"/>
  <c r="M84" i="82"/>
  <c r="O15" i="82"/>
  <c r="N17" i="82"/>
  <c r="N59" i="82"/>
  <c r="O59" i="82" s="1"/>
  <c r="M59" i="82"/>
  <c r="M53" i="82"/>
  <c r="N53" i="82"/>
  <c r="O53" i="82" s="1"/>
  <c r="M54" i="82"/>
  <c r="N54" i="82"/>
  <c r="O54" i="82" s="1"/>
  <c r="N56" i="82"/>
  <c r="O56" i="82" s="1"/>
  <c r="M56" i="82"/>
  <c r="N35" i="82"/>
  <c r="O35" i="82" s="1"/>
  <c r="M35" i="82"/>
  <c r="M40" i="82"/>
  <c r="N40" i="82"/>
  <c r="O40" i="82" s="1"/>
  <c r="N45" i="82"/>
  <c r="O45" i="82" s="1"/>
  <c r="M45" i="82"/>
  <c r="M37" i="82"/>
  <c r="N37" i="82"/>
  <c r="O37" i="82" s="1"/>
  <c r="E114" i="82"/>
  <c r="F114" i="82" s="1"/>
  <c r="F106" i="82"/>
  <c r="E116" i="82"/>
  <c r="M86" i="82"/>
  <c r="N86" i="82"/>
  <c r="O86" i="82" s="1"/>
  <c r="N38" i="82"/>
  <c r="O38" i="82" s="1"/>
  <c r="M38" i="82"/>
  <c r="M79" i="82"/>
  <c r="N79" i="82"/>
  <c r="O79" i="82" s="1"/>
  <c r="M62" i="82"/>
  <c r="N62" i="82"/>
  <c r="O62" i="82" s="1"/>
  <c r="N52" i="82"/>
  <c r="M52" i="82"/>
  <c r="L65" i="82"/>
  <c r="M65" i="82" s="1"/>
  <c r="G101" i="82"/>
  <c r="H48" i="82"/>
  <c r="N60" i="82"/>
  <c r="O60" i="82" s="1"/>
  <c r="M60" i="82"/>
  <c r="L48" i="82"/>
  <c r="N27" i="82"/>
  <c r="M27" i="82"/>
  <c r="M39" i="82"/>
  <c r="N39" i="82"/>
  <c r="O39" i="82" s="1"/>
  <c r="N88" i="82"/>
  <c r="O88" i="82" s="1"/>
  <c r="M88" i="82"/>
  <c r="N76" i="82"/>
  <c r="M76" i="82"/>
  <c r="L99" i="82"/>
  <c r="M99" i="82" s="1"/>
  <c r="M87" i="82"/>
  <c r="N87" i="82"/>
  <c r="O87" i="82" s="1"/>
  <c r="N44" i="82"/>
  <c r="O44" i="82" s="1"/>
  <c r="M44" i="82"/>
  <c r="N93" i="82"/>
  <c r="O93" i="82" s="1"/>
  <c r="M93" i="82"/>
  <c r="N64" i="82"/>
  <c r="O64" i="82" s="1"/>
  <c r="M64" i="82"/>
  <c r="M82" i="82"/>
  <c r="N82" i="82"/>
  <c r="O82" i="82" s="1"/>
  <c r="N98" i="82"/>
  <c r="O98" i="82" s="1"/>
  <c r="M98" i="82"/>
  <c r="M30" i="82"/>
  <c r="N30" i="82"/>
  <c r="O30" i="82" s="1"/>
  <c r="M29" i="82"/>
  <c r="N29" i="82"/>
  <c r="O29" i="82" s="1"/>
  <c r="O31" i="82"/>
  <c r="M31" i="82"/>
  <c r="N81" i="82"/>
  <c r="O81" i="82" s="1"/>
  <c r="M81" i="82"/>
  <c r="N90" i="82"/>
  <c r="O90" i="82" s="1"/>
  <c r="M90" i="82"/>
  <c r="N83" i="82"/>
  <c r="O83" i="82" s="1"/>
  <c r="M83" i="82"/>
  <c r="N34" i="82"/>
  <c r="O34" i="82" s="1"/>
  <c r="M34" i="82"/>
  <c r="M96" i="82"/>
  <c r="N96" i="82"/>
  <c r="O96" i="82" s="1"/>
  <c r="N41" i="82"/>
  <c r="O41" i="82" s="1"/>
  <c r="M41" i="82"/>
  <c r="M17" i="82"/>
  <c r="M89" i="82"/>
  <c r="N89" i="82"/>
  <c r="O89" i="82" s="1"/>
  <c r="N85" i="82"/>
  <c r="O85" i="82" s="1"/>
  <c r="M85" i="82"/>
  <c r="N63" i="82"/>
  <c r="O63" i="82" s="1"/>
  <c r="M63" i="82"/>
  <c r="N32" i="82"/>
  <c r="O32" i="82" s="1"/>
  <c r="M32" i="82"/>
  <c r="M58" i="82"/>
  <c r="N58" i="82"/>
  <c r="O58" i="82" s="1"/>
  <c r="M94" i="82"/>
  <c r="N94" i="82"/>
  <c r="O94" i="82" s="1"/>
  <c r="M61" i="82"/>
  <c r="N61" i="82"/>
  <c r="O61" i="82" s="1"/>
  <c r="N91" i="82"/>
  <c r="O91" i="82" s="1"/>
  <c r="M91" i="82"/>
  <c r="N55" i="82"/>
  <c r="O55" i="82" s="1"/>
  <c r="M55" i="82"/>
  <c r="M33" i="82"/>
  <c r="N33" i="82"/>
  <c r="O33" i="82" s="1"/>
  <c r="N80" i="82"/>
  <c r="O80" i="82" s="1"/>
  <c r="M80" i="82"/>
  <c r="N42" i="82"/>
  <c r="O42" i="82" s="1"/>
  <c r="M42" i="82"/>
  <c r="I101" i="82"/>
  <c r="J48" i="82"/>
  <c r="M57" i="82"/>
  <c r="N57" i="82"/>
  <c r="O57" i="82" s="1"/>
  <c r="N92" i="82"/>
  <c r="O92" i="82" s="1"/>
  <c r="M92" i="82"/>
  <c r="M46" i="82"/>
  <c r="N46" i="82"/>
  <c r="O46" i="82" s="1"/>
  <c r="M36" i="82"/>
  <c r="N36" i="82"/>
  <c r="O36" i="82" s="1"/>
  <c r="M43" i="82"/>
  <c r="N43" i="82"/>
  <c r="O43" i="82" s="1"/>
  <c r="O52" i="82" l="1"/>
  <c r="N65" i="82"/>
  <c r="O65" i="82" s="1"/>
  <c r="O17" i="82"/>
  <c r="H101" i="82"/>
  <c r="G106" i="82"/>
  <c r="F116" i="82"/>
  <c r="E117" i="82"/>
  <c r="N99" i="82"/>
  <c r="O99" i="82" s="1"/>
  <c r="O76" i="82"/>
  <c r="N48" i="82"/>
  <c r="O27" i="82"/>
  <c r="L101" i="82"/>
  <c r="M48" i="82"/>
  <c r="J101" i="82"/>
  <c r="I106" i="82"/>
  <c r="M101" i="82" l="1"/>
  <c r="L106" i="82"/>
  <c r="J106" i="82"/>
  <c r="I116" i="82"/>
  <c r="J116" i="82" s="1"/>
  <c r="H106" i="82"/>
  <c r="G116" i="82"/>
  <c r="N101" i="82"/>
  <c r="O48" i="82"/>
  <c r="O101" i="82" l="1"/>
  <c r="N106" i="82"/>
  <c r="H116" i="82"/>
  <c r="E120" i="82"/>
  <c r="M106" i="82"/>
  <c r="L116" i="82"/>
  <c r="M116" i="82" s="1"/>
  <c r="O106" i="82" l="1"/>
  <c r="O116" i="82" l="1"/>
  <c r="P35" i="76" l="1"/>
  <c r="O35" i="76"/>
  <c r="N35" i="76"/>
  <c r="M35" i="76"/>
  <c r="L35" i="76"/>
  <c r="K35" i="76"/>
  <c r="J35" i="76"/>
  <c r="I35" i="76"/>
  <c r="H35" i="76"/>
  <c r="G35" i="76"/>
  <c r="F35" i="76"/>
  <c r="E35" i="76"/>
  <c r="D35" i="76"/>
  <c r="C35" i="76"/>
  <c r="P24" i="76"/>
  <c r="O24" i="76"/>
  <c r="N24" i="76"/>
  <c r="M24" i="76"/>
  <c r="L24" i="76"/>
  <c r="K24" i="76"/>
  <c r="J24" i="76"/>
  <c r="I24" i="76"/>
  <c r="H24" i="76"/>
  <c r="G24" i="76"/>
  <c r="F24" i="76"/>
  <c r="E24" i="76"/>
  <c r="D24" i="76"/>
  <c r="C24" i="76"/>
  <c r="O30" i="81"/>
  <c r="N30" i="81"/>
  <c r="M30" i="81"/>
  <c r="L30" i="81"/>
  <c r="K30" i="81"/>
  <c r="J30" i="81"/>
  <c r="I30" i="81"/>
  <c r="H30" i="81"/>
  <c r="G30" i="81"/>
  <c r="F30" i="81"/>
  <c r="E30" i="81"/>
  <c r="D30" i="81"/>
  <c r="C30" i="81"/>
  <c r="B30" i="81"/>
  <c r="M27" i="81"/>
  <c r="L27" i="81"/>
  <c r="L8" i="81" s="1"/>
  <c r="I27" i="81"/>
  <c r="H27" i="81"/>
  <c r="E27" i="81"/>
  <c r="D27" i="81"/>
  <c r="T26" i="81"/>
  <c r="R26" i="81"/>
  <c r="O25" i="81"/>
  <c r="O27" i="81" s="1"/>
  <c r="N25" i="81"/>
  <c r="N27" i="81" s="1"/>
  <c r="M25" i="81"/>
  <c r="L25" i="81"/>
  <c r="K25" i="81"/>
  <c r="K27" i="81" s="1"/>
  <c r="J25" i="81"/>
  <c r="J27" i="81" s="1"/>
  <c r="I25" i="81"/>
  <c r="H25" i="81"/>
  <c r="G25" i="81"/>
  <c r="G27" i="81" s="1"/>
  <c r="F25" i="81"/>
  <c r="F27" i="81" s="1"/>
  <c r="E25" i="81"/>
  <c r="D25" i="81"/>
  <c r="T25" i="81" s="1"/>
  <c r="T27" i="81" s="1"/>
  <c r="C25" i="81"/>
  <c r="C27" i="81" s="1"/>
  <c r="B25" i="81"/>
  <c r="B27" i="81" s="1"/>
  <c r="L22" i="81"/>
  <c r="L6" i="81" s="1"/>
  <c r="H22" i="81"/>
  <c r="H6" i="81" s="1"/>
  <c r="H9" i="81" s="1"/>
  <c r="D22" i="81"/>
  <c r="D6" i="81" s="1"/>
  <c r="A22" i="81"/>
  <c r="O22" i="81" s="1"/>
  <c r="O6" i="81" s="1"/>
  <c r="O9" i="81" s="1"/>
  <c r="O17" i="81"/>
  <c r="N17" i="81"/>
  <c r="M17" i="81"/>
  <c r="L17" i="81"/>
  <c r="K17" i="81"/>
  <c r="J17" i="81"/>
  <c r="I17" i="81"/>
  <c r="H17" i="81"/>
  <c r="H19" i="81" s="1"/>
  <c r="G17" i="81"/>
  <c r="F17" i="81"/>
  <c r="E17" i="81"/>
  <c r="D17" i="81"/>
  <c r="C17" i="81"/>
  <c r="B17" i="81"/>
  <c r="T16" i="81"/>
  <c r="R16" i="81"/>
  <c r="T15" i="81"/>
  <c r="R15" i="81"/>
  <c r="T14" i="81"/>
  <c r="T17" i="81" s="1"/>
  <c r="R14" i="81"/>
  <c r="R17" i="81" s="1"/>
  <c r="T7" i="81"/>
  <c r="R7" i="81"/>
  <c r="D3" i="76"/>
  <c r="E3" i="76" s="1"/>
  <c r="F3" i="76" s="1"/>
  <c r="G3" i="76" s="1"/>
  <c r="H3" i="76" s="1"/>
  <c r="I3" i="76" s="1"/>
  <c r="J3" i="76" s="1"/>
  <c r="K3" i="76" s="1"/>
  <c r="L3" i="76" s="1"/>
  <c r="M3" i="76" s="1"/>
  <c r="N3" i="76" s="1"/>
  <c r="O3" i="76" s="1"/>
  <c r="P3" i="76" s="1"/>
  <c r="Q3" i="76" s="1"/>
  <c r="Y3" i="76" s="1"/>
  <c r="AI117" i="80"/>
  <c r="AM115" i="80"/>
  <c r="AK115" i="80"/>
  <c r="AC115" i="80"/>
  <c r="AB115" i="80"/>
  <c r="Z115" i="80"/>
  <c r="Y115" i="80"/>
  <c r="AL115" i="80" s="1"/>
  <c r="V115" i="80"/>
  <c r="R115" i="80"/>
  <c r="O115" i="80"/>
  <c r="N115" i="80"/>
  <c r="L115" i="80"/>
  <c r="K115" i="80"/>
  <c r="J115" i="80"/>
  <c r="I115" i="80"/>
  <c r="H115" i="80"/>
  <c r="G115" i="80"/>
  <c r="E115" i="80"/>
  <c r="C115" i="80"/>
  <c r="B115" i="80"/>
  <c r="Y113" i="80"/>
  <c r="AL113" i="80" s="1"/>
  <c r="AJ113" i="80"/>
  <c r="AK112" i="80"/>
  <c r="AJ112" i="80"/>
  <c r="AG112" i="80"/>
  <c r="AM112" i="80" s="1"/>
  <c r="AF112" i="80"/>
  <c r="AE112" i="80"/>
  <c r="AD112" i="80"/>
  <c r="AC112" i="80"/>
  <c r="AB112" i="80"/>
  <c r="AA112" i="80"/>
  <c r="Z112" i="80"/>
  <c r="Y112" i="80"/>
  <c r="AL112" i="80" s="1"/>
  <c r="X112" i="80"/>
  <c r="W112" i="80"/>
  <c r="V112" i="80"/>
  <c r="V113" i="80" s="1"/>
  <c r="U112" i="80"/>
  <c r="T112" i="80"/>
  <c r="S112" i="80"/>
  <c r="R112" i="80"/>
  <c r="Q112" i="80"/>
  <c r="P112" i="80"/>
  <c r="O112" i="80"/>
  <c r="N112" i="80"/>
  <c r="N113" i="80" s="1"/>
  <c r="M112" i="80"/>
  <c r="L112" i="80"/>
  <c r="K112" i="80"/>
  <c r="J112" i="80"/>
  <c r="I112" i="80"/>
  <c r="H112" i="80"/>
  <c r="G112" i="80"/>
  <c r="F112" i="80"/>
  <c r="E112" i="80"/>
  <c r="D112" i="80"/>
  <c r="C112" i="80"/>
  <c r="B112" i="80"/>
  <c r="AM111" i="80"/>
  <c r="AL111" i="80"/>
  <c r="AK111" i="80"/>
  <c r="AJ111" i="80"/>
  <c r="AM110" i="80"/>
  <c r="AL110" i="80"/>
  <c r="AK110" i="80"/>
  <c r="AJ110" i="80"/>
  <c r="AG108" i="80"/>
  <c r="AM108" i="80" s="1"/>
  <c r="AF108" i="80"/>
  <c r="AD108" i="80"/>
  <c r="AC108" i="80"/>
  <c r="AC113" i="80" s="1"/>
  <c r="AB108" i="80"/>
  <c r="AA108" i="80"/>
  <c r="Z108" i="80"/>
  <c r="Y108" i="80"/>
  <c r="AL108" i="80" s="1"/>
  <c r="X108" i="80"/>
  <c r="W108" i="80"/>
  <c r="V108" i="80"/>
  <c r="U108" i="80"/>
  <c r="U113" i="80" s="1"/>
  <c r="T108" i="80"/>
  <c r="S108" i="80"/>
  <c r="R108" i="80"/>
  <c r="Q108" i="80"/>
  <c r="Q113" i="80" s="1"/>
  <c r="P108" i="80"/>
  <c r="O108" i="80"/>
  <c r="N108" i="80"/>
  <c r="M108" i="80"/>
  <c r="M113" i="80" s="1"/>
  <c r="AK113" i="80" s="1"/>
  <c r="L108" i="80"/>
  <c r="K108" i="80"/>
  <c r="J108" i="80"/>
  <c r="I108" i="80"/>
  <c r="I113" i="80" s="1"/>
  <c r="H108" i="80"/>
  <c r="G108" i="80"/>
  <c r="F108" i="80"/>
  <c r="E108" i="80"/>
  <c r="E113" i="80" s="1"/>
  <c r="D108" i="80"/>
  <c r="C108" i="80"/>
  <c r="B108" i="80"/>
  <c r="AJ108" i="80"/>
  <c r="AM107" i="80"/>
  <c r="AL107" i="80"/>
  <c r="AK107" i="80"/>
  <c r="AJ107" i="80"/>
  <c r="AM106" i="80"/>
  <c r="AL106" i="80"/>
  <c r="AK106" i="80"/>
  <c r="AJ106" i="80"/>
  <c r="AM105" i="80"/>
  <c r="AL105" i="80"/>
  <c r="AK105" i="80"/>
  <c r="AJ105" i="80"/>
  <c r="AM104" i="80"/>
  <c r="AL104" i="80"/>
  <c r="AK104" i="80"/>
  <c r="AJ104" i="80"/>
  <c r="AM103" i="80"/>
  <c r="AL103" i="80"/>
  <c r="AK103" i="80"/>
  <c r="AJ103" i="80"/>
  <c r="AM102" i="80"/>
  <c r="AL102" i="80"/>
  <c r="C26" i="79" s="1"/>
  <c r="C268" i="79" s="1"/>
  <c r="AK102" i="80"/>
  <c r="AJ102" i="80"/>
  <c r="AE102" i="80"/>
  <c r="AE108" i="80" s="1"/>
  <c r="AM101" i="80"/>
  <c r="B25" i="79" s="1"/>
  <c r="B330" i="79" s="1"/>
  <c r="AL101" i="80"/>
  <c r="AK101" i="80"/>
  <c r="AJ101" i="80"/>
  <c r="AM100" i="80"/>
  <c r="AL100" i="80"/>
  <c r="AK100" i="80"/>
  <c r="AJ100" i="80"/>
  <c r="AG97" i="80"/>
  <c r="AM97" i="80" s="1"/>
  <c r="AF97" i="80"/>
  <c r="AE97" i="80"/>
  <c r="AD97" i="80"/>
  <c r="AC97" i="80"/>
  <c r="AB97" i="80"/>
  <c r="AA97" i="80"/>
  <c r="Z97" i="80"/>
  <c r="Y97" i="80"/>
  <c r="AL97" i="80" s="1"/>
  <c r="X97" i="80"/>
  <c r="W97" i="80"/>
  <c r="V97" i="80"/>
  <c r="U97" i="80"/>
  <c r="T97" i="80"/>
  <c r="S97" i="80"/>
  <c r="R97" i="80"/>
  <c r="Q97" i="80"/>
  <c r="P97" i="80"/>
  <c r="O97" i="80"/>
  <c r="N97" i="80"/>
  <c r="M97" i="80"/>
  <c r="AK97" i="80" s="1"/>
  <c r="L97" i="80"/>
  <c r="K97" i="80"/>
  <c r="J97" i="80"/>
  <c r="I97" i="80"/>
  <c r="H97" i="80"/>
  <c r="G97" i="80"/>
  <c r="F97" i="80"/>
  <c r="E97" i="80"/>
  <c r="D97" i="80"/>
  <c r="C97" i="80"/>
  <c r="B97" i="80"/>
  <c r="AJ97" i="80"/>
  <c r="AM96" i="80"/>
  <c r="AL96" i="80"/>
  <c r="C19" i="79" s="1"/>
  <c r="C87" i="79" s="1"/>
  <c r="AK96" i="80"/>
  <c r="AJ96" i="80"/>
  <c r="AM95" i="80"/>
  <c r="AL95" i="80"/>
  <c r="AK95" i="80"/>
  <c r="AJ95" i="80"/>
  <c r="AM94" i="80"/>
  <c r="AL94" i="80"/>
  <c r="C17" i="79" s="1"/>
  <c r="C86" i="79" s="1"/>
  <c r="AK94" i="80"/>
  <c r="AJ94" i="80"/>
  <c r="AJ92" i="80"/>
  <c r="AM91" i="80"/>
  <c r="B13" i="79" s="1"/>
  <c r="B319" i="79" s="1"/>
  <c r="E319" i="79" s="1"/>
  <c r="AL91" i="80"/>
  <c r="AK91" i="80"/>
  <c r="AJ91" i="80"/>
  <c r="AM90" i="80"/>
  <c r="B236" i="79" s="1"/>
  <c r="AL90" i="80"/>
  <c r="AK90" i="80"/>
  <c r="AM89" i="80"/>
  <c r="AL89" i="80"/>
  <c r="C12" i="79" s="1"/>
  <c r="C84" i="79" s="1"/>
  <c r="AK89" i="80"/>
  <c r="AM88" i="80"/>
  <c r="AL88" i="80"/>
  <c r="AK88" i="80"/>
  <c r="AJ88" i="80"/>
  <c r="AM87" i="80"/>
  <c r="AL87" i="80"/>
  <c r="AK87" i="80"/>
  <c r="D234" i="79" s="1"/>
  <c r="AM86" i="80"/>
  <c r="AL86" i="80"/>
  <c r="AK86" i="80"/>
  <c r="AJ86" i="80"/>
  <c r="AM85" i="80"/>
  <c r="AG84" i="80"/>
  <c r="AM84" i="80" s="1"/>
  <c r="B11" i="79" s="1"/>
  <c r="AF84" i="80"/>
  <c r="AF92" i="80" s="1"/>
  <c r="AF98" i="80" s="1"/>
  <c r="AE84" i="80"/>
  <c r="AE92" i="80" s="1"/>
  <c r="AE98" i="80" s="1"/>
  <c r="AD84" i="80"/>
  <c r="AC84" i="80"/>
  <c r="AB84" i="80"/>
  <c r="AA84" i="80"/>
  <c r="Z84" i="80"/>
  <c r="Y84" i="80"/>
  <c r="AL84" i="80" s="1"/>
  <c r="C11" i="79" s="1"/>
  <c r="C83" i="79" s="1"/>
  <c r="X84" i="80"/>
  <c r="X92" i="80" s="1"/>
  <c r="X98" i="80" s="1"/>
  <c r="W84" i="80"/>
  <c r="W92" i="80" s="1"/>
  <c r="W98" i="80" s="1"/>
  <c r="V84" i="80"/>
  <c r="U84" i="80"/>
  <c r="T84" i="80"/>
  <c r="S84" i="80"/>
  <c r="R84" i="80"/>
  <c r="Q84" i="80"/>
  <c r="P84" i="80"/>
  <c r="P92" i="80" s="1"/>
  <c r="P98" i="80" s="1"/>
  <c r="O84" i="80"/>
  <c r="O92" i="80" s="1"/>
  <c r="O98" i="80" s="1"/>
  <c r="N84" i="80"/>
  <c r="M84" i="80"/>
  <c r="AK84" i="80" s="1"/>
  <c r="D11" i="79" s="1"/>
  <c r="D83" i="79" s="1"/>
  <c r="L84" i="80"/>
  <c r="K84" i="80"/>
  <c r="J84" i="80"/>
  <c r="I84" i="80"/>
  <c r="H84" i="80"/>
  <c r="H92" i="80" s="1"/>
  <c r="H98" i="80" s="1"/>
  <c r="G84" i="80"/>
  <c r="G92" i="80" s="1"/>
  <c r="G98" i="80" s="1"/>
  <c r="F84" i="80"/>
  <c r="E84" i="80"/>
  <c r="D84" i="80"/>
  <c r="C84" i="80"/>
  <c r="B84" i="80"/>
  <c r="AJ83" i="80"/>
  <c r="AG83" i="80"/>
  <c r="AM83" i="80" s="1"/>
  <c r="B10" i="79" s="1"/>
  <c r="AF83" i="80"/>
  <c r="AE83" i="80"/>
  <c r="AD83" i="80"/>
  <c r="AD92" i="80" s="1"/>
  <c r="AD98" i="80" s="1"/>
  <c r="AC83" i="80"/>
  <c r="AB83" i="80"/>
  <c r="AB92" i="80" s="1"/>
  <c r="AB98" i="80" s="1"/>
  <c r="AA83" i="80"/>
  <c r="AA92" i="80" s="1"/>
  <c r="AA98" i="80" s="1"/>
  <c r="Z83" i="80"/>
  <c r="Z92" i="80" s="1"/>
  <c r="Z98" i="80" s="1"/>
  <c r="Y83" i="80"/>
  <c r="X83" i="80"/>
  <c r="W83" i="80"/>
  <c r="V83" i="80"/>
  <c r="V92" i="80" s="1"/>
  <c r="V98" i="80" s="1"/>
  <c r="U83" i="80"/>
  <c r="T83" i="80"/>
  <c r="T92" i="80" s="1"/>
  <c r="T98" i="80" s="1"/>
  <c r="S83" i="80"/>
  <c r="S92" i="80" s="1"/>
  <c r="S98" i="80" s="1"/>
  <c r="R83" i="80"/>
  <c r="R92" i="80" s="1"/>
  <c r="R98" i="80" s="1"/>
  <c r="Q83" i="80"/>
  <c r="P83" i="80"/>
  <c r="O83" i="80"/>
  <c r="N83" i="80"/>
  <c r="N92" i="80" s="1"/>
  <c r="N98" i="80" s="1"/>
  <c r="M83" i="80"/>
  <c r="L83" i="80"/>
  <c r="L92" i="80" s="1"/>
  <c r="L98" i="80" s="1"/>
  <c r="K83" i="80"/>
  <c r="K92" i="80" s="1"/>
  <c r="K98" i="80" s="1"/>
  <c r="J83" i="80"/>
  <c r="J92" i="80" s="1"/>
  <c r="J98" i="80" s="1"/>
  <c r="I83" i="80"/>
  <c r="H83" i="80"/>
  <c r="G83" i="80"/>
  <c r="F83" i="80"/>
  <c r="F92" i="80" s="1"/>
  <c r="F98" i="80" s="1"/>
  <c r="E83" i="80"/>
  <c r="D83" i="80"/>
  <c r="D92" i="80" s="1"/>
  <c r="D98" i="80" s="1"/>
  <c r="C83" i="80"/>
  <c r="C92" i="80" s="1"/>
  <c r="C98" i="80" s="1"/>
  <c r="B83" i="80"/>
  <c r="B92" i="80" s="1"/>
  <c r="B98" i="80" s="1"/>
  <c r="AM82" i="80"/>
  <c r="B9" i="79" s="1"/>
  <c r="B315" i="79" s="1"/>
  <c r="AL82" i="80"/>
  <c r="AK82" i="80"/>
  <c r="AJ82" i="80"/>
  <c r="AL74" i="80"/>
  <c r="AG74" i="80"/>
  <c r="AF74" i="80"/>
  <c r="AE74" i="80"/>
  <c r="AD74" i="80"/>
  <c r="AC74" i="80"/>
  <c r="AB74" i="80"/>
  <c r="AA74" i="80"/>
  <c r="Z74" i="80"/>
  <c r="Y74" i="80"/>
  <c r="X74" i="80"/>
  <c r="W74" i="80"/>
  <c r="V74" i="80"/>
  <c r="U74" i="80"/>
  <c r="T74" i="80"/>
  <c r="S74" i="80"/>
  <c r="R74" i="80"/>
  <c r="Q74" i="80"/>
  <c r="P74" i="80"/>
  <c r="O74" i="80"/>
  <c r="N74" i="80"/>
  <c r="M74" i="80"/>
  <c r="L74" i="80"/>
  <c r="K74" i="80"/>
  <c r="J74" i="80"/>
  <c r="I74" i="80"/>
  <c r="H74" i="80"/>
  <c r="G74" i="80"/>
  <c r="F74" i="80"/>
  <c r="E74" i="80"/>
  <c r="D74" i="80"/>
  <c r="C74" i="80"/>
  <c r="B74" i="80"/>
  <c r="AM73" i="80"/>
  <c r="AL73" i="80"/>
  <c r="AK73" i="80"/>
  <c r="AJ73" i="80"/>
  <c r="AM72" i="80"/>
  <c r="AL72" i="80"/>
  <c r="AK72" i="80"/>
  <c r="AJ72" i="80"/>
  <c r="AM71" i="80"/>
  <c r="AL71" i="80"/>
  <c r="AK71" i="80"/>
  <c r="AJ71" i="80"/>
  <c r="AM70" i="80"/>
  <c r="AL70" i="80"/>
  <c r="AK70" i="80"/>
  <c r="AJ70" i="80"/>
  <c r="AM69" i="80"/>
  <c r="AL69" i="80"/>
  <c r="AK69" i="80"/>
  <c r="AJ69" i="80"/>
  <c r="AM68" i="80"/>
  <c r="AL68" i="80"/>
  <c r="AK68" i="80"/>
  <c r="AJ68" i="80"/>
  <c r="AM67" i="80"/>
  <c r="AL67" i="80"/>
  <c r="AK67" i="80"/>
  <c r="AK74" i="80" s="1"/>
  <c r="AJ67" i="80"/>
  <c r="AJ74" i="80" s="1"/>
  <c r="AG62" i="80"/>
  <c r="AF62" i="80"/>
  <c r="AE62" i="80"/>
  <c r="AD62" i="80"/>
  <c r="AC62" i="80"/>
  <c r="AB62" i="80"/>
  <c r="AA62" i="80"/>
  <c r="Z62" i="80"/>
  <c r="Y62" i="80"/>
  <c r="X62" i="80"/>
  <c r="W62" i="80"/>
  <c r="V62" i="80"/>
  <c r="U62" i="80"/>
  <c r="T62" i="80"/>
  <c r="S62" i="80"/>
  <c r="R62" i="80"/>
  <c r="Q62" i="80"/>
  <c r="P62" i="80"/>
  <c r="O62" i="80"/>
  <c r="N62" i="80"/>
  <c r="M62" i="80"/>
  <c r="L62" i="80"/>
  <c r="K62" i="80"/>
  <c r="J62" i="80"/>
  <c r="I62" i="80"/>
  <c r="H62" i="80"/>
  <c r="G62" i="80"/>
  <c r="F62" i="80"/>
  <c r="E62" i="80"/>
  <c r="D62" i="80"/>
  <c r="C62" i="80"/>
  <c r="B62" i="80"/>
  <c r="AM61" i="80"/>
  <c r="AL61" i="80"/>
  <c r="AK61" i="80"/>
  <c r="AJ61" i="80"/>
  <c r="AM60" i="80"/>
  <c r="AL60" i="80"/>
  <c r="AK60" i="80"/>
  <c r="AJ60" i="80"/>
  <c r="AM59" i="80"/>
  <c r="AL59" i="80"/>
  <c r="AK59" i="80"/>
  <c r="AJ59" i="80"/>
  <c r="AM58" i="80"/>
  <c r="AL58" i="80"/>
  <c r="AK58" i="80"/>
  <c r="AJ58" i="80"/>
  <c r="AM57" i="80"/>
  <c r="AL57" i="80"/>
  <c r="AK57" i="80"/>
  <c r="AJ57" i="80"/>
  <c r="AM56" i="80"/>
  <c r="AL56" i="80"/>
  <c r="AK56" i="80"/>
  <c r="AJ56" i="80"/>
  <c r="AM55" i="80"/>
  <c r="AL55" i="80"/>
  <c r="AL62" i="80" s="1"/>
  <c r="AK55" i="80"/>
  <c r="AK62" i="80" s="1"/>
  <c r="AJ55" i="80"/>
  <c r="AJ62" i="80" s="1"/>
  <c r="AJ52" i="80"/>
  <c r="AG52" i="80"/>
  <c r="AF52" i="80"/>
  <c r="F52" i="80"/>
  <c r="AG51" i="80"/>
  <c r="AF51" i="80"/>
  <c r="AE51" i="80"/>
  <c r="AD51" i="80"/>
  <c r="AC51" i="80"/>
  <c r="AB51" i="80"/>
  <c r="AA51" i="80"/>
  <c r="Z51" i="80"/>
  <c r="Y51" i="80"/>
  <c r="X51" i="80"/>
  <c r="W51" i="80"/>
  <c r="V51" i="80"/>
  <c r="U51" i="80"/>
  <c r="T51" i="80"/>
  <c r="S51" i="80"/>
  <c r="R51" i="80"/>
  <c r="Q51" i="80"/>
  <c r="P51" i="80"/>
  <c r="O51" i="80"/>
  <c r="N51" i="80"/>
  <c r="M51" i="80"/>
  <c r="L51" i="80"/>
  <c r="K51" i="80"/>
  <c r="J51" i="80"/>
  <c r="I51" i="80"/>
  <c r="H51" i="80"/>
  <c r="G51" i="80"/>
  <c r="F51" i="80"/>
  <c r="E51" i="80"/>
  <c r="D51" i="80"/>
  <c r="C51" i="80"/>
  <c r="B51" i="80"/>
  <c r="AG50" i="80"/>
  <c r="AF50" i="80"/>
  <c r="AE50" i="80"/>
  <c r="AD50" i="80"/>
  <c r="AC50" i="80"/>
  <c r="AB50" i="80"/>
  <c r="AA50" i="80"/>
  <c r="Z50" i="80"/>
  <c r="Y50" i="80"/>
  <c r="X50" i="80"/>
  <c r="W50" i="80"/>
  <c r="V50" i="80"/>
  <c r="U50" i="80"/>
  <c r="T50" i="80"/>
  <c r="S50" i="80"/>
  <c r="R50" i="80"/>
  <c r="Q50" i="80"/>
  <c r="P50" i="80"/>
  <c r="O50" i="80"/>
  <c r="N50" i="80"/>
  <c r="M50" i="80"/>
  <c r="L50" i="80"/>
  <c r="K50" i="80"/>
  <c r="J50" i="80"/>
  <c r="I50" i="80"/>
  <c r="H50" i="80"/>
  <c r="G50" i="80"/>
  <c r="F50" i="80"/>
  <c r="E50" i="80"/>
  <c r="D50" i="80"/>
  <c r="C50" i="80"/>
  <c r="B50" i="80"/>
  <c r="AG46" i="80"/>
  <c r="AF46" i="80"/>
  <c r="AE46" i="80"/>
  <c r="AD46" i="80"/>
  <c r="AC46" i="80"/>
  <c r="AB46" i="80"/>
  <c r="AA46" i="80"/>
  <c r="Z46" i="80"/>
  <c r="Y46" i="80"/>
  <c r="X46" i="80"/>
  <c r="W46" i="80"/>
  <c r="V46" i="80"/>
  <c r="U46" i="80"/>
  <c r="T46" i="80"/>
  <c r="S46" i="80"/>
  <c r="R46" i="80"/>
  <c r="Q46" i="80"/>
  <c r="P46" i="80"/>
  <c r="O46" i="80"/>
  <c r="N46" i="80"/>
  <c r="M46" i="80"/>
  <c r="L46" i="80"/>
  <c r="K46" i="80"/>
  <c r="J46" i="80"/>
  <c r="I46" i="80"/>
  <c r="H46" i="80"/>
  <c r="G46" i="80"/>
  <c r="F46" i="80"/>
  <c r="E46" i="80"/>
  <c r="D46" i="80"/>
  <c r="C46" i="80"/>
  <c r="B46" i="80"/>
  <c r="AM45" i="80"/>
  <c r="B61" i="79" s="1"/>
  <c r="B113" i="79" s="1"/>
  <c r="AL45" i="80"/>
  <c r="C61" i="79" s="1"/>
  <c r="C113" i="79" s="1"/>
  <c r="AJ45" i="80"/>
  <c r="M45" i="80"/>
  <c r="AK45" i="80" s="1"/>
  <c r="AM44" i="80"/>
  <c r="B60" i="79" s="1"/>
  <c r="B112" i="79" s="1"/>
  <c r="AL44" i="80"/>
  <c r="AK44" i="80"/>
  <c r="AJ44" i="80"/>
  <c r="AM43" i="80"/>
  <c r="AM46" i="80" s="1"/>
  <c r="AL43" i="80"/>
  <c r="AL46" i="80" s="1"/>
  <c r="AK43" i="80"/>
  <c r="AJ43" i="80"/>
  <c r="AJ46" i="80" s="1"/>
  <c r="AJ40" i="80"/>
  <c r="AG40" i="80"/>
  <c r="AJ39" i="80"/>
  <c r="AF39" i="80"/>
  <c r="AF40" i="80" s="1"/>
  <c r="AE39" i="80"/>
  <c r="AD39" i="80"/>
  <c r="AC39" i="80"/>
  <c r="AB39" i="80"/>
  <c r="AA39" i="80"/>
  <c r="Z39" i="80"/>
  <c r="Y39" i="80"/>
  <c r="X39" i="80"/>
  <c r="W39" i="80"/>
  <c r="V39" i="80"/>
  <c r="U39" i="80"/>
  <c r="T39" i="80"/>
  <c r="S39" i="80"/>
  <c r="R39" i="80"/>
  <c r="Q39" i="80"/>
  <c r="P39" i="80"/>
  <c r="O39" i="80"/>
  <c r="N39" i="80"/>
  <c r="M39" i="80"/>
  <c r="L39" i="80"/>
  <c r="K39" i="80"/>
  <c r="J39" i="80"/>
  <c r="I39" i="80"/>
  <c r="H39" i="80"/>
  <c r="G39" i="80"/>
  <c r="F39" i="80"/>
  <c r="E39" i="80"/>
  <c r="D39" i="80"/>
  <c r="C39" i="80"/>
  <c r="B39" i="80"/>
  <c r="AM38" i="80"/>
  <c r="B429" i="79" s="1"/>
  <c r="AL38" i="80"/>
  <c r="AK38" i="80"/>
  <c r="D429" i="79" s="1"/>
  <c r="AJ38" i="80"/>
  <c r="AM37" i="80"/>
  <c r="B427" i="79" s="1"/>
  <c r="AL37" i="80"/>
  <c r="AK37" i="80"/>
  <c r="AJ37" i="80"/>
  <c r="AJ36" i="80"/>
  <c r="AE36" i="80"/>
  <c r="AE52" i="80" s="1"/>
  <c r="AD36" i="80"/>
  <c r="AD52" i="80" s="1"/>
  <c r="AC36" i="80"/>
  <c r="AC52" i="80" s="1"/>
  <c r="AB36" i="80"/>
  <c r="AB52" i="80" s="1"/>
  <c r="AA36" i="80"/>
  <c r="AA52" i="80" s="1"/>
  <c r="Z36" i="80"/>
  <c r="Z52" i="80" s="1"/>
  <c r="Y36" i="80"/>
  <c r="Y52" i="80" s="1"/>
  <c r="X36" i="80"/>
  <c r="X52" i="80" s="1"/>
  <c r="W36" i="80"/>
  <c r="W52" i="80" s="1"/>
  <c r="V36" i="80"/>
  <c r="V52" i="80" s="1"/>
  <c r="U36" i="80"/>
  <c r="U52" i="80" s="1"/>
  <c r="T36" i="80"/>
  <c r="T52" i="80" s="1"/>
  <c r="S36" i="80"/>
  <c r="S52" i="80" s="1"/>
  <c r="R36" i="80"/>
  <c r="R52" i="80" s="1"/>
  <c r="Q36" i="80"/>
  <c r="Q52" i="80" s="1"/>
  <c r="P36" i="80"/>
  <c r="P52" i="80" s="1"/>
  <c r="O36" i="80"/>
  <c r="O52" i="80" s="1"/>
  <c r="N36" i="80"/>
  <c r="N52" i="80" s="1"/>
  <c r="M36" i="80"/>
  <c r="M52" i="80" s="1"/>
  <c r="L36" i="80"/>
  <c r="L52" i="80" s="1"/>
  <c r="K36" i="80"/>
  <c r="K52" i="80" s="1"/>
  <c r="J36" i="80"/>
  <c r="J52" i="80" s="1"/>
  <c r="I36" i="80"/>
  <c r="I52" i="80" s="1"/>
  <c r="H36" i="80"/>
  <c r="H52" i="80" s="1"/>
  <c r="G36" i="80"/>
  <c r="G52" i="80" s="1"/>
  <c r="F36" i="80"/>
  <c r="E36" i="80"/>
  <c r="E52" i="80" s="1"/>
  <c r="D36" i="80"/>
  <c r="D52" i="80" s="1"/>
  <c r="C36" i="80"/>
  <c r="B36" i="80"/>
  <c r="B52" i="80" s="1"/>
  <c r="AM35" i="80"/>
  <c r="B419" i="79" s="1"/>
  <c r="AL35" i="80"/>
  <c r="AK35" i="80"/>
  <c r="D419" i="79" s="1"/>
  <c r="AJ35" i="80"/>
  <c r="AM34" i="80"/>
  <c r="B424" i="79" s="1"/>
  <c r="AL34" i="80"/>
  <c r="AK34" i="80"/>
  <c r="D424" i="79" s="1"/>
  <c r="AJ34" i="80"/>
  <c r="AM33" i="80"/>
  <c r="B426" i="79" s="1"/>
  <c r="AL33" i="80"/>
  <c r="AK33" i="80"/>
  <c r="AJ33" i="80"/>
  <c r="AJ32" i="80"/>
  <c r="AE32" i="80"/>
  <c r="AD32" i="80"/>
  <c r="AC32" i="80"/>
  <c r="AB32" i="80"/>
  <c r="AA32" i="80"/>
  <c r="Z32" i="80"/>
  <c r="Y32" i="80"/>
  <c r="X32" i="80"/>
  <c r="W32" i="80"/>
  <c r="V32" i="80"/>
  <c r="U32" i="80"/>
  <c r="T32" i="80"/>
  <c r="S32" i="80"/>
  <c r="R32" i="80"/>
  <c r="Q32" i="80"/>
  <c r="P32" i="80"/>
  <c r="O32" i="80"/>
  <c r="N32" i="80"/>
  <c r="M32" i="80"/>
  <c r="L32" i="80"/>
  <c r="K32" i="80"/>
  <c r="J32" i="80"/>
  <c r="I32" i="80"/>
  <c r="H32" i="80"/>
  <c r="G32" i="80"/>
  <c r="F32" i="80"/>
  <c r="E32" i="80"/>
  <c r="D32" i="80"/>
  <c r="C32" i="80"/>
  <c r="B32" i="80"/>
  <c r="AJ31" i="80"/>
  <c r="Y31" i="80"/>
  <c r="X31" i="80"/>
  <c r="W31" i="80"/>
  <c r="V31" i="80"/>
  <c r="AM31" i="80" s="1"/>
  <c r="B420" i="79" s="1"/>
  <c r="U31" i="80"/>
  <c r="T31" i="80"/>
  <c r="S31" i="80"/>
  <c r="R31" i="80"/>
  <c r="Q31" i="80"/>
  <c r="P31" i="80"/>
  <c r="O31" i="80"/>
  <c r="N31" i="80"/>
  <c r="AL31" i="80" s="1"/>
  <c r="C420" i="79" s="1"/>
  <c r="M31" i="80"/>
  <c r="L31" i="80"/>
  <c r="K31" i="80"/>
  <c r="J31" i="80"/>
  <c r="I31" i="80"/>
  <c r="H31" i="80"/>
  <c r="G31" i="80"/>
  <c r="F31" i="80"/>
  <c r="E31" i="80"/>
  <c r="D31" i="80"/>
  <c r="C31" i="80"/>
  <c r="B31" i="80"/>
  <c r="AK31" i="80" s="1"/>
  <c r="D420" i="79" s="1"/>
  <c r="AJ30" i="80"/>
  <c r="AE30" i="80"/>
  <c r="AD30" i="80"/>
  <c r="AC30" i="80"/>
  <c r="AB30" i="80"/>
  <c r="AA30" i="80"/>
  <c r="Z30" i="80"/>
  <c r="Y30" i="80"/>
  <c r="X30" i="80"/>
  <c r="W30" i="80"/>
  <c r="V30" i="80"/>
  <c r="U30" i="80"/>
  <c r="T30" i="80"/>
  <c r="S30" i="80"/>
  <c r="R30" i="80"/>
  <c r="Q30" i="80"/>
  <c r="P30" i="80"/>
  <c r="O30" i="80"/>
  <c r="N30" i="80"/>
  <c r="M30" i="80"/>
  <c r="L30" i="80"/>
  <c r="K30" i="80"/>
  <c r="J30" i="80"/>
  <c r="I30" i="80"/>
  <c r="H30" i="80"/>
  <c r="G30" i="80"/>
  <c r="F30" i="80"/>
  <c r="E30" i="80"/>
  <c r="D30" i="80"/>
  <c r="C30" i="80"/>
  <c r="B30" i="80"/>
  <c r="AJ29" i="80"/>
  <c r="AE29" i="80"/>
  <c r="AD29" i="80"/>
  <c r="AB29" i="80"/>
  <c r="AA29" i="80"/>
  <c r="Z29" i="80"/>
  <c r="Y29" i="80"/>
  <c r="X29" i="80"/>
  <c r="W29" i="80"/>
  <c r="V29" i="80"/>
  <c r="U29" i="80"/>
  <c r="T29" i="80"/>
  <c r="S29" i="80"/>
  <c r="R29" i="80"/>
  <c r="Q29" i="80"/>
  <c r="P29" i="80"/>
  <c r="O29" i="80"/>
  <c r="N29" i="80"/>
  <c r="M29" i="80"/>
  <c r="L29" i="80"/>
  <c r="K29" i="80"/>
  <c r="J29" i="80"/>
  <c r="I29" i="80"/>
  <c r="H29" i="80"/>
  <c r="G29" i="80"/>
  <c r="F29" i="80"/>
  <c r="E29" i="80"/>
  <c r="D29" i="80"/>
  <c r="C29" i="80"/>
  <c r="B29" i="80"/>
  <c r="AM28" i="80"/>
  <c r="AL28" i="80"/>
  <c r="AK28" i="80"/>
  <c r="AJ28" i="80"/>
  <c r="AE27" i="80"/>
  <c r="AD27" i="80"/>
  <c r="AC27" i="80"/>
  <c r="AB27" i="80"/>
  <c r="AA27" i="80"/>
  <c r="Z27" i="80"/>
  <c r="Y27" i="80"/>
  <c r="X27" i="80"/>
  <c r="W27" i="80"/>
  <c r="V27" i="80"/>
  <c r="U27" i="80"/>
  <c r="T27" i="80"/>
  <c r="S27" i="80"/>
  <c r="R27" i="80"/>
  <c r="Q27" i="80"/>
  <c r="P27" i="80"/>
  <c r="O27" i="80"/>
  <c r="N27" i="80"/>
  <c r="AL27" i="80" s="1"/>
  <c r="C422" i="79" s="1"/>
  <c r="M27" i="80"/>
  <c r="L27" i="80"/>
  <c r="K27" i="80"/>
  <c r="J27" i="80"/>
  <c r="I27" i="80"/>
  <c r="H27" i="80"/>
  <c r="G27" i="80"/>
  <c r="F27" i="80"/>
  <c r="E27" i="80"/>
  <c r="D27" i="80"/>
  <c r="C27" i="80"/>
  <c r="B27" i="80"/>
  <c r="AJ26" i="80"/>
  <c r="AE26" i="80"/>
  <c r="AD26" i="80"/>
  <c r="AC26" i="80"/>
  <c r="AB26" i="80"/>
  <c r="AA26" i="80"/>
  <c r="Z26" i="80"/>
  <c r="Y26" i="80"/>
  <c r="X26" i="80"/>
  <c r="W26" i="80"/>
  <c r="V26" i="80"/>
  <c r="AM26" i="80" s="1"/>
  <c r="B423" i="79" s="1"/>
  <c r="U26" i="80"/>
  <c r="T26" i="80"/>
  <c r="S26" i="80"/>
  <c r="R26" i="80"/>
  <c r="Q26" i="80"/>
  <c r="P26" i="80"/>
  <c r="O26" i="80"/>
  <c r="N26" i="80"/>
  <c r="AL26" i="80" s="1"/>
  <c r="C423" i="79" s="1"/>
  <c r="M26" i="80"/>
  <c r="L26" i="80"/>
  <c r="K26" i="80"/>
  <c r="J26" i="80"/>
  <c r="I26" i="80"/>
  <c r="H26" i="80"/>
  <c r="G26" i="80"/>
  <c r="F26" i="80"/>
  <c r="E26" i="80"/>
  <c r="D26" i="80"/>
  <c r="C26" i="80"/>
  <c r="B26" i="80"/>
  <c r="B40" i="80" s="1"/>
  <c r="AJ25" i="80"/>
  <c r="AE25" i="80"/>
  <c r="AD25" i="80"/>
  <c r="AD40" i="80" s="1"/>
  <c r="AC25" i="80"/>
  <c r="AC40" i="80" s="1"/>
  <c r="AB25" i="80"/>
  <c r="AA25" i="80"/>
  <c r="Z25" i="80"/>
  <c r="Z40" i="80" s="1"/>
  <c r="Y25" i="80"/>
  <c r="Y40" i="80" s="1"/>
  <c r="X25" i="80"/>
  <c r="W25" i="80"/>
  <c r="V25" i="80"/>
  <c r="U25" i="80"/>
  <c r="U40" i="80" s="1"/>
  <c r="T25" i="80"/>
  <c r="S25" i="80"/>
  <c r="R25" i="80"/>
  <c r="Q25" i="80"/>
  <c r="Q40" i="80" s="1"/>
  <c r="P25" i="80"/>
  <c r="O25" i="80"/>
  <c r="N25" i="80"/>
  <c r="N40" i="80" s="1"/>
  <c r="M25" i="80"/>
  <c r="M40" i="80" s="1"/>
  <c r="L25" i="80"/>
  <c r="K25" i="80"/>
  <c r="J25" i="80"/>
  <c r="J40" i="80" s="1"/>
  <c r="I25" i="80"/>
  <c r="I40" i="80" s="1"/>
  <c r="H25" i="80"/>
  <c r="G25" i="80"/>
  <c r="F25" i="80"/>
  <c r="F40" i="80" s="1"/>
  <c r="F48" i="80" s="1"/>
  <c r="F53" i="80" s="1"/>
  <c r="F65" i="80" s="1"/>
  <c r="F77" i="80" s="1"/>
  <c r="E25" i="80"/>
  <c r="E40" i="80" s="1"/>
  <c r="D25" i="80"/>
  <c r="C25" i="80"/>
  <c r="B25" i="80"/>
  <c r="AG20" i="80"/>
  <c r="AG19" i="80"/>
  <c r="AG48" i="80" s="1"/>
  <c r="AG53" i="80" s="1"/>
  <c r="AG65" i="80" s="1"/>
  <c r="AG77" i="80" s="1"/>
  <c r="AE19" i="80"/>
  <c r="AD19" i="80"/>
  <c r="AC19" i="80"/>
  <c r="AB19" i="80"/>
  <c r="AA19" i="80"/>
  <c r="Z19" i="80"/>
  <c r="Y19" i="80"/>
  <c r="Y48" i="80" s="1"/>
  <c r="X19" i="80"/>
  <c r="W19" i="80"/>
  <c r="V19" i="80"/>
  <c r="U19" i="80"/>
  <c r="T19" i="80"/>
  <c r="S19" i="80"/>
  <c r="R19" i="80"/>
  <c r="Q19" i="80"/>
  <c r="P19" i="80"/>
  <c r="O19" i="80"/>
  <c r="N19" i="80"/>
  <c r="M19" i="80"/>
  <c r="M48" i="80" s="1"/>
  <c r="L19" i="80"/>
  <c r="K19" i="80"/>
  <c r="K20" i="80" s="1"/>
  <c r="J19" i="80"/>
  <c r="I19" i="80"/>
  <c r="H19" i="80"/>
  <c r="G19" i="80"/>
  <c r="G20" i="80" s="1"/>
  <c r="F19" i="80"/>
  <c r="F20" i="80" s="1"/>
  <c r="E19" i="80"/>
  <c r="D19" i="80"/>
  <c r="C19" i="80"/>
  <c r="B19" i="80"/>
  <c r="AL18" i="80"/>
  <c r="AK18" i="80"/>
  <c r="AJ18" i="80"/>
  <c r="AF18" i="80"/>
  <c r="AF19" i="80" s="1"/>
  <c r="AM17" i="80"/>
  <c r="AL17" i="80"/>
  <c r="AK17" i="80"/>
  <c r="AM16" i="80"/>
  <c r="AL16" i="80"/>
  <c r="AK16" i="80"/>
  <c r="AM15" i="80"/>
  <c r="AL15" i="80"/>
  <c r="AK15" i="80"/>
  <c r="AM14" i="80"/>
  <c r="AL14" i="80"/>
  <c r="AK14" i="80"/>
  <c r="AM13" i="80"/>
  <c r="AL13" i="80"/>
  <c r="AK13" i="80"/>
  <c r="AM12" i="80"/>
  <c r="AL12" i="80"/>
  <c r="AK12" i="80"/>
  <c r="AM11" i="80"/>
  <c r="AL11" i="80"/>
  <c r="AK11" i="80"/>
  <c r="AM10" i="80"/>
  <c r="AL10" i="80"/>
  <c r="AK10" i="80"/>
  <c r="AJ10" i="80"/>
  <c r="AM9" i="80"/>
  <c r="AL9" i="80"/>
  <c r="AK9" i="80"/>
  <c r="AJ9" i="80"/>
  <c r="AM7" i="80"/>
  <c r="AL7" i="80"/>
  <c r="AK7" i="80"/>
  <c r="AJ7" i="80"/>
  <c r="A445" i="79"/>
  <c r="A444" i="79"/>
  <c r="A443" i="79"/>
  <c r="A442" i="79"/>
  <c r="A441" i="79"/>
  <c r="A440" i="79"/>
  <c r="A439" i="79"/>
  <c r="A438" i="79"/>
  <c r="A437" i="79"/>
  <c r="A436" i="79"/>
  <c r="A435" i="79"/>
  <c r="A434" i="79"/>
  <c r="A433" i="79"/>
  <c r="A432" i="79"/>
  <c r="C429" i="79"/>
  <c r="D427" i="79"/>
  <c r="C427" i="79"/>
  <c r="D426" i="79"/>
  <c r="C426" i="79"/>
  <c r="C424" i="79"/>
  <c r="C419" i="79"/>
  <c r="D398" i="79"/>
  <c r="D395" i="79"/>
  <c r="C395" i="79"/>
  <c r="B395" i="79"/>
  <c r="B382" i="79"/>
  <c r="C362" i="79"/>
  <c r="D362" i="79"/>
  <c r="D332" i="79"/>
  <c r="D320" i="79"/>
  <c r="D326" i="79" s="1"/>
  <c r="B303" i="79"/>
  <c r="A303" i="79"/>
  <c r="B302" i="79"/>
  <c r="A302" i="79"/>
  <c r="B301" i="79"/>
  <c r="A301" i="79"/>
  <c r="B300" i="79"/>
  <c r="A300" i="79"/>
  <c r="B299" i="79"/>
  <c r="A299" i="79"/>
  <c r="D296" i="79"/>
  <c r="D303" i="79" s="1"/>
  <c r="C296" i="79"/>
  <c r="B296" i="79"/>
  <c r="C291" i="79"/>
  <c r="C299" i="79" s="1"/>
  <c r="D265" i="79"/>
  <c r="C265" i="79"/>
  <c r="B265" i="79"/>
  <c r="D236" i="79"/>
  <c r="C236" i="79"/>
  <c r="D235" i="79"/>
  <c r="C235" i="79"/>
  <c r="B235" i="79"/>
  <c r="C234" i="79"/>
  <c r="B234" i="79"/>
  <c r="C224" i="79"/>
  <c r="B224" i="79"/>
  <c r="A211" i="79"/>
  <c r="A210" i="79"/>
  <c r="A209" i="79"/>
  <c r="A208" i="79"/>
  <c r="A207" i="79"/>
  <c r="C204" i="79"/>
  <c r="B204" i="79"/>
  <c r="C202" i="79"/>
  <c r="C211" i="79" s="1"/>
  <c r="B202" i="79"/>
  <c r="B211" i="79" s="1"/>
  <c r="D197" i="79"/>
  <c r="D202" i="79" s="1"/>
  <c r="C197" i="79"/>
  <c r="C207" i="79" s="1"/>
  <c r="B197" i="79"/>
  <c r="B207" i="79" s="1"/>
  <c r="C168" i="79"/>
  <c r="B168" i="79"/>
  <c r="K168" i="79" s="1"/>
  <c r="D164" i="79"/>
  <c r="C164" i="79"/>
  <c r="B164" i="79"/>
  <c r="D161" i="79"/>
  <c r="D168" i="79" s="1"/>
  <c r="L168" i="79" s="1"/>
  <c r="C161" i="79"/>
  <c r="B161" i="79"/>
  <c r="B152" i="79"/>
  <c r="C140" i="79"/>
  <c r="D137" i="79"/>
  <c r="D152" i="79" s="1"/>
  <c r="C137" i="79"/>
  <c r="C152" i="79" s="1"/>
  <c r="G133" i="79"/>
  <c r="F133" i="79"/>
  <c r="D127" i="79"/>
  <c r="C127" i="79"/>
  <c r="B127" i="79"/>
  <c r="A113" i="79"/>
  <c r="A112" i="79"/>
  <c r="A111" i="79"/>
  <c r="A87" i="79"/>
  <c r="A86" i="79"/>
  <c r="A84" i="79"/>
  <c r="A82" i="79"/>
  <c r="A81" i="79"/>
  <c r="D61" i="79"/>
  <c r="D113" i="79" s="1"/>
  <c r="D60" i="79"/>
  <c r="D112" i="79" s="1"/>
  <c r="C60" i="79"/>
  <c r="C112" i="79" s="1"/>
  <c r="D59" i="79"/>
  <c r="B59" i="79"/>
  <c r="B111" i="79" s="1"/>
  <c r="E54" i="79"/>
  <c r="C49" i="79"/>
  <c r="C186" i="79" s="1"/>
  <c r="B49" i="79"/>
  <c r="B186" i="79" s="1"/>
  <c r="D47" i="79"/>
  <c r="C47" i="79"/>
  <c r="B47" i="79"/>
  <c r="D35" i="79"/>
  <c r="D92" i="79" s="1"/>
  <c r="C35" i="79"/>
  <c r="C92" i="79" s="1"/>
  <c r="B35" i="79"/>
  <c r="B92" i="79" s="1"/>
  <c r="D31" i="79"/>
  <c r="C31" i="79"/>
  <c r="B31" i="79"/>
  <c r="B336" i="79" s="1"/>
  <c r="D30" i="79"/>
  <c r="C30" i="79"/>
  <c r="B30" i="79"/>
  <c r="B335" i="79" s="1"/>
  <c r="D26" i="79"/>
  <c r="B26" i="79"/>
  <c r="B331" i="79" s="1"/>
  <c r="D25" i="79"/>
  <c r="C25" i="79"/>
  <c r="D24" i="79"/>
  <c r="H296" i="79" s="1"/>
  <c r="C24" i="79"/>
  <c r="C276" i="79" s="1"/>
  <c r="B24" i="79"/>
  <c r="B276" i="79" s="1"/>
  <c r="D19" i="79"/>
  <c r="D87" i="79" s="1"/>
  <c r="B19" i="79"/>
  <c r="B324" i="79" s="1"/>
  <c r="E324" i="79" s="1"/>
  <c r="D17" i="79"/>
  <c r="D86" i="79" s="1"/>
  <c r="B17" i="79"/>
  <c r="B86" i="79" s="1"/>
  <c r="D13" i="79"/>
  <c r="D85" i="79" s="1"/>
  <c r="C13" i="79"/>
  <c r="C85" i="79" s="1"/>
  <c r="B12" i="79"/>
  <c r="B84" i="79" s="1"/>
  <c r="D9" i="79"/>
  <c r="D81" i="79" s="1"/>
  <c r="C9" i="79"/>
  <c r="D80" i="79"/>
  <c r="D180" i="79" s="1"/>
  <c r="D196" i="79" s="1"/>
  <c r="C80" i="79"/>
  <c r="C180" i="79" s="1"/>
  <c r="C196" i="79" s="1"/>
  <c r="B80" i="79"/>
  <c r="B180" i="79" s="1"/>
  <c r="B196" i="79" s="1"/>
  <c r="D358" i="79" l="1"/>
  <c r="E331" i="79"/>
  <c r="D364" i="79"/>
  <c r="D371" i="79" s="1"/>
  <c r="Y24" i="76"/>
  <c r="V40" i="80"/>
  <c r="AK26" i="80"/>
  <c r="D423" i="79" s="1"/>
  <c r="AK29" i="80"/>
  <c r="D418" i="79" s="1"/>
  <c r="AL29" i="80"/>
  <c r="C418" i="79" s="1"/>
  <c r="AL30" i="80"/>
  <c r="C417" i="79" s="1"/>
  <c r="AK32" i="80"/>
  <c r="D428" i="79" s="1"/>
  <c r="AM62" i="80"/>
  <c r="V117" i="80"/>
  <c r="B237" i="79"/>
  <c r="C59" i="79"/>
  <c r="D12" i="79"/>
  <c r="D84" i="79" s="1"/>
  <c r="H237" i="79" s="1"/>
  <c r="C91" i="79"/>
  <c r="AK30" i="80"/>
  <c r="D417" i="79" s="1"/>
  <c r="AM30" i="80"/>
  <c r="B417" i="79" s="1"/>
  <c r="AM50" i="80"/>
  <c r="B67" i="79" s="1"/>
  <c r="B130" i="79" s="1"/>
  <c r="D224" i="79"/>
  <c r="D40" i="80"/>
  <c r="H40" i="80"/>
  <c r="L40" i="80"/>
  <c r="P40" i="80"/>
  <c r="T40" i="80"/>
  <c r="X40" i="80"/>
  <c r="AB40" i="80"/>
  <c r="AM29" i="80"/>
  <c r="B418" i="79" s="1"/>
  <c r="B113" i="80"/>
  <c r="F113" i="80"/>
  <c r="J113" i="80"/>
  <c r="R113" i="80"/>
  <c r="Z113" i="80"/>
  <c r="AD113" i="80"/>
  <c r="AD117" i="80" s="1"/>
  <c r="AG113" i="80"/>
  <c r="AM113" i="80" s="1"/>
  <c r="K113" i="80"/>
  <c r="K117" i="80" s="1"/>
  <c r="AA113" i="80"/>
  <c r="AA117" i="80" s="1"/>
  <c r="Y35" i="76"/>
  <c r="D91" i="79"/>
  <c r="B91" i="79"/>
  <c r="Q35" i="76"/>
  <c r="Q36" i="76" s="1"/>
  <c r="Q39" i="76" s="1"/>
  <c r="C27" i="79"/>
  <c r="C90" i="79" s="1"/>
  <c r="C93" i="79" s="1"/>
  <c r="C237" i="79"/>
  <c r="I48" i="80"/>
  <c r="I53" i="80" s="1"/>
  <c r="I65" i="80" s="1"/>
  <c r="I77" i="80" s="1"/>
  <c r="Q48" i="80"/>
  <c r="Q53" i="80" s="1"/>
  <c r="Q65" i="80" s="1"/>
  <c r="Q77" i="80" s="1"/>
  <c r="Y53" i="80"/>
  <c r="Y65" i="80" s="1"/>
  <c r="Y77" i="80" s="1"/>
  <c r="AM36" i="80"/>
  <c r="B421" i="79" s="1"/>
  <c r="AJ50" i="80"/>
  <c r="F117" i="80"/>
  <c r="R117" i="80"/>
  <c r="H113" i="80"/>
  <c r="H117" i="80" s="1"/>
  <c r="P113" i="80"/>
  <c r="P117" i="80" s="1"/>
  <c r="X113" i="80"/>
  <c r="X117" i="80" s="1"/>
  <c r="AF113" i="80"/>
  <c r="AF117" i="80" s="1"/>
  <c r="C62" i="79"/>
  <c r="B104" i="79"/>
  <c r="B397" i="79" s="1"/>
  <c r="B405" i="79" s="1"/>
  <c r="D237" i="79"/>
  <c r="B241" i="79"/>
  <c r="V48" i="80"/>
  <c r="V53" i="80" s="1"/>
  <c r="V65" i="80" s="1"/>
  <c r="V77" i="80" s="1"/>
  <c r="AD48" i="80"/>
  <c r="AD53" i="80" s="1"/>
  <c r="AD65" i="80" s="1"/>
  <c r="AD77" i="80" s="1"/>
  <c r="AL36" i="80"/>
  <c r="C421" i="79" s="1"/>
  <c r="R40" i="80"/>
  <c r="R48" i="80" s="1"/>
  <c r="R53" i="80" s="1"/>
  <c r="R65" i="80" s="1"/>
  <c r="R77" i="80" s="1"/>
  <c r="D117" i="80"/>
  <c r="AB117" i="80"/>
  <c r="D268" i="79"/>
  <c r="G296" i="79"/>
  <c r="E48" i="80"/>
  <c r="E53" i="80" s="1"/>
  <c r="E65" i="80" s="1"/>
  <c r="E77" i="80" s="1"/>
  <c r="M53" i="80"/>
  <c r="M65" i="80" s="1"/>
  <c r="M77" i="80" s="1"/>
  <c r="U48" i="80"/>
  <c r="U53" i="80" s="1"/>
  <c r="U65" i="80" s="1"/>
  <c r="U77" i="80" s="1"/>
  <c r="AC48" i="80"/>
  <c r="AC53" i="80" s="1"/>
  <c r="AC65" i="80" s="1"/>
  <c r="AC77" i="80" s="1"/>
  <c r="B117" i="80"/>
  <c r="J117" i="80"/>
  <c r="Z117" i="80"/>
  <c r="D113" i="80"/>
  <c r="L113" i="80"/>
  <c r="L117" i="80" s="1"/>
  <c r="T113" i="80"/>
  <c r="T117" i="80" s="1"/>
  <c r="AB113" i="80"/>
  <c r="D62" i="79"/>
  <c r="B81" i="79"/>
  <c r="AM74" i="80"/>
  <c r="AK108" i="80"/>
  <c r="C113" i="80"/>
  <c r="C117" i="80" s="1"/>
  <c r="G113" i="80"/>
  <c r="G117" i="80" s="1"/>
  <c r="O113" i="80"/>
  <c r="S113" i="80"/>
  <c r="S117" i="80" s="1"/>
  <c r="W113" i="80"/>
  <c r="AE113" i="80"/>
  <c r="AE117" i="80" s="1"/>
  <c r="N19" i="81"/>
  <c r="R8" i="81"/>
  <c r="T8" i="81"/>
  <c r="M19" i="81"/>
  <c r="D9" i="81"/>
  <c r="D19" i="81" s="1"/>
  <c r="K19" i="81"/>
  <c r="O19" i="81"/>
  <c r="L9" i="81"/>
  <c r="L19" i="81" s="1"/>
  <c r="E22" i="81"/>
  <c r="E6" i="81" s="1"/>
  <c r="E9" i="81" s="1"/>
  <c r="E19" i="81" s="1"/>
  <c r="I22" i="81"/>
  <c r="I6" i="81" s="1"/>
  <c r="I9" i="81" s="1"/>
  <c r="I19" i="81" s="1"/>
  <c r="M22" i="81"/>
  <c r="M6" i="81" s="1"/>
  <c r="M9" i="81" s="1"/>
  <c r="B22" i="81"/>
  <c r="B6" i="81" s="1"/>
  <c r="F22" i="81"/>
  <c r="F6" i="81" s="1"/>
  <c r="F9" i="81" s="1"/>
  <c r="F19" i="81" s="1"/>
  <c r="J22" i="81"/>
  <c r="J6" i="81" s="1"/>
  <c r="J9" i="81" s="1"/>
  <c r="J19" i="81" s="1"/>
  <c r="N22" i="81"/>
  <c r="N6" i="81" s="1"/>
  <c r="N9" i="81" s="1"/>
  <c r="R25" i="81"/>
  <c r="R27" i="81" s="1"/>
  <c r="C22" i="81"/>
  <c r="C6" i="81" s="1"/>
  <c r="C9" i="81" s="1"/>
  <c r="C19" i="81" s="1"/>
  <c r="G22" i="81"/>
  <c r="G6" i="81" s="1"/>
  <c r="G9" i="81" s="1"/>
  <c r="G19" i="81" s="1"/>
  <c r="K22" i="81"/>
  <c r="K6" i="81" s="1"/>
  <c r="K9" i="81" s="1"/>
  <c r="D209" i="79"/>
  <c r="D204" i="79"/>
  <c r="D211" i="79"/>
  <c r="D208" i="79"/>
  <c r="D210" i="79"/>
  <c r="D219" i="79"/>
  <c r="D232" i="79" s="1"/>
  <c r="D255" i="79" s="1"/>
  <c r="D274" i="79" s="1"/>
  <c r="D290" i="79" s="1"/>
  <c r="D298" i="79" s="1"/>
  <c r="D206" i="79"/>
  <c r="C206" i="79"/>
  <c r="C219" i="79"/>
  <c r="C232" i="79" s="1"/>
  <c r="C255" i="79" s="1"/>
  <c r="C274" i="79" s="1"/>
  <c r="C290" i="79" s="1"/>
  <c r="C298" i="79" s="1"/>
  <c r="C330" i="79"/>
  <c r="C332" i="79" s="1"/>
  <c r="E315" i="79"/>
  <c r="C336" i="79"/>
  <c r="E336" i="79" s="1"/>
  <c r="L152" i="79"/>
  <c r="K152" i="79"/>
  <c r="C239" i="79"/>
  <c r="G237" i="79"/>
  <c r="F237" i="79"/>
  <c r="B206" i="79"/>
  <c r="B219" i="79"/>
  <c r="B232" i="79" s="1"/>
  <c r="B255" i="79" s="1"/>
  <c r="B274" i="79" s="1"/>
  <c r="B290" i="79" s="1"/>
  <c r="C335" i="79"/>
  <c r="D335" i="79" s="1"/>
  <c r="D338" i="79" s="1"/>
  <c r="B316" i="79"/>
  <c r="E316" i="79" s="1"/>
  <c r="B14" i="79"/>
  <c r="B21" i="79" s="1"/>
  <c r="B182" i="79"/>
  <c r="B184" i="79" s="1"/>
  <c r="B82" i="79"/>
  <c r="B220" i="79" s="1"/>
  <c r="B83" i="79"/>
  <c r="B317" i="79"/>
  <c r="D207" i="79"/>
  <c r="AF48" i="80"/>
  <c r="AF53" i="80" s="1"/>
  <c r="AF65" i="80" s="1"/>
  <c r="AF77" i="80" s="1"/>
  <c r="AF20" i="80"/>
  <c r="AM18" i="80"/>
  <c r="Q20" i="80"/>
  <c r="D27" i="79"/>
  <c r="C33" i="79"/>
  <c r="C37" i="79" s="1"/>
  <c r="D49" i="79"/>
  <c r="B62" i="79"/>
  <c r="C111" i="79"/>
  <c r="C241" i="79"/>
  <c r="B268" i="79"/>
  <c r="D276" i="79"/>
  <c r="B318" i="79"/>
  <c r="E318" i="79" s="1"/>
  <c r="B323" i="79"/>
  <c r="E323" i="79" s="1"/>
  <c r="B329" i="79"/>
  <c r="B340" i="79"/>
  <c r="B358" i="79"/>
  <c r="B362" i="79"/>
  <c r="D382" i="79"/>
  <c r="AJ19" i="80"/>
  <c r="AJ22" i="80" s="1"/>
  <c r="AK19" i="80"/>
  <c r="D50" i="79" s="1"/>
  <c r="J48" i="80"/>
  <c r="J53" i="80" s="1"/>
  <c r="J65" i="80" s="1"/>
  <c r="J77" i="80" s="1"/>
  <c r="AL19" i="80"/>
  <c r="C50" i="79" s="1"/>
  <c r="C51" i="79" s="1"/>
  <c r="Z48" i="80"/>
  <c r="Z53" i="80" s="1"/>
  <c r="Z65" i="80" s="1"/>
  <c r="Z77" i="80" s="1"/>
  <c r="E20" i="80"/>
  <c r="U20" i="80"/>
  <c r="AK25" i="80"/>
  <c r="O117" i="80"/>
  <c r="W117" i="80"/>
  <c r="AM19" i="80"/>
  <c r="C81" i="79"/>
  <c r="C104" i="79"/>
  <c r="C386" i="79" s="1"/>
  <c r="D111" i="79"/>
  <c r="B208" i="79"/>
  <c r="B209" i="79"/>
  <c r="B210" i="79"/>
  <c r="B239" i="79"/>
  <c r="F296" i="79"/>
  <c r="C300" i="79"/>
  <c r="C301" i="79"/>
  <c r="C302" i="79"/>
  <c r="C303" i="79"/>
  <c r="C358" i="79"/>
  <c r="C364" i="79" s="1"/>
  <c r="C371" i="79" s="1"/>
  <c r="B385" i="79"/>
  <c r="I20" i="80"/>
  <c r="Y20" i="80"/>
  <c r="AL25" i="80"/>
  <c r="AM25" i="80"/>
  <c r="AK27" i="80"/>
  <c r="AM27" i="80"/>
  <c r="AL32" i="80"/>
  <c r="AM32" i="80"/>
  <c r="B428" i="79" s="1"/>
  <c r="AK39" i="80"/>
  <c r="D425" i="79" s="1"/>
  <c r="AL39" i="80"/>
  <c r="C425" i="79" s="1"/>
  <c r="AM39" i="80"/>
  <c r="B425" i="79" s="1"/>
  <c r="AK46" i="80"/>
  <c r="AJ51" i="80"/>
  <c r="AM51" i="80"/>
  <c r="B68" i="79" s="1"/>
  <c r="B131" i="79" s="1"/>
  <c r="K131" i="79" s="1"/>
  <c r="C398" i="79"/>
  <c r="C382" i="79"/>
  <c r="B27" i="79"/>
  <c r="B85" i="79"/>
  <c r="B87" i="79"/>
  <c r="C208" i="79"/>
  <c r="C209" i="79"/>
  <c r="C210" i="79"/>
  <c r="D299" i="79"/>
  <c r="D300" i="79"/>
  <c r="D301" i="79"/>
  <c r="D302" i="79"/>
  <c r="B384" i="79"/>
  <c r="B398" i="79"/>
  <c r="M20" i="80"/>
  <c r="AC20" i="80"/>
  <c r="C40" i="80"/>
  <c r="C48" i="80" s="1"/>
  <c r="G40" i="80"/>
  <c r="G48" i="80" s="1"/>
  <c r="G53" i="80" s="1"/>
  <c r="G65" i="80" s="1"/>
  <c r="G77" i="80" s="1"/>
  <c r="K40" i="80"/>
  <c r="K48" i="80" s="1"/>
  <c r="K53" i="80" s="1"/>
  <c r="K65" i="80" s="1"/>
  <c r="K77" i="80" s="1"/>
  <c r="O40" i="80"/>
  <c r="O48" i="80" s="1"/>
  <c r="O53" i="80" s="1"/>
  <c r="O65" i="80" s="1"/>
  <c r="O77" i="80" s="1"/>
  <c r="S40" i="80"/>
  <c r="S48" i="80" s="1"/>
  <c r="S53" i="80" s="1"/>
  <c r="S65" i="80" s="1"/>
  <c r="S77" i="80" s="1"/>
  <c r="W40" i="80"/>
  <c r="W48" i="80" s="1"/>
  <c r="W53" i="80" s="1"/>
  <c r="W65" i="80" s="1"/>
  <c r="W77" i="80" s="1"/>
  <c r="AA40" i="80"/>
  <c r="AA48" i="80" s="1"/>
  <c r="AA53" i="80" s="1"/>
  <c r="AA65" i="80" s="1"/>
  <c r="AA77" i="80" s="1"/>
  <c r="AE40" i="80"/>
  <c r="AE48" i="80" s="1"/>
  <c r="AE53" i="80" s="1"/>
  <c r="AE65" i="80" s="1"/>
  <c r="AE77" i="80" s="1"/>
  <c r="C52" i="80"/>
  <c r="AK52" i="80" s="1"/>
  <c r="D69" i="79" s="1"/>
  <c r="D132" i="79" s="1"/>
  <c r="W8" i="76" s="1"/>
  <c r="AK36" i="80"/>
  <c r="D421" i="79" s="1"/>
  <c r="AM52" i="80"/>
  <c r="B69" i="79" s="1"/>
  <c r="B132" i="79" s="1"/>
  <c r="B20" i="80"/>
  <c r="J20" i="80"/>
  <c r="N20" i="80"/>
  <c r="R20" i="80"/>
  <c r="V20" i="80"/>
  <c r="Z20" i="80"/>
  <c r="AD20" i="80"/>
  <c r="B48" i="80"/>
  <c r="B53" i="80" s="1"/>
  <c r="AK51" i="80"/>
  <c r="D68" i="79" s="1"/>
  <c r="D131" i="79" s="1"/>
  <c r="W7" i="76" s="1"/>
  <c r="AL51" i="80"/>
  <c r="C68" i="79" s="1"/>
  <c r="C131" i="79" s="1"/>
  <c r="AL52" i="80"/>
  <c r="C69" i="79" s="1"/>
  <c r="C132" i="79" s="1"/>
  <c r="X8" i="76" s="1"/>
  <c r="C20" i="80"/>
  <c r="O20" i="80"/>
  <c r="S20" i="80"/>
  <c r="W20" i="80"/>
  <c r="AA20" i="80"/>
  <c r="AE20" i="80"/>
  <c r="N48" i="80"/>
  <c r="E92" i="80"/>
  <c r="E98" i="80" s="1"/>
  <c r="E117" i="80" s="1"/>
  <c r="I92" i="80"/>
  <c r="I98" i="80" s="1"/>
  <c r="I117" i="80" s="1"/>
  <c r="AK83" i="80"/>
  <c r="D10" i="79" s="1"/>
  <c r="M92" i="80"/>
  <c r="Q92" i="80"/>
  <c r="Q98" i="80" s="1"/>
  <c r="Q117" i="80" s="1"/>
  <c r="U92" i="80"/>
  <c r="U98" i="80" s="1"/>
  <c r="U117" i="80" s="1"/>
  <c r="AL83" i="80"/>
  <c r="C10" i="79" s="1"/>
  <c r="C14" i="79" s="1"/>
  <c r="C21" i="79" s="1"/>
  <c r="C39" i="79" s="1"/>
  <c r="Y92" i="80"/>
  <c r="AC92" i="80"/>
  <c r="AC98" i="80" s="1"/>
  <c r="AC117" i="80" s="1"/>
  <c r="AG92" i="80"/>
  <c r="D48" i="80"/>
  <c r="D53" i="80" s="1"/>
  <c r="D65" i="80" s="1"/>
  <c r="D77" i="80" s="1"/>
  <c r="H48" i="80"/>
  <c r="H53" i="80" s="1"/>
  <c r="H65" i="80" s="1"/>
  <c r="H77" i="80" s="1"/>
  <c r="L48" i="80"/>
  <c r="L53" i="80" s="1"/>
  <c r="L65" i="80" s="1"/>
  <c r="L77" i="80" s="1"/>
  <c r="P48" i="80"/>
  <c r="P53" i="80" s="1"/>
  <c r="P65" i="80" s="1"/>
  <c r="P77" i="80" s="1"/>
  <c r="T48" i="80"/>
  <c r="X48" i="80"/>
  <c r="X53" i="80" s="1"/>
  <c r="X65" i="80" s="1"/>
  <c r="X77" i="80" s="1"/>
  <c r="AB48" i="80"/>
  <c r="AB53" i="80" s="1"/>
  <c r="AB65" i="80" s="1"/>
  <c r="AB77" i="80" s="1"/>
  <c r="D20" i="80"/>
  <c r="H20" i="80"/>
  <c r="L20" i="80"/>
  <c r="P20" i="80"/>
  <c r="T20" i="80"/>
  <c r="X20" i="80"/>
  <c r="AB20" i="80"/>
  <c r="AK50" i="80"/>
  <c r="D67" i="79" s="1"/>
  <c r="D130" i="79" s="1"/>
  <c r="W6" i="76" s="1"/>
  <c r="AL50" i="80"/>
  <c r="C67" i="79" s="1"/>
  <c r="C130" i="79" s="1"/>
  <c r="N117" i="80"/>
  <c r="AJ98" i="80"/>
  <c r="AJ117" i="80" s="1"/>
  <c r="B320" i="79" l="1"/>
  <c r="K130" i="79"/>
  <c r="X6" i="76"/>
  <c r="C384" i="79"/>
  <c r="L131" i="79"/>
  <c r="X7" i="76"/>
  <c r="C53" i="80"/>
  <c r="C65" i="80" s="1"/>
  <c r="C77" i="80" s="1"/>
  <c r="B399" i="79"/>
  <c r="B403" i="79" s="1"/>
  <c r="B386" i="79"/>
  <c r="H382" i="79"/>
  <c r="AK22" i="80"/>
  <c r="E330" i="79"/>
  <c r="C385" i="79"/>
  <c r="F204" i="79"/>
  <c r="B326" i="79"/>
  <c r="AJ48" i="80"/>
  <c r="B88" i="79"/>
  <c r="E335" i="79"/>
  <c r="R6" i="81"/>
  <c r="R9" i="81" s="1"/>
  <c r="B9" i="81"/>
  <c r="B19" i="81" s="1"/>
  <c r="T6" i="81"/>
  <c r="T9" i="81" s="1"/>
  <c r="D340" i="79"/>
  <c r="D342" i="79" s="1"/>
  <c r="D347" i="79" s="1"/>
  <c r="D90" i="79"/>
  <c r="D93" i="79" s="1"/>
  <c r="D33" i="79"/>
  <c r="D37" i="79" s="1"/>
  <c r="C52" i="79"/>
  <c r="D416" i="79"/>
  <c r="AK40" i="80"/>
  <c r="AK48" i="80" s="1"/>
  <c r="D54" i="79"/>
  <c r="C278" i="79"/>
  <c r="C280" i="79" s="1"/>
  <c r="C281" i="79" s="1"/>
  <c r="C243" i="79"/>
  <c r="C247" i="79" s="1"/>
  <c r="C249" i="79" s="1"/>
  <c r="C105" i="79"/>
  <c r="C106" i="79" s="1"/>
  <c r="AL22" i="80"/>
  <c r="C317" i="79"/>
  <c r="L132" i="79"/>
  <c r="K132" i="79"/>
  <c r="C428" i="79"/>
  <c r="C55" i="79"/>
  <c r="AM40" i="80"/>
  <c r="B54" i="79"/>
  <c r="B416" i="79"/>
  <c r="AK92" i="80"/>
  <c r="M98" i="80"/>
  <c r="AL40" i="80"/>
  <c r="C416" i="79"/>
  <c r="C54" i="79"/>
  <c r="T53" i="80"/>
  <c r="AM48" i="80"/>
  <c r="D82" i="79"/>
  <c r="D14" i="79"/>
  <c r="D21" i="79" s="1"/>
  <c r="D182" i="79"/>
  <c r="G382" i="79"/>
  <c r="D422" i="79"/>
  <c r="D55" i="79"/>
  <c r="AJ53" i="80"/>
  <c r="B364" i="79"/>
  <c r="B371" i="79" s="1"/>
  <c r="D104" i="79"/>
  <c r="D51" i="79"/>
  <c r="D186" i="79"/>
  <c r="D188" i="79" s="1"/>
  <c r="D189" i="79" s="1"/>
  <c r="D241" i="79"/>
  <c r="B188" i="79"/>
  <c r="B189" i="79" s="1"/>
  <c r="AK53" i="80"/>
  <c r="B65" i="80"/>
  <c r="B332" i="79"/>
  <c r="B338" i="79" s="1"/>
  <c r="B342" i="79" s="1"/>
  <c r="E329" i="79"/>
  <c r="E332" i="79" s="1"/>
  <c r="E338" i="79" s="1"/>
  <c r="H204" i="79"/>
  <c r="Y98" i="80"/>
  <c r="AL92" i="80"/>
  <c r="AL48" i="80"/>
  <c r="N53" i="80"/>
  <c r="B422" i="79"/>
  <c r="B55" i="79"/>
  <c r="C82" i="79"/>
  <c r="C88" i="79" s="1"/>
  <c r="C182" i="79"/>
  <c r="L130" i="79"/>
  <c r="AG98" i="80"/>
  <c r="AM92" i="80"/>
  <c r="B33" i="79"/>
  <c r="B37" i="79" s="1"/>
  <c r="B39" i="79" s="1"/>
  <c r="B90" i="79"/>
  <c r="B93" i="79" s="1"/>
  <c r="C397" i="79"/>
  <c r="B50" i="79"/>
  <c r="AM22" i="80"/>
  <c r="D105" i="79"/>
  <c r="D243" i="79"/>
  <c r="D247" i="79" s="1"/>
  <c r="D249" i="79" s="1"/>
  <c r="D278" i="79"/>
  <c r="D280" i="79" s="1"/>
  <c r="D281" i="79" s="1"/>
  <c r="B222" i="79"/>
  <c r="B225" i="79"/>
  <c r="B312" i="79"/>
  <c r="B298" i="79"/>
  <c r="C338" i="79"/>
  <c r="B407" i="79" l="1"/>
  <c r="D39" i="79"/>
  <c r="C245" i="79"/>
  <c r="B347" i="79"/>
  <c r="D56" i="79"/>
  <c r="D64" i="79" s="1"/>
  <c r="B243" i="79"/>
  <c r="B105" i="79"/>
  <c r="B106" i="79" s="1"/>
  <c r="B278" i="79"/>
  <c r="B280" i="79" s="1"/>
  <c r="B281" i="79" s="1"/>
  <c r="B51" i="79"/>
  <c r="F382" i="79"/>
  <c r="AG117" i="80"/>
  <c r="AM98" i="80"/>
  <c r="AM117" i="80" s="1"/>
  <c r="C107" i="79"/>
  <c r="Y117" i="80"/>
  <c r="AL98" i="80"/>
  <c r="AL117" i="80" s="1"/>
  <c r="D52" i="79"/>
  <c r="D184" i="79"/>
  <c r="B430" i="79"/>
  <c r="B432" i="79" s="1"/>
  <c r="AL53" i="80"/>
  <c r="N65" i="80"/>
  <c r="D397" i="79"/>
  <c r="D384" i="79"/>
  <c r="D106" i="79"/>
  <c r="D386" i="79"/>
  <c r="D385" i="79"/>
  <c r="C56" i="79"/>
  <c r="B56" i="79"/>
  <c r="C320" i="79"/>
  <c r="C326" i="79" s="1"/>
  <c r="C340" i="79" s="1"/>
  <c r="E340" i="79" s="1"/>
  <c r="E342" i="79" s="1"/>
  <c r="E347" i="79" s="1"/>
  <c r="AJ77" i="80"/>
  <c r="AJ65" i="80"/>
  <c r="T65" i="80"/>
  <c r="AM53" i="80"/>
  <c r="C405" i="79"/>
  <c r="C399" i="79"/>
  <c r="C184" i="79"/>
  <c r="C188" i="79"/>
  <c r="C189" i="79" s="1"/>
  <c r="C220" i="79"/>
  <c r="G204" i="79"/>
  <c r="AK65" i="80"/>
  <c r="B77" i="80"/>
  <c r="AK77" i="80" s="1"/>
  <c r="D245" i="79"/>
  <c r="D220" i="79"/>
  <c r="D88" i="79"/>
  <c r="C430" i="79"/>
  <c r="C432" i="79" s="1"/>
  <c r="AK98" i="80"/>
  <c r="AK117" i="80" s="1"/>
  <c r="M117" i="80"/>
  <c r="E317" i="79"/>
  <c r="E320" i="79" s="1"/>
  <c r="E326" i="79" s="1"/>
  <c r="D430" i="79"/>
  <c r="D432" i="79" s="1"/>
  <c r="D57" i="79" l="1"/>
  <c r="D438" i="79"/>
  <c r="D108" i="79"/>
  <c r="D109" i="79" s="1"/>
  <c r="AL65" i="80"/>
  <c r="N77" i="80"/>
  <c r="D65" i="79"/>
  <c r="D70" i="79" s="1"/>
  <c r="B64" i="79"/>
  <c r="B52" i="79"/>
  <c r="G430" i="79"/>
  <c r="C439" i="79"/>
  <c r="C440" i="79"/>
  <c r="C437" i="79"/>
  <c r="C438" i="79"/>
  <c r="C442" i="79"/>
  <c r="C445" i="79"/>
  <c r="C434" i="79"/>
  <c r="C435" i="79"/>
  <c r="C436" i="79"/>
  <c r="C433" i="79"/>
  <c r="C443" i="79"/>
  <c r="C441" i="79"/>
  <c r="B108" i="79"/>
  <c r="B57" i="79"/>
  <c r="C108" i="79"/>
  <c r="C57" i="79"/>
  <c r="C64" i="79"/>
  <c r="B107" i="79"/>
  <c r="C407" i="79"/>
  <c r="C403" i="79"/>
  <c r="C444" i="79"/>
  <c r="D107" i="79"/>
  <c r="B442" i="79"/>
  <c r="F430" i="79"/>
  <c r="B435" i="79"/>
  <c r="B434" i="79"/>
  <c r="B445" i="79"/>
  <c r="B440" i="79"/>
  <c r="B443" i="79"/>
  <c r="B439" i="79"/>
  <c r="B433" i="79"/>
  <c r="B437" i="79"/>
  <c r="B436" i="79"/>
  <c r="B444" i="79"/>
  <c r="B441" i="79"/>
  <c r="C222" i="79"/>
  <c r="C225" i="79"/>
  <c r="B438" i="79"/>
  <c r="H430" i="79"/>
  <c r="D444" i="79"/>
  <c r="D445" i="79"/>
  <c r="D435" i="79"/>
  <c r="D440" i="79"/>
  <c r="D434" i="79"/>
  <c r="D443" i="79"/>
  <c r="D433" i="79"/>
  <c r="D442" i="79"/>
  <c r="D439" i="79"/>
  <c r="D436" i="79"/>
  <c r="D441" i="79"/>
  <c r="D437" i="79"/>
  <c r="D222" i="79"/>
  <c r="D225" i="79"/>
  <c r="T77" i="80"/>
  <c r="AM77" i="80" s="1"/>
  <c r="AM65" i="80"/>
  <c r="D399" i="79"/>
  <c r="D405" i="79"/>
  <c r="C342" i="79"/>
  <c r="C347" i="79" s="1"/>
  <c r="B247" i="79"/>
  <c r="B249" i="79" s="1"/>
  <c r="B245" i="79"/>
  <c r="D114" i="79" l="1"/>
  <c r="D129" i="79" s="1"/>
  <c r="K114" i="79"/>
  <c r="D116" i="79"/>
  <c r="D117" i="79" s="1"/>
  <c r="D71" i="79"/>
  <c r="B109" i="79"/>
  <c r="I114" i="79"/>
  <c r="D407" i="79"/>
  <c r="D403" i="79"/>
  <c r="J114" i="79"/>
  <c r="C109" i="79"/>
  <c r="C114" i="79"/>
  <c r="C129" i="79" s="1"/>
  <c r="AL77" i="80"/>
  <c r="C65" i="79"/>
  <c r="C70" i="79" s="1"/>
  <c r="B114" i="79"/>
  <c r="B129" i="79" s="1"/>
  <c r="B133" i="79" s="1"/>
  <c r="B65" i="79"/>
  <c r="B70" i="79" s="1"/>
  <c r="C133" i="79" l="1"/>
  <c r="X5" i="76"/>
  <c r="X9" i="76" s="1"/>
  <c r="X39" i="76" s="1"/>
  <c r="D133" i="79"/>
  <c r="W5" i="76"/>
  <c r="W9" i="76" s="1"/>
  <c r="W39" i="76" s="1"/>
  <c r="B71" i="79"/>
  <c r="B116" i="79"/>
  <c r="B117" i="79" s="1"/>
  <c r="C71" i="79"/>
  <c r="C116" i="79"/>
  <c r="C117" i="79" s="1"/>
  <c r="B134" i="79"/>
  <c r="B154" i="79"/>
  <c r="C154" i="79"/>
  <c r="C134" i="79"/>
  <c r="F134" i="79"/>
  <c r="D154" i="79" l="1"/>
  <c r="G134" i="79"/>
  <c r="D134" i="79"/>
  <c r="B155" i="79"/>
  <c r="B170" i="79"/>
  <c r="C170" i="79"/>
  <c r="C155" i="79"/>
  <c r="D170" i="79" l="1"/>
  <c r="D155" i="79"/>
  <c r="B119" i="79"/>
  <c r="B120" i="79" s="1"/>
  <c r="B171" i="79"/>
  <c r="K170" i="79"/>
  <c r="C171" i="79"/>
  <c r="C119" i="79"/>
  <c r="C120" i="79" s="1"/>
  <c r="L170" i="79"/>
  <c r="D119" i="79" l="1"/>
  <c r="D120" i="79" s="1"/>
  <c r="D171" i="79"/>
  <c r="P36" i="76" l="1"/>
  <c r="O36" i="76"/>
  <c r="K36" i="76"/>
  <c r="U35" i="76"/>
  <c r="N34" i="76"/>
  <c r="M34" i="76"/>
  <c r="L34" i="76"/>
  <c r="K34" i="76"/>
  <c r="J34" i="76"/>
  <c r="I34" i="76"/>
  <c r="H34" i="76"/>
  <c r="G34" i="76"/>
  <c r="F34" i="76"/>
  <c r="Y34" i="76" s="1"/>
  <c r="E34" i="76"/>
  <c r="D34" i="76"/>
  <c r="C34" i="76"/>
  <c r="N33" i="76"/>
  <c r="N36" i="76" s="1"/>
  <c r="M33" i="76"/>
  <c r="M36" i="76" s="1"/>
  <c r="L33" i="76"/>
  <c r="L36" i="76" s="1"/>
  <c r="K33" i="76"/>
  <c r="J33" i="76"/>
  <c r="J36" i="76" s="1"/>
  <c r="I33" i="76"/>
  <c r="F33" i="76"/>
  <c r="E33" i="76"/>
  <c r="D33" i="76"/>
  <c r="C33" i="76"/>
  <c r="U32" i="76"/>
  <c r="S32" i="76"/>
  <c r="U31" i="76"/>
  <c r="S31" i="76"/>
  <c r="I30" i="76"/>
  <c r="I36" i="76" s="1"/>
  <c r="H30" i="76"/>
  <c r="G30" i="76"/>
  <c r="G36" i="76" s="1"/>
  <c r="F30" i="76"/>
  <c r="D30" i="76"/>
  <c r="C30" i="76"/>
  <c r="C36" i="76" s="1"/>
  <c r="U29" i="76"/>
  <c r="S29" i="76"/>
  <c r="U28" i="76"/>
  <c r="S28" i="76"/>
  <c r="P25" i="76"/>
  <c r="O25" i="76"/>
  <c r="N25" i="76"/>
  <c r="M25" i="76"/>
  <c r="L25" i="76"/>
  <c r="J25" i="76"/>
  <c r="I25" i="76"/>
  <c r="H25" i="76"/>
  <c r="G25" i="76"/>
  <c r="U23" i="76"/>
  <c r="S23" i="76"/>
  <c r="U22" i="76"/>
  <c r="S22" i="76"/>
  <c r="U21" i="76"/>
  <c r="S21" i="76"/>
  <c r="U20" i="76"/>
  <c r="S20" i="76"/>
  <c r="U19" i="76"/>
  <c r="S19" i="76"/>
  <c r="U18" i="76"/>
  <c r="S18" i="76"/>
  <c r="U17" i="76"/>
  <c r="S17" i="76"/>
  <c r="U16" i="76"/>
  <c r="S16" i="76"/>
  <c r="K15" i="76"/>
  <c r="F15" i="76"/>
  <c r="Y15" i="76" s="1"/>
  <c r="E15" i="76"/>
  <c r="U15" i="76" s="1"/>
  <c r="D15" i="76"/>
  <c r="C15" i="76"/>
  <c r="U14" i="76"/>
  <c r="S14" i="76"/>
  <c r="U13" i="76"/>
  <c r="S13" i="76"/>
  <c r="K12" i="76"/>
  <c r="K25" i="76" s="1"/>
  <c r="F12" i="76"/>
  <c r="E12" i="76"/>
  <c r="D12" i="76"/>
  <c r="D25" i="76" s="1"/>
  <c r="C12" i="76"/>
  <c r="P9" i="76"/>
  <c r="P39" i="76" s="1"/>
  <c r="O9" i="76"/>
  <c r="N9" i="76"/>
  <c r="M9" i="76"/>
  <c r="L9" i="76"/>
  <c r="L39" i="76" s="1"/>
  <c r="K9" i="76"/>
  <c r="J9" i="76"/>
  <c r="I9" i="76"/>
  <c r="H9" i="76"/>
  <c r="G9" i="76"/>
  <c r="F9" i="76"/>
  <c r="E9" i="76"/>
  <c r="D9" i="76"/>
  <c r="C9" i="76"/>
  <c r="U8" i="76"/>
  <c r="S8" i="76"/>
  <c r="U7" i="76"/>
  <c r="S7" i="76"/>
  <c r="U6" i="76"/>
  <c r="S6" i="76"/>
  <c r="U5" i="76"/>
  <c r="U9" i="76" s="1"/>
  <c r="S5" i="76"/>
  <c r="F25" i="76" l="1"/>
  <c r="Y12" i="76"/>
  <c r="Y25" i="76" s="1"/>
  <c r="S12" i="76"/>
  <c r="S33" i="76"/>
  <c r="S34" i="76"/>
  <c r="S15" i="76"/>
  <c r="D36" i="76"/>
  <c r="D39" i="76" s="1"/>
  <c r="U33" i="76"/>
  <c r="Y33" i="76"/>
  <c r="S9" i="76"/>
  <c r="U30" i="76"/>
  <c r="U36" i="76" s="1"/>
  <c r="Y30" i="76"/>
  <c r="U34" i="76"/>
  <c r="G39" i="76"/>
  <c r="K39" i="76"/>
  <c r="O39" i="76"/>
  <c r="U24" i="76"/>
  <c r="E25" i="76"/>
  <c r="S24" i="76"/>
  <c r="S25" i="76" s="1"/>
  <c r="H36" i="76"/>
  <c r="H39" i="76" s="1"/>
  <c r="I39" i="76"/>
  <c r="M39" i="76"/>
  <c r="J39" i="76"/>
  <c r="N39" i="76"/>
  <c r="U12" i="76"/>
  <c r="S35" i="76"/>
  <c r="E36" i="76"/>
  <c r="C25" i="76"/>
  <c r="C39" i="76" s="1"/>
  <c r="F36" i="76"/>
  <c r="F39" i="76" s="1"/>
  <c r="S30" i="76"/>
  <c r="AI38" i="4"/>
  <c r="AI37" i="4"/>
  <c r="AI30" i="4"/>
  <c r="S36" i="76" l="1"/>
  <c r="E39" i="76"/>
  <c r="Y36" i="76"/>
  <c r="Y39" i="76" s="1"/>
  <c r="D34" i="7" s="1"/>
  <c r="U25" i="76"/>
  <c r="U39" i="76" s="1"/>
  <c r="S39" i="76"/>
  <c r="K37" i="2"/>
  <c r="O38" i="6"/>
  <c r="D35" i="7" l="1"/>
  <c r="E9" i="7"/>
  <c r="BB52" i="7"/>
  <c r="BB51" i="7"/>
  <c r="BB50" i="7"/>
  <c r="BB53" i="7" s="1"/>
  <c r="C9" i="75" l="1"/>
  <c r="D9" i="75"/>
  <c r="O14" i="6" l="1"/>
  <c r="O15" i="6" s="1"/>
  <c r="C17" i="74"/>
  <c r="D17" i="74"/>
  <c r="E17" i="74"/>
  <c r="C16" i="74"/>
  <c r="D16" i="74"/>
  <c r="E16" i="74"/>
  <c r="AH9" i="62"/>
  <c r="E13" i="74"/>
  <c r="D13" i="74"/>
  <c r="C13" i="74"/>
  <c r="C11" i="74"/>
  <c r="D11" i="74"/>
  <c r="E11" i="74"/>
  <c r="C12" i="74"/>
  <c r="D12" i="74"/>
  <c r="E12" i="74"/>
  <c r="C11" i="73" l="1"/>
  <c r="D11" i="73"/>
  <c r="E11" i="73"/>
  <c r="E15" i="73"/>
  <c r="D15" i="73"/>
  <c r="C15" i="73"/>
  <c r="C8" i="73"/>
  <c r="D8" i="73"/>
  <c r="AG44" i="2"/>
  <c r="AG43" i="2"/>
  <c r="AG42" i="2"/>
  <c r="AM41" i="2"/>
  <c r="AL41" i="2"/>
  <c r="AK41" i="2"/>
  <c r="AJ41" i="2"/>
  <c r="AI41" i="2"/>
  <c r="AG41" i="2"/>
  <c r="C11" i="67" l="1"/>
  <c r="E18" i="74"/>
  <c r="D18" i="74"/>
  <c r="C18" i="74"/>
  <c r="E14" i="74"/>
  <c r="D14" i="74"/>
  <c r="C14" i="74"/>
  <c r="D23" i="73"/>
  <c r="E9" i="74"/>
  <c r="E27" i="74" s="1"/>
  <c r="D9" i="74"/>
  <c r="D27" i="74" s="1"/>
  <c r="C9" i="74"/>
  <c r="K7" i="74"/>
  <c r="J7" i="74"/>
  <c r="I7" i="74"/>
  <c r="H7" i="74"/>
  <c r="G7" i="74"/>
  <c r="F7" i="74"/>
  <c r="E7" i="74"/>
  <c r="D7" i="74"/>
  <c r="C9" i="72"/>
  <c r="H48" i="70"/>
  <c r="B39" i="70"/>
  <c r="D37" i="70"/>
  <c r="E36" i="70"/>
  <c r="F36" i="70" s="1"/>
  <c r="G36" i="70" s="1"/>
  <c r="H36" i="70" s="1"/>
  <c r="E35" i="70"/>
  <c r="E37" i="70" s="1"/>
  <c r="H29" i="70"/>
  <c r="G29" i="70"/>
  <c r="F29" i="70"/>
  <c r="E29" i="70"/>
  <c r="D29" i="70"/>
  <c r="H26" i="70"/>
  <c r="G26" i="70"/>
  <c r="F26" i="70"/>
  <c r="E26" i="70"/>
  <c r="D26" i="70"/>
  <c r="C7" i="70"/>
  <c r="G17" i="67"/>
  <c r="J8" i="67"/>
  <c r="H70" i="66"/>
  <c r="H89" i="66" s="1"/>
  <c r="H106" i="66" s="1"/>
  <c r="I51" i="66"/>
  <c r="I68" i="66" s="1"/>
  <c r="H51" i="66"/>
  <c r="H68" i="66" s="1"/>
  <c r="H87" i="66" s="1"/>
  <c r="H104" i="66" s="1"/>
  <c r="Q35" i="66"/>
  <c r="P35" i="66"/>
  <c r="O35" i="66"/>
  <c r="N35" i="66"/>
  <c r="M35" i="66"/>
  <c r="L35" i="66"/>
  <c r="K35" i="66"/>
  <c r="J35" i="66"/>
  <c r="I35" i="66"/>
  <c r="P19" i="66"/>
  <c r="L19" i="66"/>
  <c r="K19" i="66"/>
  <c r="R18" i="66"/>
  <c r="R19" i="66" s="1"/>
  <c r="Q18" i="66"/>
  <c r="Q19" i="66" s="1"/>
  <c r="P18" i="66"/>
  <c r="O18" i="66"/>
  <c r="O19" i="66" s="1"/>
  <c r="N18" i="66"/>
  <c r="N19" i="66" s="1"/>
  <c r="M18" i="66"/>
  <c r="M19" i="66" s="1"/>
  <c r="L18" i="66"/>
  <c r="K18" i="66"/>
  <c r="J18" i="66"/>
  <c r="J19" i="66" s="1"/>
  <c r="I18" i="66"/>
  <c r="I19" i="66" s="1"/>
  <c r="H23" i="66"/>
  <c r="I6" i="66"/>
  <c r="D7" i="70" s="1"/>
  <c r="H72" i="65"/>
  <c r="H70" i="65"/>
  <c r="H82" i="65" s="1"/>
  <c r="H84" i="65" s="1"/>
  <c r="L42" i="65"/>
  <c r="K42" i="65"/>
  <c r="M41" i="65"/>
  <c r="M42" i="65" s="1"/>
  <c r="L41" i="65"/>
  <c r="K41" i="65"/>
  <c r="J41" i="65"/>
  <c r="J42" i="65" s="1"/>
  <c r="I41" i="65"/>
  <c r="I42" i="65" s="1"/>
  <c r="G33" i="65"/>
  <c r="G34" i="65" s="1"/>
  <c r="G35" i="65" s="1"/>
  <c r="G36" i="65" s="1"/>
  <c r="I6" i="65"/>
  <c r="I70" i="65" s="1"/>
  <c r="I5" i="65"/>
  <c r="J5" i="65" s="1"/>
  <c r="K5" i="65" s="1"/>
  <c r="L5" i="65" s="1"/>
  <c r="M5" i="65" s="1"/>
  <c r="D20" i="74" l="1"/>
  <c r="M7" i="73"/>
  <c r="H19" i="66"/>
  <c r="K8" i="67"/>
  <c r="F35" i="70"/>
  <c r="C20" i="74"/>
  <c r="E20" i="74"/>
  <c r="C12" i="73"/>
  <c r="C18" i="73" s="1"/>
  <c r="D9" i="72"/>
  <c r="D21" i="74"/>
  <c r="I82" i="65"/>
  <c r="I84" i="65" s="1"/>
  <c r="I72" i="65"/>
  <c r="I87" i="66"/>
  <c r="I104" i="66" s="1"/>
  <c r="I70" i="66"/>
  <c r="I89" i="66" s="1"/>
  <c r="I106" i="66" s="1"/>
  <c r="J6" i="65"/>
  <c r="J6" i="66"/>
  <c r="F18" i="67"/>
  <c r="N17" i="67"/>
  <c r="M18" i="67" s="1"/>
  <c r="D26" i="74"/>
  <c r="D28" i="74"/>
  <c r="E26" i="74"/>
  <c r="E28" i="74"/>
  <c r="E21" i="74"/>
  <c r="C11" i="72"/>
  <c r="C13" i="72" s="1"/>
  <c r="C28" i="74"/>
  <c r="C27" i="74"/>
  <c r="C26" i="74"/>
  <c r="D12" i="73"/>
  <c r="C19" i="73"/>
  <c r="C7" i="74"/>
  <c r="C8" i="74"/>
  <c r="C25" i="74" s="1"/>
  <c r="O7" i="73"/>
  <c r="D9" i="73"/>
  <c r="C16" i="73"/>
  <c r="C23" i="73"/>
  <c r="D8" i="74"/>
  <c r="D25" i="74" s="1"/>
  <c r="D16" i="73"/>
  <c r="C13" i="73" l="1"/>
  <c r="F37" i="70"/>
  <c r="G35" i="70"/>
  <c r="D13" i="73"/>
  <c r="D18" i="73"/>
  <c r="C10" i="72"/>
  <c r="E7" i="70"/>
  <c r="K6" i="66"/>
  <c r="J51" i="66"/>
  <c r="J68" i="66" s="1"/>
  <c r="D24" i="74"/>
  <c r="C24" i="74"/>
  <c r="D10" i="72"/>
  <c r="J70" i="65"/>
  <c r="K6" i="65"/>
  <c r="G37" i="70" l="1"/>
  <c r="H35" i="70"/>
  <c r="H37" i="70" s="1"/>
  <c r="J70" i="66"/>
  <c r="J89" i="66" s="1"/>
  <c r="J106" i="66" s="1"/>
  <c r="J87" i="66"/>
  <c r="J104" i="66" s="1"/>
  <c r="J82" i="65"/>
  <c r="J84" i="65" s="1"/>
  <c r="J72" i="65"/>
  <c r="D11" i="72"/>
  <c r="D13" i="72" s="1"/>
  <c r="D20" i="73"/>
  <c r="D19" i="73"/>
  <c r="F7" i="70"/>
  <c r="K51" i="66"/>
  <c r="K68" i="66" s="1"/>
  <c r="L6" i="66"/>
  <c r="K70" i="65"/>
  <c r="L6" i="65"/>
  <c r="L70" i="65" l="1"/>
  <c r="M6" i="65"/>
  <c r="M70" i="65" s="1"/>
  <c r="K87" i="66"/>
  <c r="K104" i="66" s="1"/>
  <c r="K70" i="66"/>
  <c r="K89" i="66" s="1"/>
  <c r="K106" i="66" s="1"/>
  <c r="K82" i="65"/>
  <c r="K84" i="65" s="1"/>
  <c r="K72" i="65"/>
  <c r="G7" i="70"/>
  <c r="L51" i="66"/>
  <c r="L68" i="66" s="1"/>
  <c r="M6" i="66"/>
  <c r="M82" i="65" l="1"/>
  <c r="M84" i="65" s="1"/>
  <c r="M72" i="65"/>
  <c r="L87" i="66"/>
  <c r="L104" i="66" s="1"/>
  <c r="L70" i="66"/>
  <c r="L89" i="66" s="1"/>
  <c r="L106" i="66" s="1"/>
  <c r="H7" i="70"/>
  <c r="M51" i="66"/>
  <c r="M68" i="66" s="1"/>
  <c r="N6" i="66"/>
  <c r="L72" i="65"/>
  <c r="L82" i="65"/>
  <c r="L84" i="65" s="1"/>
  <c r="M87" i="66" l="1"/>
  <c r="M104" i="66" s="1"/>
  <c r="M70" i="66"/>
  <c r="M89" i="66" s="1"/>
  <c r="M106" i="66" s="1"/>
  <c r="O6" i="66"/>
  <c r="N51" i="66"/>
  <c r="N68" i="66" s="1"/>
  <c r="N70" i="66" l="1"/>
  <c r="N89" i="66" s="1"/>
  <c r="N106" i="66" s="1"/>
  <c r="N87" i="66"/>
  <c r="N104" i="66" s="1"/>
  <c r="O51" i="66"/>
  <c r="O68" i="66" s="1"/>
  <c r="P6" i="66"/>
  <c r="P51" i="66" l="1"/>
  <c r="P68" i="66" s="1"/>
  <c r="Q6" i="66"/>
  <c r="O70" i="66"/>
  <c r="O89" i="66" s="1"/>
  <c r="O106" i="66" s="1"/>
  <c r="O87" i="66"/>
  <c r="O104" i="66" s="1"/>
  <c r="Q51" i="66" l="1"/>
  <c r="Q68" i="66" s="1"/>
  <c r="R6" i="66"/>
  <c r="R51" i="66" s="1"/>
  <c r="R68" i="66" s="1"/>
  <c r="P87" i="66"/>
  <c r="P104" i="66" s="1"/>
  <c r="P70" i="66"/>
  <c r="P89" i="66" s="1"/>
  <c r="P106" i="66" s="1"/>
  <c r="R70" i="66" l="1"/>
  <c r="R89" i="66" s="1"/>
  <c r="R106" i="66" s="1"/>
  <c r="R87" i="66"/>
  <c r="R104" i="66" s="1"/>
  <c r="Q87" i="66"/>
  <c r="Q104" i="66" s="1"/>
  <c r="Q70" i="66"/>
  <c r="Q89" i="66" s="1"/>
  <c r="Q106" i="66" s="1"/>
  <c r="G9" i="68" l="1"/>
  <c r="B43" i="70"/>
  <c r="N19" i="67"/>
  <c r="G8" i="68"/>
  <c r="J8" i="65" l="1"/>
  <c r="J8" i="66"/>
  <c r="G7" i="68"/>
  <c r="K8" i="66" l="1"/>
  <c r="K8" i="65"/>
  <c r="L8" i="65" l="1"/>
  <c r="L8" i="66"/>
  <c r="M8" i="65" l="1"/>
  <c r="M8" i="66"/>
  <c r="N8" i="66" l="1"/>
  <c r="O8" i="66" l="1"/>
  <c r="P8" i="66" l="1"/>
  <c r="Q8" i="66" l="1"/>
  <c r="R8" i="66" l="1"/>
  <c r="C13" i="68" l="1"/>
  <c r="F13" i="68" l="1"/>
  <c r="C14" i="68" s="1"/>
  <c r="H32" i="65"/>
  <c r="H33" i="65" s="1"/>
  <c r="H34" i="65" s="1"/>
  <c r="H35" i="65" s="1"/>
  <c r="H36" i="65" s="1"/>
  <c r="H45" i="65" l="1"/>
  <c r="H107" i="66" l="1"/>
  <c r="H27" i="66"/>
  <c r="H28" i="66" s="1"/>
  <c r="H90" i="66"/>
  <c r="H31" i="66"/>
  <c r="H54" i="66"/>
  <c r="H71" i="66"/>
  <c r="H85" i="65"/>
  <c r="H53" i="65"/>
  <c r="H49" i="65"/>
  <c r="H50" i="65" s="1"/>
  <c r="H73" i="65"/>
  <c r="H58" i="65" l="1"/>
  <c r="H72" i="66"/>
  <c r="H86" i="65"/>
  <c r="H55" i="66"/>
  <c r="H108" i="66"/>
  <c r="H74" i="65"/>
  <c r="H36" i="66"/>
  <c r="H91" i="66"/>
  <c r="H75" i="65" l="1"/>
  <c r="H56" i="66"/>
  <c r="H87" i="65"/>
  <c r="H73" i="66"/>
  <c r="H92" i="66"/>
  <c r="H109" i="66"/>
  <c r="H110" i="66" l="1"/>
  <c r="H93" i="66"/>
  <c r="H57" i="66"/>
  <c r="H65" i="65"/>
  <c r="H64" i="65"/>
  <c r="H62" i="65" s="1"/>
  <c r="H88" i="65"/>
  <c r="H74" i="66"/>
  <c r="H76" i="65"/>
  <c r="H42" i="66"/>
  <c r="H40" i="66" s="1"/>
  <c r="H43" i="66"/>
  <c r="H75" i="66" l="1"/>
  <c r="H89" i="65"/>
  <c r="H58" i="66"/>
  <c r="H77" i="65"/>
  <c r="H94" i="66"/>
  <c r="H111" i="66"/>
  <c r="H112" i="66" l="1"/>
  <c r="H95" i="66"/>
  <c r="H59" i="66"/>
  <c r="H76" i="66"/>
  <c r="H60" i="66" l="1"/>
  <c r="H77" i="66"/>
  <c r="H96" i="66"/>
  <c r="H113" i="66"/>
  <c r="H114" i="66" l="1"/>
  <c r="H97" i="66"/>
  <c r="H61" i="66"/>
  <c r="H78" i="66"/>
  <c r="H79" i="66" l="1"/>
  <c r="H115" i="66"/>
  <c r="H62" i="66"/>
  <c r="H98" i="66"/>
  <c r="H63" i="66" l="1"/>
  <c r="H99" i="66"/>
  <c r="H80" i="66"/>
  <c r="H116" i="66"/>
  <c r="I10" i="66" l="1"/>
  <c r="N10" i="66" l="1"/>
  <c r="K10" i="66" l="1"/>
  <c r="L10" i="66"/>
  <c r="J10" i="66"/>
  <c r="M10" i="66" l="1"/>
  <c r="P10" i="66" l="1"/>
  <c r="O10" i="66"/>
  <c r="R10" i="66"/>
  <c r="Q10" i="66"/>
  <c r="I11" i="7" l="1"/>
  <c r="C11" i="7" s="1"/>
  <c r="I12" i="7"/>
  <c r="E11" i="7" l="1"/>
  <c r="P67" i="8"/>
  <c r="C28" i="7"/>
  <c r="D28" i="7" s="1"/>
  <c r="C13" i="7"/>
  <c r="AJ29" i="8" l="1"/>
  <c r="AI29" i="8"/>
  <c r="B33" i="4"/>
  <c r="AH29" i="8"/>
  <c r="AG29" i="8"/>
  <c r="AF29" i="8"/>
  <c r="AE29" i="8"/>
  <c r="AD29" i="8"/>
  <c r="AC29" i="8"/>
  <c r="AB29" i="8"/>
  <c r="AA29" i="8"/>
  <c r="Z29" i="8"/>
  <c r="Y29" i="8"/>
  <c r="X29" i="8"/>
  <c r="W29" i="8"/>
  <c r="V29" i="8"/>
  <c r="U29" i="8"/>
  <c r="T29" i="8"/>
  <c r="S29" i="8"/>
  <c r="R29" i="8"/>
  <c r="P7" i="8"/>
  <c r="Q7" i="8" s="1"/>
  <c r="R7" i="8" s="1"/>
  <c r="S7" i="8" s="1"/>
  <c r="T7" i="8" s="1"/>
  <c r="U7" i="8" s="1"/>
  <c r="V7" i="8" s="1"/>
  <c r="W7" i="8" s="1"/>
  <c r="X7" i="8" s="1"/>
  <c r="Y7" i="8" s="1"/>
  <c r="Z7" i="8" s="1"/>
  <c r="AA7" i="8" s="1"/>
  <c r="AB7" i="8" s="1"/>
  <c r="AC7" i="8" s="1"/>
  <c r="AD7" i="8" s="1"/>
  <c r="AE7" i="8" s="1"/>
  <c r="AF7" i="8" s="1"/>
  <c r="AG7" i="8" s="1"/>
  <c r="AH7" i="8" s="1"/>
  <c r="AI7" i="8" s="1"/>
  <c r="AJ7" i="8" s="1"/>
  <c r="P10" i="8"/>
  <c r="Q10" i="8" s="1"/>
  <c r="R10" i="8" s="1"/>
  <c r="S10" i="8" s="1"/>
  <c r="T10" i="8" s="1"/>
  <c r="U10" i="8" s="1"/>
  <c r="V10" i="8" s="1"/>
  <c r="W10" i="8" s="1"/>
  <c r="X10" i="8" s="1"/>
  <c r="Y10" i="8" s="1"/>
  <c r="Z10" i="8" s="1"/>
  <c r="AA10" i="8" s="1"/>
  <c r="AB10" i="8" s="1"/>
  <c r="AC10" i="8" s="1"/>
  <c r="AD10" i="8" s="1"/>
  <c r="AE10" i="8" s="1"/>
  <c r="AF10" i="8" s="1"/>
  <c r="AG10" i="8" s="1"/>
  <c r="AH10" i="8" s="1"/>
  <c r="AI10" i="8" s="1"/>
  <c r="AJ10" i="8" s="1"/>
  <c r="M30" i="8"/>
  <c r="J8" i="6"/>
  <c r="K38" i="9"/>
  <c r="L38" i="9" s="1"/>
  <c r="M38" i="9" s="1"/>
  <c r="N38" i="9" s="1"/>
  <c r="O38" i="9" s="1"/>
  <c r="P38" i="9" s="1"/>
  <c r="Q38" i="9" s="1"/>
  <c r="R38" i="9" s="1"/>
  <c r="S38" i="9" s="1"/>
  <c r="T38" i="9" s="1"/>
  <c r="U38" i="9" s="1"/>
  <c r="V38" i="9" s="1"/>
  <c r="W38" i="9" s="1"/>
  <c r="X38" i="9" s="1"/>
  <c r="Y38" i="9" s="1"/>
  <c r="Z38" i="9" s="1"/>
  <c r="AA38" i="9" s="1"/>
  <c r="AB38" i="9" s="1"/>
  <c r="AC38" i="9" s="1"/>
  <c r="AD38" i="9" s="1"/>
  <c r="AE38" i="9" s="1"/>
  <c r="AF38" i="9" s="1"/>
  <c r="AJ62" i="8" l="1"/>
  <c r="AI62" i="8"/>
  <c r="AH62" i="8"/>
  <c r="AG62" i="8"/>
  <c r="AF62" i="8"/>
  <c r="AE62" i="8"/>
  <c r="AD62" i="8"/>
  <c r="AC62" i="8"/>
  <c r="AB62" i="8"/>
  <c r="AA62" i="8"/>
  <c r="Z62" i="8"/>
  <c r="Y62" i="8"/>
  <c r="X62" i="8"/>
  <c r="W62" i="8"/>
  <c r="V62" i="8"/>
  <c r="U62" i="8"/>
  <c r="T62" i="8"/>
  <c r="S62" i="8"/>
  <c r="R62" i="8"/>
  <c r="Q62" i="8"/>
  <c r="M61" i="8"/>
  <c r="M44" i="8"/>
  <c r="O45" i="8"/>
  <c r="O62" i="8" l="1"/>
  <c r="P62" i="8"/>
  <c r="O57" i="8"/>
  <c r="O59" i="8" s="1"/>
  <c r="I65" i="8"/>
  <c r="H65" i="8"/>
  <c r="N61" i="8"/>
  <c r="O61" i="8" s="1"/>
  <c r="P61" i="8" s="1"/>
  <c r="I60" i="8"/>
  <c r="M65" i="8"/>
  <c r="L59" i="8"/>
  <c r="L65" i="8" s="1"/>
  <c r="K59" i="8"/>
  <c r="K65" i="8" s="1"/>
  <c r="J59" i="8"/>
  <c r="J65" i="8" s="1"/>
  <c r="J56" i="8"/>
  <c r="K56" i="8" s="1"/>
  <c r="K60" i="8" s="1"/>
  <c r="K63" i="8" s="1"/>
  <c r="K40" i="62"/>
  <c r="I40" i="62" s="1"/>
  <c r="P57" i="8" l="1"/>
  <c r="L56" i="8"/>
  <c r="J60" i="8"/>
  <c r="J63" i="8" s="1"/>
  <c r="Q61" i="8"/>
  <c r="AP36" i="2"/>
  <c r="AO36" i="2"/>
  <c r="M56" i="8" l="1"/>
  <c r="L60" i="8"/>
  <c r="L63" i="8" s="1"/>
  <c r="R61" i="8"/>
  <c r="L74" i="7"/>
  <c r="L73" i="7"/>
  <c r="L72" i="7"/>
  <c r="L71" i="7"/>
  <c r="AV17" i="7"/>
  <c r="BF15" i="7"/>
  <c r="O79" i="8"/>
  <c r="S61" i="8" l="1"/>
  <c r="M60" i="8"/>
  <c r="M54" i="8"/>
  <c r="N56" i="8"/>
  <c r="M55" i="8"/>
  <c r="L11" i="7"/>
  <c r="BF13" i="7"/>
  <c r="T61" i="8" l="1"/>
  <c r="O56" i="8"/>
  <c r="N55" i="8"/>
  <c r="N54" i="8"/>
  <c r="N66" i="8" s="1"/>
  <c r="N60" i="8"/>
  <c r="O24" i="6"/>
  <c r="O25" i="6" s="1"/>
  <c r="O26" i="6" s="1"/>
  <c r="N25" i="6"/>
  <c r="N26" i="6" s="1"/>
  <c r="O60" i="8" l="1"/>
  <c r="P56" i="8"/>
  <c r="O55" i="8"/>
  <c r="O54" i="8"/>
  <c r="U61" i="8"/>
  <c r="I17" i="7"/>
  <c r="H15" i="54"/>
  <c r="I15" i="54" s="1"/>
  <c r="J15" i="54" s="1"/>
  <c r="K15" i="54" s="1"/>
  <c r="I7" i="54"/>
  <c r="J7" i="54" s="1"/>
  <c r="K7" i="54" s="1"/>
  <c r="H7" i="54"/>
  <c r="K41" i="62" l="1"/>
  <c r="BC16" i="7"/>
  <c r="BF16" i="7" s="1"/>
  <c r="BF18" i="7" s="1"/>
  <c r="V61" i="8"/>
  <c r="Q56" i="8"/>
  <c r="P55" i="8"/>
  <c r="P54" i="8"/>
  <c r="P60" i="8"/>
  <c r="L17" i="7"/>
  <c r="Q60" i="8" l="1"/>
  <c r="R56" i="8"/>
  <c r="Q55" i="8"/>
  <c r="Q54" i="8"/>
  <c r="W61" i="8"/>
  <c r="AD43" i="4"/>
  <c r="AD42" i="4"/>
  <c r="AN13" i="62"/>
  <c r="AN14" i="62"/>
  <c r="AN15" i="62"/>
  <c r="AN16" i="62"/>
  <c r="AN17" i="62"/>
  <c r="AN18" i="62"/>
  <c r="AN19" i="62"/>
  <c r="AN20" i="62"/>
  <c r="AN21" i="62"/>
  <c r="AN26" i="62"/>
  <c r="AN28" i="62"/>
  <c r="AN32" i="62"/>
  <c r="AN34" i="62"/>
  <c r="AN37" i="62"/>
  <c r="AM13" i="62"/>
  <c r="AM14" i="62"/>
  <c r="AM15" i="62"/>
  <c r="AM16" i="62"/>
  <c r="AM17" i="62"/>
  <c r="AM18" i="62"/>
  <c r="AM19" i="62"/>
  <c r="AM20" i="62"/>
  <c r="AM21" i="62"/>
  <c r="AM26" i="62"/>
  <c r="AM28" i="62"/>
  <c r="AM32" i="62"/>
  <c r="AM34" i="62"/>
  <c r="AM37" i="62"/>
  <c r="AL13" i="62"/>
  <c r="AL14" i="62"/>
  <c r="AL15" i="62"/>
  <c r="AL16" i="62"/>
  <c r="AL17" i="62"/>
  <c r="AL18" i="62"/>
  <c r="AL19" i="62"/>
  <c r="AL20" i="62"/>
  <c r="AL21" i="62"/>
  <c r="AL26" i="62"/>
  <c r="AL28" i="62"/>
  <c r="AL32" i="62"/>
  <c r="AL34" i="62"/>
  <c r="AL37" i="62"/>
  <c r="AK13" i="62"/>
  <c r="AK14" i="62"/>
  <c r="AK15" i="62"/>
  <c r="AK16" i="62"/>
  <c r="AK17" i="62"/>
  <c r="AK18" i="62"/>
  <c r="AK19" i="62"/>
  <c r="AK20" i="62"/>
  <c r="AK21" i="62"/>
  <c r="AK26" i="62"/>
  <c r="AK28" i="62"/>
  <c r="AK32" i="62"/>
  <c r="AK34" i="62"/>
  <c r="AK37" i="62"/>
  <c r="AJ13" i="62"/>
  <c r="AJ14" i="62"/>
  <c r="AJ15" i="62"/>
  <c r="AJ16" i="62"/>
  <c r="AJ17" i="62"/>
  <c r="AJ18" i="62"/>
  <c r="AJ19" i="62"/>
  <c r="AJ20" i="62"/>
  <c r="AJ21" i="62"/>
  <c r="AJ26" i="62"/>
  <c r="AJ28" i="62"/>
  <c r="AJ32" i="62"/>
  <c r="AJ34" i="62"/>
  <c r="AJ37" i="62"/>
  <c r="AI13" i="62"/>
  <c r="AI14" i="62"/>
  <c r="AI15" i="62"/>
  <c r="AI16" i="62"/>
  <c r="AI17" i="62"/>
  <c r="AI18" i="62"/>
  <c r="AI19" i="62"/>
  <c r="AI20" i="62"/>
  <c r="AI21" i="62"/>
  <c r="AI26" i="62"/>
  <c r="AI28" i="62"/>
  <c r="AI32" i="62"/>
  <c r="AI34" i="62"/>
  <c r="AI37" i="62"/>
  <c r="T16" i="7"/>
  <c r="X61" i="8" l="1"/>
  <c r="S56" i="8"/>
  <c r="R55" i="8"/>
  <c r="R54" i="8"/>
  <c r="R60" i="8"/>
  <c r="L37" i="7"/>
  <c r="AG36" i="2"/>
  <c r="X13" i="7" s="1"/>
  <c r="W19" i="7"/>
  <c r="W18" i="7"/>
  <c r="W17" i="7"/>
  <c r="W16" i="7"/>
  <c r="W15" i="7"/>
  <c r="W14" i="7"/>
  <c r="W13" i="7"/>
  <c r="W12" i="7"/>
  <c r="AD18" i="7"/>
  <c r="AC18" i="7"/>
  <c r="AB18" i="7"/>
  <c r="AA18" i="7"/>
  <c r="Z18" i="7"/>
  <c r="X19" i="7"/>
  <c r="V17" i="7"/>
  <c r="V18" i="7"/>
  <c r="V13" i="7"/>
  <c r="V14" i="7"/>
  <c r="V15" i="7"/>
  <c r="V16" i="7"/>
  <c r="S60" i="8" l="1"/>
  <c r="T56" i="8"/>
  <c r="S55" i="8"/>
  <c r="S54" i="8"/>
  <c r="Y61" i="8"/>
  <c r="Z61" i="8" l="1"/>
  <c r="U56" i="8"/>
  <c r="T55" i="8"/>
  <c r="T54" i="8"/>
  <c r="T60" i="8"/>
  <c r="M26" i="62"/>
  <c r="N26" i="62" s="1"/>
  <c r="O26" i="62" s="1"/>
  <c r="P26" i="62" s="1"/>
  <c r="Q26" i="62" s="1"/>
  <c r="R26" i="62" s="1"/>
  <c r="S26" i="62" s="1"/>
  <c r="T26" i="62" s="1"/>
  <c r="U26" i="62" s="1"/>
  <c r="V26" i="62" s="1"/>
  <c r="W26" i="62" s="1"/>
  <c r="X26" i="62" s="1"/>
  <c r="Y26" i="62" s="1"/>
  <c r="Z26" i="62" s="1"/>
  <c r="AA26" i="62" s="1"/>
  <c r="AB26" i="62" s="1"/>
  <c r="AC26" i="62" s="1"/>
  <c r="AD26" i="62" s="1"/>
  <c r="AE26" i="62" s="1"/>
  <c r="AF26" i="62" s="1"/>
  <c r="L26" i="62"/>
  <c r="G32" i="4"/>
  <c r="K39" i="62"/>
  <c r="G42" i="4"/>
  <c r="I37" i="62"/>
  <c r="I34" i="62"/>
  <c r="AB19" i="4"/>
  <c r="AA19" i="4"/>
  <c r="Z19" i="4"/>
  <c r="Y19" i="4"/>
  <c r="X19" i="4"/>
  <c r="W19" i="4"/>
  <c r="V19" i="4"/>
  <c r="U19" i="4"/>
  <c r="T19" i="4"/>
  <c r="S19" i="4"/>
  <c r="R19" i="4"/>
  <c r="Q19" i="4"/>
  <c r="P19" i="4"/>
  <c r="O19" i="4"/>
  <c r="N19" i="4"/>
  <c r="M19" i="4"/>
  <c r="L19" i="4"/>
  <c r="K19" i="4"/>
  <c r="J19" i="4"/>
  <c r="I19" i="4"/>
  <c r="B52" i="63"/>
  <c r="B51" i="63"/>
  <c r="B50" i="63"/>
  <c r="A49" i="63"/>
  <c r="A50" i="63"/>
  <c r="A51" i="63"/>
  <c r="A52" i="63"/>
  <c r="A53" i="63"/>
  <c r="I10" i="7"/>
  <c r="B40" i="63"/>
  <c r="C40" i="63" s="1"/>
  <c r="A37" i="63"/>
  <c r="A38" i="63"/>
  <c r="A39" i="63"/>
  <c r="A40" i="63"/>
  <c r="A16" i="63"/>
  <c r="A15" i="63"/>
  <c r="A14" i="63"/>
  <c r="A13" i="63"/>
  <c r="A12" i="63"/>
  <c r="C37" i="7"/>
  <c r="G12" i="6"/>
  <c r="I9" i="7"/>
  <c r="C8" i="7" l="1"/>
  <c r="C7" i="7"/>
  <c r="C29" i="7"/>
  <c r="P45" i="8"/>
  <c r="U60" i="8"/>
  <c r="V56" i="8"/>
  <c r="U55" i="8"/>
  <c r="U54" i="8"/>
  <c r="AA61" i="8"/>
  <c r="I39" i="62"/>
  <c r="H26" i="62"/>
  <c r="H34" i="62"/>
  <c r="G31" i="4"/>
  <c r="G34" i="4"/>
  <c r="C16" i="4"/>
  <c r="C17" i="4"/>
  <c r="I33" i="5"/>
  <c r="H33" i="5"/>
  <c r="G33" i="5"/>
  <c r="J27" i="5"/>
  <c r="K27" i="5"/>
  <c r="G27" i="5"/>
  <c r="H24" i="5"/>
  <c r="I24" i="5"/>
  <c r="J24" i="5"/>
  <c r="K24" i="5"/>
  <c r="G24" i="5"/>
  <c r="G18" i="5"/>
  <c r="J21" i="5"/>
  <c r="K21" i="5"/>
  <c r="G10" i="5"/>
  <c r="G11" i="5"/>
  <c r="G21" i="5"/>
  <c r="U19" i="5"/>
  <c r="Y19" i="5"/>
  <c r="AC19" i="5" s="1"/>
  <c r="AG19" i="5" s="1"/>
  <c r="R19" i="5"/>
  <c r="V19" i="5" s="1"/>
  <c r="Z19" i="5" s="1"/>
  <c r="AD19" i="5" s="1"/>
  <c r="J15" i="5"/>
  <c r="K15" i="5"/>
  <c r="J18" i="5"/>
  <c r="K18" i="5"/>
  <c r="I15" i="5"/>
  <c r="H15" i="5"/>
  <c r="G15" i="5"/>
  <c r="K11" i="5"/>
  <c r="J11" i="5"/>
  <c r="R46" i="6"/>
  <c r="S46" i="6" s="1"/>
  <c r="T46" i="6" s="1"/>
  <c r="E42" i="2"/>
  <c r="E37" i="2"/>
  <c r="E36" i="2"/>
  <c r="E35" i="2"/>
  <c r="F42" i="2"/>
  <c r="F40" i="2"/>
  <c r="G42" i="2"/>
  <c r="K36" i="6"/>
  <c r="J36" i="6"/>
  <c r="I36" i="6"/>
  <c r="H36" i="6"/>
  <c r="H42" i="6"/>
  <c r="K42" i="6"/>
  <c r="J42" i="6"/>
  <c r="I42" i="6"/>
  <c r="O39" i="6"/>
  <c r="O40" i="6"/>
  <c r="Q14" i="6"/>
  <c r="R14" i="6" s="1"/>
  <c r="P14" i="6"/>
  <c r="N14" i="6"/>
  <c r="N15" i="6" s="1"/>
  <c r="L8" i="6"/>
  <c r="K8" i="6"/>
  <c r="I8" i="6"/>
  <c r="P11" i="6"/>
  <c r="M11" i="6"/>
  <c r="N11" i="6" s="1"/>
  <c r="A42" i="6"/>
  <c r="A36" i="6"/>
  <c r="AD11" i="6"/>
  <c r="AE11" i="6" s="1"/>
  <c r="AF11" i="6" s="1"/>
  <c r="AG11" i="6" s="1"/>
  <c r="AH11" i="6" s="1"/>
  <c r="AI11" i="6" s="1"/>
  <c r="AJ11" i="6" s="1"/>
  <c r="AK11" i="6" s="1"/>
  <c r="AL11" i="6" s="1"/>
  <c r="I8" i="7" l="1"/>
  <c r="D8" i="55" s="1"/>
  <c r="E7" i="7"/>
  <c r="I16" i="7"/>
  <c r="E8" i="7"/>
  <c r="C30" i="7"/>
  <c r="D30" i="7" s="1"/>
  <c r="D29" i="7"/>
  <c r="K22" i="5"/>
  <c r="J22" i="5"/>
  <c r="AB61" i="8"/>
  <c r="W56" i="8"/>
  <c r="V55" i="8"/>
  <c r="V54" i="8"/>
  <c r="V60" i="8"/>
  <c r="G12" i="5"/>
  <c r="G25" i="5" s="1"/>
  <c r="W60" i="8" l="1"/>
  <c r="W54" i="8"/>
  <c r="X56" i="8"/>
  <c r="W55" i="8"/>
  <c r="AC61" i="8"/>
  <c r="L36" i="6"/>
  <c r="M36" i="6"/>
  <c r="Y56" i="8" l="1"/>
  <c r="X55" i="8"/>
  <c r="X54" i="8"/>
  <c r="X60" i="8"/>
  <c r="AD61" i="8"/>
  <c r="M42" i="6"/>
  <c r="M30" i="6"/>
  <c r="M22" i="6"/>
  <c r="M12" i="6"/>
  <c r="L42" i="6"/>
  <c r="L30" i="6"/>
  <c r="L22" i="6"/>
  <c r="L12" i="6"/>
  <c r="F48" i="62"/>
  <c r="F44" i="62"/>
  <c r="H37" i="62"/>
  <c r="F24" i="62"/>
  <c r="F11" i="62"/>
  <c r="E48" i="62"/>
  <c r="E44" i="62"/>
  <c r="J33" i="5"/>
  <c r="F29" i="62" l="1"/>
  <c r="O4" i="6"/>
  <c r="O5" i="6" s="1"/>
  <c r="N44" i="6"/>
  <c r="AE61" i="8"/>
  <c r="Y60" i="8"/>
  <c r="Z56" i="8"/>
  <c r="Y55" i="8"/>
  <c r="Y54" i="8"/>
  <c r="M31" i="6"/>
  <c r="F49" i="62"/>
  <c r="F35" i="62"/>
  <c r="F42" i="62" s="1"/>
  <c r="K33" i="5"/>
  <c r="L23" i="6"/>
  <c r="L43" i="6"/>
  <c r="M43" i="6"/>
  <c r="P16" i="6"/>
  <c r="L37" i="6"/>
  <c r="L31" i="6"/>
  <c r="M37" i="6"/>
  <c r="M23" i="6"/>
  <c r="O12" i="6" l="1"/>
  <c r="N45" i="6"/>
  <c r="O44" i="6"/>
  <c r="AF61" i="8"/>
  <c r="AA56" i="8"/>
  <c r="Z55" i="8"/>
  <c r="Z54" i="8"/>
  <c r="Z60" i="8"/>
  <c r="K38" i="2"/>
  <c r="F50" i="62"/>
  <c r="F51" i="62" s="1"/>
  <c r="P15" i="6"/>
  <c r="P25" i="6"/>
  <c r="K19" i="2" l="1"/>
  <c r="O36" i="6"/>
  <c r="O30" i="6"/>
  <c r="K35" i="2" s="1"/>
  <c r="O45" i="6"/>
  <c r="N46" i="6"/>
  <c r="AA60" i="8"/>
  <c r="AA55" i="8"/>
  <c r="AA54" i="8"/>
  <c r="AB56" i="8"/>
  <c r="AG61" i="8"/>
  <c r="L38" i="2"/>
  <c r="L47" i="62"/>
  <c r="P26" i="6"/>
  <c r="Q26" i="6" s="1"/>
  <c r="Q15" i="6"/>
  <c r="P12" i="6"/>
  <c r="P13" i="6" s="1"/>
  <c r="B11" i="62"/>
  <c r="D51" i="2"/>
  <c r="E51" i="2"/>
  <c r="F51" i="2"/>
  <c r="D52" i="2"/>
  <c r="E52" i="2"/>
  <c r="F52" i="2"/>
  <c r="D54" i="2"/>
  <c r="E54" i="2"/>
  <c r="F54" i="2"/>
  <c r="D37" i="2"/>
  <c r="D36" i="2"/>
  <c r="D35" i="2"/>
  <c r="G52" i="2"/>
  <c r="X18" i="7"/>
  <c r="AP41" i="2"/>
  <c r="K36" i="2" l="1"/>
  <c r="AH36" i="2" s="1"/>
  <c r="Y13" i="7" s="1"/>
  <c r="O37" i="6"/>
  <c r="P50" i="6"/>
  <c r="O46" i="6"/>
  <c r="P42" i="6"/>
  <c r="AH61" i="8"/>
  <c r="AC56" i="8"/>
  <c r="AB55" i="8"/>
  <c r="AB54" i="8"/>
  <c r="AB60" i="8"/>
  <c r="AI47" i="62"/>
  <c r="M47" i="62"/>
  <c r="P30" i="6"/>
  <c r="P36" i="6"/>
  <c r="P22" i="6"/>
  <c r="R15" i="6"/>
  <c r="R12" i="6" s="1"/>
  <c r="R36" i="6" s="1"/>
  <c r="Q12" i="6"/>
  <c r="Q36" i="6" s="1"/>
  <c r="W9" i="7"/>
  <c r="W7" i="7"/>
  <c r="AP70" i="2"/>
  <c r="AO70" i="2"/>
  <c r="AP69" i="2"/>
  <c r="AO69" i="2"/>
  <c r="AP59" i="2"/>
  <c r="AO59" i="2"/>
  <c r="I69" i="2"/>
  <c r="H69" i="2"/>
  <c r="L37" i="2" l="1"/>
  <c r="O37" i="2"/>
  <c r="N37" i="2"/>
  <c r="M37" i="2"/>
  <c r="AC60" i="8"/>
  <c r="AD56" i="8"/>
  <c r="AC54" i="8"/>
  <c r="AC55" i="8"/>
  <c r="AI61" i="8"/>
  <c r="W10" i="7"/>
  <c r="W11" i="7" s="1"/>
  <c r="K17" i="7"/>
  <c r="AJ61" i="8" l="1"/>
  <c r="AE56" i="8"/>
  <c r="AD55" i="8"/>
  <c r="AD54" i="8"/>
  <c r="AD60" i="8"/>
  <c r="W20" i="7"/>
  <c r="AP45" i="2"/>
  <c r="AO45" i="2"/>
  <c r="AP42" i="2"/>
  <c r="AO42" i="2"/>
  <c r="AP40" i="2"/>
  <c r="AO40" i="2"/>
  <c r="AP39" i="2"/>
  <c r="AO39" i="2"/>
  <c r="AP38" i="2"/>
  <c r="AO38" i="2"/>
  <c r="AP37" i="2"/>
  <c r="AO37" i="2"/>
  <c r="AP35" i="2"/>
  <c r="AO35" i="2"/>
  <c r="AE60" i="8" l="1"/>
  <c r="AF56" i="8"/>
  <c r="AE55" i="8"/>
  <c r="AE54" i="8"/>
  <c r="W21" i="7"/>
  <c r="W22" i="7" s="1"/>
  <c r="B44" i="63"/>
  <c r="B45" i="63"/>
  <c r="B46" i="63"/>
  <c r="B32" i="63"/>
  <c r="D32" i="63" s="1"/>
  <c r="B33" i="63"/>
  <c r="B34" i="63"/>
  <c r="AO23" i="7"/>
  <c r="AO22" i="7"/>
  <c r="AO21" i="7"/>
  <c r="AO20" i="7"/>
  <c r="AO19" i="7"/>
  <c r="AN23" i="7"/>
  <c r="AN22" i="7"/>
  <c r="AN21" i="7"/>
  <c r="AN20" i="7"/>
  <c r="AN19" i="7"/>
  <c r="F23" i="9"/>
  <c r="G23" i="9" s="1"/>
  <c r="H23" i="9" s="1"/>
  <c r="I23" i="9" s="1"/>
  <c r="J23" i="9" s="1"/>
  <c r="K23" i="9" s="1"/>
  <c r="L23" i="9" s="1"/>
  <c r="M23" i="9" s="1"/>
  <c r="N23" i="9" s="1"/>
  <c r="O23" i="9" s="1"/>
  <c r="P23" i="9" s="1"/>
  <c r="Q23" i="9" s="1"/>
  <c r="R23" i="9" s="1"/>
  <c r="S23" i="9" s="1"/>
  <c r="T23" i="9" s="1"/>
  <c r="U23" i="9" s="1"/>
  <c r="V23" i="9" s="1"/>
  <c r="W23" i="9" s="1"/>
  <c r="X23" i="9" s="1"/>
  <c r="Y23" i="9" s="1"/>
  <c r="Z23" i="9" s="1"/>
  <c r="AA23" i="9" s="1"/>
  <c r="AB23" i="9" s="1"/>
  <c r="AC23" i="9" s="1"/>
  <c r="AD23" i="9" s="1"/>
  <c r="AE23" i="9" s="1"/>
  <c r="AF23" i="9" s="1"/>
  <c r="AG56" i="8" l="1"/>
  <c r="AF55" i="8"/>
  <c r="AF54" i="8"/>
  <c r="AF60" i="8"/>
  <c r="K28" i="62"/>
  <c r="K26" i="62"/>
  <c r="J39" i="62"/>
  <c r="J6" i="62"/>
  <c r="J11" i="62" s="1"/>
  <c r="C17" i="63"/>
  <c r="B19" i="63"/>
  <c r="B20" i="63"/>
  <c r="B21" i="63"/>
  <c r="B22" i="63"/>
  <c r="B23" i="63"/>
  <c r="B24" i="63"/>
  <c r="B25" i="63"/>
  <c r="B26" i="63"/>
  <c r="B27" i="63"/>
  <c r="D44" i="63"/>
  <c r="A1" i="63"/>
  <c r="AG60" i="8" l="1"/>
  <c r="AH56" i="8"/>
  <c r="AG55" i="8"/>
  <c r="AG54" i="8"/>
  <c r="AO55" i="2"/>
  <c r="AO53" i="2"/>
  <c r="AO52" i="2"/>
  <c r="AO29" i="2"/>
  <c r="AO19" i="2"/>
  <c r="AG39" i="2"/>
  <c r="X16" i="7" s="1"/>
  <c r="AG38" i="2"/>
  <c r="AG37" i="2"/>
  <c r="X14" i="7" s="1"/>
  <c r="AG35" i="2"/>
  <c r="AG40" i="2"/>
  <c r="X17" i="7" s="1"/>
  <c r="AH10" i="62"/>
  <c r="AH8" i="62"/>
  <c r="S16" i="8"/>
  <c r="T16" i="8"/>
  <c r="U16" i="8"/>
  <c r="V16" i="8"/>
  <c r="W16" i="8"/>
  <c r="X16" i="8"/>
  <c r="Y16" i="8"/>
  <c r="Z16" i="8"/>
  <c r="AA16" i="8"/>
  <c r="AB16" i="8"/>
  <c r="AC16" i="8"/>
  <c r="AD16" i="8"/>
  <c r="AE16" i="8"/>
  <c r="AF16" i="8"/>
  <c r="AG16" i="8"/>
  <c r="AH16" i="8"/>
  <c r="AI16" i="8"/>
  <c r="AJ16" i="8"/>
  <c r="R16" i="8"/>
  <c r="P16" i="8"/>
  <c r="Q16" i="8"/>
  <c r="AI56" i="8" l="1"/>
  <c r="AH55" i="8"/>
  <c r="AH54" i="8"/>
  <c r="AH60" i="8"/>
  <c r="AG69" i="2"/>
  <c r="X15" i="7"/>
  <c r="D11" i="63"/>
  <c r="D9" i="63" s="1"/>
  <c r="J76" i="8"/>
  <c r="K76" i="8"/>
  <c r="L76" i="8"/>
  <c r="N76" i="8"/>
  <c r="I77" i="8"/>
  <c r="N78" i="8"/>
  <c r="O78" i="8" s="1"/>
  <c r="P78" i="8" s="1"/>
  <c r="Q78" i="8" s="1"/>
  <c r="R78" i="8" s="1"/>
  <c r="S78" i="8" s="1"/>
  <c r="H82" i="8"/>
  <c r="I82" i="8"/>
  <c r="J82" i="8"/>
  <c r="K82" i="8"/>
  <c r="L82" i="8"/>
  <c r="M74" i="8"/>
  <c r="H44" i="62"/>
  <c r="B49" i="63" s="1"/>
  <c r="I47" i="8"/>
  <c r="H47" i="8"/>
  <c r="N44" i="8"/>
  <c r="AH37" i="62"/>
  <c r="B31" i="4"/>
  <c r="B32" i="4"/>
  <c r="B34" i="4"/>
  <c r="B30" i="4"/>
  <c r="C19" i="4"/>
  <c r="C20" i="4"/>
  <c r="C18" i="4"/>
  <c r="C15" i="4"/>
  <c r="C14" i="4"/>
  <c r="I30" i="5"/>
  <c r="H30" i="5"/>
  <c r="I27" i="5"/>
  <c r="H27" i="5"/>
  <c r="I21" i="5"/>
  <c r="H21" i="5"/>
  <c r="I18" i="5"/>
  <c r="H18" i="5"/>
  <c r="A1" i="62"/>
  <c r="D49" i="62"/>
  <c r="B49" i="62"/>
  <c r="AH45" i="62"/>
  <c r="AH44" i="62"/>
  <c r="C49" i="62"/>
  <c r="D35" i="62"/>
  <c r="D42" i="62" s="1"/>
  <c r="C35" i="62"/>
  <c r="C42" i="62" s="1"/>
  <c r="B35" i="62"/>
  <c r="B42" i="62" s="1"/>
  <c r="AH34" i="62"/>
  <c r="AH33" i="62"/>
  <c r="AH32" i="62"/>
  <c r="AH31" i="62"/>
  <c r="AH28" i="62"/>
  <c r="AH27" i="62"/>
  <c r="AH26" i="62"/>
  <c r="D24" i="62"/>
  <c r="AH24" i="62" s="1"/>
  <c r="C24" i="62"/>
  <c r="B24" i="62"/>
  <c r="AH23" i="62"/>
  <c r="AH22" i="62"/>
  <c r="AH21" i="62"/>
  <c r="AH20" i="62"/>
  <c r="AH19" i="62"/>
  <c r="AH18" i="62"/>
  <c r="AH17" i="62"/>
  <c r="AH16" i="62"/>
  <c r="AH15" i="62"/>
  <c r="AH14" i="62"/>
  <c r="AH13" i="62"/>
  <c r="D11" i="62"/>
  <c r="AH11" i="62" s="1"/>
  <c r="AH7" i="62"/>
  <c r="C11" i="62"/>
  <c r="C29" i="62" s="1"/>
  <c r="AH6" i="62"/>
  <c r="B29" i="62"/>
  <c r="AH5" i="62"/>
  <c r="E5" i="62"/>
  <c r="F5" i="62" s="1"/>
  <c r="D3" i="62"/>
  <c r="AI60" i="8" l="1"/>
  <c r="AJ56" i="8"/>
  <c r="AI55" i="8"/>
  <c r="AI54" i="8"/>
  <c r="D8" i="63"/>
  <c r="F3" i="62"/>
  <c r="J35" i="62"/>
  <c r="J42" i="62" s="1"/>
  <c r="AH48" i="62"/>
  <c r="B43" i="63"/>
  <c r="K37" i="62"/>
  <c r="E3" i="62"/>
  <c r="T78" i="8"/>
  <c r="AH42" i="62"/>
  <c r="O44" i="8"/>
  <c r="P44" i="8" s="1"/>
  <c r="Q44" i="8" s="1"/>
  <c r="R44" i="8" s="1"/>
  <c r="S44" i="8" s="1"/>
  <c r="T44" i="8" s="1"/>
  <c r="U44" i="8" s="1"/>
  <c r="V44" i="8" s="1"/>
  <c r="W44" i="8" s="1"/>
  <c r="X44" i="8" s="1"/>
  <c r="Y44" i="8" s="1"/>
  <c r="Z44" i="8" s="1"/>
  <c r="D50" i="62"/>
  <c r="AH50" i="62" s="1"/>
  <c r="AH49" i="62"/>
  <c r="C50" i="62"/>
  <c r="C51" i="62" s="1"/>
  <c r="D29" i="62"/>
  <c r="AH29" i="62" s="1"/>
  <c r="K5" i="62"/>
  <c r="C6" i="55" s="1"/>
  <c r="L5" i="62"/>
  <c r="AI5" i="62" s="1"/>
  <c r="H3" i="62"/>
  <c r="AH35" i="62"/>
  <c r="B50" i="62"/>
  <c r="B51" i="62" s="1"/>
  <c r="I35" i="62"/>
  <c r="AJ55" i="8" l="1"/>
  <c r="AJ54" i="8"/>
  <c r="AJ60" i="8"/>
  <c r="K34" i="62"/>
  <c r="L34" i="62" s="1"/>
  <c r="M34" i="62" s="1"/>
  <c r="C43" i="63"/>
  <c r="D43" i="63" s="1"/>
  <c r="C41" i="63"/>
  <c r="U78" i="8"/>
  <c r="AA44" i="8"/>
  <c r="AH51" i="62"/>
  <c r="D51" i="62"/>
  <c r="L3" i="62"/>
  <c r="L2" i="62"/>
  <c r="M5" i="62"/>
  <c r="K3" i="62"/>
  <c r="K2" i="62"/>
  <c r="N34" i="62" l="1"/>
  <c r="O34" i="62" s="1"/>
  <c r="P34" i="62" s="1"/>
  <c r="Q34" i="62" s="1"/>
  <c r="D40" i="63"/>
  <c r="V78" i="8"/>
  <c r="AB44" i="8"/>
  <c r="N5" i="62"/>
  <c r="M3" i="62"/>
  <c r="M2" i="62"/>
  <c r="R34" i="62" l="1"/>
  <c r="S34" i="62" s="1"/>
  <c r="T34" i="62" s="1"/>
  <c r="U34" i="62" s="1"/>
  <c r="W78" i="8"/>
  <c r="AC44" i="8"/>
  <c r="N3" i="62"/>
  <c r="N2" i="62"/>
  <c r="O5" i="62"/>
  <c r="V34" i="62" l="1"/>
  <c r="W34" i="62" s="1"/>
  <c r="X34" i="62" s="1"/>
  <c r="Y34" i="62" s="1"/>
  <c r="X78" i="8"/>
  <c r="AD44" i="8"/>
  <c r="O2" i="62"/>
  <c r="O3" i="62"/>
  <c r="P5" i="62"/>
  <c r="AJ5" i="62" s="1"/>
  <c r="Z34" i="62" l="1"/>
  <c r="AA34" i="62" s="1"/>
  <c r="AB34" i="62" s="1"/>
  <c r="AC34" i="62" s="1"/>
  <c r="Y78" i="8"/>
  <c r="AE44" i="8"/>
  <c r="P3" i="62"/>
  <c r="P2" i="62"/>
  <c r="Q5" i="62"/>
  <c r="AD34" i="62" l="1"/>
  <c r="AE34" i="62" s="1"/>
  <c r="AF34" i="62" s="1"/>
  <c r="Z78" i="8"/>
  <c r="AF44" i="8"/>
  <c r="R5" i="62"/>
  <c r="Q3" i="62"/>
  <c r="Q2" i="62"/>
  <c r="AA78" i="8" l="1"/>
  <c r="AG44" i="8"/>
  <c r="S5" i="62"/>
  <c r="R3" i="62"/>
  <c r="R2" i="62"/>
  <c r="AB78" i="8" l="1"/>
  <c r="AH44" i="8"/>
  <c r="S3" i="62"/>
  <c r="S2" i="62"/>
  <c r="T5" i="62"/>
  <c r="AK5" i="62" s="1"/>
  <c r="AC78" i="8" l="1"/>
  <c r="AI44" i="8"/>
  <c r="T3" i="62"/>
  <c r="T2" i="62"/>
  <c r="U5" i="62"/>
  <c r="AD78" i="8" l="1"/>
  <c r="AJ44" i="8"/>
  <c r="V5" i="62"/>
  <c r="U2" i="62"/>
  <c r="U3" i="62"/>
  <c r="AE78" i="8" l="1"/>
  <c r="W5" i="62"/>
  <c r="V3" i="62"/>
  <c r="V2" i="62"/>
  <c r="AF78" i="8" l="1"/>
  <c r="W3" i="62"/>
  <c r="W2" i="62"/>
  <c r="X5" i="62"/>
  <c r="AL5" i="62" s="1"/>
  <c r="AG78" i="8" l="1"/>
  <c r="X3" i="62"/>
  <c r="X2" i="62"/>
  <c r="Y5" i="62"/>
  <c r="AH78" i="8" l="1"/>
  <c r="Z5" i="62"/>
  <c r="Y3" i="62"/>
  <c r="Y2" i="62"/>
  <c r="AI78" i="8" l="1"/>
  <c r="Z3" i="62"/>
  <c r="Z2" i="62"/>
  <c r="AA5" i="62"/>
  <c r="AJ78" i="8" l="1"/>
  <c r="AA3" i="62"/>
  <c r="AA2" i="62"/>
  <c r="AB5" i="62"/>
  <c r="AM5" i="62" s="1"/>
  <c r="AB3" i="62" l="1"/>
  <c r="AB2" i="62"/>
  <c r="AC5" i="62"/>
  <c r="AD5" i="62" l="1"/>
  <c r="AC2" i="62"/>
  <c r="AC3" i="62"/>
  <c r="AE5" i="62" l="1"/>
  <c r="AD3" i="62"/>
  <c r="AD2" i="62"/>
  <c r="AE3" i="62" l="1"/>
  <c r="AE2" i="62"/>
  <c r="AF5" i="62"/>
  <c r="AN5" i="62" s="1"/>
  <c r="AF3" i="62" l="1"/>
  <c r="AF2" i="62"/>
  <c r="AG54" i="2" l="1"/>
  <c r="I55" i="2"/>
  <c r="H55" i="2"/>
  <c r="AG51" i="2"/>
  <c r="S34" i="6"/>
  <c r="T34" i="6" s="1"/>
  <c r="S33" i="6"/>
  <c r="T33" i="6" s="1"/>
  <c r="C54" i="2"/>
  <c r="C51" i="2"/>
  <c r="AO51" i="2"/>
  <c r="AO54" i="2"/>
  <c r="I11" i="5"/>
  <c r="I22" i="5" s="1"/>
  <c r="H11" i="5"/>
  <c r="H22" i="5" s="1"/>
  <c r="I3" i="5"/>
  <c r="G8" i="5"/>
  <c r="G54" i="2"/>
  <c r="G51" i="2"/>
  <c r="Q30" i="6" l="1"/>
  <c r="S15" i="6"/>
  <c r="T15" i="6" s="1"/>
  <c r="AA14" i="6" s="1"/>
  <c r="K69" i="2"/>
  <c r="N45" i="8"/>
  <c r="M45" i="8"/>
  <c r="M39" i="8"/>
  <c r="I43" i="8"/>
  <c r="L42" i="8"/>
  <c r="L47" i="8" s="1"/>
  <c r="K42" i="8"/>
  <c r="K47" i="8" s="1"/>
  <c r="J42" i="8"/>
  <c r="J47" i="8" s="1"/>
  <c r="J38" i="8"/>
  <c r="J43" i="8" s="1"/>
  <c r="J46" i="8" s="1"/>
  <c r="K12" i="43"/>
  <c r="J12" i="43"/>
  <c r="H12" i="43"/>
  <c r="F16" i="43"/>
  <c r="F5" i="9"/>
  <c r="E5" i="9"/>
  <c r="E16" i="43"/>
  <c r="J73" i="8"/>
  <c r="V20" i="7"/>
  <c r="V12" i="7"/>
  <c r="D6" i="55"/>
  <c r="D4" i="55" s="1"/>
  <c r="X19" i="55"/>
  <c r="N30" i="8"/>
  <c r="O30" i="8" s="1"/>
  <c r="P30" i="8" s="1"/>
  <c r="Q30" i="8" s="1"/>
  <c r="R30" i="8" s="1"/>
  <c r="S30" i="8" s="1"/>
  <c r="T30" i="8" s="1"/>
  <c r="U30" i="8" s="1"/>
  <c r="V30" i="8" s="1"/>
  <c r="W30" i="8" s="1"/>
  <c r="X30" i="8" s="1"/>
  <c r="Y30" i="8" s="1"/>
  <c r="Z30" i="8" s="1"/>
  <c r="AA30" i="8" s="1"/>
  <c r="AB30" i="8" s="1"/>
  <c r="AC30" i="8" s="1"/>
  <c r="AD30" i="8" s="1"/>
  <c r="AE30" i="8" s="1"/>
  <c r="AF30" i="8" s="1"/>
  <c r="AG30" i="8" s="1"/>
  <c r="AH30" i="8" s="1"/>
  <c r="AI30" i="8" s="1"/>
  <c r="AJ30" i="8" s="1"/>
  <c r="Q18" i="6"/>
  <c r="S18" i="6" s="1"/>
  <c r="A30" i="6"/>
  <c r="H22" i="6"/>
  <c r="H12" i="6"/>
  <c r="Q11" i="6"/>
  <c r="E32" i="60"/>
  <c r="E5" i="60"/>
  <c r="H25" i="60"/>
  <c r="H26" i="60"/>
  <c r="S14" i="60"/>
  <c r="E25" i="60"/>
  <c r="U14" i="60"/>
  <c r="T13" i="60"/>
  <c r="S13" i="60"/>
  <c r="T12" i="60"/>
  <c r="S12" i="60"/>
  <c r="U22" i="60"/>
  <c r="H22" i="60"/>
  <c r="T11" i="60"/>
  <c r="T10" i="60"/>
  <c r="S10" i="60"/>
  <c r="U18" i="60"/>
  <c r="C11" i="60"/>
  <c r="T6" i="60"/>
  <c r="S6" i="60"/>
  <c r="D18" i="60"/>
  <c r="C18" i="60"/>
  <c r="T14" i="60"/>
  <c r="E12" i="60"/>
  <c r="D12" i="60"/>
  <c r="C12" i="60"/>
  <c r="B12" i="60"/>
  <c r="S11" i="60"/>
  <c r="R11" i="60"/>
  <c r="H11" i="60"/>
  <c r="R10" i="60"/>
  <c r="N10" i="60"/>
  <c r="M10" i="60"/>
  <c r="E10" i="60"/>
  <c r="D10" i="60"/>
  <c r="C10" i="60"/>
  <c r="B10" i="60"/>
  <c r="N8" i="60"/>
  <c r="M8" i="60"/>
  <c r="H7" i="60"/>
  <c r="H13" i="60"/>
  <c r="R5" i="60"/>
  <c r="D5" i="60"/>
  <c r="D7" i="60"/>
  <c r="E7" i="60"/>
  <c r="C5" i="60"/>
  <c r="G22" i="5"/>
  <c r="D5" i="2"/>
  <c r="J30" i="6"/>
  <c r="D11" i="60"/>
  <c r="D9" i="60"/>
  <c r="C9" i="60"/>
  <c r="D26" i="60"/>
  <c r="T15" i="60"/>
  <c r="E17" i="60"/>
  <c r="U6" i="60"/>
  <c r="E24" i="60"/>
  <c r="U13" i="60"/>
  <c r="C26" i="60"/>
  <c r="S15" i="60"/>
  <c r="E23" i="60"/>
  <c r="U12" i="60"/>
  <c r="K30" i="6"/>
  <c r="T7" i="60"/>
  <c r="D27" i="60"/>
  <c r="T16" i="60"/>
  <c r="T20" i="60"/>
  <c r="D19" i="60"/>
  <c r="T8" i="60"/>
  <c r="H27" i="60"/>
  <c r="E6" i="60"/>
  <c r="C7" i="60"/>
  <c r="D8" i="60"/>
  <c r="C27" i="60"/>
  <c r="S16" i="60"/>
  <c r="S20" i="60"/>
  <c r="S23" i="60"/>
  <c r="C19" i="60"/>
  <c r="S8" i="60"/>
  <c r="S7" i="60"/>
  <c r="R6" i="60"/>
  <c r="E21" i="60"/>
  <c r="S5" i="60"/>
  <c r="M9" i="60"/>
  <c r="B11" i="60"/>
  <c r="B9" i="60"/>
  <c r="R13" i="60"/>
  <c r="R14" i="60"/>
  <c r="E16" i="60"/>
  <c r="E11" i="60"/>
  <c r="E9" i="60"/>
  <c r="E8" i="60"/>
  <c r="B18" i="60"/>
  <c r="E22" i="60"/>
  <c r="U11" i="60"/>
  <c r="B26" i="60"/>
  <c r="R15" i="60"/>
  <c r="B5" i="60"/>
  <c r="T5" i="60"/>
  <c r="N9" i="60"/>
  <c r="R12" i="60"/>
  <c r="D31" i="2"/>
  <c r="D29" i="60"/>
  <c r="J12" i="6"/>
  <c r="E18" i="60"/>
  <c r="U5" i="60"/>
  <c r="C6" i="60"/>
  <c r="B7" i="60"/>
  <c r="B6" i="60"/>
  <c r="M5" i="60"/>
  <c r="M7" i="60"/>
  <c r="T23" i="60"/>
  <c r="B27" i="60"/>
  <c r="R16" i="60"/>
  <c r="R20" i="60"/>
  <c r="R23" i="60"/>
  <c r="B19" i="60"/>
  <c r="R8" i="60"/>
  <c r="R7" i="60"/>
  <c r="U10" i="60"/>
  <c r="E26" i="60"/>
  <c r="U15" i="60"/>
  <c r="C8" i="60"/>
  <c r="M11" i="60"/>
  <c r="N7" i="60"/>
  <c r="U7" i="60"/>
  <c r="E27" i="60"/>
  <c r="U16" i="60"/>
  <c r="U20" i="60"/>
  <c r="E19" i="60"/>
  <c r="U8" i="60"/>
  <c r="B8" i="60"/>
  <c r="U23" i="60"/>
  <c r="N5" i="60"/>
  <c r="N6" i="60"/>
  <c r="N11" i="60"/>
  <c r="M12" i="60"/>
  <c r="N12" i="60"/>
  <c r="M13" i="60"/>
  <c r="N13" i="60"/>
  <c r="G3" i="2"/>
  <c r="D13" i="53"/>
  <c r="C19" i="56"/>
  <c r="D19" i="56"/>
  <c r="E19" i="56"/>
  <c r="F19" i="56"/>
  <c r="G19" i="56"/>
  <c r="G20" i="56"/>
  <c r="A3" i="55"/>
  <c r="A1" i="55"/>
  <c r="A1" i="54"/>
  <c r="W19" i="55"/>
  <c r="V19" i="55"/>
  <c r="U19" i="55"/>
  <c r="T19" i="55"/>
  <c r="S19" i="55"/>
  <c r="R19" i="55"/>
  <c r="Q19" i="55"/>
  <c r="P19" i="55"/>
  <c r="O19" i="55"/>
  <c r="N19" i="55"/>
  <c r="M19" i="55"/>
  <c r="L19" i="55"/>
  <c r="K19" i="55"/>
  <c r="J19" i="55"/>
  <c r="I19" i="55"/>
  <c r="H19" i="55"/>
  <c r="G19" i="55"/>
  <c r="F19" i="55"/>
  <c r="E19" i="55"/>
  <c r="D19" i="55"/>
  <c r="C19" i="55"/>
  <c r="D43" i="7" s="1"/>
  <c r="A2" i="55"/>
  <c r="A2" i="54"/>
  <c r="AF119" i="8"/>
  <c r="AF130" i="8" s="1"/>
  <c r="M122" i="8"/>
  <c r="N122" i="8"/>
  <c r="O122" i="8"/>
  <c r="P122" i="8"/>
  <c r="Q122" i="8"/>
  <c r="R122" i="8"/>
  <c r="S122" i="8"/>
  <c r="T122" i="8"/>
  <c r="U122" i="8"/>
  <c r="V122" i="8"/>
  <c r="W122" i="8"/>
  <c r="X122" i="8"/>
  <c r="Y122" i="8"/>
  <c r="Z122" i="8"/>
  <c r="AA122" i="8"/>
  <c r="AB122" i="8"/>
  <c r="AC122" i="8"/>
  <c r="AD122" i="8"/>
  <c r="AE122" i="8"/>
  <c r="AF122" i="8"/>
  <c r="M123" i="8"/>
  <c r="N123" i="8"/>
  <c r="O123" i="8"/>
  <c r="P123" i="8"/>
  <c r="Q123" i="8"/>
  <c r="R123" i="8"/>
  <c r="S123" i="8"/>
  <c r="T123" i="8"/>
  <c r="U123" i="8"/>
  <c r="V123" i="8"/>
  <c r="W123" i="8"/>
  <c r="X123" i="8"/>
  <c r="Y123" i="8"/>
  <c r="Z123" i="8"/>
  <c r="AA123" i="8"/>
  <c r="AB123" i="8"/>
  <c r="AC123" i="8"/>
  <c r="AD123" i="8"/>
  <c r="AE123" i="8"/>
  <c r="AF123" i="8"/>
  <c r="AC134" i="8"/>
  <c r="AC139" i="8" s="1"/>
  <c r="AD134" i="8"/>
  <c r="AD139" i="8" s="1"/>
  <c r="AE134" i="8"/>
  <c r="AE139" i="8" s="1"/>
  <c r="AF134" i="8"/>
  <c r="AF139" i="8" s="1"/>
  <c r="M135" i="8"/>
  <c r="N135" i="8"/>
  <c r="O135" i="8"/>
  <c r="P135" i="8"/>
  <c r="Q135" i="8"/>
  <c r="R135" i="8"/>
  <c r="S135" i="8"/>
  <c r="T135" i="8"/>
  <c r="U135" i="8"/>
  <c r="V135" i="8"/>
  <c r="W135" i="8"/>
  <c r="X135" i="8"/>
  <c r="Y135" i="8"/>
  <c r="Z135" i="8"/>
  <c r="AA135" i="8"/>
  <c r="AB135" i="8"/>
  <c r="AC135" i="8"/>
  <c r="AD135" i="8"/>
  <c r="AE135" i="8"/>
  <c r="AF135" i="8"/>
  <c r="F10" i="53"/>
  <c r="G10" i="53"/>
  <c r="H10" i="53"/>
  <c r="E8" i="53"/>
  <c r="E7" i="53"/>
  <c r="E5" i="53"/>
  <c r="A2" i="53"/>
  <c r="E6" i="53"/>
  <c r="F8" i="53"/>
  <c r="F5" i="53"/>
  <c r="H8" i="53"/>
  <c r="I10" i="53"/>
  <c r="H5" i="53"/>
  <c r="G5" i="53"/>
  <c r="G8" i="53"/>
  <c r="AG52" i="2"/>
  <c r="AG53" i="2"/>
  <c r="AG58" i="2"/>
  <c r="AG59" i="2"/>
  <c r="AG70" i="2"/>
  <c r="L28" i="8"/>
  <c r="K28" i="8"/>
  <c r="K32" i="8" s="1"/>
  <c r="J28" i="8"/>
  <c r="J32" i="8" s="1"/>
  <c r="I32" i="8"/>
  <c r="I29" i="8"/>
  <c r="H32" i="8"/>
  <c r="J23" i="8"/>
  <c r="J29" i="8" s="1"/>
  <c r="J31" i="8" s="1"/>
  <c r="O4" i="5"/>
  <c r="S4" i="5"/>
  <c r="W4" i="5"/>
  <c r="AA4" i="5"/>
  <c r="AE4" i="5" s="1"/>
  <c r="P4" i="5"/>
  <c r="T4" i="5"/>
  <c r="X4" i="5"/>
  <c r="AB4" i="5" s="1"/>
  <c r="AF4" i="5" s="1"/>
  <c r="Q4" i="5"/>
  <c r="U4" i="5"/>
  <c r="Y4" i="5" s="1"/>
  <c r="AC4" i="5" s="1"/>
  <c r="AG4" i="5" s="1"/>
  <c r="N4" i="5"/>
  <c r="R4" i="5" s="1"/>
  <c r="V4" i="5" s="1"/>
  <c r="Z4" i="5" s="1"/>
  <c r="AD4" i="5" s="1"/>
  <c r="AF57" i="2"/>
  <c r="AF74" i="2" s="1"/>
  <c r="H3" i="2"/>
  <c r="L9" i="6"/>
  <c r="F7" i="53"/>
  <c r="F6" i="53"/>
  <c r="J10" i="53"/>
  <c r="I8" i="53"/>
  <c r="I5" i="53"/>
  <c r="G7" i="53"/>
  <c r="G6" i="53"/>
  <c r="H7" i="53"/>
  <c r="H6" i="53"/>
  <c r="I7" i="53"/>
  <c r="I6" i="53"/>
  <c r="J5" i="53"/>
  <c r="K10" i="53"/>
  <c r="J8" i="53"/>
  <c r="L10" i="53"/>
  <c r="K8" i="53"/>
  <c r="K5" i="53"/>
  <c r="J7" i="53"/>
  <c r="J6" i="53"/>
  <c r="K7" i="53"/>
  <c r="K6" i="53"/>
  <c r="L8" i="53"/>
  <c r="L5" i="53"/>
  <c r="M10" i="53"/>
  <c r="AP53" i="2"/>
  <c r="AP52" i="2"/>
  <c r="AP19" i="2"/>
  <c r="AP55" i="2"/>
  <c r="AP51" i="2"/>
  <c r="K12" i="6"/>
  <c r="L7" i="53"/>
  <c r="L6" i="53"/>
  <c r="N10" i="53"/>
  <c r="M8" i="53"/>
  <c r="M5" i="53"/>
  <c r="M7" i="53"/>
  <c r="M6" i="53"/>
  <c r="N5" i="53"/>
  <c r="O10" i="53"/>
  <c r="N8" i="53"/>
  <c r="P10" i="53"/>
  <c r="O8" i="53"/>
  <c r="O5" i="53"/>
  <c r="N7" i="53"/>
  <c r="N6" i="53"/>
  <c r="O7" i="53"/>
  <c r="O6" i="53"/>
  <c r="Q10" i="53"/>
  <c r="P8" i="53"/>
  <c r="P5" i="53"/>
  <c r="R10" i="53"/>
  <c r="Q8" i="53"/>
  <c r="Q5" i="53"/>
  <c r="P7" i="53"/>
  <c r="P6" i="53"/>
  <c r="Q7" i="53"/>
  <c r="Q6" i="53"/>
  <c r="R5" i="53"/>
  <c r="S10" i="53"/>
  <c r="R8" i="53"/>
  <c r="G5" i="2"/>
  <c r="T10" i="53"/>
  <c r="S8" i="53"/>
  <c r="S5" i="53"/>
  <c r="R7" i="53"/>
  <c r="R6" i="53"/>
  <c r="AG19" i="2"/>
  <c r="X12" i="7"/>
  <c r="H141" i="8"/>
  <c r="I141" i="8" s="1"/>
  <c r="J141" i="8" s="1"/>
  <c r="K141" i="8" s="1"/>
  <c r="L141" i="8" s="1"/>
  <c r="M141" i="8" s="1"/>
  <c r="N141" i="8" s="1"/>
  <c r="O141" i="8" s="1"/>
  <c r="P141" i="8" s="1"/>
  <c r="Q141" i="8" s="1"/>
  <c r="R141" i="8" s="1"/>
  <c r="S141" i="8" s="1"/>
  <c r="T141" i="8" s="1"/>
  <c r="U141" i="8" s="1"/>
  <c r="V141" i="8" s="1"/>
  <c r="W141" i="8" s="1"/>
  <c r="X141" i="8" s="1"/>
  <c r="Y141" i="8" s="1"/>
  <c r="Z141" i="8" s="1"/>
  <c r="AA141" i="8" s="1"/>
  <c r="AB141" i="8" s="1"/>
  <c r="AC141" i="8" s="1"/>
  <c r="AD141" i="8" s="1"/>
  <c r="AE141" i="8" s="1"/>
  <c r="AF141" i="8" s="1"/>
  <c r="F31" i="2"/>
  <c r="J22" i="6"/>
  <c r="S7" i="53"/>
  <c r="S6" i="53"/>
  <c r="T8" i="53"/>
  <c r="U10" i="53"/>
  <c r="T5" i="53"/>
  <c r="C5" i="2"/>
  <c r="C31" i="2"/>
  <c r="C46" i="2" s="1"/>
  <c r="V10" i="53"/>
  <c r="U8" i="53"/>
  <c r="U5" i="53"/>
  <c r="T7" i="53"/>
  <c r="T6" i="53"/>
  <c r="AP29" i="2"/>
  <c r="H10" i="5"/>
  <c r="H19" i="5" s="1"/>
  <c r="H6" i="2"/>
  <c r="I9" i="2"/>
  <c r="I3" i="2" s="1"/>
  <c r="AH3" i="2"/>
  <c r="D12" i="43"/>
  <c r="J138" i="8"/>
  <c r="I12" i="43"/>
  <c r="AD6" i="4"/>
  <c r="AE6" i="4" s="1"/>
  <c r="I45" i="5"/>
  <c r="J45" i="5"/>
  <c r="K45" i="5"/>
  <c r="L45" i="5"/>
  <c r="M45" i="5"/>
  <c r="I41" i="5"/>
  <c r="J41" i="5"/>
  <c r="K41" i="5" s="1"/>
  <c r="L41" i="5" s="1"/>
  <c r="M41" i="5" s="1"/>
  <c r="H7" i="5"/>
  <c r="I8" i="5"/>
  <c r="J7" i="5"/>
  <c r="P3" i="6"/>
  <c r="Q3" i="6" s="1"/>
  <c r="R3" i="6" s="1"/>
  <c r="S3" i="6" s="1"/>
  <c r="T3" i="6" s="1"/>
  <c r="U10" i="6"/>
  <c r="U11" i="6" s="1"/>
  <c r="U12" i="6" s="1"/>
  <c r="U13" i="6" s="1"/>
  <c r="U14" i="6" s="1"/>
  <c r="U15" i="6" s="1"/>
  <c r="U16" i="6" s="1"/>
  <c r="U17" i="6" s="1"/>
  <c r="U18" i="6" s="1"/>
  <c r="U19" i="6" s="1"/>
  <c r="U20" i="6" s="1"/>
  <c r="U21" i="6" s="1"/>
  <c r="U22" i="6" s="1"/>
  <c r="U23" i="6" s="1"/>
  <c r="U24" i="6" s="1"/>
  <c r="U25" i="6" s="1"/>
  <c r="U26" i="6" s="1"/>
  <c r="U27" i="6" s="1"/>
  <c r="U28" i="6" s="1"/>
  <c r="U29" i="6" s="1"/>
  <c r="U30" i="6" s="1"/>
  <c r="U31" i="6" s="1"/>
  <c r="U32" i="6" s="1"/>
  <c r="U33" i="6" s="1"/>
  <c r="U34" i="6" s="1"/>
  <c r="U35" i="6" s="1"/>
  <c r="U36" i="6" s="1"/>
  <c r="U37" i="6" s="1"/>
  <c r="U38" i="6" s="1"/>
  <c r="U39" i="6" s="1"/>
  <c r="U40" i="6" s="1"/>
  <c r="U41" i="6" s="1"/>
  <c r="U42" i="6" s="1"/>
  <c r="U43" i="6" s="1"/>
  <c r="U44" i="6" s="1"/>
  <c r="U45" i="6" s="1"/>
  <c r="U46" i="6" s="1"/>
  <c r="U47" i="6" s="1"/>
  <c r="P9" i="6"/>
  <c r="A2" i="43"/>
  <c r="B24" i="43"/>
  <c r="C24" i="43"/>
  <c r="D24" i="43"/>
  <c r="E24" i="43"/>
  <c r="F24" i="43"/>
  <c r="AM24" i="43"/>
  <c r="AL24" i="43"/>
  <c r="AK24" i="43"/>
  <c r="AJ24" i="43"/>
  <c r="AI24" i="43"/>
  <c r="AH24" i="43"/>
  <c r="AG24" i="43"/>
  <c r="AF24" i="43"/>
  <c r="AE24" i="43"/>
  <c r="AD24" i="43"/>
  <c r="AC24" i="43"/>
  <c r="AB24" i="43"/>
  <c r="AA24" i="43"/>
  <c r="Z24" i="43"/>
  <c r="Y24" i="43"/>
  <c r="X24" i="43"/>
  <c r="W24" i="43"/>
  <c r="V24" i="43"/>
  <c r="U24" i="43"/>
  <c r="T24" i="43"/>
  <c r="S24" i="43"/>
  <c r="R24" i="43"/>
  <c r="Q24" i="43"/>
  <c r="P24" i="43"/>
  <c r="O24" i="43"/>
  <c r="N24" i="43"/>
  <c r="M24" i="43"/>
  <c r="L24" i="43"/>
  <c r="K24" i="43"/>
  <c r="J24" i="43"/>
  <c r="I24" i="43"/>
  <c r="H24" i="43"/>
  <c r="G24" i="43"/>
  <c r="AN24" i="43"/>
  <c r="AO24" i="43"/>
  <c r="A3" i="8"/>
  <c r="A2" i="8"/>
  <c r="A1" i="8"/>
  <c r="A3" i="9"/>
  <c r="A2" i="9"/>
  <c r="A1" i="9"/>
  <c r="A3" i="6"/>
  <c r="A2" i="6"/>
  <c r="A1" i="6"/>
  <c r="A3" i="5"/>
  <c r="A2" i="5"/>
  <c r="A1" i="5"/>
  <c r="A2" i="4"/>
  <c r="A1" i="4"/>
  <c r="A3" i="43"/>
  <c r="A1" i="43"/>
  <c r="A2" i="2"/>
  <c r="A1" i="2"/>
  <c r="G40" i="9"/>
  <c r="H40" i="9"/>
  <c r="I40" i="9" s="1"/>
  <c r="J40" i="9" s="1"/>
  <c r="K40" i="9" s="1"/>
  <c r="L40" i="9" s="1"/>
  <c r="M40" i="9" s="1"/>
  <c r="N40" i="9" s="1"/>
  <c r="O40" i="9" s="1"/>
  <c r="P40" i="9" s="1"/>
  <c r="Q40" i="9" s="1"/>
  <c r="R40" i="9" s="1"/>
  <c r="S40" i="9" s="1"/>
  <c r="T40" i="9" s="1"/>
  <c r="U40" i="9" s="1"/>
  <c r="V40" i="9" s="1"/>
  <c r="W40" i="9" s="1"/>
  <c r="X40" i="9" s="1"/>
  <c r="Y40" i="9" s="1"/>
  <c r="Z40" i="9" s="1"/>
  <c r="AA40" i="9" s="1"/>
  <c r="AB40" i="9" s="1"/>
  <c r="AC40" i="9" s="1"/>
  <c r="AD40" i="9" s="1"/>
  <c r="AE40" i="9" s="1"/>
  <c r="AF40" i="9" s="1"/>
  <c r="A1" i="53"/>
  <c r="A3" i="53"/>
  <c r="H19" i="9"/>
  <c r="G8" i="9"/>
  <c r="G5" i="9" s="1"/>
  <c r="F7" i="9"/>
  <c r="E5" i="2"/>
  <c r="F5" i="2"/>
  <c r="F19" i="9"/>
  <c r="E31" i="9"/>
  <c r="E33" i="9" s="1"/>
  <c r="G19" i="9"/>
  <c r="H139" i="8"/>
  <c r="E32" i="9"/>
  <c r="E29" i="9"/>
  <c r="F27" i="9" s="1"/>
  <c r="H147" i="8"/>
  <c r="G31" i="2"/>
  <c r="G46" i="2" s="1"/>
  <c r="K22" i="6"/>
  <c r="U7" i="53"/>
  <c r="U6" i="53"/>
  <c r="V5" i="53"/>
  <c r="W10" i="53"/>
  <c r="V8" i="53"/>
  <c r="I10" i="5"/>
  <c r="AG29" i="2"/>
  <c r="X9" i="7" s="1"/>
  <c r="J8" i="5"/>
  <c r="J5" i="5"/>
  <c r="AI3" i="2"/>
  <c r="AJ3" i="2" s="1"/>
  <c r="AK3" i="2" s="1"/>
  <c r="AL3" i="2" s="1"/>
  <c r="I9" i="5"/>
  <c r="H5" i="2"/>
  <c r="K31" i="5"/>
  <c r="L31" i="5" s="1"/>
  <c r="M31" i="5" s="1"/>
  <c r="N31" i="5" s="1"/>
  <c r="O31" i="5" s="1"/>
  <c r="P31" i="5" s="1"/>
  <c r="Q31" i="5" s="1"/>
  <c r="R31" i="5" s="1"/>
  <c r="S31" i="5" s="1"/>
  <c r="T31" i="5" s="1"/>
  <c r="U31" i="5" s="1"/>
  <c r="V31" i="5" s="1"/>
  <c r="W31" i="5" s="1"/>
  <c r="X31" i="5" s="1"/>
  <c r="Y31" i="5" s="1"/>
  <c r="Z31" i="5" s="1"/>
  <c r="AA31" i="5" s="1"/>
  <c r="AB31" i="5" s="1"/>
  <c r="AC31" i="5" s="1"/>
  <c r="AD31" i="5" s="1"/>
  <c r="AE31" i="5" s="1"/>
  <c r="AF31" i="5" s="1"/>
  <c r="AG31" i="5" s="1"/>
  <c r="H8" i="5"/>
  <c r="K7" i="5"/>
  <c r="L7" i="5" s="1"/>
  <c r="K5" i="5"/>
  <c r="H9" i="5"/>
  <c r="H4" i="2"/>
  <c r="X10" i="53"/>
  <c r="W8" i="53"/>
  <c r="W5" i="53"/>
  <c r="V7" i="53"/>
  <c r="V6" i="53"/>
  <c r="K8" i="5"/>
  <c r="W7" i="53"/>
  <c r="W6" i="53"/>
  <c r="X8" i="53"/>
  <c r="X5" i="53"/>
  <c r="J135" i="8"/>
  <c r="J118" i="8"/>
  <c r="L138" i="8"/>
  <c r="K138" i="8"/>
  <c r="J137" i="8"/>
  <c r="X7" i="53"/>
  <c r="X6" i="53"/>
  <c r="L137" i="8"/>
  <c r="K137" i="8"/>
  <c r="J136" i="8"/>
  <c r="F16" i="53"/>
  <c r="F39" i="53" s="1"/>
  <c r="F47" i="53" s="1"/>
  <c r="E16" i="53"/>
  <c r="E24" i="53" s="1"/>
  <c r="M16" i="53"/>
  <c r="M24" i="53" s="1"/>
  <c r="K16" i="53"/>
  <c r="K24" i="53" s="1"/>
  <c r="I16" i="53"/>
  <c r="I24" i="53" s="1"/>
  <c r="H16" i="53"/>
  <c r="H39" i="53" s="1"/>
  <c r="H47" i="53" s="1"/>
  <c r="G16" i="53"/>
  <c r="G39" i="53" s="1"/>
  <c r="G47" i="53" s="1"/>
  <c r="J16" i="53"/>
  <c r="J39" i="53" s="1"/>
  <c r="J47" i="53" s="1"/>
  <c r="L16" i="53"/>
  <c r="L24" i="53" s="1"/>
  <c r="N16" i="53"/>
  <c r="N24" i="53" s="1"/>
  <c r="O16" i="53"/>
  <c r="O24" i="53" s="1"/>
  <c r="M118" i="8"/>
  <c r="P16" i="53"/>
  <c r="P24" i="53" s="1"/>
  <c r="Q16" i="53"/>
  <c r="Q24" i="53" s="1"/>
  <c r="N118" i="8"/>
  <c r="R16" i="53"/>
  <c r="R24" i="53" s="1"/>
  <c r="S16" i="53"/>
  <c r="S24" i="53" s="1"/>
  <c r="O118" i="8"/>
  <c r="T16" i="53"/>
  <c r="T24" i="53" s="1"/>
  <c r="P118" i="8"/>
  <c r="U16" i="53"/>
  <c r="U24" i="53" s="1"/>
  <c r="V16" i="53"/>
  <c r="V24" i="53" s="1"/>
  <c r="Q118" i="8"/>
  <c r="R118" i="8"/>
  <c r="W16" i="53"/>
  <c r="W39" i="53" s="1"/>
  <c r="W47" i="53" s="1"/>
  <c r="S118" i="8"/>
  <c r="X16" i="53"/>
  <c r="T118" i="8"/>
  <c r="U118" i="8"/>
  <c r="V118" i="8"/>
  <c r="W118" i="8"/>
  <c r="X118" i="8"/>
  <c r="Y118" i="8"/>
  <c r="Z118" i="8"/>
  <c r="AA118" i="8"/>
  <c r="K136" i="8"/>
  <c r="AB118" i="8"/>
  <c r="K118" i="8"/>
  <c r="K135" i="8"/>
  <c r="AC118" i="8"/>
  <c r="AD118" i="8"/>
  <c r="AE118" i="8"/>
  <c r="L118" i="8"/>
  <c r="L135" i="8"/>
  <c r="AF118" i="8"/>
  <c r="F48" i="53"/>
  <c r="L136" i="8"/>
  <c r="E17" i="53"/>
  <c r="G11" i="56"/>
  <c r="X7" i="7" l="1"/>
  <c r="X8" i="7" s="1"/>
  <c r="E8" i="73"/>
  <c r="K73" i="8"/>
  <c r="K77" i="8" s="1"/>
  <c r="K80" i="8" s="1"/>
  <c r="J77" i="8"/>
  <c r="J80" i="8" s="1"/>
  <c r="N36" i="2"/>
  <c r="M36" i="2"/>
  <c r="O36" i="2"/>
  <c r="L36" i="2"/>
  <c r="D42" i="7"/>
  <c r="D44" i="7" s="1"/>
  <c r="D48" i="7"/>
  <c r="D50" i="7" s="1"/>
  <c r="L8" i="5"/>
  <c r="M7" i="5"/>
  <c r="L5" i="5"/>
  <c r="H16" i="5"/>
  <c r="I19" i="5"/>
  <c r="T18" i="6"/>
  <c r="S14" i="6"/>
  <c r="S32" i="6"/>
  <c r="T32" i="6" s="1"/>
  <c r="R30" i="6"/>
  <c r="AO31" i="2"/>
  <c r="AO33" i="2" s="1"/>
  <c r="F46" i="2"/>
  <c r="F50" i="2" s="1"/>
  <c r="D33" i="2"/>
  <c r="D46" i="2"/>
  <c r="D50" i="2" s="1"/>
  <c r="M42" i="8"/>
  <c r="M47" i="8" s="1"/>
  <c r="M76" i="8"/>
  <c r="M82" i="8" s="1"/>
  <c r="H8" i="9"/>
  <c r="H7" i="9" s="1"/>
  <c r="G7" i="9"/>
  <c r="E34" i="9"/>
  <c r="F31" i="9" s="1"/>
  <c r="A3" i="63"/>
  <c r="A3" i="62"/>
  <c r="A3" i="2"/>
  <c r="A3" i="4" s="1"/>
  <c r="AP46" i="2"/>
  <c r="I31" i="5"/>
  <c r="AP31" i="2"/>
  <c r="AP33" i="2" s="1"/>
  <c r="C50" i="2"/>
  <c r="C57" i="2" s="1"/>
  <c r="C33" i="2"/>
  <c r="H31" i="5"/>
  <c r="F33" i="2"/>
  <c r="K23" i="8"/>
  <c r="K29" i="8" s="1"/>
  <c r="K31" i="8" s="1"/>
  <c r="L73" i="8"/>
  <c r="L77" i="8" s="1"/>
  <c r="L80" i="8" s="1"/>
  <c r="K38" i="8"/>
  <c r="AE4" i="4"/>
  <c r="AF6" i="4"/>
  <c r="AG6" i="4" s="1"/>
  <c r="AG4" i="4" s="1"/>
  <c r="AD4" i="4"/>
  <c r="R11" i="6"/>
  <c r="Q9" i="6"/>
  <c r="Q36" i="2" s="1"/>
  <c r="K13" i="6"/>
  <c r="F42" i="9"/>
  <c r="F21" i="9" s="1"/>
  <c r="F25" i="9" s="1"/>
  <c r="F28" i="9" s="1"/>
  <c r="F29" i="9" s="1"/>
  <c r="G27" i="9" s="1"/>
  <c r="H16" i="43"/>
  <c r="I16" i="43"/>
  <c r="K16" i="43"/>
  <c r="J16" i="43"/>
  <c r="E6" i="55"/>
  <c r="G12" i="43"/>
  <c r="D5" i="55"/>
  <c r="G16" i="43"/>
  <c r="G33" i="2"/>
  <c r="AG33" i="2" s="1"/>
  <c r="AG31" i="2"/>
  <c r="AG46" i="2" s="1"/>
  <c r="I6" i="2"/>
  <c r="I4" i="2" s="1"/>
  <c r="AF126" i="8"/>
  <c r="J37" i="6"/>
  <c r="J31" i="6"/>
  <c r="G9" i="5"/>
  <c r="G34" i="5" s="1"/>
  <c r="I12" i="6"/>
  <c r="I13" i="6" s="1"/>
  <c r="AP54" i="2"/>
  <c r="J9" i="2"/>
  <c r="H43" i="6"/>
  <c r="H12" i="5"/>
  <c r="I12" i="5"/>
  <c r="I30" i="6"/>
  <c r="G50" i="2"/>
  <c r="AP50" i="2" s="1"/>
  <c r="AF120" i="8"/>
  <c r="AF140" i="8" s="1"/>
  <c r="AF143" i="8" s="1"/>
  <c r="J23" i="6"/>
  <c r="J43" i="6"/>
  <c r="X10" i="7"/>
  <c r="X20" i="7" s="1"/>
  <c r="X21" i="7" s="1"/>
  <c r="K23" i="6"/>
  <c r="R24" i="6" s="1"/>
  <c r="K43" i="6"/>
  <c r="K31" i="6"/>
  <c r="K37" i="6"/>
  <c r="I39" i="53"/>
  <c r="I47" i="53" s="1"/>
  <c r="R39" i="53"/>
  <c r="R47" i="53" s="1"/>
  <c r="P39" i="53"/>
  <c r="P47" i="53" s="1"/>
  <c r="W24" i="53"/>
  <c r="J24" i="53"/>
  <c r="G24" i="53"/>
  <c r="AH7" i="7"/>
  <c r="T39" i="53"/>
  <c r="T47" i="53" s="1"/>
  <c r="U39" i="53"/>
  <c r="U47" i="53" s="1"/>
  <c r="Q39" i="53"/>
  <c r="Q47" i="53" s="1"/>
  <c r="K39" i="53"/>
  <c r="K47" i="53" s="1"/>
  <c r="F24" i="53"/>
  <c r="O39" i="53"/>
  <c r="O47" i="53" s="1"/>
  <c r="S39" i="53"/>
  <c r="S47" i="53" s="1"/>
  <c r="L39" i="53"/>
  <c r="L47" i="53" s="1"/>
  <c r="N39" i="53"/>
  <c r="N47" i="53" s="1"/>
  <c r="H24" i="53"/>
  <c r="M39" i="53"/>
  <c r="M47" i="53" s="1"/>
  <c r="X24" i="53"/>
  <c r="X39" i="53"/>
  <c r="X47" i="53" s="1"/>
  <c r="V39" i="53"/>
  <c r="V47" i="53" s="1"/>
  <c r="I28" i="5"/>
  <c r="H28" i="5"/>
  <c r="E39" i="53"/>
  <c r="E47" i="53" s="1"/>
  <c r="M25" i="8"/>
  <c r="M26" i="8"/>
  <c r="E8" i="74" l="1"/>
  <c r="E9" i="72"/>
  <c r="E16" i="73"/>
  <c r="E12" i="73"/>
  <c r="E23" i="73"/>
  <c r="E9" i="73"/>
  <c r="I34" i="5"/>
  <c r="I25" i="5"/>
  <c r="H34" i="5"/>
  <c r="H25" i="5"/>
  <c r="R36" i="2"/>
  <c r="AI36" i="2"/>
  <c r="P36" i="2"/>
  <c r="S36" i="2"/>
  <c r="X22" i="7"/>
  <c r="M5" i="5"/>
  <c r="M8" i="5"/>
  <c r="N7" i="5"/>
  <c r="S24" i="6"/>
  <c r="T24" i="6" s="1"/>
  <c r="R25" i="6"/>
  <c r="R26" i="6" s="1"/>
  <c r="T14" i="6"/>
  <c r="T12" i="6" s="1"/>
  <c r="S12" i="6"/>
  <c r="AO46" i="2"/>
  <c r="H5" i="9"/>
  <c r="I8" i="9"/>
  <c r="I5" i="9" s="1"/>
  <c r="C74" i="2"/>
  <c r="C71" i="2"/>
  <c r="I5" i="2"/>
  <c r="L23" i="8"/>
  <c r="M23" i="8" s="1"/>
  <c r="M73" i="8"/>
  <c r="M77" i="8" s="1"/>
  <c r="M80" i="8" s="1"/>
  <c r="K43" i="8"/>
  <c r="K46" i="8" s="1"/>
  <c r="L38" i="8"/>
  <c r="AH6" i="4"/>
  <c r="AI6" i="4" s="1"/>
  <c r="AI4" i="4" s="1"/>
  <c r="H6" i="4"/>
  <c r="AF4" i="4"/>
  <c r="G16" i="5"/>
  <c r="G19" i="5"/>
  <c r="G28" i="5"/>
  <c r="S11" i="6"/>
  <c r="R9" i="6"/>
  <c r="V36" i="2" s="1"/>
  <c r="P37" i="6"/>
  <c r="J13" i="6"/>
  <c r="F32" i="9"/>
  <c r="G33" i="9" s="1"/>
  <c r="E4" i="55"/>
  <c r="F6" i="55"/>
  <c r="E5" i="55"/>
  <c r="I22" i="6"/>
  <c r="I23" i="6" s="1"/>
  <c r="E31" i="2"/>
  <c r="AG50" i="2"/>
  <c r="AG57" i="2" s="1"/>
  <c r="X11" i="7"/>
  <c r="D57" i="2"/>
  <c r="D74" i="2" s="1"/>
  <c r="H30" i="6"/>
  <c r="I31" i="6" s="1"/>
  <c r="I37" i="6"/>
  <c r="I43" i="6"/>
  <c r="G57" i="2"/>
  <c r="X41" i="76" s="1"/>
  <c r="J3" i="2"/>
  <c r="J6" i="2"/>
  <c r="K9" i="2"/>
  <c r="I16" i="5"/>
  <c r="N16" i="5" s="1"/>
  <c r="O16" i="5" s="1"/>
  <c r="P16" i="5" s="1"/>
  <c r="Q16" i="5" s="1"/>
  <c r="R16" i="5" s="1"/>
  <c r="S16" i="5" s="1"/>
  <c r="T16" i="5" s="1"/>
  <c r="U16" i="5" s="1"/>
  <c r="V16" i="5" s="1"/>
  <c r="W16" i="5" s="1"/>
  <c r="X16" i="5" s="1"/>
  <c r="Y16" i="5" s="1"/>
  <c r="Z16" i="5" s="1"/>
  <c r="AA16" i="5" s="1"/>
  <c r="AB16" i="5" s="1"/>
  <c r="AC16" i="5" s="1"/>
  <c r="AD16" i="5" s="1"/>
  <c r="AE16" i="5" s="1"/>
  <c r="AF16" i="5" s="1"/>
  <c r="AG16" i="5" s="1"/>
  <c r="M28" i="8"/>
  <c r="M32" i="8" s="1"/>
  <c r="M34" i="8" s="1"/>
  <c r="E18" i="73" l="1"/>
  <c r="E10" i="72"/>
  <c r="E13" i="73"/>
  <c r="E25" i="74"/>
  <c r="E24" i="74"/>
  <c r="Z13" i="7"/>
  <c r="T36" i="2"/>
  <c r="W36" i="2"/>
  <c r="AJ36" i="2"/>
  <c r="U36" i="2"/>
  <c r="R22" i="6"/>
  <c r="AH4" i="4"/>
  <c r="N5" i="5"/>
  <c r="N8" i="5"/>
  <c r="O7" i="5"/>
  <c r="T30" i="6"/>
  <c r="T36" i="6"/>
  <c r="S36" i="6"/>
  <c r="S30" i="6"/>
  <c r="E33" i="2"/>
  <c r="E46" i="2"/>
  <c r="AG74" i="2"/>
  <c r="AG71" i="2"/>
  <c r="F57" i="2"/>
  <c r="W41" i="76" s="1"/>
  <c r="AO50" i="2"/>
  <c r="I7" i="9"/>
  <c r="J8" i="9"/>
  <c r="J5" i="9" s="1"/>
  <c r="F34" i="9"/>
  <c r="G31" i="9" s="1"/>
  <c r="G71" i="2"/>
  <c r="G74" i="2"/>
  <c r="L29" i="8"/>
  <c r="L31" i="8" s="1"/>
  <c r="M57" i="8" s="1"/>
  <c r="M63" i="8" s="1"/>
  <c r="M38" i="8"/>
  <c r="L43" i="8"/>
  <c r="L46" i="8" s="1"/>
  <c r="M22" i="8"/>
  <c r="M29" i="8"/>
  <c r="M31" i="8" s="1"/>
  <c r="M21" i="8"/>
  <c r="N23" i="8"/>
  <c r="M72" i="8"/>
  <c r="M71" i="8"/>
  <c r="N73" i="8"/>
  <c r="N77" i="8" s="1"/>
  <c r="H5" i="4"/>
  <c r="I6" i="4"/>
  <c r="H4" i="4"/>
  <c r="H7" i="4" s="1"/>
  <c r="T11" i="6"/>
  <c r="T9" i="6" s="1"/>
  <c r="S9" i="6"/>
  <c r="Q22" i="6"/>
  <c r="Q37" i="6"/>
  <c r="F5" i="55"/>
  <c r="G6" i="55"/>
  <c r="F4" i="55"/>
  <c r="E8" i="55"/>
  <c r="AP57" i="2"/>
  <c r="M22" i="5"/>
  <c r="R45" i="6"/>
  <c r="S45" i="6" s="1"/>
  <c r="T45" i="6" s="1"/>
  <c r="J5" i="2"/>
  <c r="J4" i="2"/>
  <c r="K6" i="2"/>
  <c r="K3" i="2"/>
  <c r="L9" i="2"/>
  <c r="Q20" i="6"/>
  <c r="H54" i="2"/>
  <c r="N25" i="8"/>
  <c r="N26" i="8"/>
  <c r="F8" i="55"/>
  <c r="E20" i="73" l="1"/>
  <c r="E11" i="72"/>
  <c r="E13" i="72" s="1"/>
  <c r="E19" i="73"/>
  <c r="AP71" i="2"/>
  <c r="D10" i="75"/>
  <c r="AA13" i="7"/>
  <c r="AK36" i="2"/>
  <c r="O5" i="5"/>
  <c r="O8" i="5"/>
  <c r="P7" i="5"/>
  <c r="AC36" i="2"/>
  <c r="AD36" i="2"/>
  <c r="AE36" i="2"/>
  <c r="AB36" i="2"/>
  <c r="Y36" i="2"/>
  <c r="X36" i="2"/>
  <c r="Z36" i="2"/>
  <c r="AA36" i="2"/>
  <c r="R44" i="6"/>
  <c r="S44" i="6" s="1"/>
  <c r="T44" i="6" s="1"/>
  <c r="Q42" i="6"/>
  <c r="S25" i="6"/>
  <c r="O22" i="6"/>
  <c r="K29" i="2" s="1"/>
  <c r="R20" i="6"/>
  <c r="S20" i="6" s="1"/>
  <c r="T20" i="6" s="1"/>
  <c r="Q16" i="6"/>
  <c r="E50" i="2"/>
  <c r="E57" i="2" s="1"/>
  <c r="F74" i="2"/>
  <c r="AO57" i="2"/>
  <c r="F71" i="2"/>
  <c r="K8" i="9"/>
  <c r="L8" i="9" s="1"/>
  <c r="J7" i="9"/>
  <c r="K5" i="9"/>
  <c r="E10" i="7"/>
  <c r="E24" i="62"/>
  <c r="N71" i="8"/>
  <c r="N83" i="8" s="1"/>
  <c r="O73" i="8"/>
  <c r="O77" i="8" s="1"/>
  <c r="N72" i="8"/>
  <c r="N29" i="8"/>
  <c r="N21" i="8"/>
  <c r="N22" i="8"/>
  <c r="O23" i="8"/>
  <c r="M37" i="8"/>
  <c r="M43" i="8"/>
  <c r="M46" i="8" s="1"/>
  <c r="H51" i="2" s="1"/>
  <c r="N38" i="8"/>
  <c r="M36" i="8"/>
  <c r="J6" i="4"/>
  <c r="I5" i="4"/>
  <c r="I4" i="4"/>
  <c r="I7" i="4" s="1"/>
  <c r="R37" i="6"/>
  <c r="D71" i="2"/>
  <c r="G5" i="55"/>
  <c r="G4" i="55"/>
  <c r="H6" i="55"/>
  <c r="O19" i="5"/>
  <c r="S19" i="5" s="1"/>
  <c r="W19" i="5" s="1"/>
  <c r="AA19" i="5" s="1"/>
  <c r="AE19" i="5" s="1"/>
  <c r="M9" i="2"/>
  <c r="L3" i="2"/>
  <c r="L6" i="2"/>
  <c r="L9" i="5"/>
  <c r="K9" i="5"/>
  <c r="K16" i="5" s="1"/>
  <c r="K4" i="2"/>
  <c r="K5" i="2"/>
  <c r="N28" i="8"/>
  <c r="N32" i="8" s="1"/>
  <c r="N34" i="8" s="1"/>
  <c r="H8" i="55"/>
  <c r="E40" i="53"/>
  <c r="N22" i="5"/>
  <c r="M28" i="5"/>
  <c r="G8" i="55"/>
  <c r="F77" i="2" l="1"/>
  <c r="C10" i="75"/>
  <c r="S37" i="2"/>
  <c r="R37" i="2"/>
  <c r="Q37" i="2"/>
  <c r="P37" i="2"/>
  <c r="AB13" i="7"/>
  <c r="AO71" i="2"/>
  <c r="C34" i="7"/>
  <c r="R16" i="6"/>
  <c r="S16" i="6" s="1"/>
  <c r="T16" i="6" s="1"/>
  <c r="T25" i="6"/>
  <c r="T22" i="6" s="1"/>
  <c r="S22" i="6"/>
  <c r="AM36" i="2"/>
  <c r="AL36" i="2"/>
  <c r="P5" i="5"/>
  <c r="P8" i="5"/>
  <c r="Q7" i="5"/>
  <c r="R42" i="6"/>
  <c r="E71" i="2"/>
  <c r="E74" i="2"/>
  <c r="K7" i="9"/>
  <c r="L5" i="9"/>
  <c r="L7" i="9"/>
  <c r="M8" i="9"/>
  <c r="O29" i="8"/>
  <c r="O22" i="8"/>
  <c r="O21" i="8"/>
  <c r="P23" i="8"/>
  <c r="O72" i="8"/>
  <c r="P73" i="8"/>
  <c r="P77" i="8" s="1"/>
  <c r="O71" i="8"/>
  <c r="N43" i="8"/>
  <c r="N36" i="8"/>
  <c r="O38" i="8"/>
  <c r="N37" i="8"/>
  <c r="J5" i="4"/>
  <c r="J4" i="4"/>
  <c r="J7" i="4" s="1"/>
  <c r="K6" i="4"/>
  <c r="L15" i="5"/>
  <c r="H7" i="62" s="1"/>
  <c r="B13" i="63" s="1"/>
  <c r="S37" i="6"/>
  <c r="J10" i="5"/>
  <c r="J31" i="2"/>
  <c r="L30" i="5" s="1"/>
  <c r="H32" i="62" s="1"/>
  <c r="K32" i="62" s="1"/>
  <c r="H19" i="4" s="1"/>
  <c r="M10" i="5"/>
  <c r="M18" i="5" s="1"/>
  <c r="L8" i="62" s="1"/>
  <c r="H5" i="55"/>
  <c r="I6" i="55"/>
  <c r="H4" i="55"/>
  <c r="C43" i="7"/>
  <c r="P19" i="5"/>
  <c r="T19" i="5" s="1"/>
  <c r="X19" i="5" s="1"/>
  <c r="AB19" i="5" s="1"/>
  <c r="AF19" i="5" s="1"/>
  <c r="P31" i="6"/>
  <c r="P43" i="6"/>
  <c r="Q13" i="6"/>
  <c r="L4" i="2"/>
  <c r="L5" i="2"/>
  <c r="J9" i="5"/>
  <c r="J16" i="5" s="1"/>
  <c r="M9" i="5"/>
  <c r="M15" i="5" s="1"/>
  <c r="L7" i="62" s="1"/>
  <c r="L11" i="5"/>
  <c r="M6" i="2"/>
  <c r="M3" i="2"/>
  <c r="N9" i="2"/>
  <c r="K10" i="5"/>
  <c r="I31" i="2"/>
  <c r="K30" i="5" s="1"/>
  <c r="N31" i="8"/>
  <c r="N64" i="8" s="1"/>
  <c r="F17" i="53"/>
  <c r="F40" i="53" s="1"/>
  <c r="O22" i="5"/>
  <c r="N28" i="5"/>
  <c r="W37" i="2" l="1"/>
  <c r="V37" i="2"/>
  <c r="U37" i="2"/>
  <c r="T37" i="2"/>
  <c r="AI8" i="62"/>
  <c r="F12" i="74" s="1"/>
  <c r="P9" i="8"/>
  <c r="AI7" i="62"/>
  <c r="F11" i="74" s="1"/>
  <c r="P6" i="8"/>
  <c r="AD13" i="7"/>
  <c r="AC13" i="7"/>
  <c r="T8" i="7"/>
  <c r="T11" i="7" s="1"/>
  <c r="G19" i="4"/>
  <c r="B38" i="63"/>
  <c r="G14" i="4"/>
  <c r="J19" i="5"/>
  <c r="J28" i="5"/>
  <c r="K19" i="5"/>
  <c r="K28" i="5"/>
  <c r="D13" i="63"/>
  <c r="Q8" i="5"/>
  <c r="R7" i="5"/>
  <c r="Q5" i="5"/>
  <c r="S42" i="6"/>
  <c r="N8" i="9"/>
  <c r="M7" i="9"/>
  <c r="M5" i="9"/>
  <c r="K7" i="62"/>
  <c r="H14" i="4" s="1"/>
  <c r="C36" i="7"/>
  <c r="P22" i="8"/>
  <c r="P21" i="8"/>
  <c r="Q23" i="8"/>
  <c r="Q73" i="8"/>
  <c r="Q77" i="8" s="1"/>
  <c r="P72" i="8"/>
  <c r="P71" i="8"/>
  <c r="O36" i="8"/>
  <c r="O43" i="8"/>
  <c r="P38" i="8"/>
  <c r="P43" i="8" s="1"/>
  <c r="O37" i="8"/>
  <c r="K5" i="4"/>
  <c r="L6" i="4"/>
  <c r="K4" i="4"/>
  <c r="K7" i="4" s="1"/>
  <c r="O9" i="8"/>
  <c r="O11" i="8" s="1"/>
  <c r="F15" i="53"/>
  <c r="L29" i="2"/>
  <c r="N10" i="5" s="1"/>
  <c r="P23" i="6"/>
  <c r="M11" i="5"/>
  <c r="M21" i="5" s="1"/>
  <c r="L10" i="62" s="1"/>
  <c r="AI10" i="62" s="1"/>
  <c r="H31" i="2"/>
  <c r="E12" i="43"/>
  <c r="E15" i="43"/>
  <c r="E17" i="43" s="1"/>
  <c r="L10" i="5"/>
  <c r="J6" i="55"/>
  <c r="I4" i="55"/>
  <c r="K31" i="2"/>
  <c r="Q31" i="6"/>
  <c r="Q43" i="6"/>
  <c r="Q23" i="6"/>
  <c r="F38" i="53"/>
  <c r="F46" i="53" s="1"/>
  <c r="F23" i="53"/>
  <c r="O9" i="2"/>
  <c r="N3" i="2"/>
  <c r="N6" i="2"/>
  <c r="M5" i="2"/>
  <c r="M4" i="2"/>
  <c r="G15" i="53"/>
  <c r="L19" i="2"/>
  <c r="L35" i="2"/>
  <c r="N11" i="5" s="1"/>
  <c r="M27" i="5"/>
  <c r="L31" i="62" s="1"/>
  <c r="AI31" i="62" s="1"/>
  <c r="F16" i="74" s="1"/>
  <c r="J33" i="2"/>
  <c r="I33" i="2"/>
  <c r="S26" i="6"/>
  <c r="M137" i="8"/>
  <c r="M125" i="8"/>
  <c r="G17" i="53"/>
  <c r="G40" i="53" s="1"/>
  <c r="J8" i="55"/>
  <c r="O28" i="5"/>
  <c r="I8" i="55"/>
  <c r="I19" i="9"/>
  <c r="J19" i="9"/>
  <c r="P22" i="5"/>
  <c r="D17" i="65" l="1"/>
  <c r="AA37" i="2"/>
  <c r="Z37" i="2"/>
  <c r="Y37" i="2"/>
  <c r="X37" i="2"/>
  <c r="M38" i="2"/>
  <c r="T12" i="7"/>
  <c r="T13" i="7" s="1"/>
  <c r="N47" i="62"/>
  <c r="L69" i="2"/>
  <c r="S7" i="5"/>
  <c r="R8" i="5"/>
  <c r="R5" i="5"/>
  <c r="T42" i="6"/>
  <c r="N7" i="9"/>
  <c r="O8" i="9"/>
  <c r="N5" i="9"/>
  <c r="D38" i="63"/>
  <c r="C35" i="7"/>
  <c r="O6" i="8"/>
  <c r="O8" i="8" s="1"/>
  <c r="O12" i="8" s="1"/>
  <c r="Q38" i="8"/>
  <c r="Q43" i="8" s="1"/>
  <c r="P37" i="8"/>
  <c r="P36" i="8"/>
  <c r="R23" i="8"/>
  <c r="Q29" i="8"/>
  <c r="Q21" i="8"/>
  <c r="Q22" i="8"/>
  <c r="Q71" i="8"/>
  <c r="R73" i="8"/>
  <c r="R77" i="8" s="1"/>
  <c r="Q72" i="8"/>
  <c r="L5" i="4"/>
  <c r="L4" i="4"/>
  <c r="L7" i="4" s="1"/>
  <c r="M6" i="4"/>
  <c r="L27" i="5"/>
  <c r="H31" i="62" s="1"/>
  <c r="L18" i="5"/>
  <c r="H8" i="62" s="1"/>
  <c r="B14" i="63" s="1"/>
  <c r="N27" i="5"/>
  <c r="M31" i="62" s="1"/>
  <c r="N18" i="5"/>
  <c r="M8" i="62" s="1"/>
  <c r="Q9" i="8" s="1"/>
  <c r="Q11" i="8" s="1"/>
  <c r="M30" i="5"/>
  <c r="J30" i="5"/>
  <c r="L21" i="5"/>
  <c r="H10" i="62" s="1"/>
  <c r="B16" i="63" s="1"/>
  <c r="T37" i="6"/>
  <c r="L31" i="2"/>
  <c r="H33" i="2"/>
  <c r="M12" i="5"/>
  <c r="K12" i="5"/>
  <c r="J12" i="5"/>
  <c r="R13" i="6"/>
  <c r="L12" i="5"/>
  <c r="J4" i="55"/>
  <c r="K6" i="55"/>
  <c r="K33" i="2"/>
  <c r="O3" i="2"/>
  <c r="P9" i="2"/>
  <c r="O6" i="2"/>
  <c r="R43" i="6"/>
  <c r="R31" i="6"/>
  <c r="R23" i="6"/>
  <c r="N9" i="5"/>
  <c r="M19" i="2"/>
  <c r="M35" i="2"/>
  <c r="O11" i="5" s="1"/>
  <c r="M29" i="2"/>
  <c r="N4" i="2"/>
  <c r="N5" i="2"/>
  <c r="G38" i="53"/>
  <c r="G46" i="53" s="1"/>
  <c r="G23" i="53"/>
  <c r="T26" i="6"/>
  <c r="P28" i="5"/>
  <c r="Q22" i="5"/>
  <c r="H17" i="53"/>
  <c r="H40" i="53" s="1"/>
  <c r="AE37" i="2" l="1"/>
  <c r="AD37" i="2"/>
  <c r="AC37" i="2"/>
  <c r="AB37" i="2"/>
  <c r="D16" i="65"/>
  <c r="P11" i="8"/>
  <c r="N38" i="2"/>
  <c r="O47" i="62"/>
  <c r="I15" i="4"/>
  <c r="I18" i="4"/>
  <c r="G18" i="4"/>
  <c r="B37" i="63"/>
  <c r="D37" i="63" s="1"/>
  <c r="G15" i="4"/>
  <c r="G17" i="4"/>
  <c r="M69" i="2"/>
  <c r="J25" i="5"/>
  <c r="J34" i="5"/>
  <c r="K25" i="5"/>
  <c r="K34" i="5"/>
  <c r="K8" i="62"/>
  <c r="H15" i="4" s="1"/>
  <c r="T7" i="5"/>
  <c r="S5" i="5"/>
  <c r="S8" i="5"/>
  <c r="D14" i="63"/>
  <c r="K31" i="62"/>
  <c r="H18" i="4" s="1"/>
  <c r="P8" i="9"/>
  <c r="O5" i="9"/>
  <c r="O7" i="9"/>
  <c r="E49" i="62"/>
  <c r="O26" i="8"/>
  <c r="R21" i="8"/>
  <c r="S23" i="8"/>
  <c r="R22" i="8"/>
  <c r="S73" i="8"/>
  <c r="S77" i="8" s="1"/>
  <c r="R72" i="8"/>
  <c r="R71" i="8"/>
  <c r="Q36" i="8"/>
  <c r="R38" i="8"/>
  <c r="R43" i="8" s="1"/>
  <c r="Q37" i="8"/>
  <c r="M4" i="4"/>
  <c r="M7" i="4" s="1"/>
  <c r="M5" i="4"/>
  <c r="N6" i="4"/>
  <c r="N15" i="5"/>
  <c r="M7" i="62" s="1"/>
  <c r="Q6" i="8" s="1"/>
  <c r="Q8" i="8" s="1"/>
  <c r="Q12" i="8" s="1"/>
  <c r="E15" i="53"/>
  <c r="N30" i="5"/>
  <c r="I21" i="9"/>
  <c r="I25" i="9" s="1"/>
  <c r="I28" i="9" s="1"/>
  <c r="L33" i="2"/>
  <c r="S13" i="6"/>
  <c r="K4" i="55"/>
  <c r="L6" i="55"/>
  <c r="N12" i="5"/>
  <c r="N21" i="5"/>
  <c r="M10" i="62" s="1"/>
  <c r="O4" i="2"/>
  <c r="O5" i="2"/>
  <c r="S23" i="6"/>
  <c r="O10" i="5"/>
  <c r="O18" i="5" s="1"/>
  <c r="N8" i="62" s="1"/>
  <c r="R9" i="8" s="1"/>
  <c r="R11" i="8" s="1"/>
  <c r="O9" i="5"/>
  <c r="M31" i="2"/>
  <c r="O30" i="5" s="1"/>
  <c r="Q9" i="2"/>
  <c r="P6" i="2"/>
  <c r="P3" i="2"/>
  <c r="N19" i="2"/>
  <c r="N35" i="2"/>
  <c r="P11" i="5" s="1"/>
  <c r="N29" i="2"/>
  <c r="P10" i="5" s="1"/>
  <c r="S31" i="6"/>
  <c r="S43" i="6"/>
  <c r="Q28" i="5"/>
  <c r="K8" i="55"/>
  <c r="L8" i="55"/>
  <c r="R22" i="5"/>
  <c r="I17" i="53"/>
  <c r="I40" i="53" s="1"/>
  <c r="L34" i="5" l="1"/>
  <c r="M34" i="5" s="1"/>
  <c r="N34" i="5" s="1"/>
  <c r="O34" i="5" s="1"/>
  <c r="P34" i="5" s="1"/>
  <c r="Q34" i="5" s="1"/>
  <c r="R34" i="5" s="1"/>
  <c r="S34" i="5" s="1"/>
  <c r="T34" i="5" s="1"/>
  <c r="U34" i="5" s="1"/>
  <c r="D15" i="65"/>
  <c r="M33" i="5"/>
  <c r="L33" i="62" s="1"/>
  <c r="AI33" i="62" s="1"/>
  <c r="F17" i="74" s="1"/>
  <c r="F18" i="74" s="1"/>
  <c r="M25" i="5"/>
  <c r="N25" i="5" s="1"/>
  <c r="O25" i="5" s="1"/>
  <c r="P25" i="5" s="1"/>
  <c r="Q25" i="5" s="1"/>
  <c r="R25" i="5" s="1"/>
  <c r="S25" i="5" s="1"/>
  <c r="T25" i="5" s="1"/>
  <c r="U25" i="5" s="1"/>
  <c r="V25" i="5" s="1"/>
  <c r="W25" i="5" s="1"/>
  <c r="X25" i="5" s="1"/>
  <c r="Y25" i="5" s="1"/>
  <c r="Z25" i="5" s="1"/>
  <c r="AA25" i="5" s="1"/>
  <c r="AB25" i="5" s="1"/>
  <c r="AC25" i="5" s="1"/>
  <c r="AD25" i="5" s="1"/>
  <c r="AE25" i="5" s="1"/>
  <c r="AF25" i="5" s="1"/>
  <c r="AG25" i="5" s="1"/>
  <c r="P8" i="8"/>
  <c r="P12" i="8" s="1"/>
  <c r="N24" i="5"/>
  <c r="M9" i="62" s="1"/>
  <c r="M24" i="5"/>
  <c r="L9" i="62" s="1"/>
  <c r="AI9" i="62" s="1"/>
  <c r="F13" i="74" s="1"/>
  <c r="P47" i="62"/>
  <c r="AJ47" i="62" s="1"/>
  <c r="O38" i="2"/>
  <c r="I14" i="4"/>
  <c r="I17" i="4"/>
  <c r="J15" i="4"/>
  <c r="N69" i="2"/>
  <c r="L33" i="5"/>
  <c r="H33" i="62" s="1"/>
  <c r="T8" i="5"/>
  <c r="T5" i="5"/>
  <c r="U7" i="5"/>
  <c r="K10" i="62"/>
  <c r="H17" i="4" s="1"/>
  <c r="D16" i="63"/>
  <c r="P5" i="9"/>
  <c r="P7" i="9"/>
  <c r="Q8" i="9"/>
  <c r="E35" i="62"/>
  <c r="E42" i="62" s="1"/>
  <c r="E50" i="62" s="1"/>
  <c r="O28" i="8"/>
  <c r="O32" i="8" s="1"/>
  <c r="S71" i="8"/>
  <c r="S72" i="8"/>
  <c r="T73" i="8"/>
  <c r="T77" i="8" s="1"/>
  <c r="S38" i="8"/>
  <c r="S43" i="8" s="1"/>
  <c r="R37" i="8"/>
  <c r="R36" i="8"/>
  <c r="S22" i="8"/>
  <c r="S21" i="8"/>
  <c r="T23" i="8"/>
  <c r="M136" i="8"/>
  <c r="O6" i="4"/>
  <c r="N4" i="4"/>
  <c r="N7" i="4" s="1"/>
  <c r="N5" i="4"/>
  <c r="M90" i="8"/>
  <c r="P27" i="5"/>
  <c r="O31" i="62" s="1"/>
  <c r="P18" i="5"/>
  <c r="O8" i="62" s="1"/>
  <c r="S9" i="8" s="1"/>
  <c r="S11" i="8" s="1"/>
  <c r="O15" i="5"/>
  <c r="N7" i="62" s="1"/>
  <c r="R6" i="8" s="1"/>
  <c r="R8" i="8" s="1"/>
  <c r="R12" i="8" s="1"/>
  <c r="E23" i="53"/>
  <c r="E38" i="53"/>
  <c r="E46" i="53" s="1"/>
  <c r="N33" i="5"/>
  <c r="M33" i="62" s="1"/>
  <c r="V34" i="5"/>
  <c r="T23" i="6"/>
  <c r="T13" i="6"/>
  <c r="M6" i="55"/>
  <c r="L4" i="55"/>
  <c r="P12" i="5"/>
  <c r="P24" i="5" s="1"/>
  <c r="O9" i="62" s="1"/>
  <c r="P9" i="5"/>
  <c r="N31" i="2"/>
  <c r="O19" i="2"/>
  <c r="O35" i="2"/>
  <c r="Q11" i="5" s="1"/>
  <c r="O29" i="2"/>
  <c r="Q10" i="5" s="1"/>
  <c r="Q3" i="2"/>
  <c r="Q6" i="2"/>
  <c r="R9" i="2"/>
  <c r="O12" i="5"/>
  <c r="O24" i="5" s="1"/>
  <c r="N9" i="62" s="1"/>
  <c r="O27" i="5"/>
  <c r="N31" i="62" s="1"/>
  <c r="J18" i="4" s="1"/>
  <c r="P5" i="2"/>
  <c r="P4" i="2"/>
  <c r="T43" i="6"/>
  <c r="T31" i="6"/>
  <c r="M33" i="2"/>
  <c r="O21" i="5"/>
  <c r="N10" i="62" s="1"/>
  <c r="J17" i="53"/>
  <c r="J40" i="53" s="1"/>
  <c r="S22" i="5"/>
  <c r="M8" i="55"/>
  <c r="R28" i="5"/>
  <c r="L24" i="5" l="1"/>
  <c r="H9" i="62" s="1"/>
  <c r="B15" i="63" s="1"/>
  <c r="D15" i="63" s="1"/>
  <c r="I16" i="4"/>
  <c r="P38" i="2"/>
  <c r="K16" i="4"/>
  <c r="Q47" i="62"/>
  <c r="K15" i="4"/>
  <c r="J16" i="4"/>
  <c r="I20" i="4"/>
  <c r="K18" i="4"/>
  <c r="J17" i="4"/>
  <c r="J14" i="4"/>
  <c r="G20" i="4"/>
  <c r="B39" i="63"/>
  <c r="B41" i="63" s="1"/>
  <c r="O69" i="2"/>
  <c r="U8" i="5"/>
  <c r="V7" i="5"/>
  <c r="U5" i="5"/>
  <c r="K33" i="62"/>
  <c r="Q5" i="9"/>
  <c r="R8" i="9"/>
  <c r="Q7" i="9"/>
  <c r="H35" i="62"/>
  <c r="O31" i="8"/>
  <c r="O64" i="8" s="1"/>
  <c r="O34" i="8"/>
  <c r="S36" i="8"/>
  <c r="T38" i="8"/>
  <c r="T43" i="8" s="1"/>
  <c r="S37" i="8"/>
  <c r="T22" i="8"/>
  <c r="T21" i="8"/>
  <c r="U23" i="8"/>
  <c r="U73" i="8"/>
  <c r="U77" i="8" s="1"/>
  <c r="T72" i="8"/>
  <c r="T71" i="8"/>
  <c r="O5" i="4"/>
  <c r="P6" i="4"/>
  <c r="O4" i="4"/>
  <c r="O7" i="4" s="1"/>
  <c r="Q27" i="5"/>
  <c r="P31" i="62" s="1"/>
  <c r="Q18" i="5"/>
  <c r="P8" i="62" s="1"/>
  <c r="T9" i="8" s="1"/>
  <c r="T11" i="8" s="1"/>
  <c r="H15" i="53"/>
  <c r="H23" i="53" s="1"/>
  <c r="P15" i="5"/>
  <c r="O7" i="62" s="1"/>
  <c r="S6" i="8" s="1"/>
  <c r="S8" i="8" s="1"/>
  <c r="S12" i="8" s="1"/>
  <c r="O33" i="5"/>
  <c r="N33" i="62" s="1"/>
  <c r="P33" i="5"/>
  <c r="O33" i="62" s="1"/>
  <c r="W34" i="5"/>
  <c r="N33" i="2"/>
  <c r="P30" i="5"/>
  <c r="N6" i="55"/>
  <c r="M4" i="55"/>
  <c r="P21" i="5"/>
  <c r="O10" i="62" s="1"/>
  <c r="Q5" i="2"/>
  <c r="Q4" i="2"/>
  <c r="P19" i="2"/>
  <c r="P35" i="2"/>
  <c r="R11" i="5" s="1"/>
  <c r="P29" i="2"/>
  <c r="R6" i="2"/>
  <c r="R3" i="2"/>
  <c r="S9" i="2"/>
  <c r="Q12" i="5"/>
  <c r="Q24" i="5" s="1"/>
  <c r="P9" i="62" s="1"/>
  <c r="AJ9" i="62" s="1"/>
  <c r="Q9" i="5"/>
  <c r="O31" i="2"/>
  <c r="S28" i="5"/>
  <c r="K17" i="53"/>
  <c r="K40" i="53" s="1"/>
  <c r="T22" i="5"/>
  <c r="G16" i="4" l="1"/>
  <c r="O136" i="8" s="1"/>
  <c r="K38" i="62"/>
  <c r="K9" i="62"/>
  <c r="AJ8" i="62"/>
  <c r="G12" i="74" s="1"/>
  <c r="Q38" i="2"/>
  <c r="L18" i="4"/>
  <c r="AJ31" i="62"/>
  <c r="G16" i="74" s="1"/>
  <c r="R47" i="62"/>
  <c r="K20" i="4"/>
  <c r="N35" i="62"/>
  <c r="J20" i="4"/>
  <c r="R136" i="8" s="1"/>
  <c r="L15" i="4"/>
  <c r="L16" i="4"/>
  <c r="K14" i="4"/>
  <c r="K17" i="4"/>
  <c r="K35" i="62"/>
  <c r="H20" i="4"/>
  <c r="P69" i="2"/>
  <c r="V8" i="5"/>
  <c r="V5" i="5"/>
  <c r="W7" i="5"/>
  <c r="R7" i="9"/>
  <c r="S8" i="9"/>
  <c r="R5" i="9"/>
  <c r="D39" i="63"/>
  <c r="D41" i="63" s="1"/>
  <c r="H42" i="62"/>
  <c r="B47" i="63"/>
  <c r="N136" i="8"/>
  <c r="Q136" i="8"/>
  <c r="U21" i="8"/>
  <c r="V23" i="8"/>
  <c r="U22" i="8"/>
  <c r="T37" i="8"/>
  <c r="T36" i="8"/>
  <c r="U38" i="8"/>
  <c r="U43" i="8" s="1"/>
  <c r="U71" i="8"/>
  <c r="V73" i="8"/>
  <c r="V77" i="8" s="1"/>
  <c r="U72" i="8"/>
  <c r="Q6" i="4"/>
  <c r="P5" i="4"/>
  <c r="P4" i="4"/>
  <c r="P7" i="4" s="1"/>
  <c r="I15" i="53"/>
  <c r="I23" i="53" s="1"/>
  <c r="H38" i="53"/>
  <c r="H46" i="53" s="1"/>
  <c r="Q15" i="5"/>
  <c r="P7" i="62" s="1"/>
  <c r="T6" i="8" s="1"/>
  <c r="T8" i="8" s="1"/>
  <c r="T12" i="8" s="1"/>
  <c r="Q33" i="5"/>
  <c r="P33" i="62" s="1"/>
  <c r="X34" i="5"/>
  <c r="O33" i="2"/>
  <c r="Q30" i="5"/>
  <c r="O6" i="55"/>
  <c r="N4" i="55"/>
  <c r="R4" i="2"/>
  <c r="R5" i="2"/>
  <c r="R10" i="5"/>
  <c r="R18" i="5" s="1"/>
  <c r="Q8" i="62" s="1"/>
  <c r="U9" i="8" s="1"/>
  <c r="U11" i="8" s="1"/>
  <c r="Q19" i="2"/>
  <c r="Q35" i="2"/>
  <c r="S11" i="5" s="1"/>
  <c r="Q29" i="2"/>
  <c r="S10" i="5" s="1"/>
  <c r="Q21" i="5"/>
  <c r="P10" i="62" s="1"/>
  <c r="AJ10" i="62" s="1"/>
  <c r="G13" i="74" s="1"/>
  <c r="F14" i="74" s="1"/>
  <c r="F20" i="74" s="1"/>
  <c r="F21" i="74" s="1"/>
  <c r="R9" i="5"/>
  <c r="P31" i="2"/>
  <c r="R30" i="5" s="1"/>
  <c r="S6" i="2"/>
  <c r="T9" i="2"/>
  <c r="S3" i="2"/>
  <c r="N8" i="55"/>
  <c r="T28" i="5"/>
  <c r="U22" i="5"/>
  <c r="L17" i="53"/>
  <c r="L40" i="53" s="1"/>
  <c r="H16" i="4" l="1"/>
  <c r="P136" i="8" s="1"/>
  <c r="R38" i="2"/>
  <c r="L14" i="4"/>
  <c r="AJ7" i="62"/>
  <c r="G11" i="74" s="1"/>
  <c r="G14" i="74" s="1"/>
  <c r="L20" i="4"/>
  <c r="AJ33" i="62"/>
  <c r="G17" i="74" s="1"/>
  <c r="G18" i="74" s="1"/>
  <c r="S47" i="62"/>
  <c r="M15" i="4"/>
  <c r="L17" i="4"/>
  <c r="Q69" i="2"/>
  <c r="W8" i="5"/>
  <c r="X7" i="5"/>
  <c r="W5" i="5"/>
  <c r="S5" i="9"/>
  <c r="T8" i="9"/>
  <c r="S7" i="9"/>
  <c r="U36" i="8"/>
  <c r="V38" i="8"/>
  <c r="V43" i="8" s="1"/>
  <c r="U37" i="8"/>
  <c r="W73" i="8"/>
  <c r="W77" i="8" s="1"/>
  <c r="V72" i="8"/>
  <c r="V71" i="8"/>
  <c r="V21" i="8"/>
  <c r="V22" i="8"/>
  <c r="W23" i="8"/>
  <c r="Q5" i="4"/>
  <c r="R6" i="4"/>
  <c r="Q4" i="4"/>
  <c r="Q7" i="4" s="1"/>
  <c r="I38" i="53"/>
  <c r="I46" i="53" s="1"/>
  <c r="J15" i="53"/>
  <c r="J38" i="53" s="1"/>
  <c r="J46" i="53" s="1"/>
  <c r="S27" i="5"/>
  <c r="R31" i="62" s="1"/>
  <c r="S18" i="5"/>
  <c r="R8" i="62" s="1"/>
  <c r="V9" i="8" s="1"/>
  <c r="V11" i="8" s="1"/>
  <c r="J23" i="53"/>
  <c r="R15" i="5"/>
  <c r="Q7" i="62" s="1"/>
  <c r="U6" i="8" s="1"/>
  <c r="U8" i="8" s="1"/>
  <c r="U12" i="8" s="1"/>
  <c r="Y34" i="5"/>
  <c r="O4" i="55"/>
  <c r="P6" i="55"/>
  <c r="T6" i="2"/>
  <c r="U9" i="2"/>
  <c r="T3" i="2"/>
  <c r="P33" i="2"/>
  <c r="S5" i="2"/>
  <c r="S4" i="2"/>
  <c r="R19" i="2"/>
  <c r="R35" i="2"/>
  <c r="T11" i="5" s="1"/>
  <c r="R29" i="2"/>
  <c r="T10" i="5" s="1"/>
  <c r="R21" i="5"/>
  <c r="Q10" i="62" s="1"/>
  <c r="S12" i="5"/>
  <c r="S24" i="5" s="1"/>
  <c r="R9" i="62" s="1"/>
  <c r="S9" i="5"/>
  <c r="Q31" i="2"/>
  <c r="R12" i="5"/>
  <c r="R24" i="5" s="1"/>
  <c r="Q9" i="62" s="1"/>
  <c r="R27" i="5"/>
  <c r="Q31" i="62" s="1"/>
  <c r="O8" i="55"/>
  <c r="U28" i="5"/>
  <c r="M17" i="53"/>
  <c r="M40" i="53" s="1"/>
  <c r="P8" i="55"/>
  <c r="V22" i="5"/>
  <c r="G20" i="74" l="1"/>
  <c r="G21" i="74" s="1"/>
  <c r="D30" i="70" s="1"/>
  <c r="N15" i="4"/>
  <c r="M14" i="4"/>
  <c r="T47" i="62"/>
  <c r="AK47" i="62" s="1"/>
  <c r="S38" i="2"/>
  <c r="M18" i="4"/>
  <c r="N16" i="4"/>
  <c r="M16" i="4"/>
  <c r="N18" i="4"/>
  <c r="M17" i="4"/>
  <c r="R69" i="2"/>
  <c r="X5" i="5"/>
  <c r="X8" i="5"/>
  <c r="Y7" i="5"/>
  <c r="T5" i="9"/>
  <c r="U8" i="9"/>
  <c r="T7" i="9"/>
  <c r="S136" i="8"/>
  <c r="V37" i="8"/>
  <c r="V36" i="8"/>
  <c r="W38" i="8"/>
  <c r="W43" i="8" s="1"/>
  <c r="W71" i="8"/>
  <c r="X73" i="8"/>
  <c r="X77" i="8" s="1"/>
  <c r="W72" i="8"/>
  <c r="W22" i="8"/>
  <c r="X23" i="8"/>
  <c r="W21" i="8"/>
  <c r="R4" i="4"/>
  <c r="R7" i="4" s="1"/>
  <c r="R5" i="4"/>
  <c r="S6" i="4"/>
  <c r="K15" i="53"/>
  <c r="K38" i="53" s="1"/>
  <c r="K46" i="53" s="1"/>
  <c r="T27" i="5"/>
  <c r="S31" i="62" s="1"/>
  <c r="O18" i="4" s="1"/>
  <c r="T18" i="5"/>
  <c r="S8" i="62" s="1"/>
  <c r="W9" i="8" s="1"/>
  <c r="W11" i="8" s="1"/>
  <c r="K23" i="53"/>
  <c r="S15" i="5"/>
  <c r="R7" i="62" s="1"/>
  <c r="V6" i="8" s="1"/>
  <c r="V8" i="8" s="1"/>
  <c r="V12" i="8" s="1"/>
  <c r="R33" i="5"/>
  <c r="Q33" i="62" s="1"/>
  <c r="M20" i="4" s="1"/>
  <c r="S33" i="5"/>
  <c r="R33" i="62" s="1"/>
  <c r="Z34" i="5"/>
  <c r="Q33" i="2"/>
  <c r="S30" i="5"/>
  <c r="P4" i="55"/>
  <c r="Q6" i="55"/>
  <c r="T12" i="5"/>
  <c r="S19" i="2"/>
  <c r="S35" i="2"/>
  <c r="U11" i="5" s="1"/>
  <c r="S29" i="2"/>
  <c r="T5" i="2"/>
  <c r="T4" i="2"/>
  <c r="T9" i="5"/>
  <c r="R31" i="2"/>
  <c r="T30" i="5" s="1"/>
  <c r="S21" i="5"/>
  <c r="R10" i="62" s="1"/>
  <c r="N17" i="4" s="1"/>
  <c r="U6" i="2"/>
  <c r="V9" i="2"/>
  <c r="U3" i="2"/>
  <c r="V28" i="5"/>
  <c r="W22" i="5"/>
  <c r="Q8" i="55"/>
  <c r="N17" i="53"/>
  <c r="N40" i="53" s="1"/>
  <c r="N14" i="4" l="1"/>
  <c r="T38" i="2"/>
  <c r="U47" i="62"/>
  <c r="N20" i="4"/>
  <c r="O15" i="4"/>
  <c r="S69" i="2"/>
  <c r="T33" i="5"/>
  <c r="S33" i="62" s="1"/>
  <c r="O20" i="4" s="1"/>
  <c r="T24" i="5"/>
  <c r="S9" i="62" s="1"/>
  <c r="Y5" i="5"/>
  <c r="Z7" i="5"/>
  <c r="Y8" i="5"/>
  <c r="V8" i="9"/>
  <c r="U7" i="9"/>
  <c r="U5" i="9"/>
  <c r="X21" i="8"/>
  <c r="X22" i="8"/>
  <c r="Y23" i="8"/>
  <c r="Y73" i="8"/>
  <c r="Y77" i="8" s="1"/>
  <c r="X72" i="8"/>
  <c r="X71" i="8"/>
  <c r="W36" i="8"/>
  <c r="X38" i="8"/>
  <c r="X43" i="8" s="1"/>
  <c r="W37" i="8"/>
  <c r="S4" i="4"/>
  <c r="S7" i="4" s="1"/>
  <c r="T6" i="4"/>
  <c r="S5" i="4"/>
  <c r="AI7" i="7"/>
  <c r="T136" i="8"/>
  <c r="L15" i="53"/>
  <c r="T15" i="5"/>
  <c r="S7" i="62" s="1"/>
  <c r="W6" i="8" s="1"/>
  <c r="W8" i="8" s="1"/>
  <c r="W12" i="8" s="1"/>
  <c r="AA34" i="5"/>
  <c r="R6" i="55"/>
  <c r="Q4" i="55"/>
  <c r="U4" i="2"/>
  <c r="U5" i="2"/>
  <c r="U10" i="5"/>
  <c r="U18" i="5" s="1"/>
  <c r="T8" i="62" s="1"/>
  <c r="X9" i="8" s="1"/>
  <c r="X11" i="8" s="1"/>
  <c r="U9" i="5"/>
  <c r="S31" i="2"/>
  <c r="T19" i="2"/>
  <c r="T35" i="2"/>
  <c r="V11" i="5" s="1"/>
  <c r="T29" i="2"/>
  <c r="V6" i="2"/>
  <c r="W9" i="2"/>
  <c r="V3" i="2"/>
  <c r="R33" i="2"/>
  <c r="T21" i="5"/>
  <c r="S10" i="62" s="1"/>
  <c r="O17" i="4" s="1"/>
  <c r="X22" i="5"/>
  <c r="O17" i="53"/>
  <c r="O40" i="53" s="1"/>
  <c r="W28" i="5"/>
  <c r="R8" i="55"/>
  <c r="U38" i="2" l="1"/>
  <c r="P15" i="4"/>
  <c r="AK8" i="62"/>
  <c r="H12" i="74" s="1"/>
  <c r="V47" i="62"/>
  <c r="O16" i="4"/>
  <c r="O14" i="4"/>
  <c r="T69" i="2"/>
  <c r="AA7" i="5"/>
  <c r="Z5" i="5"/>
  <c r="Z8" i="5"/>
  <c r="V136" i="8"/>
  <c r="W8" i="9"/>
  <c r="V7" i="9"/>
  <c r="V5" i="9"/>
  <c r="Y72" i="8"/>
  <c r="Y71" i="8"/>
  <c r="Z73" i="8"/>
  <c r="Z77" i="8" s="1"/>
  <c r="X37" i="8"/>
  <c r="X36" i="8"/>
  <c r="Y38" i="8"/>
  <c r="Y43" i="8" s="1"/>
  <c r="Y21" i="8"/>
  <c r="Z23" i="8"/>
  <c r="Y22" i="8"/>
  <c r="U136" i="8"/>
  <c r="T4" i="4"/>
  <c r="T7" i="4" s="1"/>
  <c r="U6" i="4"/>
  <c r="T5" i="4"/>
  <c r="L38" i="53"/>
  <c r="L46" i="53" s="1"/>
  <c r="L23" i="53"/>
  <c r="M15" i="53"/>
  <c r="U15" i="5"/>
  <c r="T7" i="62" s="1"/>
  <c r="X6" i="8" s="1"/>
  <c r="X8" i="8" s="1"/>
  <c r="X12" i="8" s="1"/>
  <c r="AB34" i="5"/>
  <c r="S33" i="2"/>
  <c r="U30" i="5"/>
  <c r="U21" i="5"/>
  <c r="T10" i="62" s="1"/>
  <c r="AK10" i="62" s="1"/>
  <c r="S6" i="55"/>
  <c r="R4" i="55"/>
  <c r="U12" i="5"/>
  <c r="U24" i="5" s="1"/>
  <c r="T9" i="62" s="1"/>
  <c r="AK9" i="62" s="1"/>
  <c r="U27" i="5"/>
  <c r="T31" i="62" s="1"/>
  <c r="X9" i="2"/>
  <c r="W3" i="2"/>
  <c r="W6" i="2"/>
  <c r="V10" i="5"/>
  <c r="V18" i="5" s="1"/>
  <c r="U8" i="62" s="1"/>
  <c r="Y9" i="8" s="1"/>
  <c r="Y11" i="8" s="1"/>
  <c r="V9" i="5"/>
  <c r="T31" i="2"/>
  <c r="V30" i="5" s="1"/>
  <c r="V5" i="2"/>
  <c r="V4" i="2"/>
  <c r="U19" i="2"/>
  <c r="U35" i="2"/>
  <c r="W11" i="5" s="1"/>
  <c r="U29" i="2"/>
  <c r="W10" i="5" s="1"/>
  <c r="W18" i="5" s="1"/>
  <c r="V8" i="62" s="1"/>
  <c r="Z9" i="8" s="1"/>
  <c r="Z11" i="8" s="1"/>
  <c r="X28" i="5"/>
  <c r="P17" i="53"/>
  <c r="P40" i="53" s="1"/>
  <c r="Y22" i="5"/>
  <c r="H13" i="74" l="1"/>
  <c r="Q15" i="4"/>
  <c r="V38" i="2"/>
  <c r="P18" i="4"/>
  <c r="AK31" i="62"/>
  <c r="H16" i="74" s="1"/>
  <c r="P14" i="4"/>
  <c r="AK7" i="62"/>
  <c r="H11" i="74" s="1"/>
  <c r="W47" i="62"/>
  <c r="P17" i="4"/>
  <c r="R15" i="4"/>
  <c r="P16" i="4"/>
  <c r="U69" i="2"/>
  <c r="AA8" i="5"/>
  <c r="AB7" i="5"/>
  <c r="AA5" i="5"/>
  <c r="X8" i="9"/>
  <c r="W7" i="9"/>
  <c r="W5" i="9"/>
  <c r="Y36" i="8"/>
  <c r="Z38" i="8"/>
  <c r="Z43" i="8" s="1"/>
  <c r="Y37" i="8"/>
  <c r="AA73" i="8"/>
  <c r="AA77" i="8" s="1"/>
  <c r="Z72" i="8"/>
  <c r="Z71" i="8"/>
  <c r="Z22" i="8"/>
  <c r="AA23" i="8"/>
  <c r="Z21" i="8"/>
  <c r="U4" i="4"/>
  <c r="U7" i="4" s="1"/>
  <c r="V6" i="4"/>
  <c r="U5" i="4"/>
  <c r="N15" i="53"/>
  <c r="N23" i="53" s="1"/>
  <c r="M38" i="53"/>
  <c r="M46" i="53" s="1"/>
  <c r="M23" i="53"/>
  <c r="N38" i="53"/>
  <c r="N46" i="53" s="1"/>
  <c r="V15" i="5"/>
  <c r="U7" i="62" s="1"/>
  <c r="Y6" i="8" s="1"/>
  <c r="Y8" i="8" s="1"/>
  <c r="Y12" i="8" s="1"/>
  <c r="U33" i="5"/>
  <c r="T33" i="62" s="1"/>
  <c r="AK33" i="62" s="1"/>
  <c r="H17" i="74" s="1"/>
  <c r="AC34" i="5"/>
  <c r="T6" i="55"/>
  <c r="S4" i="55"/>
  <c r="W12" i="5"/>
  <c r="W24" i="5" s="1"/>
  <c r="V9" i="62" s="1"/>
  <c r="W27" i="5"/>
  <c r="V31" i="62" s="1"/>
  <c r="W4" i="2"/>
  <c r="W5" i="2"/>
  <c r="V21" i="5"/>
  <c r="U10" i="62" s="1"/>
  <c r="V19" i="2"/>
  <c r="V35" i="2"/>
  <c r="X11" i="5" s="1"/>
  <c r="V29" i="2"/>
  <c r="X10" i="5" s="1"/>
  <c r="V12" i="5"/>
  <c r="V24" i="5" s="1"/>
  <c r="U9" i="62" s="1"/>
  <c r="V27" i="5"/>
  <c r="U31" i="62" s="1"/>
  <c r="Q18" i="4" s="1"/>
  <c r="W9" i="5"/>
  <c r="U31" i="2"/>
  <c r="T33" i="2"/>
  <c r="Y9" i="2"/>
  <c r="X3" i="2"/>
  <c r="X6" i="2"/>
  <c r="S8" i="55"/>
  <c r="Y28" i="5"/>
  <c r="T8" i="55"/>
  <c r="Q17" i="53"/>
  <c r="Q40" i="53" s="1"/>
  <c r="Z22" i="5"/>
  <c r="H18" i="74" l="1"/>
  <c r="H14" i="74"/>
  <c r="Q14" i="4"/>
  <c r="X47" i="62"/>
  <c r="AL47" i="62" s="1"/>
  <c r="W38" i="2"/>
  <c r="R16" i="4"/>
  <c r="R18" i="4"/>
  <c r="W136" i="8"/>
  <c r="P20" i="4"/>
  <c r="Q16" i="4"/>
  <c r="Q17" i="4"/>
  <c r="V69" i="2"/>
  <c r="AB8" i="5"/>
  <c r="AB5" i="5"/>
  <c r="AC7" i="5"/>
  <c r="X5" i="9"/>
  <c r="X7" i="9"/>
  <c r="Y8" i="9"/>
  <c r="Z37" i="8"/>
  <c r="Z36" i="8"/>
  <c r="AA38" i="8"/>
  <c r="AA43" i="8" s="1"/>
  <c r="AA21" i="8"/>
  <c r="AB23" i="8"/>
  <c r="AA22" i="8"/>
  <c r="AA71" i="8"/>
  <c r="AA72" i="8"/>
  <c r="AB73" i="8"/>
  <c r="AB77" i="8" s="1"/>
  <c r="W6" i="4"/>
  <c r="V5" i="4"/>
  <c r="V4" i="4"/>
  <c r="V7" i="4" s="1"/>
  <c r="X27" i="5"/>
  <c r="W31" i="62" s="1"/>
  <c r="S18" i="4" s="1"/>
  <c r="X18" i="5"/>
  <c r="W8" i="62" s="1"/>
  <c r="AA9" i="8" s="1"/>
  <c r="AA11" i="8" s="1"/>
  <c r="O15" i="53"/>
  <c r="O23" i="53" s="1"/>
  <c r="W15" i="5"/>
  <c r="V7" i="62" s="1"/>
  <c r="Z6" i="8" s="1"/>
  <c r="Z8" i="8" s="1"/>
  <c r="Z12" i="8" s="1"/>
  <c r="V33" i="5"/>
  <c r="U33" i="62" s="1"/>
  <c r="W33" i="5"/>
  <c r="V33" i="62" s="1"/>
  <c r="AD34" i="5"/>
  <c r="U33" i="2"/>
  <c r="W30" i="5"/>
  <c r="W21" i="5"/>
  <c r="V10" i="62" s="1"/>
  <c r="U6" i="55"/>
  <c r="T4" i="55"/>
  <c r="Y3" i="2"/>
  <c r="Y6" i="2"/>
  <c r="Z9" i="2"/>
  <c r="X12" i="5"/>
  <c r="X24" i="5" s="1"/>
  <c r="W9" i="62" s="1"/>
  <c r="S16" i="4" s="1"/>
  <c r="W19" i="2"/>
  <c r="W35" i="2"/>
  <c r="Y11" i="5" s="1"/>
  <c r="W29" i="2"/>
  <c r="Y10" i="5" s="1"/>
  <c r="X9" i="5"/>
  <c r="V31" i="2"/>
  <c r="X30" i="5" s="1"/>
  <c r="X4" i="2"/>
  <c r="X5" i="2"/>
  <c r="U8" i="55"/>
  <c r="R17" i="53"/>
  <c r="R40" i="53" s="1"/>
  <c r="Z28" i="5"/>
  <c r="AA22" i="5"/>
  <c r="H20" i="74" l="1"/>
  <c r="H21" i="74" s="1"/>
  <c r="E30" i="70" s="1"/>
  <c r="R14" i="4"/>
  <c r="X38" i="2"/>
  <c r="Y47" i="62"/>
  <c r="R20" i="4"/>
  <c r="S15" i="4"/>
  <c r="R17" i="4"/>
  <c r="Q20" i="4"/>
  <c r="W69" i="2"/>
  <c r="AC5" i="5"/>
  <c r="AD7" i="5"/>
  <c r="AC8" i="5"/>
  <c r="Z8" i="9"/>
  <c r="Y5" i="9"/>
  <c r="Y7" i="9"/>
  <c r="X136" i="8"/>
  <c r="AC73" i="8"/>
  <c r="AC77" i="8" s="1"/>
  <c r="AB72" i="8"/>
  <c r="AB71" i="8"/>
  <c r="AB21" i="8"/>
  <c r="AB22" i="8"/>
  <c r="AC23" i="8"/>
  <c r="AA36" i="8"/>
  <c r="AB38" i="8"/>
  <c r="AB43" i="8" s="1"/>
  <c r="AA37" i="8"/>
  <c r="X6" i="4"/>
  <c r="W4" i="4"/>
  <c r="W7" i="4" s="1"/>
  <c r="W5" i="4"/>
  <c r="AJ7" i="7"/>
  <c r="Y27" i="5"/>
  <c r="X31" i="62" s="1"/>
  <c r="Y18" i="5"/>
  <c r="X8" i="62" s="1"/>
  <c r="AB9" i="8" s="1"/>
  <c r="AB11" i="8" s="1"/>
  <c r="O38" i="53"/>
  <c r="O46" i="53" s="1"/>
  <c r="P15" i="53"/>
  <c r="X15" i="5"/>
  <c r="W7" i="62" s="1"/>
  <c r="AA6" i="8" s="1"/>
  <c r="AA8" i="8" s="1"/>
  <c r="AA12" i="8" s="1"/>
  <c r="X33" i="5"/>
  <c r="W33" i="62" s="1"/>
  <c r="S20" i="4" s="1"/>
  <c r="AE34" i="5"/>
  <c r="V6" i="55"/>
  <c r="U4" i="55"/>
  <c r="Y21" i="5"/>
  <c r="X10" i="62" s="1"/>
  <c r="AL10" i="62" s="1"/>
  <c r="V33" i="2"/>
  <c r="Y9" i="5"/>
  <c r="W31" i="2"/>
  <c r="Z3" i="2"/>
  <c r="AA9" i="2"/>
  <c r="Z6" i="2"/>
  <c r="X19" i="2"/>
  <c r="X35" i="2"/>
  <c r="Z11" i="5" s="1"/>
  <c r="X29" i="2"/>
  <c r="Z10" i="5" s="1"/>
  <c r="X21" i="5"/>
  <c r="W10" i="62" s="1"/>
  <c r="Y5" i="2"/>
  <c r="Y4" i="2"/>
  <c r="AA28" i="5"/>
  <c r="V8" i="55"/>
  <c r="S17" i="53"/>
  <c r="S40" i="53" s="1"/>
  <c r="AB22" i="5"/>
  <c r="AL8" i="62" l="1"/>
  <c r="I12" i="74" s="1"/>
  <c r="Y38" i="2"/>
  <c r="T18" i="4"/>
  <c r="AL31" i="62"/>
  <c r="I16" i="74" s="1"/>
  <c r="Z47" i="62"/>
  <c r="T15" i="4"/>
  <c r="T17" i="4"/>
  <c r="S14" i="4"/>
  <c r="S17" i="4"/>
  <c r="X69" i="2"/>
  <c r="AD5" i="5"/>
  <c r="AD8" i="5"/>
  <c r="AE7" i="5"/>
  <c r="Z7" i="9"/>
  <c r="Z5" i="9"/>
  <c r="AA8" i="9"/>
  <c r="AB37" i="8"/>
  <c r="AB36" i="8"/>
  <c r="AC38" i="8"/>
  <c r="AC43" i="8" s="1"/>
  <c r="AC71" i="8"/>
  <c r="AD73" i="8"/>
  <c r="AD77" i="8" s="1"/>
  <c r="AC72" i="8"/>
  <c r="AC21" i="8"/>
  <c r="AD23" i="8"/>
  <c r="AC22" i="8"/>
  <c r="Y136" i="8"/>
  <c r="Z136" i="8"/>
  <c r="X5" i="4"/>
  <c r="Y6" i="4"/>
  <c r="X4" i="4"/>
  <c r="X7" i="4" s="1"/>
  <c r="Q15" i="53"/>
  <c r="Z27" i="5"/>
  <c r="Y31" i="62" s="1"/>
  <c r="U18" i="4" s="1"/>
  <c r="Z18" i="5"/>
  <c r="Y8" i="62" s="1"/>
  <c r="AC9" i="8" s="1"/>
  <c r="AC11" i="8" s="1"/>
  <c r="Q38" i="53"/>
  <c r="Q46" i="53" s="1"/>
  <c r="Q23" i="53"/>
  <c r="P23" i="53"/>
  <c r="P38" i="53"/>
  <c r="P46" i="53" s="1"/>
  <c r="Y15" i="5"/>
  <c r="X7" i="62" s="1"/>
  <c r="AB6" i="8" s="1"/>
  <c r="AB8" i="8" s="1"/>
  <c r="AB12" i="8" s="1"/>
  <c r="AF34" i="5"/>
  <c r="W33" i="2"/>
  <c r="Y30" i="5"/>
  <c r="Y12" i="5"/>
  <c r="Y24" i="5" s="1"/>
  <c r="X9" i="62" s="1"/>
  <c r="AL9" i="62" s="1"/>
  <c r="I13" i="74" s="1"/>
  <c r="W6" i="55"/>
  <c r="V4" i="55"/>
  <c r="Z12" i="5"/>
  <c r="Z24" i="5" s="1"/>
  <c r="Y9" i="62" s="1"/>
  <c r="Z9" i="5"/>
  <c r="X31" i="2"/>
  <c r="Z5" i="2"/>
  <c r="Z4" i="2"/>
  <c r="Y19" i="2"/>
  <c r="Y35" i="2"/>
  <c r="AA11" i="5" s="1"/>
  <c r="Y29" i="2"/>
  <c r="AA10" i="5" s="1"/>
  <c r="AA3" i="2"/>
  <c r="AA6" i="2"/>
  <c r="AB9" i="2"/>
  <c r="AH38" i="4"/>
  <c r="AB28" i="5"/>
  <c r="T17" i="53"/>
  <c r="T40" i="53" s="1"/>
  <c r="AC22" i="5"/>
  <c r="AL7" i="62" l="1"/>
  <c r="I11" i="74" s="1"/>
  <c r="I14" i="74" s="1"/>
  <c r="AA47" i="62"/>
  <c r="Z38" i="2"/>
  <c r="T14" i="4"/>
  <c r="U15" i="4"/>
  <c r="U16" i="4"/>
  <c r="T16" i="4"/>
  <c r="Y69" i="2"/>
  <c r="AF14" i="4"/>
  <c r="AD38" i="4"/>
  <c r="AD37" i="4"/>
  <c r="AE37" i="4"/>
  <c r="AE38" i="4"/>
  <c r="AF38" i="4"/>
  <c r="AF37" i="4"/>
  <c r="AF15" i="4"/>
  <c r="AG38" i="4"/>
  <c r="AG18" i="4"/>
  <c r="AG37" i="4"/>
  <c r="AG15" i="4"/>
  <c r="AF7" i="5"/>
  <c r="AE5" i="5"/>
  <c r="AE8" i="5"/>
  <c r="AB8" i="9"/>
  <c r="AA5" i="9"/>
  <c r="AA7" i="9"/>
  <c r="AC37" i="8"/>
  <c r="AD38" i="8"/>
  <c r="AD43" i="8" s="1"/>
  <c r="AC36" i="8"/>
  <c r="AE23" i="8"/>
  <c r="AD21" i="8"/>
  <c r="AD22" i="8"/>
  <c r="AE73" i="8"/>
  <c r="AE77" i="8" s="1"/>
  <c r="AD72" i="8"/>
  <c r="AD71" i="8"/>
  <c r="AD14" i="4"/>
  <c r="AD18" i="4"/>
  <c r="AD15" i="4"/>
  <c r="AE18" i="4"/>
  <c r="AE15" i="4"/>
  <c r="AE14" i="4"/>
  <c r="AF18" i="4"/>
  <c r="Y5" i="4"/>
  <c r="Y4" i="4"/>
  <c r="Y7" i="4" s="1"/>
  <c r="Z6" i="4"/>
  <c r="R15" i="53"/>
  <c r="R38" i="53" s="1"/>
  <c r="R46" i="53" s="1"/>
  <c r="AA27" i="5"/>
  <c r="Z31" i="62" s="1"/>
  <c r="V18" i="4" s="1"/>
  <c r="AA18" i="5"/>
  <c r="Z8" i="62" s="1"/>
  <c r="AD9" i="8" s="1"/>
  <c r="AD11" i="8" s="1"/>
  <c r="R23" i="53"/>
  <c r="Z15" i="5"/>
  <c r="Y7" i="62" s="1"/>
  <c r="AC6" i="8" s="1"/>
  <c r="AC8" i="8" s="1"/>
  <c r="AC12" i="8" s="1"/>
  <c r="Z33" i="5"/>
  <c r="Y33" i="62" s="1"/>
  <c r="Y33" i="5"/>
  <c r="X33" i="62" s="1"/>
  <c r="AG34" i="5"/>
  <c r="X33" i="2"/>
  <c r="Z30" i="5"/>
  <c r="X6" i="55"/>
  <c r="W4" i="55"/>
  <c r="Z21" i="5"/>
  <c r="Y10" i="62" s="1"/>
  <c r="AA5" i="2"/>
  <c r="AA4" i="2"/>
  <c r="Z19" i="2"/>
  <c r="Z35" i="2"/>
  <c r="AB11" i="5" s="1"/>
  <c r="Z29" i="2"/>
  <c r="AB10" i="5" s="1"/>
  <c r="AH31" i="2"/>
  <c r="AI31" i="2"/>
  <c r="AK31" i="2"/>
  <c r="AJ31" i="2"/>
  <c r="AC9" i="2"/>
  <c r="AB3" i="2"/>
  <c r="AB6" i="2"/>
  <c r="AA9" i="5"/>
  <c r="Y31" i="2"/>
  <c r="W8" i="55"/>
  <c r="X8" i="55"/>
  <c r="AC28" i="5"/>
  <c r="AD22" i="5"/>
  <c r="U17" i="53"/>
  <c r="U40" i="53" s="1"/>
  <c r="AA38" i="2" l="1"/>
  <c r="T20" i="4"/>
  <c r="AL33" i="62"/>
  <c r="I17" i="74" s="1"/>
  <c r="I18" i="74" s="1"/>
  <c r="I20" i="74" s="1"/>
  <c r="I21" i="74" s="1"/>
  <c r="F30" i="70" s="1"/>
  <c r="AH37" i="4"/>
  <c r="G7" i="56"/>
  <c r="AB47" i="62"/>
  <c r="AM47" i="62" s="1"/>
  <c r="U14" i="4"/>
  <c r="U17" i="4"/>
  <c r="U20" i="4"/>
  <c r="V15" i="4"/>
  <c r="Z69" i="2"/>
  <c r="AA136" i="8"/>
  <c r="AF5" i="5"/>
  <c r="AG7" i="5"/>
  <c r="AF8" i="5"/>
  <c r="AB5" i="9"/>
  <c r="AB7" i="9"/>
  <c r="AC8" i="9"/>
  <c r="AD37" i="8"/>
  <c r="AD36" i="8"/>
  <c r="AE38" i="8"/>
  <c r="AE43" i="8" s="1"/>
  <c r="AE72" i="8"/>
  <c r="AF73" i="8"/>
  <c r="AF77" i="8" s="1"/>
  <c r="AE71" i="8"/>
  <c r="AF23" i="8"/>
  <c r="AE21" i="8"/>
  <c r="AE22" i="8"/>
  <c r="AA6" i="4"/>
  <c r="Z4" i="4"/>
  <c r="Z7" i="4" s="1"/>
  <c r="Z5" i="4"/>
  <c r="AB27" i="5"/>
  <c r="AA31" i="62" s="1"/>
  <c r="W18" i="4" s="1"/>
  <c r="AB18" i="5"/>
  <c r="AA8" i="62" s="1"/>
  <c r="AE9" i="8" s="1"/>
  <c r="AE11" i="8" s="1"/>
  <c r="S15" i="53"/>
  <c r="S38" i="53" s="1"/>
  <c r="S46" i="53" s="1"/>
  <c r="AA15" i="5"/>
  <c r="Z7" i="62" s="1"/>
  <c r="AD6" i="8" s="1"/>
  <c r="AD8" i="8" s="1"/>
  <c r="AD12" i="8" s="1"/>
  <c r="AK7" i="7"/>
  <c r="Y33" i="2"/>
  <c r="AA30" i="5"/>
  <c r="C7" i="56"/>
  <c r="D7" i="56"/>
  <c r="F7" i="56"/>
  <c r="X4" i="55"/>
  <c r="AB12" i="5"/>
  <c r="AC3" i="2"/>
  <c r="AC6" i="2"/>
  <c r="AD9" i="2"/>
  <c r="AB9" i="5"/>
  <c r="Z31" i="2"/>
  <c r="AA21" i="5"/>
  <c r="Z10" i="62" s="1"/>
  <c r="V17" i="4" s="1"/>
  <c r="AA19" i="2"/>
  <c r="AA35" i="2"/>
  <c r="AC11" i="5" s="1"/>
  <c r="AA29" i="2"/>
  <c r="AC10" i="5" s="1"/>
  <c r="AB4" i="2"/>
  <c r="AB5" i="2"/>
  <c r="AA12" i="5"/>
  <c r="AA24" i="5" s="1"/>
  <c r="Z9" i="62" s="1"/>
  <c r="AE22" i="5"/>
  <c r="AD28" i="5"/>
  <c r="V17" i="53"/>
  <c r="V40" i="53" s="1"/>
  <c r="W15" i="4" l="1"/>
  <c r="AB38" i="2"/>
  <c r="E7" i="56"/>
  <c r="AC47" i="62"/>
  <c r="V14" i="4"/>
  <c r="V16" i="4"/>
  <c r="AA69" i="2"/>
  <c r="AB33" i="5"/>
  <c r="AA33" i="62" s="1"/>
  <c r="AB24" i="5"/>
  <c r="AA9" i="62" s="1"/>
  <c r="W16" i="4" s="1"/>
  <c r="AG5" i="5"/>
  <c r="AG8" i="5"/>
  <c r="AC7" i="9"/>
  <c r="AD8" i="9"/>
  <c r="AC5" i="9"/>
  <c r="AB136" i="8"/>
  <c r="AE36" i="8"/>
  <c r="AF38" i="8"/>
  <c r="AF43" i="8" s="1"/>
  <c r="AE37" i="8"/>
  <c r="AG73" i="8"/>
  <c r="AG77" i="8" s="1"/>
  <c r="AF72" i="8"/>
  <c r="AF71" i="8"/>
  <c r="AF22" i="8"/>
  <c r="AG23" i="8"/>
  <c r="AF21" i="8"/>
  <c r="AA5" i="4"/>
  <c r="AB6" i="4"/>
  <c r="AA4" i="4"/>
  <c r="AA7" i="4" s="1"/>
  <c r="AC27" i="5"/>
  <c r="AB31" i="62" s="1"/>
  <c r="AC18" i="5"/>
  <c r="AB8" i="62" s="1"/>
  <c r="AF9" i="8" s="1"/>
  <c r="AF11" i="8" s="1"/>
  <c r="S23" i="53"/>
  <c r="AG14" i="4"/>
  <c r="T15" i="53"/>
  <c r="AB15" i="5"/>
  <c r="AA7" i="62" s="1"/>
  <c r="AE6" i="8" s="1"/>
  <c r="AE8" i="8" s="1"/>
  <c r="AE12" i="8" s="1"/>
  <c r="AA33" i="5"/>
  <c r="Z33" i="62" s="1"/>
  <c r="Z33" i="2"/>
  <c r="AB30" i="5"/>
  <c r="AB21" i="5"/>
  <c r="AA10" i="62" s="1"/>
  <c r="W17" i="4" s="1"/>
  <c r="AC4" i="2"/>
  <c r="AC5" i="2"/>
  <c r="AC12" i="5"/>
  <c r="AC24" i="5" s="1"/>
  <c r="AB9" i="62" s="1"/>
  <c r="AM9" i="62" s="1"/>
  <c r="AB19" i="2"/>
  <c r="AB35" i="2"/>
  <c r="AD11" i="5" s="1"/>
  <c r="AB29" i="2"/>
  <c r="AD10" i="5" s="1"/>
  <c r="AC9" i="5"/>
  <c r="AA31" i="2"/>
  <c r="AC30" i="5" s="1"/>
  <c r="AD6" i="2"/>
  <c r="AD3" i="2"/>
  <c r="AE9" i="2"/>
  <c r="AE28" i="5"/>
  <c r="W17" i="53"/>
  <c r="W40" i="53" s="1"/>
  <c r="AF22" i="5"/>
  <c r="AC38" i="2" l="1"/>
  <c r="X18" i="4"/>
  <c r="AM31" i="62"/>
  <c r="J16" i="74" s="1"/>
  <c r="X15" i="4"/>
  <c r="AM8" i="62"/>
  <c r="J12" i="74" s="1"/>
  <c r="AD47" i="62"/>
  <c r="X16" i="4"/>
  <c r="AC136" i="8"/>
  <c r="V20" i="4"/>
  <c r="AD136" i="8" s="1"/>
  <c r="W20" i="4"/>
  <c r="W14" i="4"/>
  <c r="AB69" i="2"/>
  <c r="AD7" i="9"/>
  <c r="AD5" i="9"/>
  <c r="AE8" i="9"/>
  <c r="AF36" i="8"/>
  <c r="AG38" i="8"/>
  <c r="AG43" i="8" s="1"/>
  <c r="AF37" i="8"/>
  <c r="AG22" i="8"/>
  <c r="AG21" i="8"/>
  <c r="AH23" i="8"/>
  <c r="AG71" i="8"/>
  <c r="AH73" i="8"/>
  <c r="AH77" i="8" s="1"/>
  <c r="AG72" i="8"/>
  <c r="AB4" i="4"/>
  <c r="AB7" i="4" s="1"/>
  <c r="AB5" i="4"/>
  <c r="U15" i="53"/>
  <c r="AD27" i="5"/>
  <c r="AC31" i="62" s="1"/>
  <c r="AD18" i="5"/>
  <c r="AC8" i="62" s="1"/>
  <c r="AG9" i="8" s="1"/>
  <c r="AG11" i="8" s="1"/>
  <c r="U23" i="53"/>
  <c r="U38" i="53"/>
  <c r="U46" i="53" s="1"/>
  <c r="T23" i="53"/>
  <c r="T38" i="53"/>
  <c r="T46" i="53" s="1"/>
  <c r="AC15" i="5"/>
  <c r="AB7" i="62" s="1"/>
  <c r="AF6" i="8" s="1"/>
  <c r="AF8" i="8" s="1"/>
  <c r="AF12" i="8" s="1"/>
  <c r="AC33" i="5"/>
  <c r="AB33" i="62" s="1"/>
  <c r="AC21" i="5"/>
  <c r="AB10" i="62" s="1"/>
  <c r="AM10" i="62" s="1"/>
  <c r="J13" i="74" s="1"/>
  <c r="AD9" i="5"/>
  <c r="AB31" i="2"/>
  <c r="AD5" i="2"/>
  <c r="AD4" i="2"/>
  <c r="AD12" i="5"/>
  <c r="AD24" i="5" s="1"/>
  <c r="AC9" i="62" s="1"/>
  <c r="AE6" i="2"/>
  <c r="AE3" i="2"/>
  <c r="AA33" i="2"/>
  <c r="AL31" i="2"/>
  <c r="AC19" i="2"/>
  <c r="AC35" i="2"/>
  <c r="AE11" i="5" s="1"/>
  <c r="AC29" i="2"/>
  <c r="AE10" i="5" s="1"/>
  <c r="AF28" i="5"/>
  <c r="X17" i="53"/>
  <c r="X40" i="53" s="1"/>
  <c r="AG22" i="5"/>
  <c r="AE47" i="62" l="1"/>
  <c r="AD38" i="2"/>
  <c r="X20" i="4"/>
  <c r="AM33" i="62"/>
  <c r="J17" i="74" s="1"/>
  <c r="J18" i="74" s="1"/>
  <c r="X14" i="4"/>
  <c r="AM7" i="62"/>
  <c r="J11" i="74" s="1"/>
  <c r="J14" i="74" s="1"/>
  <c r="X17" i="4"/>
  <c r="Y18" i="4"/>
  <c r="Y15" i="4"/>
  <c r="Y16" i="4"/>
  <c r="AC69" i="2"/>
  <c r="AF8" i="9"/>
  <c r="AE5" i="9"/>
  <c r="AE7" i="9"/>
  <c r="AH18" i="4"/>
  <c r="AH72" i="8"/>
  <c r="AH71" i="8"/>
  <c r="AI73" i="8"/>
  <c r="AI77" i="8" s="1"/>
  <c r="AH38" i="8"/>
  <c r="AH43" i="8" s="1"/>
  <c r="AG37" i="8"/>
  <c r="AG36" i="8"/>
  <c r="AH21" i="8"/>
  <c r="AI23" i="8"/>
  <c r="AH22" i="8"/>
  <c r="AE27" i="5"/>
  <c r="AD31" i="62" s="1"/>
  <c r="Z18" i="4" s="1"/>
  <c r="AE18" i="5"/>
  <c r="AD8" i="62" s="1"/>
  <c r="AH9" i="8" s="1"/>
  <c r="AH11" i="8" s="1"/>
  <c r="V15" i="53"/>
  <c r="AD15" i="5"/>
  <c r="AC7" i="62" s="1"/>
  <c r="AG6" i="8" s="1"/>
  <c r="AG8" i="8" s="1"/>
  <c r="AG12" i="8" s="1"/>
  <c r="AD33" i="5"/>
  <c r="AC33" i="62" s="1"/>
  <c r="AB33" i="2"/>
  <c r="AD30" i="5"/>
  <c r="AD19" i="2"/>
  <c r="AD29" i="2"/>
  <c r="AF10" i="5" s="1"/>
  <c r="AD35" i="2"/>
  <c r="AF11" i="5" s="1"/>
  <c r="AM52" i="2"/>
  <c r="AI55" i="2"/>
  <c r="AH55" i="2"/>
  <c r="AI52" i="2"/>
  <c r="AL53" i="2"/>
  <c r="AK55" i="2"/>
  <c r="AL55" i="2"/>
  <c r="AJ55" i="2"/>
  <c r="AK53" i="2"/>
  <c r="AJ52" i="2"/>
  <c r="AK52" i="2"/>
  <c r="AJ53" i="2"/>
  <c r="AH53" i="2"/>
  <c r="AL52" i="2"/>
  <c r="AI53" i="2"/>
  <c r="AM53" i="2"/>
  <c r="AI35" i="2"/>
  <c r="AH35" i="2"/>
  <c r="AI19" i="2"/>
  <c r="AH39" i="2"/>
  <c r="Y16" i="7" s="1"/>
  <c r="AH19" i="2"/>
  <c r="AJ19" i="2"/>
  <c r="AI37" i="2"/>
  <c r="Z14" i="7" s="1"/>
  <c r="AJ37" i="2"/>
  <c r="AA14" i="7" s="1"/>
  <c r="AH38" i="2"/>
  <c r="Y15" i="7" s="1"/>
  <c r="AI29" i="2"/>
  <c r="G11" i="73" s="1"/>
  <c r="G9" i="74" s="1"/>
  <c r="AH37" i="2"/>
  <c r="Y14" i="7" s="1"/>
  <c r="AH29" i="2"/>
  <c r="F11" i="73" s="1"/>
  <c r="F9" i="74" s="1"/>
  <c r="F27" i="74" s="1"/>
  <c r="AL38" i="2"/>
  <c r="AL19" i="2"/>
  <c r="AL39" i="2"/>
  <c r="AC16" i="7" s="1"/>
  <c r="AJ29" i="2"/>
  <c r="H11" i="73" s="1"/>
  <c r="H9" i="74" s="1"/>
  <c r="AL35" i="2"/>
  <c r="AD21" i="5"/>
  <c r="AC10" i="62" s="1"/>
  <c r="AE12" i="5"/>
  <c r="AE24" i="5" s="1"/>
  <c r="AD9" i="62" s="1"/>
  <c r="Z16" i="4" s="1"/>
  <c r="AE9" i="5"/>
  <c r="AC31" i="2"/>
  <c r="AE5" i="2"/>
  <c r="AE4" i="2"/>
  <c r="AG28" i="5"/>
  <c r="J8" i="73" l="1"/>
  <c r="I9" i="75"/>
  <c r="H8" i="73"/>
  <c r="G9" i="75"/>
  <c r="F8" i="73"/>
  <c r="F23" i="73" s="1"/>
  <c r="E9" i="75"/>
  <c r="G8" i="73"/>
  <c r="F9" i="75"/>
  <c r="G26" i="74"/>
  <c r="G27" i="74"/>
  <c r="H26" i="74"/>
  <c r="H27" i="74"/>
  <c r="J20" i="74"/>
  <c r="J21" i="74" s="1"/>
  <c r="G30" i="70" s="1"/>
  <c r="G28" i="74"/>
  <c r="F28" i="74"/>
  <c r="F26" i="74"/>
  <c r="H28" i="74"/>
  <c r="AC12" i="7"/>
  <c r="Z12" i="7"/>
  <c r="G15" i="73"/>
  <c r="Y12" i="7"/>
  <c r="F15" i="73"/>
  <c r="AQ36" i="2"/>
  <c r="AU36" i="2"/>
  <c r="AS36" i="2"/>
  <c r="AR36" i="2"/>
  <c r="AE38" i="2"/>
  <c r="AL69" i="2"/>
  <c r="AU69" i="2" s="1"/>
  <c r="AC15" i="7"/>
  <c r="AF47" i="62"/>
  <c r="AN47" i="62" s="1"/>
  <c r="Y14" i="4"/>
  <c r="Y20" i="4"/>
  <c r="Z15" i="4"/>
  <c r="Y17" i="4"/>
  <c r="AD69" i="2"/>
  <c r="AR37" i="2"/>
  <c r="AR35" i="2"/>
  <c r="AU39" i="2"/>
  <c r="AU70" i="2"/>
  <c r="AU59" i="2"/>
  <c r="AS70" i="2"/>
  <c r="AS59" i="2"/>
  <c r="AQ70" i="2"/>
  <c r="AQ59" i="2"/>
  <c r="AQ38" i="2"/>
  <c r="AH69" i="2"/>
  <c r="AQ69" i="2" s="1"/>
  <c r="AR70" i="2"/>
  <c r="AR59" i="2"/>
  <c r="AU38" i="2"/>
  <c r="AU35" i="2"/>
  <c r="AS37" i="2"/>
  <c r="AQ37" i="2"/>
  <c r="AR31" i="2"/>
  <c r="AR33" i="2" s="1"/>
  <c r="AQ39" i="2"/>
  <c r="AQ31" i="2"/>
  <c r="AQ33" i="2" s="1"/>
  <c r="AS31" i="2"/>
  <c r="AS33" i="2" s="1"/>
  <c r="AQ35" i="2"/>
  <c r="AU31" i="2"/>
  <c r="AU33" i="2" s="1"/>
  <c r="AF5" i="9"/>
  <c r="AF7" i="9"/>
  <c r="AE136" i="8"/>
  <c r="AH14" i="4"/>
  <c r="AH37" i="8"/>
  <c r="AH36" i="8"/>
  <c r="AI38" i="8"/>
  <c r="AI43" i="8" s="1"/>
  <c r="AI22" i="8"/>
  <c r="AI21" i="8"/>
  <c r="AJ23" i="8"/>
  <c r="AI72" i="8"/>
  <c r="AI71" i="8"/>
  <c r="AJ73" i="8"/>
  <c r="AJ77" i="8" s="1"/>
  <c r="AF27" i="5"/>
  <c r="AE31" i="62" s="1"/>
  <c r="AA18" i="4" s="1"/>
  <c r="AF18" i="5"/>
  <c r="AE8" i="62" s="1"/>
  <c r="AI9" i="8" s="1"/>
  <c r="AI11" i="8" s="1"/>
  <c r="W15" i="53"/>
  <c r="V38" i="53"/>
  <c r="V46" i="53" s="1"/>
  <c r="V23" i="53"/>
  <c r="AL7" i="7"/>
  <c r="AE15" i="5"/>
  <c r="AD7" i="62" s="1"/>
  <c r="AH6" i="8" s="1"/>
  <c r="AH8" i="8" s="1"/>
  <c r="AH12" i="8" s="1"/>
  <c r="AE33" i="5"/>
  <c r="AD33" i="62" s="1"/>
  <c r="Z20" i="4" s="1"/>
  <c r="AC33" i="2"/>
  <c r="AE30" i="5"/>
  <c r="AU53" i="2"/>
  <c r="Z7" i="7"/>
  <c r="AR19" i="2"/>
  <c r="AI33" i="2"/>
  <c r="AA9" i="7"/>
  <c r="AS29" i="2"/>
  <c r="AQ29" i="2"/>
  <c r="Y9" i="7"/>
  <c r="AU52" i="2"/>
  <c r="AS53" i="2"/>
  <c r="AS55" i="2"/>
  <c r="AR52" i="2"/>
  <c r="AF9" i="5"/>
  <c r="AD31" i="2"/>
  <c r="AE19" i="2"/>
  <c r="AE29" i="2"/>
  <c r="AE35" i="2"/>
  <c r="AS19" i="2"/>
  <c r="AA7" i="7"/>
  <c r="AJ33" i="2"/>
  <c r="AQ19" i="2"/>
  <c r="Y7" i="7"/>
  <c r="Y8" i="7" s="1"/>
  <c r="AH33" i="2"/>
  <c r="AU55" i="2"/>
  <c r="AQ55" i="2"/>
  <c r="AE21" i="5"/>
  <c r="AD10" i="62" s="1"/>
  <c r="Z17" i="4" s="1"/>
  <c r="AR53" i="2"/>
  <c r="AH15" i="4"/>
  <c r="AU19" i="2"/>
  <c r="AC7" i="7"/>
  <c r="AR29" i="2"/>
  <c r="Z9" i="7"/>
  <c r="AQ53" i="2"/>
  <c r="AS52" i="2"/>
  <c r="AR55" i="2"/>
  <c r="AL33" i="2"/>
  <c r="F12" i="73" l="1"/>
  <c r="F18" i="73" s="1"/>
  <c r="C11" i="70" s="1"/>
  <c r="F9" i="72"/>
  <c r="F9" i="73"/>
  <c r="F8" i="74"/>
  <c r="F24" i="74" s="1"/>
  <c r="M8" i="73"/>
  <c r="C8" i="70"/>
  <c r="F16" i="73"/>
  <c r="E8" i="70"/>
  <c r="H8" i="74"/>
  <c r="H25" i="74" s="1"/>
  <c r="H9" i="72"/>
  <c r="H12" i="73"/>
  <c r="H9" i="73"/>
  <c r="D8" i="70"/>
  <c r="G9" i="72"/>
  <c r="G8" i="74"/>
  <c r="G25" i="74" s="1"/>
  <c r="G9" i="73"/>
  <c r="G16" i="73"/>
  <c r="G12" i="73"/>
  <c r="G18" i="73" s="1"/>
  <c r="D11" i="70" s="1"/>
  <c r="Z14" i="4"/>
  <c r="AA15" i="4"/>
  <c r="Z8" i="7"/>
  <c r="AA8" i="7"/>
  <c r="AM55" i="2"/>
  <c r="AE69" i="2"/>
  <c r="AM35" i="2"/>
  <c r="AG11" i="5"/>
  <c r="AJ72" i="8"/>
  <c r="AJ71" i="8"/>
  <c r="AJ21" i="8"/>
  <c r="AJ22" i="8"/>
  <c r="AJ38" i="8"/>
  <c r="AJ43" i="8" s="1"/>
  <c r="AI37" i="8"/>
  <c r="AI36" i="8"/>
  <c r="AF136" i="8"/>
  <c r="W23" i="53"/>
  <c r="W38" i="53"/>
  <c r="W46" i="53" s="1"/>
  <c r="X15" i="53"/>
  <c r="AF15" i="5"/>
  <c r="AE7" i="62" s="1"/>
  <c r="AI6" i="8" s="1"/>
  <c r="AI8" i="8" s="1"/>
  <c r="AI12" i="8" s="1"/>
  <c r="AD33" i="2"/>
  <c r="AF30" i="5"/>
  <c r="AF12" i="5"/>
  <c r="AF24" i="5" s="1"/>
  <c r="AE9" i="62" s="1"/>
  <c r="AF21" i="5"/>
  <c r="AE10" i="62" s="1"/>
  <c r="Z10" i="7"/>
  <c r="Y10" i="7"/>
  <c r="AI38" i="2"/>
  <c r="Z15" i="7" s="1"/>
  <c r="AJ38" i="2"/>
  <c r="AA15" i="7" s="1"/>
  <c r="AK38" i="2"/>
  <c r="AM38" i="2"/>
  <c r="AG10" i="5"/>
  <c r="AG18" i="5" s="1"/>
  <c r="AF8" i="62" s="1"/>
  <c r="AJ9" i="8" s="1"/>
  <c r="AJ11" i="8" s="1"/>
  <c r="AL29" i="2"/>
  <c r="J11" i="73" s="1"/>
  <c r="J9" i="74" s="1"/>
  <c r="J27" i="74" s="1"/>
  <c r="AK29" i="2"/>
  <c r="I11" i="73" s="1"/>
  <c r="I9" i="74" s="1"/>
  <c r="AM29" i="2"/>
  <c r="K11" i="73" s="1"/>
  <c r="K9" i="74" s="1"/>
  <c r="AK37" i="2"/>
  <c r="AB14" i="7" s="1"/>
  <c r="AL37" i="2"/>
  <c r="J15" i="73" s="1"/>
  <c r="AM37" i="2"/>
  <c r="AD14" i="7" s="1"/>
  <c r="AI39" i="2"/>
  <c r="AJ39" i="2"/>
  <c r="AK39" i="2"/>
  <c r="AB16" i="7" s="1"/>
  <c r="AM39" i="2"/>
  <c r="AD16" i="7" s="1"/>
  <c r="AJ35" i="2"/>
  <c r="H15" i="73" s="1"/>
  <c r="H16" i="73" s="1"/>
  <c r="AK35" i="2"/>
  <c r="AG9" i="5"/>
  <c r="AG15" i="5" s="1"/>
  <c r="AF7" i="62" s="1"/>
  <c r="AJ6" i="8" s="1"/>
  <c r="AJ8" i="8" s="1"/>
  <c r="AE31" i="2"/>
  <c r="AK19" i="2"/>
  <c r="AM19" i="2"/>
  <c r="AA10" i="7"/>
  <c r="F13" i="73" l="1"/>
  <c r="F25" i="74"/>
  <c r="F10" i="72"/>
  <c r="C12" i="70"/>
  <c r="K8" i="73"/>
  <c r="K8" i="74" s="1"/>
  <c r="J9" i="75"/>
  <c r="I8" i="73"/>
  <c r="I9" i="72" s="1"/>
  <c r="H9" i="75"/>
  <c r="I26" i="74"/>
  <c r="I27" i="74"/>
  <c r="I28" i="74"/>
  <c r="J28" i="74"/>
  <c r="AD12" i="7"/>
  <c r="K15" i="73"/>
  <c r="AB12" i="7"/>
  <c r="I15" i="73"/>
  <c r="H13" i="73"/>
  <c r="H18" i="73"/>
  <c r="E11" i="70" s="1"/>
  <c r="F20" i="73"/>
  <c r="F11" i="72"/>
  <c r="F13" i="72" s="1"/>
  <c r="M18" i="73"/>
  <c r="F19" i="73"/>
  <c r="H24" i="74"/>
  <c r="D9" i="70"/>
  <c r="E9" i="70"/>
  <c r="D12" i="70"/>
  <c r="AV36" i="2"/>
  <c r="G24" i="74"/>
  <c r="AT36" i="2"/>
  <c r="G13" i="73"/>
  <c r="G10" i="72"/>
  <c r="H10" i="72"/>
  <c r="AJ12" i="8"/>
  <c r="AN7" i="62"/>
  <c r="K11" i="74" s="1"/>
  <c r="AS39" i="2"/>
  <c r="AA16" i="7"/>
  <c r="AR39" i="2"/>
  <c r="Z16" i="7"/>
  <c r="AK69" i="2"/>
  <c r="AT69" i="2" s="1"/>
  <c r="AB15" i="7"/>
  <c r="AM69" i="2"/>
  <c r="AV69" i="2" s="1"/>
  <c r="AD15" i="7"/>
  <c r="AB15" i="4"/>
  <c r="AI15" i="4" s="1"/>
  <c r="AN8" i="62"/>
  <c r="K12" i="74" s="1"/>
  <c r="AS35" i="2"/>
  <c r="AA12" i="7"/>
  <c r="AU37" i="2"/>
  <c r="AC14" i="7"/>
  <c r="AA16" i="4"/>
  <c r="AA17" i="4"/>
  <c r="AB14" i="4"/>
  <c r="AA14" i="4"/>
  <c r="AT70" i="2"/>
  <c r="AT59" i="2"/>
  <c r="AS38" i="2"/>
  <c r="AJ69" i="2"/>
  <c r="AS69" i="2" s="1"/>
  <c r="AV39" i="2"/>
  <c r="AV70" i="2"/>
  <c r="AV59" i="2"/>
  <c r="AR38" i="2"/>
  <c r="AI69" i="2"/>
  <c r="AR69" i="2" s="1"/>
  <c r="AT39" i="2"/>
  <c r="AT31" i="2"/>
  <c r="AT33" i="2" s="1"/>
  <c r="AT37" i="2"/>
  <c r="AV37" i="2"/>
  <c r="AT38" i="2"/>
  <c r="AT35" i="2"/>
  <c r="AV38" i="2"/>
  <c r="AV35" i="2"/>
  <c r="Z11" i="7"/>
  <c r="AA11" i="7"/>
  <c r="Y11" i="7"/>
  <c r="AJ37" i="8"/>
  <c r="AJ36" i="8"/>
  <c r="X23" i="53"/>
  <c r="X38" i="53"/>
  <c r="X46" i="53" s="1"/>
  <c r="AF33" i="5"/>
  <c r="AE33" i="62" s="1"/>
  <c r="AA20" i="4" s="1"/>
  <c r="AE33" i="2"/>
  <c r="AG30" i="5"/>
  <c r="AG12" i="5"/>
  <c r="AG24" i="5" s="1"/>
  <c r="AF9" i="62" s="1"/>
  <c r="AG27" i="5"/>
  <c r="AF31" i="62" s="1"/>
  <c r="AG21" i="5"/>
  <c r="AF10" i="62" s="1"/>
  <c r="AV29" i="2"/>
  <c r="AD9" i="7"/>
  <c r="AT19" i="2"/>
  <c r="AB7" i="7"/>
  <c r="AK33" i="2"/>
  <c r="AT53" i="2"/>
  <c r="AT52" i="2"/>
  <c r="AT55" i="2"/>
  <c r="AB9" i="7"/>
  <c r="AT29" i="2"/>
  <c r="AV19" i="2"/>
  <c r="AD7" i="7"/>
  <c r="AD8" i="7" s="1"/>
  <c r="AM31" i="2"/>
  <c r="AV53" i="2"/>
  <c r="AV52" i="2"/>
  <c r="AV55" i="2"/>
  <c r="AU29" i="2"/>
  <c r="AC9" i="7"/>
  <c r="AC10" i="7" s="1"/>
  <c r="AI14" i="4" l="1"/>
  <c r="O8" i="73"/>
  <c r="I12" i="73"/>
  <c r="I10" i="72" s="1"/>
  <c r="K12" i="73"/>
  <c r="K18" i="73" s="1"/>
  <c r="K9" i="72"/>
  <c r="H8" i="70"/>
  <c r="F8" i="70"/>
  <c r="F9" i="70" s="1"/>
  <c r="I16" i="73"/>
  <c r="K16" i="73"/>
  <c r="I9" i="73"/>
  <c r="I8" i="74"/>
  <c r="I25" i="74" s="1"/>
  <c r="K25" i="74"/>
  <c r="E12" i="70"/>
  <c r="G11" i="72"/>
  <c r="G13" i="72" s="1"/>
  <c r="G20" i="73"/>
  <c r="H20" i="73"/>
  <c r="G19" i="73"/>
  <c r="H11" i="72"/>
  <c r="H13" i="72" s="1"/>
  <c r="H19" i="73"/>
  <c r="G8" i="70"/>
  <c r="J9" i="72"/>
  <c r="K9" i="73"/>
  <c r="J8" i="74"/>
  <c r="J25" i="74" s="1"/>
  <c r="J12" i="73"/>
  <c r="J18" i="73" s="1"/>
  <c r="G11" i="70" s="1"/>
  <c r="J16" i="73"/>
  <c r="J9" i="73"/>
  <c r="AB8" i="7"/>
  <c r="AC8" i="7"/>
  <c r="AB18" i="4"/>
  <c r="AI18" i="4" s="1"/>
  <c r="AN31" i="62"/>
  <c r="K16" i="74" s="1"/>
  <c r="K27" i="74" s="1"/>
  <c r="AB16" i="4"/>
  <c r="AN9" i="62"/>
  <c r="AB17" i="4"/>
  <c r="AN10" i="62"/>
  <c r="AM33" i="2"/>
  <c r="AV31" i="2"/>
  <c r="AV33" i="2" s="1"/>
  <c r="AC11" i="7"/>
  <c r="AG33" i="5"/>
  <c r="AF33" i="62" s="1"/>
  <c r="AD10" i="7"/>
  <c r="AB10" i="7"/>
  <c r="I18" i="73" l="1"/>
  <c r="I19" i="73" s="1"/>
  <c r="I13" i="73"/>
  <c r="I24" i="74"/>
  <c r="K10" i="72"/>
  <c r="K13" i="73"/>
  <c r="K19" i="73"/>
  <c r="H11" i="70"/>
  <c r="K13" i="74"/>
  <c r="J26" i="74" s="1"/>
  <c r="O18" i="73"/>
  <c r="K11" i="72"/>
  <c r="K13" i="72" s="1"/>
  <c r="J10" i="72"/>
  <c r="G12" i="70"/>
  <c r="G9" i="70"/>
  <c r="H9" i="70"/>
  <c r="J13" i="73"/>
  <c r="J24" i="74"/>
  <c r="AB20" i="4"/>
  <c r="AN33" i="62"/>
  <c r="K17" i="74" s="1"/>
  <c r="K28" i="74" s="1"/>
  <c r="AD11" i="7"/>
  <c r="AB11" i="7"/>
  <c r="I11" i="72" l="1"/>
  <c r="I13" i="72" s="1"/>
  <c r="I20" i="73"/>
  <c r="F11" i="70"/>
  <c r="F12" i="70" s="1"/>
  <c r="H42" i="70"/>
  <c r="H12" i="70"/>
  <c r="K18" i="74"/>
  <c r="K26" i="74"/>
  <c r="K14" i="74"/>
  <c r="J11" i="72"/>
  <c r="J13" i="72" s="1"/>
  <c r="J20" i="73"/>
  <c r="K20" i="73"/>
  <c r="J19" i="73"/>
  <c r="G14" i="53"/>
  <c r="O128" i="8"/>
  <c r="H43" i="70" l="1"/>
  <c r="H47" i="70"/>
  <c r="K20" i="74"/>
  <c r="K24" i="74" s="1"/>
  <c r="G37" i="53"/>
  <c r="G22" i="53"/>
  <c r="G25" i="53" s="1"/>
  <c r="G18" i="53"/>
  <c r="K21" i="74" l="1"/>
  <c r="H30" i="70" s="1"/>
  <c r="G45" i="53"/>
  <c r="G49" i="53" s="1"/>
  <c r="G41" i="53"/>
  <c r="G51" i="53" s="1"/>
  <c r="G52" i="53" s="1"/>
  <c r="G30" i="53"/>
  <c r="G27" i="53"/>
  <c r="G28" i="53" s="1"/>
  <c r="AH8" i="7" l="1"/>
  <c r="AD30" i="4" l="1"/>
  <c r="AH30" i="4"/>
  <c r="AG30" i="4"/>
  <c r="AF30" i="4"/>
  <c r="AE30" i="4"/>
  <c r="F14" i="53" l="1"/>
  <c r="M128" i="8"/>
  <c r="F37" i="53" l="1"/>
  <c r="F22" i="53"/>
  <c r="F25" i="53" s="1"/>
  <c r="F18" i="53"/>
  <c r="F27" i="53" l="1"/>
  <c r="F28" i="53" s="1"/>
  <c r="F30" i="53"/>
  <c r="F45" i="53"/>
  <c r="F49" i="53" s="1"/>
  <c r="F41" i="53"/>
  <c r="N128" i="8"/>
  <c r="F51" i="53" l="1"/>
  <c r="F52" i="53" s="1"/>
  <c r="H14" i="53" l="1"/>
  <c r="H22" i="53" l="1"/>
  <c r="H25" i="53" s="1"/>
  <c r="H37" i="53"/>
  <c r="H18" i="53"/>
  <c r="I14" i="53" l="1"/>
  <c r="H27" i="53"/>
  <c r="H28" i="53" s="1"/>
  <c r="H30" i="53"/>
  <c r="H41" i="53"/>
  <c r="H45" i="53"/>
  <c r="H49" i="53" s="1"/>
  <c r="P128" i="8"/>
  <c r="H51" i="53" l="1"/>
  <c r="H52" i="53" s="1"/>
  <c r="I37" i="53"/>
  <c r="I18" i="53"/>
  <c r="I22" i="53"/>
  <c r="I25" i="53" s="1"/>
  <c r="Q128" i="8" l="1"/>
  <c r="I30" i="53"/>
  <c r="I27" i="53"/>
  <c r="I28" i="53" s="1"/>
  <c r="J14" i="53"/>
  <c r="I45" i="53"/>
  <c r="I49" i="53" s="1"/>
  <c r="I41" i="53"/>
  <c r="J22" i="53" l="1"/>
  <c r="J25" i="53" s="1"/>
  <c r="J37" i="53"/>
  <c r="J18" i="53"/>
  <c r="I51" i="53"/>
  <c r="I52" i="53" s="1"/>
  <c r="K14" i="53" l="1"/>
  <c r="J30" i="53"/>
  <c r="J27" i="53"/>
  <c r="J28" i="53" s="1"/>
  <c r="J41" i="53"/>
  <c r="J45" i="53"/>
  <c r="J49" i="53" s="1"/>
  <c r="R128" i="8"/>
  <c r="J51" i="53" l="1"/>
  <c r="J52" i="53" s="1"/>
  <c r="K22" i="53"/>
  <c r="K25" i="53" s="1"/>
  <c r="K37" i="53"/>
  <c r="K18" i="53"/>
  <c r="S128" i="8" l="1"/>
  <c r="K30" i="53"/>
  <c r="K27" i="53"/>
  <c r="K28" i="53" s="1"/>
  <c r="K45" i="53"/>
  <c r="K49" i="53" s="1"/>
  <c r="K41" i="53"/>
  <c r="L14" i="53"/>
  <c r="L37" i="53" l="1"/>
  <c r="L22" i="53"/>
  <c r="L25" i="53" s="1"/>
  <c r="L18" i="53"/>
  <c r="K51" i="53"/>
  <c r="K52" i="53" s="1"/>
  <c r="L41" i="53" l="1"/>
  <c r="L45" i="53"/>
  <c r="L49" i="53" s="1"/>
  <c r="L30" i="53"/>
  <c r="L27" i="53"/>
  <c r="L28" i="53" s="1"/>
  <c r="M14" i="53"/>
  <c r="T128" i="8"/>
  <c r="M18" i="53" l="1"/>
  <c r="M37" i="53"/>
  <c r="M22" i="53"/>
  <c r="M25" i="53" s="1"/>
  <c r="L51" i="53"/>
  <c r="L52" i="53" s="1"/>
  <c r="M45" i="53" l="1"/>
  <c r="M49" i="53" s="1"/>
  <c r="M41" i="53"/>
  <c r="N14" i="53"/>
  <c r="M27" i="53"/>
  <c r="M28" i="53" s="1"/>
  <c r="M30" i="53"/>
  <c r="U128" i="8"/>
  <c r="M51" i="53" l="1"/>
  <c r="M52" i="53" s="1"/>
  <c r="N37" i="53"/>
  <c r="N18" i="53"/>
  <c r="N22" i="53"/>
  <c r="N25" i="53" s="1"/>
  <c r="N30" i="53" l="1"/>
  <c r="N27" i="53"/>
  <c r="N28" i="53" s="1"/>
  <c r="O14" i="53"/>
  <c r="N45" i="53"/>
  <c r="N49" i="53" s="1"/>
  <c r="N41" i="53"/>
  <c r="V128" i="8"/>
  <c r="O18" i="53" l="1"/>
  <c r="O37" i="53"/>
  <c r="O22" i="53"/>
  <c r="O25" i="53" s="1"/>
  <c r="N51" i="53"/>
  <c r="N52" i="53" s="1"/>
  <c r="O27" i="53" l="1"/>
  <c r="O28" i="53" s="1"/>
  <c r="O30" i="53"/>
  <c r="W128" i="8"/>
  <c r="P14" i="53"/>
  <c r="O45" i="53"/>
  <c r="O49" i="53" s="1"/>
  <c r="O41" i="53"/>
  <c r="O51" i="53" l="1"/>
  <c r="O52" i="53" s="1"/>
  <c r="P18" i="53"/>
  <c r="P22" i="53"/>
  <c r="P25" i="53" s="1"/>
  <c r="P37" i="53"/>
  <c r="P41" i="53" l="1"/>
  <c r="P45" i="53"/>
  <c r="P49" i="53" s="1"/>
  <c r="Q14" i="53"/>
  <c r="P30" i="53"/>
  <c r="P27" i="53"/>
  <c r="P28" i="53" s="1"/>
  <c r="X128" i="8"/>
  <c r="Q37" i="53" l="1"/>
  <c r="Q18" i="53"/>
  <c r="Q22" i="53"/>
  <c r="Q25" i="53" s="1"/>
  <c r="P51" i="53"/>
  <c r="P52" i="53" s="1"/>
  <c r="Q27" i="53" l="1"/>
  <c r="Q28" i="53" s="1"/>
  <c r="Q30" i="53"/>
  <c r="Q41" i="53"/>
  <c r="Q45" i="53"/>
  <c r="Q49" i="53" s="1"/>
  <c r="R14" i="53"/>
  <c r="Y128" i="8"/>
  <c r="R18" i="53" l="1"/>
  <c r="R37" i="53"/>
  <c r="R22" i="53"/>
  <c r="R25" i="53" s="1"/>
  <c r="Q51" i="53"/>
  <c r="Q52" i="53" s="1"/>
  <c r="R41" i="53" l="1"/>
  <c r="R45" i="53"/>
  <c r="R49" i="53" s="1"/>
  <c r="Z128" i="8"/>
  <c r="S14" i="53"/>
  <c r="R30" i="53"/>
  <c r="R27" i="53"/>
  <c r="R28" i="53" s="1"/>
  <c r="S18" i="53" l="1"/>
  <c r="S37" i="53"/>
  <c r="S22" i="53"/>
  <c r="S25" i="53" s="1"/>
  <c r="R51" i="53"/>
  <c r="R52" i="53" s="1"/>
  <c r="T14" i="53" l="1"/>
  <c r="S45" i="53"/>
  <c r="S49" i="53" s="1"/>
  <c r="S41" i="53"/>
  <c r="AA128" i="8"/>
  <c r="S30" i="53"/>
  <c r="S27" i="53"/>
  <c r="S28" i="53" s="1"/>
  <c r="T22" i="53" l="1"/>
  <c r="T25" i="53" s="1"/>
  <c r="T37" i="53"/>
  <c r="T18" i="53"/>
  <c r="S51" i="53"/>
  <c r="S52" i="53" s="1"/>
  <c r="U14" i="53" l="1"/>
  <c r="AB128" i="8"/>
  <c r="T27" i="53"/>
  <c r="T28" i="53" s="1"/>
  <c r="T30" i="53"/>
  <c r="T45" i="53"/>
  <c r="T49" i="53" s="1"/>
  <c r="T41" i="53"/>
  <c r="T51" i="53" l="1"/>
  <c r="T52" i="53" s="1"/>
  <c r="U18" i="53"/>
  <c r="U37" i="53"/>
  <c r="U22" i="53"/>
  <c r="U25" i="53" s="1"/>
  <c r="U41" i="53" l="1"/>
  <c r="U45" i="53"/>
  <c r="U49" i="53" s="1"/>
  <c r="AC128" i="8"/>
  <c r="U30" i="53"/>
  <c r="U27" i="53"/>
  <c r="U28" i="53" s="1"/>
  <c r="V14" i="53"/>
  <c r="U51" i="53" l="1"/>
  <c r="U52" i="53" s="1"/>
  <c r="V18" i="53"/>
  <c r="V37" i="53"/>
  <c r="V22" i="53"/>
  <c r="V25" i="53" s="1"/>
  <c r="V41" i="53" l="1"/>
  <c r="V45" i="53"/>
  <c r="V49" i="53" s="1"/>
  <c r="W14" i="53"/>
  <c r="AD128" i="8"/>
  <c r="V27" i="53"/>
  <c r="V28" i="53" s="1"/>
  <c r="V30" i="53"/>
  <c r="V51" i="53" l="1"/>
  <c r="V52" i="53" s="1"/>
  <c r="W37" i="53"/>
  <c r="W18" i="53"/>
  <c r="W22" i="53"/>
  <c r="W25" i="53" s="1"/>
  <c r="W45" i="53" l="1"/>
  <c r="W49" i="53" s="1"/>
  <c r="W41" i="53"/>
  <c r="AE128" i="8"/>
  <c r="X14" i="53"/>
  <c r="W27" i="53"/>
  <c r="W28" i="53" s="1"/>
  <c r="W30" i="53"/>
  <c r="W51" i="53" l="1"/>
  <c r="W52" i="53" s="1"/>
  <c r="X18" i="53"/>
  <c r="X37" i="53"/>
  <c r="X22" i="53"/>
  <c r="X25" i="53" s="1"/>
  <c r="X41" i="53" l="1"/>
  <c r="X45" i="53"/>
  <c r="X49" i="53" s="1"/>
  <c r="AF128" i="8"/>
  <c r="X27" i="53"/>
  <c r="X28" i="53" s="1"/>
  <c r="X30" i="53"/>
  <c r="X51" i="53" l="1"/>
  <c r="X52" i="53" s="1"/>
  <c r="L35" i="62" l="1"/>
  <c r="AI35" i="62" s="1"/>
  <c r="M35" i="62"/>
  <c r="O35" i="62"/>
  <c r="P35" i="62"/>
  <c r="AJ35" i="62" s="1"/>
  <c r="Q35" i="62"/>
  <c r="R35" i="62"/>
  <c r="S35" i="62"/>
  <c r="T35" i="62"/>
  <c r="AK35" i="62" s="1"/>
  <c r="U35" i="62"/>
  <c r="V35" i="62"/>
  <c r="W35" i="62"/>
  <c r="X35" i="62"/>
  <c r="AL35" i="62" s="1"/>
  <c r="Y35" i="62"/>
  <c r="Z35" i="62"/>
  <c r="AA35" i="62"/>
  <c r="AB35" i="62"/>
  <c r="AM35" i="62" s="1"/>
  <c r="AC35" i="62"/>
  <c r="AD35" i="62"/>
  <c r="AE35" i="62"/>
  <c r="AF35" i="62"/>
  <c r="AN35" i="62" s="1"/>
  <c r="N42" i="8" l="1"/>
  <c r="N47" i="8" l="1"/>
  <c r="N46" i="8" l="1"/>
  <c r="N48" i="8"/>
  <c r="J21" i="9"/>
  <c r="J25" i="9" s="1"/>
  <c r="J28" i="9" s="1"/>
  <c r="N90" i="8" l="1"/>
  <c r="D37" i="7" l="1"/>
  <c r="C10" i="67" s="1"/>
  <c r="C9" i="67" s="1"/>
  <c r="C38" i="7"/>
  <c r="I11" i="62"/>
  <c r="D38" i="7" l="1"/>
  <c r="AQ5" i="7" s="1"/>
  <c r="AQ8" i="7" s="1"/>
  <c r="L9" i="7"/>
  <c r="C46" i="63" l="1"/>
  <c r="D46" i="63" s="1"/>
  <c r="AR7" i="7"/>
  <c r="AR8" i="7"/>
  <c r="AR5" i="7"/>
  <c r="B6" i="63" l="1"/>
  <c r="I41" i="62"/>
  <c r="O74" i="8"/>
  <c r="C47" i="63" l="1"/>
  <c r="D45" i="63"/>
  <c r="D47" i="63" s="1"/>
  <c r="I42" i="62"/>
  <c r="AL8" i="7"/>
  <c r="AK8" i="7"/>
  <c r="AJ8" i="7"/>
  <c r="AI8" i="7"/>
  <c r="O39" i="8" l="1"/>
  <c r="N81" i="8"/>
  <c r="H21" i="9"/>
  <c r="H25" i="9" s="1"/>
  <c r="H28" i="9" s="1"/>
  <c r="G21" i="9"/>
  <c r="G25" i="9"/>
  <c r="G28" i="9" s="1"/>
  <c r="G29" i="9" l="1"/>
  <c r="H27" i="9" s="1"/>
  <c r="G32" i="9"/>
  <c r="H33" i="9" l="1"/>
  <c r="G34" i="9"/>
  <c r="H31" i="9" s="1"/>
  <c r="H32" i="9"/>
  <c r="I33" i="9" s="1"/>
  <c r="H29" i="9"/>
  <c r="I27" i="9" s="1"/>
  <c r="H34" i="9" l="1"/>
  <c r="I31" i="9" s="1"/>
  <c r="I29" i="9"/>
  <c r="J27" i="9" s="1"/>
  <c r="I32" i="9"/>
  <c r="J33" i="9" s="1"/>
  <c r="M124" i="8"/>
  <c r="M138" i="8"/>
  <c r="N124" i="8"/>
  <c r="E11" i="62" l="1"/>
  <c r="E29" i="62" s="1"/>
  <c r="E51" i="62" s="1"/>
  <c r="N138" i="8"/>
  <c r="I34" i="9"/>
  <c r="J31" i="9" s="1"/>
  <c r="J29" i="9"/>
  <c r="K27" i="9" s="1"/>
  <c r="J32" i="9"/>
  <c r="K33" i="9" s="1"/>
  <c r="G35" i="4" s="1"/>
  <c r="C21" i="55" l="1"/>
  <c r="K46" i="62"/>
  <c r="J34" i="9"/>
  <c r="K31" i="9" s="1"/>
  <c r="O138" i="8"/>
  <c r="O124" i="8"/>
  <c r="I54" i="2" l="1"/>
  <c r="N125" i="8" l="1"/>
  <c r="N137" i="8"/>
  <c r="I51" i="2" l="1"/>
  <c r="E14" i="53" l="1"/>
  <c r="E18" i="53" s="1"/>
  <c r="E37" i="53"/>
  <c r="E22" i="53" l="1"/>
  <c r="E25" i="53" s="1"/>
  <c r="E30" i="53" s="1"/>
  <c r="E41" i="53"/>
  <c r="E45" i="53"/>
  <c r="E49" i="53" s="1"/>
  <c r="E27" i="53" l="1"/>
  <c r="E28" i="53" s="1"/>
  <c r="E51" i="53"/>
  <c r="E52" i="53" s="1"/>
  <c r="J24" i="62" l="1"/>
  <c r="P137" i="8"/>
  <c r="P39" i="8"/>
  <c r="O81" i="8"/>
  <c r="K42" i="62"/>
  <c r="C42" i="7" l="1"/>
  <c r="C44" i="7" s="1"/>
  <c r="C48" i="7"/>
  <c r="C50" i="7" s="1"/>
  <c r="C12" i="7" l="1"/>
  <c r="P59" i="8" l="1"/>
  <c r="P65" i="8" s="1"/>
  <c r="P63" i="8" s="1"/>
  <c r="K44" i="2" s="1"/>
  <c r="AH44" i="2" s="1"/>
  <c r="Q57" i="8" l="1"/>
  <c r="Q59" i="8" s="1"/>
  <c r="Q65" i="8" s="1"/>
  <c r="Q63" i="8" s="1"/>
  <c r="L44" i="2" s="1"/>
  <c r="L40" i="62"/>
  <c r="P74" i="8"/>
  <c r="P79" i="8"/>
  <c r="AI40" i="62" l="1"/>
  <c r="I24" i="62"/>
  <c r="I29" i="62"/>
  <c r="I44" i="62"/>
  <c r="I49" i="62" s="1"/>
  <c r="I50" i="62" s="1"/>
  <c r="I51" i="62" s="1"/>
  <c r="K27" i="62"/>
  <c r="L27" i="62"/>
  <c r="J29" i="62"/>
  <c r="J44" i="62" s="1"/>
  <c r="G38" i="9"/>
  <c r="G42" i="9" s="1"/>
  <c r="H42" i="9" l="1"/>
  <c r="M27" i="62"/>
  <c r="N27" i="62" s="1"/>
  <c r="O27" i="62" s="1"/>
  <c r="P27" i="62" s="1"/>
  <c r="AI27" i="62"/>
  <c r="K44" i="62"/>
  <c r="J49" i="62"/>
  <c r="J50" i="62" s="1"/>
  <c r="J51" i="62" s="1"/>
  <c r="Q27" i="62" l="1"/>
  <c r="R27" i="62" s="1"/>
  <c r="S27" i="62" s="1"/>
  <c r="T27" i="62" s="1"/>
  <c r="AJ27" i="62"/>
  <c r="I42" i="9"/>
  <c r="L44" i="62"/>
  <c r="J42" i="9" l="1"/>
  <c r="M44" i="62"/>
  <c r="AI44" i="62"/>
  <c r="AK27" i="62"/>
  <c r="U27" i="62"/>
  <c r="V27" i="62" s="1"/>
  <c r="W27" i="62" s="1"/>
  <c r="X27" i="62" s="1"/>
  <c r="AL27" i="62" l="1"/>
  <c r="Y27" i="62"/>
  <c r="Z27" i="62" s="1"/>
  <c r="AA27" i="62" s="1"/>
  <c r="AB27" i="62" s="1"/>
  <c r="N44" i="62"/>
  <c r="K42" i="9"/>
  <c r="K14" i="9" s="1"/>
  <c r="O44" i="62" l="1"/>
  <c r="AC27" i="62"/>
  <c r="AD27" i="62" s="1"/>
  <c r="AE27" i="62" s="1"/>
  <c r="AF27" i="62" s="1"/>
  <c r="AN27" i="62" s="1"/>
  <c r="AM27" i="62"/>
  <c r="L42" i="9"/>
  <c r="L14" i="9" s="1"/>
  <c r="M42" i="9" l="1"/>
  <c r="M14" i="9" s="1"/>
  <c r="P44" i="62"/>
  <c r="Q44" i="62" l="1"/>
  <c r="AJ44" i="62"/>
  <c r="N42" i="9"/>
  <c r="N14" i="9" s="1"/>
  <c r="O42" i="9" l="1"/>
  <c r="O14" i="9" s="1"/>
  <c r="R44" i="62"/>
  <c r="S44" i="62" l="1"/>
  <c r="P42" i="9"/>
  <c r="P14" i="9" s="1"/>
  <c r="Q42" i="9" l="1"/>
  <c r="Q14" i="9" s="1"/>
  <c r="T44" i="62"/>
  <c r="AK44" i="62" l="1"/>
  <c r="U44" i="62"/>
  <c r="R42" i="9"/>
  <c r="R14" i="9" s="1"/>
  <c r="S42" i="9" l="1"/>
  <c r="S14" i="9" s="1"/>
  <c r="V44" i="62"/>
  <c r="W44" i="62" l="1"/>
  <c r="T42" i="9"/>
  <c r="T14" i="9" s="1"/>
  <c r="U42" i="9" l="1"/>
  <c r="U14" i="9" s="1"/>
  <c r="X44" i="62"/>
  <c r="AL44" i="62" l="1"/>
  <c r="Y44" i="62"/>
  <c r="V42" i="9"/>
  <c r="V14" i="9" s="1"/>
  <c r="W42" i="9" l="1"/>
  <c r="W14" i="9" s="1"/>
  <c r="Z44" i="62"/>
  <c r="AA44" i="62" l="1"/>
  <c r="X42" i="9"/>
  <c r="X14" i="9" s="1"/>
  <c r="Y42" i="9" l="1"/>
  <c r="Y14" i="9" s="1"/>
  <c r="AB44" i="62"/>
  <c r="AC44" i="62" l="1"/>
  <c r="AM44" i="62"/>
  <c r="Z42" i="9"/>
  <c r="Z14" i="9" s="1"/>
  <c r="AA42" i="9" l="1"/>
  <c r="AA14" i="9" s="1"/>
  <c r="AD44" i="62"/>
  <c r="AE44" i="62" l="1"/>
  <c r="AB42" i="9"/>
  <c r="AB14" i="9" s="1"/>
  <c r="AC42" i="9" l="1"/>
  <c r="AC14" i="9" s="1"/>
  <c r="AF44" i="62"/>
  <c r="AN44" i="62" l="1"/>
  <c r="AD42" i="9"/>
  <c r="AD14" i="9" s="1"/>
  <c r="AF42" i="9" l="1"/>
  <c r="AF14" i="9" s="1"/>
  <c r="AE42" i="9"/>
  <c r="AE14" i="9" s="1"/>
  <c r="O90" i="8" l="1"/>
  <c r="J13" i="66" l="1"/>
  <c r="J55" i="66" s="1"/>
  <c r="M13" i="66"/>
  <c r="N13" i="66"/>
  <c r="N95" i="66" s="1"/>
  <c r="R13" i="66"/>
  <c r="R26" i="66" s="1"/>
  <c r="R35" i="66" s="1"/>
  <c r="K13" i="66"/>
  <c r="L13" i="66"/>
  <c r="P13" i="66"/>
  <c r="I13" i="66"/>
  <c r="Q13" i="66"/>
  <c r="K33" i="66"/>
  <c r="O27" i="66"/>
  <c r="O28" i="66" s="1"/>
  <c r="Q33" i="66"/>
  <c r="I34" i="66"/>
  <c r="J34" i="66"/>
  <c r="K94" i="66"/>
  <c r="L34" i="66"/>
  <c r="M34" i="66"/>
  <c r="N34" i="66"/>
  <c r="O97" i="66"/>
  <c r="P34" i="66"/>
  <c r="Q34" i="66"/>
  <c r="R34" i="66"/>
  <c r="I33" i="66"/>
  <c r="M33" i="66"/>
  <c r="K34" i="66"/>
  <c r="O34" i="66"/>
  <c r="I57" i="66"/>
  <c r="J93" i="66"/>
  <c r="K93" i="66"/>
  <c r="L94" i="66"/>
  <c r="K96" i="66"/>
  <c r="K97" i="66"/>
  <c r="L97" i="66"/>
  <c r="K98" i="66"/>
  <c r="L98" i="66"/>
  <c r="O98" i="66"/>
  <c r="P98" i="66"/>
  <c r="Q98" i="66"/>
  <c r="K99" i="66"/>
  <c r="O99" i="66"/>
  <c r="J55" i="65"/>
  <c r="L55" i="65"/>
  <c r="I56" i="65"/>
  <c r="K56" i="65"/>
  <c r="L56" i="65"/>
  <c r="M56" i="65"/>
  <c r="I74" i="65" l="1"/>
  <c r="I54" i="66"/>
  <c r="I64" i="66" s="1"/>
  <c r="M62" i="66"/>
  <c r="M95" i="66"/>
  <c r="Q99" i="66"/>
  <c r="I98" i="66"/>
  <c r="Q101" i="66" s="1"/>
  <c r="L95" i="66"/>
  <c r="Q27" i="66"/>
  <c r="Q28" i="66" s="1"/>
  <c r="M99" i="66"/>
  <c r="L99" i="66"/>
  <c r="M96" i="66"/>
  <c r="P99" i="66"/>
  <c r="M98" i="66"/>
  <c r="L96" i="66"/>
  <c r="K95" i="66"/>
  <c r="I93" i="66"/>
  <c r="J94" i="66"/>
  <c r="J56" i="66"/>
  <c r="I58" i="66"/>
  <c r="N97" i="66"/>
  <c r="J97" i="66"/>
  <c r="I94" i="66"/>
  <c r="M101" i="66" s="1"/>
  <c r="I92" i="66"/>
  <c r="M27" i="66"/>
  <c r="M28" i="66" s="1"/>
  <c r="I99" i="66"/>
  <c r="N98" i="66"/>
  <c r="J98" i="66"/>
  <c r="M97" i="66"/>
  <c r="P101" i="66" s="1"/>
  <c r="I97" i="66"/>
  <c r="I96" i="66"/>
  <c r="I95" i="66"/>
  <c r="I90" i="66"/>
  <c r="I101" i="66" s="1"/>
  <c r="I27" i="66"/>
  <c r="I28" i="66" s="1"/>
  <c r="I56" i="66"/>
  <c r="K65" i="66" s="1"/>
  <c r="O13" i="66"/>
  <c r="O96" i="66" s="1"/>
  <c r="K61" i="66"/>
  <c r="K62" i="66"/>
  <c r="M58" i="66"/>
  <c r="M94" i="66"/>
  <c r="K92" i="66"/>
  <c r="K56" i="66"/>
  <c r="I55" i="66"/>
  <c r="O33" i="66"/>
  <c r="K27" i="66"/>
  <c r="K28" i="66" s="1"/>
  <c r="J91" i="66"/>
  <c r="P97" i="66"/>
  <c r="K60" i="66"/>
  <c r="M59" i="66"/>
  <c r="I91" i="66"/>
  <c r="J101" i="66" s="1"/>
  <c r="M61" i="66"/>
  <c r="K57" i="66"/>
  <c r="Q63" i="66"/>
  <c r="I36" i="66"/>
  <c r="I73" i="66" s="1"/>
  <c r="L93" i="66"/>
  <c r="L101" i="66" s="1"/>
  <c r="L57" i="66"/>
  <c r="I71" i="66"/>
  <c r="I81" i="66" s="1"/>
  <c r="I43" i="66"/>
  <c r="I80" i="66"/>
  <c r="I76" i="66"/>
  <c r="R99" i="66"/>
  <c r="N99" i="66"/>
  <c r="J99" i="66"/>
  <c r="N96" i="66"/>
  <c r="J96" i="66"/>
  <c r="O100" i="66" s="1"/>
  <c r="Q62" i="66"/>
  <c r="I62" i="66"/>
  <c r="I61" i="66"/>
  <c r="J95" i="66"/>
  <c r="J92" i="66"/>
  <c r="K101" i="66" s="1"/>
  <c r="K58" i="66"/>
  <c r="J57" i="66"/>
  <c r="M55" i="65"/>
  <c r="I49" i="65"/>
  <c r="I50" i="65" s="1"/>
  <c r="I76" i="65"/>
  <c r="I77" i="65"/>
  <c r="I55" i="65"/>
  <c r="I58" i="65" s="1"/>
  <c r="I75" i="65"/>
  <c r="L77" i="65"/>
  <c r="L49" i="65"/>
  <c r="L50" i="65" s="1"/>
  <c r="J56" i="65"/>
  <c r="J75" i="65"/>
  <c r="J49" i="65"/>
  <c r="J50" i="65" s="1"/>
  <c r="J77" i="65"/>
  <c r="J76" i="65"/>
  <c r="K55" i="65"/>
  <c r="K49" i="65"/>
  <c r="K50" i="65" s="1"/>
  <c r="K76" i="65"/>
  <c r="K77" i="65"/>
  <c r="I82" i="66"/>
  <c r="M100" i="66"/>
  <c r="I75" i="66"/>
  <c r="I65" i="66"/>
  <c r="K64" i="66"/>
  <c r="M63" i="66"/>
  <c r="I63" i="66"/>
  <c r="M60" i="66"/>
  <c r="I60" i="66"/>
  <c r="K59" i="66"/>
  <c r="R27" i="66"/>
  <c r="R28" i="66" s="1"/>
  <c r="R33" i="66"/>
  <c r="R63" i="66" s="1"/>
  <c r="N27" i="66"/>
  <c r="N28" i="66" s="1"/>
  <c r="N33" i="66"/>
  <c r="J27" i="66"/>
  <c r="J28" i="66" s="1"/>
  <c r="J33" i="66"/>
  <c r="I79" i="66"/>
  <c r="I78" i="66"/>
  <c r="O63" i="66"/>
  <c r="K63" i="66"/>
  <c r="I59" i="66"/>
  <c r="P27" i="66"/>
  <c r="P28" i="66" s="1"/>
  <c r="P33" i="66"/>
  <c r="L27" i="66"/>
  <c r="L28" i="66" s="1"/>
  <c r="L33" i="66"/>
  <c r="I100" i="66" l="1"/>
  <c r="Q100" i="66"/>
  <c r="L64" i="66"/>
  <c r="R101" i="66"/>
  <c r="I42" i="66"/>
  <c r="I40" i="66" s="1"/>
  <c r="I72" i="66"/>
  <c r="P100" i="66"/>
  <c r="K100" i="66"/>
  <c r="I74" i="66"/>
  <c r="N101" i="66"/>
  <c r="I77" i="66"/>
  <c r="O60" i="66"/>
  <c r="O62" i="66"/>
  <c r="O61" i="66"/>
  <c r="L65" i="66"/>
  <c r="J64" i="66"/>
  <c r="J65" i="66"/>
  <c r="L100" i="66"/>
  <c r="J100" i="66"/>
  <c r="I110" i="66"/>
  <c r="I114" i="66"/>
  <c r="I111" i="66"/>
  <c r="I115" i="66"/>
  <c r="I109" i="66"/>
  <c r="I113" i="66"/>
  <c r="I108" i="66"/>
  <c r="I112" i="66"/>
  <c r="I116" i="66"/>
  <c r="R100" i="66"/>
  <c r="I107" i="66"/>
  <c r="O101" i="66"/>
  <c r="N100" i="66"/>
  <c r="J58" i="65"/>
  <c r="L59" i="66"/>
  <c r="L61" i="66"/>
  <c r="L62" i="66"/>
  <c r="L60" i="66"/>
  <c r="L63" i="66"/>
  <c r="L58" i="66"/>
  <c r="J60" i="66"/>
  <c r="J63" i="66"/>
  <c r="J58" i="66"/>
  <c r="J59" i="66"/>
  <c r="J61" i="66"/>
  <c r="J62" i="66"/>
  <c r="P61" i="66"/>
  <c r="P62" i="66"/>
  <c r="P63" i="66"/>
  <c r="N60" i="66"/>
  <c r="N63" i="66"/>
  <c r="N59" i="66"/>
  <c r="N61" i="66"/>
  <c r="N62" i="66"/>
  <c r="J36" i="66"/>
  <c r="O65" i="66" l="1"/>
  <c r="R64" i="66"/>
  <c r="R65" i="66"/>
  <c r="N65" i="66"/>
  <c r="I118" i="66"/>
  <c r="I117" i="66"/>
  <c r="Q65" i="66"/>
  <c r="Q64" i="66"/>
  <c r="K58" i="65"/>
  <c r="K36" i="66"/>
  <c r="P64" i="66"/>
  <c r="P65" i="66"/>
  <c r="O64" i="66"/>
  <c r="N64" i="66"/>
  <c r="M65" i="66"/>
  <c r="M64" i="66"/>
  <c r="I64" i="65"/>
  <c r="I62" i="65" s="1"/>
  <c r="I86" i="65"/>
  <c r="I87" i="65"/>
  <c r="I65" i="65"/>
  <c r="I88" i="65"/>
  <c r="I89" i="65"/>
  <c r="J74" i="66" l="1"/>
  <c r="J75" i="66"/>
  <c r="J43" i="66"/>
  <c r="J73" i="66"/>
  <c r="J76" i="66"/>
  <c r="J78" i="66"/>
  <c r="J79" i="66"/>
  <c r="J42" i="66"/>
  <c r="J40" i="66" s="1"/>
  <c r="J72" i="66"/>
  <c r="J77" i="66"/>
  <c r="J80" i="66"/>
  <c r="J65" i="65"/>
  <c r="J88" i="65"/>
  <c r="J89" i="65"/>
  <c r="J64" i="65"/>
  <c r="J62" i="65" s="1"/>
  <c r="J87" i="65"/>
  <c r="L58" i="65"/>
  <c r="L36" i="66"/>
  <c r="J113" i="66" l="1"/>
  <c r="J116" i="66"/>
  <c r="J110" i="66"/>
  <c r="J111" i="66"/>
  <c r="J109" i="66"/>
  <c r="J112" i="66"/>
  <c r="J115" i="66"/>
  <c r="J114" i="66"/>
  <c r="M36" i="66"/>
  <c r="K64" i="65"/>
  <c r="K62" i="65" s="1"/>
  <c r="K65" i="65"/>
  <c r="K89" i="65"/>
  <c r="K88" i="65"/>
  <c r="K42" i="66"/>
  <c r="K40" i="66" s="1"/>
  <c r="K77" i="66"/>
  <c r="K80" i="66"/>
  <c r="K74" i="66"/>
  <c r="K75" i="66"/>
  <c r="K43" i="66"/>
  <c r="K109" i="66" s="1"/>
  <c r="K73" i="66"/>
  <c r="K82" i="66" s="1"/>
  <c r="K76" i="66"/>
  <c r="K78" i="66"/>
  <c r="K79" i="66"/>
  <c r="J81" i="66"/>
  <c r="J82" i="66"/>
  <c r="J108" i="66"/>
  <c r="K81" i="66" l="1"/>
  <c r="N36" i="66"/>
  <c r="K117" i="66"/>
  <c r="K118" i="66"/>
  <c r="L65" i="65"/>
  <c r="L89" i="65"/>
  <c r="L64" i="65"/>
  <c r="L62" i="65" s="1"/>
  <c r="J118" i="66"/>
  <c r="J117" i="66"/>
  <c r="K114" i="66"/>
  <c r="K115" i="66"/>
  <c r="K113" i="66"/>
  <c r="K116" i="66"/>
  <c r="K110" i="66"/>
  <c r="K111" i="66"/>
  <c r="K112" i="66"/>
  <c r="L78" i="66"/>
  <c r="L79" i="66"/>
  <c r="L42" i="66"/>
  <c r="L40" i="66" s="1"/>
  <c r="L77" i="66"/>
  <c r="L80" i="66"/>
  <c r="L74" i="66"/>
  <c r="L75" i="66"/>
  <c r="L43" i="66"/>
  <c r="L76" i="66"/>
  <c r="L112" i="66" l="1"/>
  <c r="L114" i="66"/>
  <c r="L115" i="66"/>
  <c r="L113" i="66"/>
  <c r="L116" i="66"/>
  <c r="L111" i="66"/>
  <c r="M43" i="66"/>
  <c r="M76" i="66"/>
  <c r="M78" i="66"/>
  <c r="M79" i="66"/>
  <c r="M111" i="66"/>
  <c r="M117" i="66" s="1"/>
  <c r="M42" i="66"/>
  <c r="M40" i="66" s="1"/>
  <c r="M77" i="66"/>
  <c r="M80" i="66"/>
  <c r="M75" i="66"/>
  <c r="M82" i="66" s="1"/>
  <c r="O36" i="66"/>
  <c r="L110" i="66"/>
  <c r="L118" i="66" s="1"/>
  <c r="L82" i="66"/>
  <c r="L81" i="66"/>
  <c r="M118" i="66" l="1"/>
  <c r="M81" i="66"/>
  <c r="L117" i="66"/>
  <c r="M112" i="66"/>
  <c r="M114" i="66"/>
  <c r="M115" i="66"/>
  <c r="M113" i="66"/>
  <c r="M116" i="66"/>
  <c r="N43" i="66"/>
  <c r="N112" i="66" s="1"/>
  <c r="N76" i="66"/>
  <c r="N82" i="66" s="1"/>
  <c r="N78" i="66"/>
  <c r="N79" i="66"/>
  <c r="N42" i="66"/>
  <c r="N40" i="66" s="1"/>
  <c r="N77" i="66"/>
  <c r="N80" i="66"/>
  <c r="P36" i="66"/>
  <c r="N118" i="66" l="1"/>
  <c r="N117" i="66"/>
  <c r="Q36" i="66"/>
  <c r="O42" i="66"/>
  <c r="O40" i="66" s="1"/>
  <c r="O77" i="66"/>
  <c r="O81" i="66" s="1"/>
  <c r="O80" i="66"/>
  <c r="O43" i="66"/>
  <c r="O113" i="66" s="1"/>
  <c r="O118" i="66" s="1"/>
  <c r="O78" i="66"/>
  <c r="O79" i="66"/>
  <c r="N113" i="66"/>
  <c r="N116" i="66"/>
  <c r="N115" i="66"/>
  <c r="N114" i="66"/>
  <c r="N81" i="66"/>
  <c r="O117" i="66" l="1"/>
  <c r="O82" i="66"/>
  <c r="O114" i="66"/>
  <c r="O115" i="66"/>
  <c r="O116" i="66"/>
  <c r="P78" i="66"/>
  <c r="P79" i="66"/>
  <c r="P42" i="66"/>
  <c r="P40" i="66" s="1"/>
  <c r="P80" i="66"/>
  <c r="P43" i="66"/>
  <c r="P114" i="66" s="1"/>
  <c r="R36" i="66"/>
  <c r="P115" i="66" l="1"/>
  <c r="P116" i="66"/>
  <c r="Q43" i="66"/>
  <c r="Q116" i="66" s="1"/>
  <c r="Q79" i="66"/>
  <c r="Q42" i="66"/>
  <c r="Q40" i="66" s="1"/>
  <c r="Q80" i="66"/>
  <c r="Q115" i="66"/>
  <c r="P81" i="66"/>
  <c r="P82" i="66"/>
  <c r="P118" i="66"/>
  <c r="P117" i="66"/>
  <c r="R43" i="66"/>
  <c r="R116" i="66" s="1"/>
  <c r="R42" i="66"/>
  <c r="R40" i="66" s="1"/>
  <c r="R80" i="66"/>
  <c r="Q118" i="66" l="1"/>
  <c r="Q81" i="66"/>
  <c r="Q82" i="66"/>
  <c r="R117" i="66"/>
  <c r="R118" i="66"/>
  <c r="R81" i="66"/>
  <c r="R82" i="66"/>
  <c r="Q117" i="66"/>
  <c r="AT5" i="7" l="1"/>
  <c r="L16" i="7" l="1"/>
  <c r="T15" i="7"/>
  <c r="T17" i="7" s="1"/>
  <c r="BC8" i="7" l="1"/>
  <c r="BC13" i="7" s="1"/>
  <c r="BC18" i="7" s="1"/>
  <c r="AT6" i="7" l="1"/>
  <c r="I14" i="7"/>
  <c r="I19" i="7" s="1"/>
  <c r="L8" i="7" s="1"/>
  <c r="B5" i="63" l="1"/>
  <c r="B7" i="63" s="1"/>
  <c r="L14" i="7"/>
  <c r="L19" i="7" s="1"/>
  <c r="AT8" i="7"/>
  <c r="C6" i="56"/>
  <c r="C26" i="55"/>
  <c r="C27" i="55" s="1"/>
  <c r="G31" i="67"/>
  <c r="N29" i="67" l="1"/>
  <c r="AU7" i="7"/>
  <c r="BC50" i="7"/>
  <c r="BC52" i="7"/>
  <c r="BC53" i="7"/>
  <c r="AU8" i="7"/>
  <c r="BC51" i="7"/>
  <c r="AU5" i="7"/>
  <c r="C28" i="55"/>
  <c r="AU6" i="7"/>
  <c r="G12" i="56"/>
  <c r="J9" i="67" l="1"/>
  <c r="H23" i="62"/>
  <c r="B29" i="63" s="1"/>
  <c r="J54" i="2"/>
  <c r="G11" i="4" s="1"/>
  <c r="K23" i="62" l="1"/>
  <c r="C29" i="63"/>
  <c r="D29" i="63" s="1"/>
  <c r="AH42" i="2"/>
  <c r="Q39" i="8"/>
  <c r="P81" i="8"/>
  <c r="L39" i="62"/>
  <c r="AD32" i="4" s="1"/>
  <c r="AI39" i="62"/>
  <c r="AD31" i="4"/>
  <c r="AD34" i="4"/>
  <c r="Q74" i="8"/>
  <c r="L41" i="62"/>
  <c r="AI41" i="62" s="1"/>
  <c r="P76" i="8"/>
  <c r="P82" i="8"/>
  <c r="P80" i="8" s="1"/>
  <c r="K45" i="2"/>
  <c r="AQ42" i="2" l="1"/>
  <c r="J52" i="2"/>
  <c r="G35" i="67" l="1"/>
  <c r="N35" i="67"/>
  <c r="K19" i="9"/>
  <c r="K25" i="9"/>
  <c r="L27" i="9"/>
  <c r="K28" i="9"/>
  <c r="K29" i="9"/>
  <c r="K32" i="9"/>
  <c r="L33" i="9"/>
  <c r="H35" i="4" s="1"/>
  <c r="K34" i="9"/>
  <c r="L31" i="9" s="1"/>
  <c r="P138" i="8" l="1"/>
  <c r="D21" i="55"/>
  <c r="P124" i="8"/>
  <c r="AD35" i="4"/>
  <c r="L46" i="62"/>
  <c r="AI46" i="62" l="1"/>
  <c r="L19" i="9"/>
  <c r="L25" i="9"/>
  <c r="L28" i="9"/>
  <c r="L29" i="9"/>
  <c r="M27" i="9" s="1"/>
  <c r="L32" i="9"/>
  <c r="M33" i="9" s="1"/>
  <c r="I35" i="4" s="1"/>
  <c r="Q124" i="8" l="1"/>
  <c r="Q138" i="8"/>
  <c r="M46" i="62"/>
  <c r="L34" i="9"/>
  <c r="M31" i="9" s="1"/>
  <c r="F10" i="43" l="1"/>
  <c r="F12" i="43"/>
  <c r="F15" i="43"/>
  <c r="G15" i="43"/>
  <c r="H15" i="43"/>
  <c r="I15" i="43"/>
  <c r="J15" i="43"/>
  <c r="K15" i="43"/>
  <c r="F17" i="43"/>
  <c r="G17" i="43"/>
  <c r="H17" i="43"/>
  <c r="I17" i="43"/>
  <c r="J17" i="43"/>
  <c r="K17" i="43"/>
  <c r="AA41" i="76"/>
  <c r="AB41" i="76"/>
  <c r="AC41" i="76"/>
  <c r="E7" i="54"/>
  <c r="E15" i="54"/>
  <c r="E20" i="54"/>
  <c r="D14" i="70"/>
  <c r="E14" i="70"/>
  <c r="F14" i="70"/>
  <c r="G14" i="70"/>
  <c r="H14" i="70"/>
  <c r="D19" i="70"/>
  <c r="E19" i="70"/>
  <c r="F19" i="70"/>
  <c r="G19" i="70"/>
  <c r="H19" i="70"/>
  <c r="D21" i="70"/>
  <c r="E21" i="70"/>
  <c r="F21" i="70"/>
  <c r="G21" i="70"/>
  <c r="H21" i="70"/>
  <c r="D22" i="70"/>
  <c r="E22" i="70"/>
  <c r="F22" i="70"/>
  <c r="G22" i="70"/>
  <c r="H22" i="70"/>
  <c r="D24" i="70"/>
  <c r="E24" i="70"/>
  <c r="F24" i="70"/>
  <c r="G24" i="70"/>
  <c r="H24" i="70"/>
  <c r="D25" i="70"/>
  <c r="E25" i="70"/>
  <c r="F25" i="70"/>
  <c r="G25" i="70"/>
  <c r="H25" i="70"/>
  <c r="D31" i="70"/>
  <c r="E31" i="70"/>
  <c r="F31" i="70"/>
  <c r="G31" i="70"/>
  <c r="H31" i="70"/>
  <c r="D32" i="70"/>
  <c r="E32" i="70"/>
  <c r="F32" i="70"/>
  <c r="G32" i="70"/>
  <c r="H32" i="70"/>
  <c r="D38" i="70"/>
  <c r="E38" i="70"/>
  <c r="F38" i="70"/>
  <c r="G38" i="70"/>
  <c r="H38" i="70"/>
  <c r="H39" i="70"/>
  <c r="H44" i="70"/>
  <c r="H49" i="70"/>
  <c r="H50" i="70"/>
  <c r="P14" i="8"/>
  <c r="Q14" i="8"/>
  <c r="R14" i="8"/>
  <c r="S14" i="8"/>
  <c r="T14" i="8"/>
  <c r="U14" i="8"/>
  <c r="V14" i="8"/>
  <c r="W14" i="8"/>
  <c r="X14" i="8"/>
  <c r="Y14" i="8"/>
  <c r="Z14" i="8"/>
  <c r="AA14" i="8"/>
  <c r="AB14" i="8"/>
  <c r="AC14" i="8"/>
  <c r="AD14" i="8"/>
  <c r="AE14" i="8"/>
  <c r="AF14" i="8"/>
  <c r="AG14" i="8"/>
  <c r="AH14" i="8"/>
  <c r="AI14" i="8"/>
  <c r="AJ14" i="8"/>
  <c r="P15" i="8"/>
  <c r="Q15" i="8"/>
  <c r="R15" i="8"/>
  <c r="S15" i="8"/>
  <c r="T15" i="8"/>
  <c r="U15" i="8"/>
  <c r="V15" i="8"/>
  <c r="W15" i="8"/>
  <c r="X15" i="8"/>
  <c r="Y15" i="8"/>
  <c r="Z15" i="8"/>
  <c r="AA15" i="8"/>
  <c r="AB15" i="8"/>
  <c r="AC15" i="8"/>
  <c r="AD15" i="8"/>
  <c r="AE15" i="8"/>
  <c r="AF15" i="8"/>
  <c r="AG15" i="8"/>
  <c r="AH15" i="8"/>
  <c r="AI15" i="8"/>
  <c r="AJ15" i="8"/>
  <c r="P17" i="8"/>
  <c r="Q17" i="8"/>
  <c r="R17" i="8"/>
  <c r="S17" i="8"/>
  <c r="T17" i="8"/>
  <c r="U17" i="8"/>
  <c r="V17" i="8"/>
  <c r="W17" i="8"/>
  <c r="X17" i="8"/>
  <c r="Y17" i="8"/>
  <c r="Z17" i="8"/>
  <c r="AA17" i="8"/>
  <c r="AB17" i="8"/>
  <c r="AC17" i="8"/>
  <c r="AD17" i="8"/>
  <c r="AE17" i="8"/>
  <c r="AF17" i="8"/>
  <c r="AG17" i="8"/>
  <c r="AH17" i="8"/>
  <c r="AI17" i="8"/>
  <c r="AJ17" i="8"/>
  <c r="Q24" i="8"/>
  <c r="R24" i="8"/>
  <c r="S24" i="8"/>
  <c r="T24" i="8"/>
  <c r="U24" i="8"/>
  <c r="V24" i="8"/>
  <c r="W24" i="8"/>
  <c r="X24" i="8"/>
  <c r="Y24" i="8"/>
  <c r="Z24" i="8"/>
  <c r="AA24" i="8"/>
  <c r="AB24" i="8"/>
  <c r="AC24" i="8"/>
  <c r="AD24" i="8"/>
  <c r="AE24" i="8"/>
  <c r="AF24" i="8"/>
  <c r="AG24" i="8"/>
  <c r="AH24" i="8"/>
  <c r="AI24" i="8"/>
  <c r="AJ24" i="8"/>
  <c r="P25" i="8"/>
  <c r="Q25" i="8"/>
  <c r="R25" i="8"/>
  <c r="S25" i="8"/>
  <c r="T25" i="8"/>
  <c r="U25" i="8"/>
  <c r="V25" i="8"/>
  <c r="W25" i="8"/>
  <c r="X25" i="8"/>
  <c r="Y25" i="8"/>
  <c r="Z25" i="8"/>
  <c r="AA25" i="8"/>
  <c r="AB25" i="8"/>
  <c r="AC25" i="8"/>
  <c r="AD25" i="8"/>
  <c r="AE25" i="8"/>
  <c r="AF25" i="8"/>
  <c r="AG25" i="8"/>
  <c r="AH25" i="8"/>
  <c r="AI25" i="8"/>
  <c r="AJ25" i="8"/>
  <c r="P26" i="8"/>
  <c r="Q26" i="8"/>
  <c r="R26" i="8"/>
  <c r="S26" i="8"/>
  <c r="T26" i="8"/>
  <c r="U26" i="8"/>
  <c r="V26" i="8"/>
  <c r="W26" i="8"/>
  <c r="X26" i="8"/>
  <c r="Y26" i="8"/>
  <c r="Z26" i="8"/>
  <c r="AA26" i="8"/>
  <c r="AB26" i="8"/>
  <c r="AC26" i="8"/>
  <c r="AD26" i="8"/>
  <c r="AE26" i="8"/>
  <c r="AF26" i="8"/>
  <c r="AG26" i="8"/>
  <c r="AH26" i="8"/>
  <c r="AI26" i="8"/>
  <c r="AJ26" i="8"/>
  <c r="Q27" i="8"/>
  <c r="R27" i="8"/>
  <c r="S27" i="8"/>
  <c r="T27" i="8"/>
  <c r="U27" i="8"/>
  <c r="V27" i="8"/>
  <c r="W27" i="8"/>
  <c r="X27" i="8"/>
  <c r="Y27" i="8"/>
  <c r="Z27" i="8"/>
  <c r="AA27" i="8"/>
  <c r="AB27" i="8"/>
  <c r="AC27" i="8"/>
  <c r="P28" i="8"/>
  <c r="Q28" i="8"/>
  <c r="R28" i="8"/>
  <c r="S28" i="8"/>
  <c r="T28" i="8"/>
  <c r="U28" i="8"/>
  <c r="V28" i="8"/>
  <c r="W28" i="8"/>
  <c r="X28" i="8"/>
  <c r="Y28" i="8"/>
  <c r="Z28" i="8"/>
  <c r="AA28" i="8"/>
  <c r="AB28" i="8"/>
  <c r="AC28" i="8"/>
  <c r="AD28" i="8"/>
  <c r="AE28" i="8"/>
  <c r="AF28" i="8"/>
  <c r="AG28" i="8"/>
  <c r="AH28" i="8"/>
  <c r="AI28" i="8"/>
  <c r="AJ28" i="8"/>
  <c r="P31" i="8"/>
  <c r="Q31" i="8"/>
  <c r="R31" i="8"/>
  <c r="S31" i="8"/>
  <c r="T31" i="8"/>
  <c r="U31" i="8"/>
  <c r="V31" i="8"/>
  <c r="W31" i="8"/>
  <c r="X31" i="8"/>
  <c r="Y31" i="8"/>
  <c r="Z31" i="8"/>
  <c r="AA31" i="8"/>
  <c r="AB31" i="8"/>
  <c r="AC31" i="8"/>
  <c r="AD31" i="8"/>
  <c r="AE31" i="8"/>
  <c r="AF31" i="8"/>
  <c r="AG31" i="8"/>
  <c r="AH31" i="8"/>
  <c r="AI31" i="8"/>
  <c r="AJ31" i="8"/>
  <c r="P32" i="8"/>
  <c r="Q32" i="8"/>
  <c r="R32" i="8"/>
  <c r="S32" i="8"/>
  <c r="T32" i="8"/>
  <c r="U32" i="8"/>
  <c r="V32" i="8"/>
  <c r="W32" i="8"/>
  <c r="X32" i="8"/>
  <c r="Y32" i="8"/>
  <c r="Z32" i="8"/>
  <c r="AA32" i="8"/>
  <c r="AB32" i="8"/>
  <c r="AC32" i="8"/>
  <c r="AD32" i="8"/>
  <c r="AE32" i="8"/>
  <c r="AF32" i="8"/>
  <c r="AG32" i="8"/>
  <c r="AH32" i="8"/>
  <c r="AI32" i="8"/>
  <c r="AJ32" i="8"/>
  <c r="P34" i="8"/>
  <c r="Q34" i="8"/>
  <c r="R34" i="8"/>
  <c r="S34" i="8"/>
  <c r="T34" i="8"/>
  <c r="U34" i="8"/>
  <c r="V34" i="8"/>
  <c r="W34" i="8"/>
  <c r="X34" i="8"/>
  <c r="Y34" i="8"/>
  <c r="Z34" i="8"/>
  <c r="AA34" i="8"/>
  <c r="AB34" i="8"/>
  <c r="AC34" i="8"/>
  <c r="AD34" i="8"/>
  <c r="AE34" i="8"/>
  <c r="AF34" i="8"/>
  <c r="AG34" i="8"/>
  <c r="AH34" i="8"/>
  <c r="AI34" i="8"/>
  <c r="AJ34" i="8"/>
  <c r="R39" i="8"/>
  <c r="S39" i="8"/>
  <c r="T39" i="8"/>
  <c r="U39" i="8"/>
  <c r="V39" i="8"/>
  <c r="W39" i="8"/>
  <c r="X39" i="8"/>
  <c r="Y39" i="8"/>
  <c r="Z39" i="8"/>
  <c r="AA39" i="8"/>
  <c r="AB39" i="8"/>
  <c r="AC39" i="8"/>
  <c r="AD39" i="8"/>
  <c r="AE39" i="8"/>
  <c r="AF39" i="8"/>
  <c r="AG39" i="8"/>
  <c r="AH39" i="8"/>
  <c r="AI39" i="8"/>
  <c r="AJ39" i="8"/>
  <c r="O40" i="8"/>
  <c r="P40" i="8"/>
  <c r="Q40" i="8"/>
  <c r="R40" i="8"/>
  <c r="S40" i="8"/>
  <c r="T40" i="8"/>
  <c r="U40" i="8"/>
  <c r="V40" i="8"/>
  <c r="W40" i="8"/>
  <c r="X40" i="8"/>
  <c r="Y40" i="8"/>
  <c r="Z40" i="8"/>
  <c r="AA40" i="8"/>
  <c r="AB40" i="8"/>
  <c r="AC40" i="8"/>
  <c r="AD40" i="8"/>
  <c r="AE40" i="8"/>
  <c r="AF40" i="8"/>
  <c r="AG40" i="8"/>
  <c r="AH40" i="8"/>
  <c r="AI40" i="8"/>
  <c r="AJ40" i="8"/>
  <c r="O42" i="8"/>
  <c r="P42" i="8"/>
  <c r="Q42" i="8"/>
  <c r="R42" i="8"/>
  <c r="S42" i="8"/>
  <c r="T42" i="8"/>
  <c r="U42" i="8"/>
  <c r="V42" i="8"/>
  <c r="W42" i="8"/>
  <c r="X42" i="8"/>
  <c r="Y42" i="8"/>
  <c r="Z42" i="8"/>
  <c r="AA42" i="8"/>
  <c r="AB42" i="8"/>
  <c r="AC42" i="8"/>
  <c r="AD42" i="8"/>
  <c r="AE42" i="8"/>
  <c r="AF42" i="8"/>
  <c r="AG42" i="8"/>
  <c r="AH42" i="8"/>
  <c r="AI42" i="8"/>
  <c r="AJ42" i="8"/>
  <c r="O46" i="8"/>
  <c r="P46" i="8"/>
  <c r="Q46" i="8"/>
  <c r="R46" i="8"/>
  <c r="S46" i="8"/>
  <c r="T46" i="8"/>
  <c r="U46" i="8"/>
  <c r="V46" i="8"/>
  <c r="W46" i="8"/>
  <c r="X46" i="8"/>
  <c r="Y46" i="8"/>
  <c r="Z46" i="8"/>
  <c r="AA46" i="8"/>
  <c r="AB46" i="8"/>
  <c r="AC46" i="8"/>
  <c r="AD46" i="8"/>
  <c r="AE46" i="8"/>
  <c r="AF46" i="8"/>
  <c r="AG46" i="8"/>
  <c r="AH46" i="8"/>
  <c r="AI46" i="8"/>
  <c r="AJ46" i="8"/>
  <c r="O47" i="8"/>
  <c r="P47" i="8"/>
  <c r="Q47" i="8"/>
  <c r="R47" i="8"/>
  <c r="S47" i="8"/>
  <c r="T47" i="8"/>
  <c r="U47" i="8"/>
  <c r="V47" i="8"/>
  <c r="W47" i="8"/>
  <c r="X47" i="8"/>
  <c r="Y47" i="8"/>
  <c r="Z47" i="8"/>
  <c r="AA47" i="8"/>
  <c r="AB47" i="8"/>
  <c r="AC47" i="8"/>
  <c r="AD47" i="8"/>
  <c r="AE47" i="8"/>
  <c r="AF47" i="8"/>
  <c r="AG47" i="8"/>
  <c r="AH47" i="8"/>
  <c r="AI47" i="8"/>
  <c r="AJ47" i="8"/>
  <c r="Q49" i="8"/>
  <c r="R49" i="8"/>
  <c r="S49" i="8"/>
  <c r="T49" i="8"/>
  <c r="U49" i="8"/>
  <c r="V49" i="8"/>
  <c r="W49" i="8"/>
  <c r="X49" i="8"/>
  <c r="Y49" i="8"/>
  <c r="Z49" i="8"/>
  <c r="AA49" i="8"/>
  <c r="AB49" i="8"/>
  <c r="AC49" i="8"/>
  <c r="AD49" i="8"/>
  <c r="AE49" i="8"/>
  <c r="AF49" i="8"/>
  <c r="AG49" i="8"/>
  <c r="AH49" i="8"/>
  <c r="AI49" i="8"/>
  <c r="AJ49" i="8"/>
  <c r="P52" i="8"/>
  <c r="Q52" i="8"/>
  <c r="R52" i="8"/>
  <c r="S52" i="8"/>
  <c r="T52" i="8"/>
  <c r="U52" i="8"/>
  <c r="V52" i="8"/>
  <c r="W52" i="8"/>
  <c r="X52" i="8"/>
  <c r="Y52" i="8"/>
  <c r="Z52" i="8"/>
  <c r="AA52" i="8"/>
  <c r="AB52" i="8"/>
  <c r="AC52" i="8"/>
  <c r="AD52" i="8"/>
  <c r="AE52" i="8"/>
  <c r="AF52" i="8"/>
  <c r="AG52" i="8"/>
  <c r="AH52" i="8"/>
  <c r="AI52" i="8"/>
  <c r="AJ52" i="8"/>
  <c r="R57" i="8"/>
  <c r="S57" i="8"/>
  <c r="T57" i="8"/>
  <c r="U57" i="8"/>
  <c r="V57" i="8"/>
  <c r="W57" i="8"/>
  <c r="X57" i="8"/>
  <c r="Y57" i="8"/>
  <c r="Z57" i="8"/>
  <c r="AA57" i="8"/>
  <c r="AB57" i="8"/>
  <c r="AC57" i="8"/>
  <c r="AD57" i="8"/>
  <c r="AE57" i="8"/>
  <c r="AF57" i="8"/>
  <c r="AG57" i="8"/>
  <c r="AH57" i="8"/>
  <c r="AI57" i="8"/>
  <c r="AJ57" i="8"/>
  <c r="R59" i="8"/>
  <c r="S59" i="8"/>
  <c r="T59" i="8"/>
  <c r="U59" i="8"/>
  <c r="V59" i="8"/>
  <c r="W59" i="8"/>
  <c r="X59" i="8"/>
  <c r="Y59" i="8"/>
  <c r="Z59" i="8"/>
  <c r="AA59" i="8"/>
  <c r="AB59" i="8"/>
  <c r="AC59" i="8"/>
  <c r="AD59" i="8"/>
  <c r="AE59" i="8"/>
  <c r="AF59" i="8"/>
  <c r="AG59" i="8"/>
  <c r="AH59" i="8"/>
  <c r="AI59" i="8"/>
  <c r="AJ59" i="8"/>
  <c r="N63" i="8"/>
  <c r="O63" i="8"/>
  <c r="R63" i="8"/>
  <c r="S63" i="8"/>
  <c r="T63" i="8"/>
  <c r="U63" i="8"/>
  <c r="V63" i="8"/>
  <c r="W63" i="8"/>
  <c r="X63" i="8"/>
  <c r="Y63" i="8"/>
  <c r="Z63" i="8"/>
  <c r="AA63" i="8"/>
  <c r="AB63" i="8"/>
  <c r="AC63" i="8"/>
  <c r="AD63" i="8"/>
  <c r="AE63" i="8"/>
  <c r="AF63" i="8"/>
  <c r="AG63" i="8"/>
  <c r="AH63" i="8"/>
  <c r="AI63" i="8"/>
  <c r="AJ63" i="8"/>
  <c r="N65" i="8"/>
  <c r="O65" i="8"/>
  <c r="R65" i="8"/>
  <c r="S65" i="8"/>
  <c r="T65" i="8"/>
  <c r="U65" i="8"/>
  <c r="V65" i="8"/>
  <c r="W65" i="8"/>
  <c r="X65" i="8"/>
  <c r="Y65" i="8"/>
  <c r="Z65" i="8"/>
  <c r="AA65" i="8"/>
  <c r="AB65" i="8"/>
  <c r="AC65" i="8"/>
  <c r="AD65" i="8"/>
  <c r="AE65" i="8"/>
  <c r="AF65" i="8"/>
  <c r="AG65" i="8"/>
  <c r="AH65" i="8"/>
  <c r="AI65" i="8"/>
  <c r="AJ65" i="8"/>
  <c r="Q66" i="8"/>
  <c r="R66" i="8"/>
  <c r="S66" i="8"/>
  <c r="T66" i="8"/>
  <c r="U66" i="8"/>
  <c r="V66" i="8"/>
  <c r="W66" i="8"/>
  <c r="X66" i="8"/>
  <c r="Y66" i="8"/>
  <c r="Z66" i="8"/>
  <c r="AA66" i="8"/>
  <c r="AB66" i="8"/>
  <c r="AC66" i="8"/>
  <c r="AD66" i="8"/>
  <c r="AE66" i="8"/>
  <c r="AF66" i="8"/>
  <c r="AG66" i="8"/>
  <c r="AH66" i="8"/>
  <c r="AI66" i="8"/>
  <c r="AJ66" i="8"/>
  <c r="Q67" i="8"/>
  <c r="R67" i="8"/>
  <c r="S67" i="8"/>
  <c r="T67" i="8"/>
  <c r="U67" i="8"/>
  <c r="V67" i="8"/>
  <c r="W67" i="8"/>
  <c r="X67" i="8"/>
  <c r="Y67" i="8"/>
  <c r="Z67" i="8"/>
  <c r="AA67" i="8"/>
  <c r="AB67" i="8"/>
  <c r="AC67" i="8"/>
  <c r="AD67" i="8"/>
  <c r="AE67" i="8"/>
  <c r="AF67" i="8"/>
  <c r="AG67" i="8"/>
  <c r="AH67" i="8"/>
  <c r="AI67" i="8"/>
  <c r="AJ67" i="8"/>
  <c r="P69" i="8"/>
  <c r="Q69" i="8"/>
  <c r="R69" i="8"/>
  <c r="S69" i="8"/>
  <c r="T69" i="8"/>
  <c r="U69" i="8"/>
  <c r="V69" i="8"/>
  <c r="W69" i="8"/>
  <c r="X69" i="8"/>
  <c r="Y69" i="8"/>
  <c r="Z69" i="8"/>
  <c r="AA69" i="8"/>
  <c r="AB69" i="8"/>
  <c r="AC69" i="8"/>
  <c r="AD69" i="8"/>
  <c r="AE69" i="8"/>
  <c r="AF69" i="8"/>
  <c r="AG69" i="8"/>
  <c r="AH69" i="8"/>
  <c r="AI69" i="8"/>
  <c r="AJ69" i="8"/>
  <c r="R74" i="8"/>
  <c r="S74" i="8"/>
  <c r="T74" i="8"/>
  <c r="U74" i="8"/>
  <c r="V74" i="8"/>
  <c r="W74" i="8"/>
  <c r="X74" i="8"/>
  <c r="Y74" i="8"/>
  <c r="Z74" i="8"/>
  <c r="AA74" i="8"/>
  <c r="AB74" i="8"/>
  <c r="AC74" i="8"/>
  <c r="AD74" i="8"/>
  <c r="AE74" i="8"/>
  <c r="AF74" i="8"/>
  <c r="AG74" i="8"/>
  <c r="AH74" i="8"/>
  <c r="AI74" i="8"/>
  <c r="AJ74" i="8"/>
  <c r="O75" i="8"/>
  <c r="Q75" i="8"/>
  <c r="R75" i="8"/>
  <c r="S75" i="8"/>
  <c r="T75" i="8"/>
  <c r="U75" i="8"/>
  <c r="V75" i="8"/>
  <c r="W75" i="8"/>
  <c r="X75" i="8"/>
  <c r="Y75" i="8"/>
  <c r="Z75" i="8"/>
  <c r="AA75" i="8"/>
  <c r="AB75" i="8"/>
  <c r="AC75" i="8"/>
  <c r="AD75" i="8"/>
  <c r="AE75" i="8"/>
  <c r="AF75" i="8"/>
  <c r="AG75" i="8"/>
  <c r="AH75" i="8"/>
  <c r="AI75" i="8"/>
  <c r="O76" i="8"/>
  <c r="Q76" i="8"/>
  <c r="R76" i="8"/>
  <c r="S76" i="8"/>
  <c r="T76" i="8"/>
  <c r="U76" i="8"/>
  <c r="V76" i="8"/>
  <c r="W76" i="8"/>
  <c r="X76" i="8"/>
  <c r="Y76" i="8"/>
  <c r="Z76" i="8"/>
  <c r="AA76" i="8"/>
  <c r="AB76" i="8"/>
  <c r="AC76" i="8"/>
  <c r="AD76" i="8"/>
  <c r="AE76" i="8"/>
  <c r="AF76" i="8"/>
  <c r="AG76" i="8"/>
  <c r="AH76" i="8"/>
  <c r="AI76" i="8"/>
  <c r="AJ76" i="8"/>
  <c r="N80" i="8"/>
  <c r="O80" i="8"/>
  <c r="Q80" i="8"/>
  <c r="R80" i="8"/>
  <c r="S80" i="8"/>
  <c r="T80" i="8"/>
  <c r="U80" i="8"/>
  <c r="V80" i="8"/>
  <c r="W80" i="8"/>
  <c r="X80" i="8"/>
  <c r="Y80" i="8"/>
  <c r="Z80" i="8"/>
  <c r="AA80" i="8"/>
  <c r="AB80" i="8"/>
  <c r="AC80" i="8"/>
  <c r="AD80" i="8"/>
  <c r="AE80" i="8"/>
  <c r="AF80" i="8"/>
  <c r="AG80" i="8"/>
  <c r="AH80" i="8"/>
  <c r="AI80" i="8"/>
  <c r="AJ80" i="8"/>
  <c r="Q81" i="8"/>
  <c r="R81" i="8"/>
  <c r="S81" i="8"/>
  <c r="T81" i="8"/>
  <c r="U81" i="8"/>
  <c r="V81" i="8"/>
  <c r="W81" i="8"/>
  <c r="X81" i="8"/>
  <c r="Y81" i="8"/>
  <c r="Z81" i="8"/>
  <c r="AA81" i="8"/>
  <c r="AB81" i="8"/>
  <c r="AC81" i="8"/>
  <c r="AD81" i="8"/>
  <c r="AE81" i="8"/>
  <c r="AF81" i="8"/>
  <c r="AG81" i="8"/>
  <c r="AH81" i="8"/>
  <c r="AI81" i="8"/>
  <c r="AJ81" i="8"/>
  <c r="N82" i="8"/>
  <c r="O82" i="8"/>
  <c r="Q82" i="8"/>
  <c r="R82" i="8"/>
  <c r="S82" i="8"/>
  <c r="T82" i="8"/>
  <c r="U82" i="8"/>
  <c r="V82" i="8"/>
  <c r="W82" i="8"/>
  <c r="X82" i="8"/>
  <c r="Y82" i="8"/>
  <c r="Z82" i="8"/>
  <c r="AA82" i="8"/>
  <c r="AB82" i="8"/>
  <c r="AC82" i="8"/>
  <c r="AD82" i="8"/>
  <c r="AE82" i="8"/>
  <c r="AF82" i="8"/>
  <c r="AG82" i="8"/>
  <c r="AH82" i="8"/>
  <c r="AI82" i="8"/>
  <c r="AJ82" i="8"/>
  <c r="Q84" i="8"/>
  <c r="R84" i="8"/>
  <c r="S84" i="8"/>
  <c r="T84" i="8"/>
  <c r="U84" i="8"/>
  <c r="V84" i="8"/>
  <c r="W84" i="8"/>
  <c r="X84" i="8"/>
  <c r="Y84" i="8"/>
  <c r="Z84" i="8"/>
  <c r="AA84" i="8"/>
  <c r="AB84" i="8"/>
  <c r="AC84" i="8"/>
  <c r="AD84" i="8"/>
  <c r="AE84" i="8"/>
  <c r="AF84" i="8"/>
  <c r="AG84" i="8"/>
  <c r="AH84" i="8"/>
  <c r="AI84" i="8"/>
  <c r="AJ84" i="8"/>
  <c r="P87" i="8"/>
  <c r="Q87" i="8"/>
  <c r="R87" i="8"/>
  <c r="S87" i="8"/>
  <c r="T87" i="8"/>
  <c r="U87" i="8"/>
  <c r="V87" i="8"/>
  <c r="W87" i="8"/>
  <c r="X87" i="8"/>
  <c r="Y87" i="8"/>
  <c r="Z87" i="8"/>
  <c r="AA87" i="8"/>
  <c r="AB87" i="8"/>
  <c r="AC87" i="8"/>
  <c r="AD87" i="8"/>
  <c r="AE87" i="8"/>
  <c r="AF87" i="8"/>
  <c r="AG87" i="8"/>
  <c r="AH87" i="8"/>
  <c r="AI87" i="8"/>
  <c r="AJ87" i="8"/>
  <c r="P89" i="8"/>
  <c r="Q89" i="8"/>
  <c r="R89" i="8"/>
  <c r="S89" i="8"/>
  <c r="T89" i="8"/>
  <c r="U89" i="8"/>
  <c r="V89" i="8"/>
  <c r="W89" i="8"/>
  <c r="X89" i="8"/>
  <c r="Y89" i="8"/>
  <c r="Z89" i="8"/>
  <c r="AA89" i="8"/>
  <c r="AB89" i="8"/>
  <c r="AC89" i="8"/>
  <c r="AD89" i="8"/>
  <c r="AE89" i="8"/>
  <c r="AF89" i="8"/>
  <c r="AG89" i="8"/>
  <c r="AH89" i="8"/>
  <c r="AI89" i="8"/>
  <c r="AJ89" i="8"/>
  <c r="P90" i="8"/>
  <c r="Q90" i="8"/>
  <c r="R90" i="8"/>
  <c r="S90" i="8"/>
  <c r="T90" i="8"/>
  <c r="U90" i="8"/>
  <c r="V90" i="8"/>
  <c r="W90" i="8"/>
  <c r="X90" i="8"/>
  <c r="Y90" i="8"/>
  <c r="Z90" i="8"/>
  <c r="AA90" i="8"/>
  <c r="AB90" i="8"/>
  <c r="AC90" i="8"/>
  <c r="AD90" i="8"/>
  <c r="AE90" i="8"/>
  <c r="AF90" i="8"/>
  <c r="AG90" i="8"/>
  <c r="AH90" i="8"/>
  <c r="AI90" i="8"/>
  <c r="AJ90" i="8"/>
  <c r="O92" i="8"/>
  <c r="P92" i="8"/>
  <c r="Q92" i="8"/>
  <c r="R92" i="8"/>
  <c r="S92" i="8"/>
  <c r="T92" i="8"/>
  <c r="U92" i="8"/>
  <c r="V92" i="8"/>
  <c r="W92" i="8"/>
  <c r="X92" i="8"/>
  <c r="Y92" i="8"/>
  <c r="Z92" i="8"/>
  <c r="AA92" i="8"/>
  <c r="AB92" i="8"/>
  <c r="AC92" i="8"/>
  <c r="AD92" i="8"/>
  <c r="AE92" i="8"/>
  <c r="AF92" i="8"/>
  <c r="AG92" i="8"/>
  <c r="AH92" i="8"/>
  <c r="AI92" i="8"/>
  <c r="AJ92" i="8"/>
  <c r="M119" i="8"/>
  <c r="N119" i="8"/>
  <c r="O119" i="8"/>
  <c r="P119" i="8"/>
  <c r="Q119" i="8"/>
  <c r="R119" i="8"/>
  <c r="S119" i="8"/>
  <c r="T119" i="8"/>
  <c r="U119" i="8"/>
  <c r="V119" i="8"/>
  <c r="W119" i="8"/>
  <c r="X119" i="8"/>
  <c r="Y119" i="8"/>
  <c r="Z119" i="8"/>
  <c r="AA119" i="8"/>
  <c r="AB119" i="8"/>
  <c r="AC119" i="8"/>
  <c r="AD119" i="8"/>
  <c r="AE119" i="8"/>
  <c r="M120" i="8"/>
  <c r="N120" i="8"/>
  <c r="O120" i="8"/>
  <c r="P120" i="8"/>
  <c r="Q120" i="8"/>
  <c r="R120" i="8"/>
  <c r="S120" i="8"/>
  <c r="T120" i="8"/>
  <c r="U120" i="8"/>
  <c r="V120" i="8"/>
  <c r="W120" i="8"/>
  <c r="X120" i="8"/>
  <c r="Y120" i="8"/>
  <c r="Z120" i="8"/>
  <c r="AA120" i="8"/>
  <c r="AB120" i="8"/>
  <c r="AC120" i="8"/>
  <c r="AD120" i="8"/>
  <c r="AE120" i="8"/>
  <c r="R124" i="8"/>
  <c r="S124" i="8"/>
  <c r="T124" i="8"/>
  <c r="U124" i="8"/>
  <c r="V124" i="8"/>
  <c r="W124" i="8"/>
  <c r="X124" i="8"/>
  <c r="Y124" i="8"/>
  <c r="Z124" i="8"/>
  <c r="AA124" i="8"/>
  <c r="AB124" i="8"/>
  <c r="AC124" i="8"/>
  <c r="AD124" i="8"/>
  <c r="AE124" i="8"/>
  <c r="AF124" i="8"/>
  <c r="O125" i="8"/>
  <c r="P125" i="8"/>
  <c r="Q125" i="8"/>
  <c r="R125" i="8"/>
  <c r="S125" i="8"/>
  <c r="T125" i="8"/>
  <c r="U125" i="8"/>
  <c r="V125" i="8"/>
  <c r="W125" i="8"/>
  <c r="X125" i="8"/>
  <c r="Y125" i="8"/>
  <c r="Z125" i="8"/>
  <c r="AA125" i="8"/>
  <c r="AB125" i="8"/>
  <c r="AC125" i="8"/>
  <c r="AD125" i="8"/>
  <c r="AE125" i="8"/>
  <c r="AF125" i="8"/>
  <c r="M126" i="8"/>
  <c r="N126" i="8"/>
  <c r="O126" i="8"/>
  <c r="P126" i="8"/>
  <c r="Q126" i="8"/>
  <c r="R126" i="8"/>
  <c r="S126" i="8"/>
  <c r="T126" i="8"/>
  <c r="U126" i="8"/>
  <c r="V126" i="8"/>
  <c r="W126" i="8"/>
  <c r="X126" i="8"/>
  <c r="Y126" i="8"/>
  <c r="Z126" i="8"/>
  <c r="AA126" i="8"/>
  <c r="AB126" i="8"/>
  <c r="AC126" i="8"/>
  <c r="AD126" i="8"/>
  <c r="AE126" i="8"/>
  <c r="M130" i="8"/>
  <c r="N130" i="8"/>
  <c r="O130" i="8"/>
  <c r="P130" i="8"/>
  <c r="Q130" i="8"/>
  <c r="R130" i="8"/>
  <c r="S130" i="8"/>
  <c r="T130" i="8"/>
  <c r="U130" i="8"/>
  <c r="V130" i="8"/>
  <c r="W130" i="8"/>
  <c r="X130" i="8"/>
  <c r="Y130" i="8"/>
  <c r="Z130" i="8"/>
  <c r="AA130" i="8"/>
  <c r="AB130" i="8"/>
  <c r="AC130" i="8"/>
  <c r="AD130" i="8"/>
  <c r="AE130" i="8"/>
  <c r="J134" i="8"/>
  <c r="K134" i="8"/>
  <c r="L134" i="8"/>
  <c r="M134" i="8"/>
  <c r="N134" i="8"/>
  <c r="O134" i="8"/>
  <c r="P134" i="8"/>
  <c r="Q134" i="8"/>
  <c r="R134" i="8"/>
  <c r="S134" i="8"/>
  <c r="T134" i="8"/>
  <c r="U134" i="8"/>
  <c r="V134" i="8"/>
  <c r="W134" i="8"/>
  <c r="X134" i="8"/>
  <c r="Y134" i="8"/>
  <c r="Z134" i="8"/>
  <c r="AA134" i="8"/>
  <c r="AB134" i="8"/>
  <c r="O137" i="8"/>
  <c r="Q137" i="8"/>
  <c r="R137" i="8"/>
  <c r="S137" i="8"/>
  <c r="T137" i="8"/>
  <c r="U137" i="8"/>
  <c r="V137" i="8"/>
  <c r="W137" i="8"/>
  <c r="X137" i="8"/>
  <c r="Y137" i="8"/>
  <c r="Z137" i="8"/>
  <c r="AA137" i="8"/>
  <c r="AB137" i="8"/>
  <c r="AC137" i="8"/>
  <c r="AD137" i="8"/>
  <c r="AE137" i="8"/>
  <c r="AF137" i="8"/>
  <c r="R138" i="8"/>
  <c r="S138" i="8"/>
  <c r="T138" i="8"/>
  <c r="U138" i="8"/>
  <c r="V138" i="8"/>
  <c r="W138" i="8"/>
  <c r="X138" i="8"/>
  <c r="Y138" i="8"/>
  <c r="Z138" i="8"/>
  <c r="AA138" i="8"/>
  <c r="AB138" i="8"/>
  <c r="AC138" i="8"/>
  <c r="AD138" i="8"/>
  <c r="AE138" i="8"/>
  <c r="AF138" i="8"/>
  <c r="J139" i="8"/>
  <c r="K139" i="8"/>
  <c r="L139" i="8"/>
  <c r="M139" i="8"/>
  <c r="N139" i="8"/>
  <c r="O139" i="8"/>
  <c r="P139" i="8"/>
  <c r="Q139" i="8"/>
  <c r="R139" i="8"/>
  <c r="S139" i="8"/>
  <c r="T139" i="8"/>
  <c r="U139" i="8"/>
  <c r="V139" i="8"/>
  <c r="W139" i="8"/>
  <c r="X139" i="8"/>
  <c r="Y139" i="8"/>
  <c r="Z139" i="8"/>
  <c r="AA139" i="8"/>
  <c r="AB139" i="8"/>
  <c r="M140" i="8"/>
  <c r="N140" i="8"/>
  <c r="O140" i="8"/>
  <c r="P140" i="8"/>
  <c r="Q140" i="8"/>
  <c r="R140" i="8"/>
  <c r="S140" i="8"/>
  <c r="T140" i="8"/>
  <c r="U140" i="8"/>
  <c r="V140" i="8"/>
  <c r="W140" i="8"/>
  <c r="X140" i="8"/>
  <c r="Y140" i="8"/>
  <c r="Z140" i="8"/>
  <c r="AA140" i="8"/>
  <c r="AB140" i="8"/>
  <c r="AC140" i="8"/>
  <c r="AD140" i="8"/>
  <c r="AE140" i="8"/>
  <c r="J143" i="8"/>
  <c r="K143" i="8"/>
  <c r="L143" i="8"/>
  <c r="M143" i="8"/>
  <c r="N143" i="8"/>
  <c r="O143" i="8"/>
  <c r="P143" i="8"/>
  <c r="Q143" i="8"/>
  <c r="R143" i="8"/>
  <c r="S143" i="8"/>
  <c r="T143" i="8"/>
  <c r="U143" i="8"/>
  <c r="V143" i="8"/>
  <c r="W143" i="8"/>
  <c r="X143" i="8"/>
  <c r="Y143" i="8"/>
  <c r="Z143" i="8"/>
  <c r="AA143" i="8"/>
  <c r="AB143" i="8"/>
  <c r="AC143" i="8"/>
  <c r="AD143" i="8"/>
  <c r="AE143" i="8"/>
  <c r="C3" i="56"/>
  <c r="D3" i="56"/>
  <c r="E3" i="56"/>
  <c r="F3" i="56"/>
  <c r="G3" i="56"/>
  <c r="C8" i="56"/>
  <c r="D8" i="56"/>
  <c r="E8" i="56"/>
  <c r="F8" i="56"/>
  <c r="G8" i="56"/>
  <c r="C9" i="56"/>
  <c r="D9" i="56"/>
  <c r="E9" i="56"/>
  <c r="F9" i="56"/>
  <c r="G9" i="56"/>
  <c r="G10" i="56"/>
  <c r="C10" i="55"/>
  <c r="D10" i="55"/>
  <c r="E10" i="55"/>
  <c r="F10" i="55"/>
  <c r="G10" i="55"/>
  <c r="H10" i="55"/>
  <c r="I10" i="55"/>
  <c r="J10" i="55"/>
  <c r="K10" i="55"/>
  <c r="L10" i="55"/>
  <c r="M10" i="55"/>
  <c r="N10" i="55"/>
  <c r="O10" i="55"/>
  <c r="P10" i="55"/>
  <c r="Q10" i="55"/>
  <c r="R10" i="55"/>
  <c r="S10" i="55"/>
  <c r="T10" i="55"/>
  <c r="U10" i="55"/>
  <c r="V10" i="55"/>
  <c r="W10" i="55"/>
  <c r="X10" i="55"/>
  <c r="X11" i="55"/>
  <c r="C12" i="55"/>
  <c r="D12" i="55"/>
  <c r="E12" i="55"/>
  <c r="F12" i="55"/>
  <c r="G12" i="55"/>
  <c r="H12" i="55"/>
  <c r="I12" i="55"/>
  <c r="J12" i="55"/>
  <c r="K12" i="55"/>
  <c r="L12" i="55"/>
  <c r="M12" i="55"/>
  <c r="N12" i="55"/>
  <c r="O12" i="55"/>
  <c r="P12" i="55"/>
  <c r="Q12" i="55"/>
  <c r="R12" i="55"/>
  <c r="S12" i="55"/>
  <c r="T12" i="55"/>
  <c r="U12" i="55"/>
  <c r="V12" i="55"/>
  <c r="W12" i="55"/>
  <c r="X12" i="55"/>
  <c r="C20" i="55"/>
  <c r="D20" i="55"/>
  <c r="E20" i="55"/>
  <c r="F20" i="55"/>
  <c r="G20" i="55"/>
  <c r="H20" i="55"/>
  <c r="I20" i="55"/>
  <c r="J20" i="55"/>
  <c r="K20" i="55"/>
  <c r="L20" i="55"/>
  <c r="M20" i="55"/>
  <c r="N20" i="55"/>
  <c r="O20" i="55"/>
  <c r="P20" i="55"/>
  <c r="Q20" i="55"/>
  <c r="R20" i="55"/>
  <c r="S20" i="55"/>
  <c r="T20" i="55"/>
  <c r="U20" i="55"/>
  <c r="V20" i="55"/>
  <c r="W20" i="55"/>
  <c r="X20" i="55"/>
  <c r="E21" i="55"/>
  <c r="F21" i="55"/>
  <c r="G21" i="55"/>
  <c r="H21" i="55"/>
  <c r="I21" i="55"/>
  <c r="J21" i="55"/>
  <c r="K21" i="55"/>
  <c r="L21" i="55"/>
  <c r="M21" i="55"/>
  <c r="N21" i="55"/>
  <c r="O21" i="55"/>
  <c r="P21" i="55"/>
  <c r="Q21" i="55"/>
  <c r="R21" i="55"/>
  <c r="S21" i="55"/>
  <c r="T21" i="55"/>
  <c r="U21" i="55"/>
  <c r="V21" i="55"/>
  <c r="W21" i="55"/>
  <c r="X21" i="55"/>
  <c r="C22" i="55"/>
  <c r="D22" i="55"/>
  <c r="E22" i="55"/>
  <c r="F22" i="55"/>
  <c r="G22" i="55"/>
  <c r="H22" i="55"/>
  <c r="I22" i="55"/>
  <c r="J22" i="55"/>
  <c r="K22" i="55"/>
  <c r="L22" i="55"/>
  <c r="M22" i="55"/>
  <c r="N22" i="55"/>
  <c r="O22" i="55"/>
  <c r="P22" i="55"/>
  <c r="Q22" i="55"/>
  <c r="R22" i="55"/>
  <c r="S22" i="55"/>
  <c r="T22" i="55"/>
  <c r="U22" i="55"/>
  <c r="V22" i="55"/>
  <c r="W22" i="55"/>
  <c r="X22" i="55"/>
  <c r="C23" i="55"/>
  <c r="D27" i="55"/>
  <c r="E27" i="55"/>
  <c r="F27" i="55"/>
  <c r="G27" i="55"/>
  <c r="H27" i="55"/>
  <c r="I27" i="55"/>
  <c r="J27" i="55"/>
  <c r="K27" i="55"/>
  <c r="L27" i="55"/>
  <c r="M27" i="55"/>
  <c r="N27" i="55"/>
  <c r="O27" i="55"/>
  <c r="P27" i="55"/>
  <c r="Q27" i="55"/>
  <c r="R27" i="55"/>
  <c r="S27" i="55"/>
  <c r="T27" i="55"/>
  <c r="U27" i="55"/>
  <c r="V27" i="55"/>
  <c r="W27" i="55"/>
  <c r="X27" i="55"/>
  <c r="AA27" i="55"/>
  <c r="D28" i="55"/>
  <c r="E28" i="55"/>
  <c r="F28" i="55"/>
  <c r="G28" i="55"/>
  <c r="H28" i="55"/>
  <c r="I28" i="55"/>
  <c r="J28" i="55"/>
  <c r="K28" i="55"/>
  <c r="L28" i="55"/>
  <c r="M28" i="55"/>
  <c r="N28" i="55"/>
  <c r="O28" i="55"/>
  <c r="P28" i="55"/>
  <c r="Q28" i="55"/>
  <c r="R28" i="55"/>
  <c r="S28" i="55"/>
  <c r="T28" i="55"/>
  <c r="U28" i="55"/>
  <c r="V28" i="55"/>
  <c r="W28" i="55"/>
  <c r="X28" i="55"/>
  <c r="E29" i="55"/>
  <c r="F29" i="55"/>
  <c r="G29" i="55"/>
  <c r="H29" i="55"/>
  <c r="I29" i="55"/>
  <c r="J29" i="55"/>
  <c r="K29" i="55"/>
  <c r="L29" i="55"/>
  <c r="M29" i="55"/>
  <c r="N29" i="55"/>
  <c r="O29" i="55"/>
  <c r="P29" i="55"/>
  <c r="Q29" i="55"/>
  <c r="R29" i="55"/>
  <c r="S29" i="55"/>
  <c r="T29" i="55"/>
  <c r="U29" i="55"/>
  <c r="V29" i="55"/>
  <c r="W29" i="55"/>
  <c r="X29" i="55"/>
  <c r="X33" i="55"/>
  <c r="X34" i="55"/>
  <c r="D9" i="67"/>
  <c r="K9" i="67"/>
  <c r="D10" i="67"/>
  <c r="D11" i="67"/>
  <c r="G18" i="67"/>
  <c r="N18" i="67"/>
  <c r="G20" i="67"/>
  <c r="N20" i="67"/>
  <c r="G23" i="67"/>
  <c r="N23" i="67"/>
  <c r="N24" i="67"/>
  <c r="N25" i="67"/>
  <c r="G26" i="67"/>
  <c r="N26" i="67"/>
  <c r="N30" i="67"/>
  <c r="N31" i="67"/>
  <c r="P31" i="67"/>
  <c r="G32" i="67"/>
  <c r="N32" i="67"/>
  <c r="G34" i="67"/>
  <c r="N34" i="67"/>
  <c r="G22" i="73"/>
  <c r="H22" i="73"/>
  <c r="I22" i="73"/>
  <c r="J22" i="73"/>
  <c r="K22" i="73"/>
  <c r="G23" i="73"/>
  <c r="H23" i="73"/>
  <c r="I23" i="73"/>
  <c r="J23" i="73"/>
  <c r="K23" i="73"/>
  <c r="B12" i="63"/>
  <c r="D12" i="63"/>
  <c r="B17" i="63"/>
  <c r="D17" i="63"/>
  <c r="B28" i="63"/>
  <c r="C28" i="63"/>
  <c r="D28" i="63"/>
  <c r="B30" i="63"/>
  <c r="C30" i="63"/>
  <c r="D30" i="63"/>
  <c r="C33" i="63"/>
  <c r="D33" i="63"/>
  <c r="B35" i="63"/>
  <c r="C35" i="63"/>
  <c r="D35" i="63"/>
  <c r="C49" i="63"/>
  <c r="D49" i="63"/>
  <c r="B53" i="63"/>
  <c r="D53" i="63"/>
  <c r="B54" i="63"/>
  <c r="C54" i="63"/>
  <c r="D54" i="63"/>
  <c r="B55" i="63"/>
  <c r="C55" i="63"/>
  <c r="D55" i="63"/>
  <c r="D56" i="63"/>
  <c r="E10" i="75"/>
  <c r="F10" i="75"/>
  <c r="G10" i="75"/>
  <c r="H10" i="75"/>
  <c r="I10" i="75"/>
  <c r="J10" i="75"/>
  <c r="I9" i="65"/>
  <c r="J9" i="65"/>
  <c r="K9" i="65"/>
  <c r="L9" i="65"/>
  <c r="M9" i="65"/>
  <c r="I10" i="65"/>
  <c r="J10" i="65"/>
  <c r="K10" i="65"/>
  <c r="L10" i="65"/>
  <c r="M10" i="65"/>
  <c r="I11" i="65"/>
  <c r="J11" i="65"/>
  <c r="K11" i="65"/>
  <c r="L11" i="65"/>
  <c r="M11" i="65"/>
  <c r="I12" i="65"/>
  <c r="J12" i="65"/>
  <c r="K12" i="65"/>
  <c r="L12" i="65"/>
  <c r="M12" i="65"/>
  <c r="I13" i="65"/>
  <c r="J13" i="65"/>
  <c r="K13" i="65"/>
  <c r="L13" i="65"/>
  <c r="M13" i="65"/>
  <c r="I15" i="65"/>
  <c r="J15" i="65"/>
  <c r="K15" i="65"/>
  <c r="L15" i="65"/>
  <c r="M15" i="65"/>
  <c r="I16" i="65"/>
  <c r="J16" i="65"/>
  <c r="K16" i="65"/>
  <c r="L16" i="65"/>
  <c r="M16" i="65"/>
  <c r="I17" i="65"/>
  <c r="J17" i="65"/>
  <c r="K17" i="65"/>
  <c r="L17" i="65"/>
  <c r="M17" i="65"/>
  <c r="I21" i="65"/>
  <c r="J21" i="65"/>
  <c r="K21" i="65"/>
  <c r="L21" i="65"/>
  <c r="M21" i="65"/>
  <c r="M27" i="65"/>
  <c r="M30" i="65"/>
  <c r="I31" i="65"/>
  <c r="J31" i="65"/>
  <c r="K31" i="65"/>
  <c r="L31" i="65"/>
  <c r="M31" i="65"/>
  <c r="I32" i="65"/>
  <c r="J33" i="65"/>
  <c r="K34" i="65"/>
  <c r="L35" i="65"/>
  <c r="M36" i="65"/>
  <c r="M48" i="65"/>
  <c r="M49" i="65"/>
  <c r="M50" i="65"/>
  <c r="M57" i="65"/>
  <c r="M58" i="65"/>
  <c r="M62" i="65"/>
  <c r="M64" i="65"/>
  <c r="M65" i="65"/>
  <c r="I73" i="65"/>
  <c r="J74" i="65"/>
  <c r="K75" i="65"/>
  <c r="L76" i="65"/>
  <c r="M77" i="65"/>
  <c r="I78" i="65"/>
  <c r="J78" i="65"/>
  <c r="K78" i="65"/>
  <c r="L78" i="65"/>
  <c r="M78" i="65"/>
  <c r="I79" i="65"/>
  <c r="J79" i="65"/>
  <c r="K79" i="65"/>
  <c r="L79" i="65"/>
  <c r="M79" i="65"/>
  <c r="I85" i="65"/>
  <c r="J86" i="65"/>
  <c r="K87" i="65"/>
  <c r="L88" i="65"/>
  <c r="M89" i="65"/>
  <c r="I90" i="65"/>
  <c r="J90" i="65"/>
  <c r="K90" i="65"/>
  <c r="L90" i="65"/>
  <c r="M90" i="65"/>
  <c r="I91" i="65"/>
  <c r="J91" i="65"/>
  <c r="K91" i="65"/>
  <c r="L91" i="65"/>
  <c r="M91" i="65"/>
  <c r="G9" i="4"/>
  <c r="H9" i="4"/>
  <c r="I9" i="4"/>
  <c r="J9" i="4"/>
  <c r="K9" i="4"/>
  <c r="L9" i="4"/>
  <c r="M9" i="4"/>
  <c r="N9" i="4"/>
  <c r="O9" i="4"/>
  <c r="P9" i="4"/>
  <c r="Q9" i="4"/>
  <c r="R9" i="4"/>
  <c r="S9" i="4"/>
  <c r="T9" i="4"/>
  <c r="U9" i="4"/>
  <c r="V9" i="4"/>
  <c r="W9" i="4"/>
  <c r="X9" i="4"/>
  <c r="Y9" i="4"/>
  <c r="Z9" i="4"/>
  <c r="AA9" i="4"/>
  <c r="AB9" i="4"/>
  <c r="AD9" i="4"/>
  <c r="AE9" i="4"/>
  <c r="AF9" i="4"/>
  <c r="AG9" i="4"/>
  <c r="AH9" i="4"/>
  <c r="AI9" i="4"/>
  <c r="H11" i="4"/>
  <c r="I11" i="4"/>
  <c r="J11" i="4"/>
  <c r="K11" i="4"/>
  <c r="L11" i="4"/>
  <c r="M11" i="4"/>
  <c r="N11" i="4"/>
  <c r="O11" i="4"/>
  <c r="P11" i="4"/>
  <c r="Q11" i="4"/>
  <c r="R11" i="4"/>
  <c r="S11" i="4"/>
  <c r="T11" i="4"/>
  <c r="U11" i="4"/>
  <c r="V11" i="4"/>
  <c r="W11" i="4"/>
  <c r="X11" i="4"/>
  <c r="Y11" i="4"/>
  <c r="Z11" i="4"/>
  <c r="AA11" i="4"/>
  <c r="AB11" i="4"/>
  <c r="AD11" i="4"/>
  <c r="AE11" i="4"/>
  <c r="AF11" i="4"/>
  <c r="AG11" i="4"/>
  <c r="AH11" i="4"/>
  <c r="AI11" i="4"/>
  <c r="G22" i="4"/>
  <c r="H22" i="4"/>
  <c r="I22" i="4"/>
  <c r="J22" i="4"/>
  <c r="K22" i="4"/>
  <c r="L22" i="4"/>
  <c r="M22" i="4"/>
  <c r="N22" i="4"/>
  <c r="O22" i="4"/>
  <c r="P22" i="4"/>
  <c r="Q22" i="4"/>
  <c r="R22" i="4"/>
  <c r="S22" i="4"/>
  <c r="T22" i="4"/>
  <c r="U22" i="4"/>
  <c r="V22" i="4"/>
  <c r="W22" i="4"/>
  <c r="X22" i="4"/>
  <c r="Y22" i="4"/>
  <c r="Z22" i="4"/>
  <c r="AA22" i="4"/>
  <c r="AB22" i="4"/>
  <c r="AD22" i="4"/>
  <c r="AE22" i="4"/>
  <c r="AF22" i="4"/>
  <c r="AG22" i="4"/>
  <c r="AH22" i="4"/>
  <c r="AI22" i="4"/>
  <c r="G25" i="4"/>
  <c r="H25" i="4"/>
  <c r="I25" i="4"/>
  <c r="J25" i="4"/>
  <c r="K25" i="4"/>
  <c r="L25" i="4"/>
  <c r="M25" i="4"/>
  <c r="N25" i="4"/>
  <c r="O25" i="4"/>
  <c r="P25" i="4"/>
  <c r="Q25" i="4"/>
  <c r="R25" i="4"/>
  <c r="S25" i="4"/>
  <c r="T25" i="4"/>
  <c r="U25" i="4"/>
  <c r="V25" i="4"/>
  <c r="W25" i="4"/>
  <c r="X25" i="4"/>
  <c r="Y25" i="4"/>
  <c r="Z25" i="4"/>
  <c r="AA25" i="4"/>
  <c r="AB25" i="4"/>
  <c r="AD25" i="4"/>
  <c r="AE25" i="4"/>
  <c r="AF25" i="4"/>
  <c r="AG25" i="4"/>
  <c r="AH25" i="4"/>
  <c r="AI25" i="4"/>
  <c r="G27" i="4"/>
  <c r="H27" i="4"/>
  <c r="I27" i="4"/>
  <c r="J27" i="4"/>
  <c r="K27" i="4"/>
  <c r="L27" i="4"/>
  <c r="M27" i="4"/>
  <c r="N27" i="4"/>
  <c r="O27" i="4"/>
  <c r="P27" i="4"/>
  <c r="Q27" i="4"/>
  <c r="R27" i="4"/>
  <c r="S27" i="4"/>
  <c r="T27" i="4"/>
  <c r="U27" i="4"/>
  <c r="V27" i="4"/>
  <c r="W27" i="4"/>
  <c r="X27" i="4"/>
  <c r="Y27" i="4"/>
  <c r="Z27" i="4"/>
  <c r="AA27" i="4"/>
  <c r="AB27" i="4"/>
  <c r="AD27" i="4"/>
  <c r="AE27" i="4"/>
  <c r="AF27" i="4"/>
  <c r="AG27" i="4"/>
  <c r="AH27" i="4"/>
  <c r="AI27" i="4"/>
  <c r="I31" i="4"/>
  <c r="J31" i="4"/>
  <c r="K31" i="4"/>
  <c r="L31" i="4"/>
  <c r="M31" i="4"/>
  <c r="N31" i="4"/>
  <c r="O31" i="4"/>
  <c r="P31" i="4"/>
  <c r="Q31" i="4"/>
  <c r="R31" i="4"/>
  <c r="S31" i="4"/>
  <c r="T31" i="4"/>
  <c r="U31" i="4"/>
  <c r="V31" i="4"/>
  <c r="W31" i="4"/>
  <c r="X31" i="4"/>
  <c r="Y31" i="4"/>
  <c r="Z31" i="4"/>
  <c r="AA31" i="4"/>
  <c r="AB31" i="4"/>
  <c r="AE31" i="4"/>
  <c r="AF31" i="4"/>
  <c r="AG31" i="4"/>
  <c r="AH31" i="4"/>
  <c r="AI31" i="4"/>
  <c r="I32" i="4"/>
  <c r="J32" i="4"/>
  <c r="K32" i="4"/>
  <c r="L32" i="4"/>
  <c r="M32" i="4"/>
  <c r="N32" i="4"/>
  <c r="O32" i="4"/>
  <c r="P32" i="4"/>
  <c r="Q32" i="4"/>
  <c r="R32" i="4"/>
  <c r="S32" i="4"/>
  <c r="T32" i="4"/>
  <c r="U32" i="4"/>
  <c r="V32" i="4"/>
  <c r="W32" i="4"/>
  <c r="X32" i="4"/>
  <c r="Y32" i="4"/>
  <c r="Z32" i="4"/>
  <c r="AA32" i="4"/>
  <c r="AB32" i="4"/>
  <c r="AE32" i="4"/>
  <c r="AF32" i="4"/>
  <c r="AG32" i="4"/>
  <c r="AH32" i="4"/>
  <c r="AI32" i="4"/>
  <c r="I33" i="4"/>
  <c r="J33" i="4"/>
  <c r="K33" i="4"/>
  <c r="L33" i="4"/>
  <c r="M33" i="4"/>
  <c r="N33" i="4"/>
  <c r="O33" i="4"/>
  <c r="P33" i="4"/>
  <c r="Q33" i="4"/>
  <c r="R33" i="4"/>
  <c r="S33" i="4"/>
  <c r="T33" i="4"/>
  <c r="U33" i="4"/>
  <c r="V33" i="4"/>
  <c r="W33" i="4"/>
  <c r="X33" i="4"/>
  <c r="Y33" i="4"/>
  <c r="Z33" i="4"/>
  <c r="AA33" i="4"/>
  <c r="AB33" i="4"/>
  <c r="AI33" i="4"/>
  <c r="I34" i="4"/>
  <c r="J34" i="4"/>
  <c r="K34" i="4"/>
  <c r="L34" i="4"/>
  <c r="M34" i="4"/>
  <c r="N34" i="4"/>
  <c r="O34" i="4"/>
  <c r="P34" i="4"/>
  <c r="Q34" i="4"/>
  <c r="R34" i="4"/>
  <c r="S34" i="4"/>
  <c r="T34" i="4"/>
  <c r="U34" i="4"/>
  <c r="V34" i="4"/>
  <c r="W34" i="4"/>
  <c r="X34" i="4"/>
  <c r="Y34" i="4"/>
  <c r="Z34" i="4"/>
  <c r="AA34" i="4"/>
  <c r="AB34" i="4"/>
  <c r="AE34" i="4"/>
  <c r="AF34" i="4"/>
  <c r="AG34" i="4"/>
  <c r="AH34" i="4"/>
  <c r="AI34" i="4"/>
  <c r="J35" i="4"/>
  <c r="K35" i="4"/>
  <c r="L35" i="4"/>
  <c r="M35" i="4"/>
  <c r="N35" i="4"/>
  <c r="O35" i="4"/>
  <c r="P35" i="4"/>
  <c r="Q35" i="4"/>
  <c r="R35" i="4"/>
  <c r="S35" i="4"/>
  <c r="T35" i="4"/>
  <c r="U35" i="4"/>
  <c r="V35" i="4"/>
  <c r="W35" i="4"/>
  <c r="X35" i="4"/>
  <c r="Y35" i="4"/>
  <c r="Z35" i="4"/>
  <c r="AA35" i="4"/>
  <c r="AB35" i="4"/>
  <c r="AE35" i="4"/>
  <c r="AF35" i="4"/>
  <c r="AG35" i="4"/>
  <c r="AH35" i="4"/>
  <c r="AI35" i="4"/>
  <c r="G36" i="4"/>
  <c r="H36" i="4"/>
  <c r="I36" i="4"/>
  <c r="J36" i="4"/>
  <c r="K36" i="4"/>
  <c r="L36" i="4"/>
  <c r="M36" i="4"/>
  <c r="N36" i="4"/>
  <c r="O36" i="4"/>
  <c r="P36" i="4"/>
  <c r="Q36" i="4"/>
  <c r="R36" i="4"/>
  <c r="S36" i="4"/>
  <c r="T36" i="4"/>
  <c r="U36" i="4"/>
  <c r="V36" i="4"/>
  <c r="W36" i="4"/>
  <c r="X36" i="4"/>
  <c r="Y36" i="4"/>
  <c r="Z36" i="4"/>
  <c r="AA36" i="4"/>
  <c r="AB36" i="4"/>
  <c r="AD36" i="4"/>
  <c r="AE36" i="4"/>
  <c r="AF36" i="4"/>
  <c r="AG36" i="4"/>
  <c r="AH36" i="4"/>
  <c r="AI36" i="4"/>
  <c r="G40" i="4"/>
  <c r="H40" i="4"/>
  <c r="I40" i="4"/>
  <c r="J40" i="4"/>
  <c r="K40" i="4"/>
  <c r="L40" i="4"/>
  <c r="M40" i="4"/>
  <c r="N40" i="4"/>
  <c r="O40" i="4"/>
  <c r="P40" i="4"/>
  <c r="Q40" i="4"/>
  <c r="R40" i="4"/>
  <c r="S40" i="4"/>
  <c r="T40" i="4"/>
  <c r="U40" i="4"/>
  <c r="V40" i="4"/>
  <c r="W40" i="4"/>
  <c r="X40" i="4"/>
  <c r="Y40" i="4"/>
  <c r="Z40" i="4"/>
  <c r="AA40" i="4"/>
  <c r="AB40" i="4"/>
  <c r="AD40" i="4"/>
  <c r="AE40" i="4"/>
  <c r="AF40" i="4"/>
  <c r="AG40" i="4"/>
  <c r="AH40" i="4"/>
  <c r="AI40" i="4"/>
  <c r="H42" i="4"/>
  <c r="I42" i="4"/>
  <c r="J42" i="4"/>
  <c r="K42" i="4"/>
  <c r="L42" i="4"/>
  <c r="M42" i="4"/>
  <c r="N42" i="4"/>
  <c r="O42" i="4"/>
  <c r="P42" i="4"/>
  <c r="Q42" i="4"/>
  <c r="R42" i="4"/>
  <c r="S42" i="4"/>
  <c r="T42" i="4"/>
  <c r="U42" i="4"/>
  <c r="V42" i="4"/>
  <c r="W42" i="4"/>
  <c r="X42" i="4"/>
  <c r="Y42" i="4"/>
  <c r="Z42" i="4"/>
  <c r="AA42" i="4"/>
  <c r="AB42" i="4"/>
  <c r="AE42" i="4"/>
  <c r="AF42" i="4"/>
  <c r="AG42" i="4"/>
  <c r="AH42" i="4"/>
  <c r="AI42" i="4"/>
  <c r="G44" i="4"/>
  <c r="H44" i="4"/>
  <c r="I44" i="4"/>
  <c r="J44" i="4"/>
  <c r="K44" i="4"/>
  <c r="L44" i="4"/>
  <c r="M44" i="4"/>
  <c r="N44" i="4"/>
  <c r="O44" i="4"/>
  <c r="P44" i="4"/>
  <c r="Q44" i="4"/>
  <c r="R44" i="4"/>
  <c r="S44" i="4"/>
  <c r="T44" i="4"/>
  <c r="U44" i="4"/>
  <c r="V44" i="4"/>
  <c r="W44" i="4"/>
  <c r="X44" i="4"/>
  <c r="Y44" i="4"/>
  <c r="Z44" i="4"/>
  <c r="AA44" i="4"/>
  <c r="AB44" i="4"/>
  <c r="AD44" i="4"/>
  <c r="AE44" i="4"/>
  <c r="AF44" i="4"/>
  <c r="AG44" i="4"/>
  <c r="AH44" i="4"/>
  <c r="AI44" i="4"/>
  <c r="G46" i="4"/>
  <c r="H46" i="4"/>
  <c r="I46" i="4"/>
  <c r="J46" i="4"/>
  <c r="K46" i="4"/>
  <c r="L46" i="4"/>
  <c r="M46" i="4"/>
  <c r="N46" i="4"/>
  <c r="O46" i="4"/>
  <c r="P46" i="4"/>
  <c r="Q46" i="4"/>
  <c r="R46" i="4"/>
  <c r="S46" i="4"/>
  <c r="T46" i="4"/>
  <c r="U46" i="4"/>
  <c r="V46" i="4"/>
  <c r="W46" i="4"/>
  <c r="X46" i="4"/>
  <c r="Y46" i="4"/>
  <c r="Z46" i="4"/>
  <c r="AA46" i="4"/>
  <c r="AB46" i="4"/>
  <c r="AD46" i="4"/>
  <c r="AE46" i="4"/>
  <c r="AF46" i="4"/>
  <c r="AG46" i="4"/>
  <c r="AH46" i="4"/>
  <c r="AI46" i="4"/>
  <c r="G47" i="4"/>
  <c r="H47" i="4"/>
  <c r="I47" i="4"/>
  <c r="J47" i="4"/>
  <c r="K47" i="4"/>
  <c r="L47" i="4"/>
  <c r="M47" i="4"/>
  <c r="N47" i="4"/>
  <c r="O47" i="4"/>
  <c r="P47" i="4"/>
  <c r="Q47" i="4"/>
  <c r="R47" i="4"/>
  <c r="S47" i="4"/>
  <c r="T47" i="4"/>
  <c r="U47" i="4"/>
  <c r="V47" i="4"/>
  <c r="W47" i="4"/>
  <c r="X47" i="4"/>
  <c r="Y47" i="4"/>
  <c r="Z47" i="4"/>
  <c r="AA47" i="4"/>
  <c r="AB47" i="4"/>
  <c r="AD47" i="4"/>
  <c r="AE47" i="4"/>
  <c r="AF47" i="4"/>
  <c r="AG47" i="4"/>
  <c r="AH47" i="4"/>
  <c r="H6" i="62"/>
  <c r="K6" i="62"/>
  <c r="L6" i="62"/>
  <c r="M6" i="62"/>
  <c r="N6" i="62"/>
  <c r="O6" i="62"/>
  <c r="P6" i="62"/>
  <c r="Q6" i="62"/>
  <c r="R6" i="62"/>
  <c r="S6" i="62"/>
  <c r="T6" i="62"/>
  <c r="U6" i="62"/>
  <c r="V6" i="62"/>
  <c r="W6" i="62"/>
  <c r="X6" i="62"/>
  <c r="Y6" i="62"/>
  <c r="Z6" i="62"/>
  <c r="AA6" i="62"/>
  <c r="AB6" i="62"/>
  <c r="AC6" i="62"/>
  <c r="AD6" i="62"/>
  <c r="AE6" i="62"/>
  <c r="AF6" i="62"/>
  <c r="AI6" i="62"/>
  <c r="AJ6" i="62"/>
  <c r="AK6" i="62"/>
  <c r="AL6" i="62"/>
  <c r="AM6" i="62"/>
  <c r="AN6" i="62"/>
  <c r="H11" i="62"/>
  <c r="K11" i="62"/>
  <c r="L11" i="62"/>
  <c r="M11" i="62"/>
  <c r="N11" i="62"/>
  <c r="O11" i="62"/>
  <c r="P11" i="62"/>
  <c r="Q11" i="62"/>
  <c r="R11" i="62"/>
  <c r="S11" i="62"/>
  <c r="T11" i="62"/>
  <c r="U11" i="62"/>
  <c r="V11" i="62"/>
  <c r="W11" i="62"/>
  <c r="X11" i="62"/>
  <c r="Y11" i="62"/>
  <c r="Z11" i="62"/>
  <c r="AA11" i="62"/>
  <c r="AB11" i="62"/>
  <c r="AC11" i="62"/>
  <c r="AD11" i="62"/>
  <c r="AE11" i="62"/>
  <c r="AF11" i="62"/>
  <c r="AI11" i="62"/>
  <c r="AJ11" i="62"/>
  <c r="AK11" i="62"/>
  <c r="AL11" i="62"/>
  <c r="AM11" i="62"/>
  <c r="AN11" i="62"/>
  <c r="H22" i="62"/>
  <c r="K22" i="62"/>
  <c r="L22" i="62"/>
  <c r="M22" i="62"/>
  <c r="N22" i="62"/>
  <c r="O22" i="62"/>
  <c r="P22" i="62"/>
  <c r="Q22" i="62"/>
  <c r="R22" i="62"/>
  <c r="S22" i="62"/>
  <c r="T22" i="62"/>
  <c r="U22" i="62"/>
  <c r="V22" i="62"/>
  <c r="W22" i="62"/>
  <c r="X22" i="62"/>
  <c r="Y22" i="62"/>
  <c r="Z22" i="62"/>
  <c r="AA22" i="62"/>
  <c r="AB22" i="62"/>
  <c r="AC22" i="62"/>
  <c r="AD22" i="62"/>
  <c r="AE22" i="62"/>
  <c r="AF22" i="62"/>
  <c r="AI22" i="62"/>
  <c r="AJ22" i="62"/>
  <c r="AK22" i="62"/>
  <c r="AL22" i="62"/>
  <c r="AM22" i="62"/>
  <c r="AN22" i="62"/>
  <c r="L23" i="62"/>
  <c r="M23" i="62"/>
  <c r="N23" i="62"/>
  <c r="O23" i="62"/>
  <c r="P23" i="62"/>
  <c r="Q23" i="62"/>
  <c r="R23" i="62"/>
  <c r="S23" i="62"/>
  <c r="T23" i="62"/>
  <c r="U23" i="62"/>
  <c r="V23" i="62"/>
  <c r="W23" i="62"/>
  <c r="X23" i="62"/>
  <c r="Y23" i="62"/>
  <c r="Z23" i="62"/>
  <c r="AA23" i="62"/>
  <c r="AB23" i="62"/>
  <c r="AC23" i="62"/>
  <c r="AD23" i="62"/>
  <c r="AE23" i="62"/>
  <c r="AF23" i="62"/>
  <c r="AI23" i="62"/>
  <c r="AJ23" i="62"/>
  <c r="AK23" i="62"/>
  <c r="AL23" i="62"/>
  <c r="AM23" i="62"/>
  <c r="AN23" i="62"/>
  <c r="H24" i="62"/>
  <c r="K24" i="62"/>
  <c r="L24" i="62"/>
  <c r="M24" i="62"/>
  <c r="N24" i="62"/>
  <c r="O24" i="62"/>
  <c r="P24" i="62"/>
  <c r="Q24" i="62"/>
  <c r="R24" i="62"/>
  <c r="S24" i="62"/>
  <c r="T24" i="62"/>
  <c r="U24" i="62"/>
  <c r="V24" i="62"/>
  <c r="W24" i="62"/>
  <c r="X24" i="62"/>
  <c r="Y24" i="62"/>
  <c r="Z24" i="62"/>
  <c r="AA24" i="62"/>
  <c r="AB24" i="62"/>
  <c r="AC24" i="62"/>
  <c r="AD24" i="62"/>
  <c r="AE24" i="62"/>
  <c r="AF24" i="62"/>
  <c r="AI24" i="62"/>
  <c r="AJ24" i="62"/>
  <c r="AK24" i="62"/>
  <c r="AL24" i="62"/>
  <c r="AM24" i="62"/>
  <c r="AN24" i="62"/>
  <c r="H29" i="62"/>
  <c r="K29" i="62"/>
  <c r="L29" i="62"/>
  <c r="M29" i="62"/>
  <c r="N29" i="62"/>
  <c r="O29" i="62"/>
  <c r="P29" i="62"/>
  <c r="Q29" i="62"/>
  <c r="R29" i="62"/>
  <c r="S29" i="62"/>
  <c r="T29" i="62"/>
  <c r="U29" i="62"/>
  <c r="V29" i="62"/>
  <c r="W29" i="62"/>
  <c r="X29" i="62"/>
  <c r="Y29" i="62"/>
  <c r="Z29" i="62"/>
  <c r="AA29" i="62"/>
  <c r="AB29" i="62"/>
  <c r="AC29" i="62"/>
  <c r="AD29" i="62"/>
  <c r="AE29" i="62"/>
  <c r="AF29" i="62"/>
  <c r="AI29" i="62"/>
  <c r="AJ29" i="62"/>
  <c r="AK29" i="62"/>
  <c r="AL29" i="62"/>
  <c r="AM29" i="62"/>
  <c r="AN29" i="62"/>
  <c r="L38" i="62"/>
  <c r="M38" i="62"/>
  <c r="N38" i="62"/>
  <c r="O38" i="62"/>
  <c r="P38" i="62"/>
  <c r="Q38" i="62"/>
  <c r="R38" i="62"/>
  <c r="S38" i="62"/>
  <c r="T38" i="62"/>
  <c r="U38" i="62"/>
  <c r="V38" i="62"/>
  <c r="W38" i="62"/>
  <c r="X38" i="62"/>
  <c r="Y38" i="62"/>
  <c r="Z38" i="62"/>
  <c r="AA38" i="62"/>
  <c r="AB38" i="62"/>
  <c r="AC38" i="62"/>
  <c r="AD38" i="62"/>
  <c r="AE38" i="62"/>
  <c r="AF38" i="62"/>
  <c r="AI38" i="62"/>
  <c r="AJ38" i="62"/>
  <c r="AK38" i="62"/>
  <c r="AL38" i="62"/>
  <c r="AM38" i="62"/>
  <c r="AN38" i="62"/>
  <c r="M39" i="62"/>
  <c r="N39" i="62"/>
  <c r="O39" i="62"/>
  <c r="P39" i="62"/>
  <c r="Q39" i="62"/>
  <c r="R39" i="62"/>
  <c r="S39" i="62"/>
  <c r="T39" i="62"/>
  <c r="U39" i="62"/>
  <c r="V39" i="62"/>
  <c r="W39" i="62"/>
  <c r="X39" i="62"/>
  <c r="Y39" i="62"/>
  <c r="Z39" i="62"/>
  <c r="AA39" i="62"/>
  <c r="AB39" i="62"/>
  <c r="AC39" i="62"/>
  <c r="AD39" i="62"/>
  <c r="AE39" i="62"/>
  <c r="AF39" i="62"/>
  <c r="AJ39" i="62"/>
  <c r="AK39" i="62"/>
  <c r="AL39" i="62"/>
  <c r="AM39" i="62"/>
  <c r="AN39" i="62"/>
  <c r="M40" i="62"/>
  <c r="N40" i="62"/>
  <c r="O40" i="62"/>
  <c r="P40" i="62"/>
  <c r="Q40" i="62"/>
  <c r="R40" i="62"/>
  <c r="S40" i="62"/>
  <c r="T40" i="62"/>
  <c r="U40" i="62"/>
  <c r="V40" i="62"/>
  <c r="W40" i="62"/>
  <c r="X40" i="62"/>
  <c r="Y40" i="62"/>
  <c r="Z40" i="62"/>
  <c r="AA40" i="62"/>
  <c r="AB40" i="62"/>
  <c r="AC40" i="62"/>
  <c r="AD40" i="62"/>
  <c r="AE40" i="62"/>
  <c r="AF40" i="62"/>
  <c r="AJ40" i="62"/>
  <c r="AK40" i="62"/>
  <c r="AL40" i="62"/>
  <c r="AM40" i="62"/>
  <c r="AN40" i="62"/>
  <c r="M41" i="62"/>
  <c r="N41" i="62"/>
  <c r="O41" i="62"/>
  <c r="P41" i="62"/>
  <c r="Q41" i="62"/>
  <c r="R41" i="62"/>
  <c r="S41" i="62"/>
  <c r="T41" i="62"/>
  <c r="U41" i="62"/>
  <c r="V41" i="62"/>
  <c r="W41" i="62"/>
  <c r="X41" i="62"/>
  <c r="Y41" i="62"/>
  <c r="Z41" i="62"/>
  <c r="AA41" i="62"/>
  <c r="AB41" i="62"/>
  <c r="AC41" i="62"/>
  <c r="AD41" i="62"/>
  <c r="AE41" i="62"/>
  <c r="AF41" i="62"/>
  <c r="AJ41" i="62"/>
  <c r="AK41" i="62"/>
  <c r="AL41" i="62"/>
  <c r="AM41" i="62"/>
  <c r="AN41" i="62"/>
  <c r="L42" i="62"/>
  <c r="M42" i="62"/>
  <c r="N42" i="62"/>
  <c r="O42" i="62"/>
  <c r="P42" i="62"/>
  <c r="Q42" i="62"/>
  <c r="R42" i="62"/>
  <c r="S42" i="62"/>
  <c r="T42" i="62"/>
  <c r="U42" i="62"/>
  <c r="V42" i="62"/>
  <c r="W42" i="62"/>
  <c r="X42" i="62"/>
  <c r="Y42" i="62"/>
  <c r="Z42" i="62"/>
  <c r="AA42" i="62"/>
  <c r="AB42" i="62"/>
  <c r="AC42" i="62"/>
  <c r="AD42" i="62"/>
  <c r="AE42" i="62"/>
  <c r="AF42" i="62"/>
  <c r="AI42" i="62"/>
  <c r="AJ42" i="62"/>
  <c r="AK42" i="62"/>
  <c r="AL42" i="62"/>
  <c r="AM42" i="62"/>
  <c r="AN42" i="62"/>
  <c r="L45" i="62"/>
  <c r="M45" i="62"/>
  <c r="N45" i="62"/>
  <c r="O45" i="62"/>
  <c r="P45" i="62"/>
  <c r="Q45" i="62"/>
  <c r="R45" i="62"/>
  <c r="S45" i="62"/>
  <c r="T45" i="62"/>
  <c r="U45" i="62"/>
  <c r="V45" i="62"/>
  <c r="W45" i="62"/>
  <c r="X45" i="62"/>
  <c r="Y45" i="62"/>
  <c r="Z45" i="62"/>
  <c r="AA45" i="62"/>
  <c r="AB45" i="62"/>
  <c r="AC45" i="62"/>
  <c r="AD45" i="62"/>
  <c r="AE45" i="62"/>
  <c r="AF45" i="62"/>
  <c r="AI45" i="62"/>
  <c r="AJ45" i="62"/>
  <c r="AK45" i="62"/>
  <c r="AL45" i="62"/>
  <c r="AM45" i="62"/>
  <c r="AN45" i="62"/>
  <c r="N46" i="62"/>
  <c r="O46" i="62"/>
  <c r="P46" i="62"/>
  <c r="Q46" i="62"/>
  <c r="R46" i="62"/>
  <c r="S46" i="62"/>
  <c r="T46" i="62"/>
  <c r="U46" i="62"/>
  <c r="V46" i="62"/>
  <c r="W46" i="62"/>
  <c r="X46" i="62"/>
  <c r="Y46" i="62"/>
  <c r="Z46" i="62"/>
  <c r="AA46" i="62"/>
  <c r="AB46" i="62"/>
  <c r="AC46" i="62"/>
  <c r="AD46" i="62"/>
  <c r="AE46" i="62"/>
  <c r="AF46" i="62"/>
  <c r="AJ46" i="62"/>
  <c r="AK46" i="62"/>
  <c r="AL46" i="62"/>
  <c r="AM46" i="62"/>
  <c r="AN46" i="62"/>
  <c r="H48" i="62"/>
  <c r="K48" i="62"/>
  <c r="L48" i="62"/>
  <c r="M48" i="62"/>
  <c r="N48" i="62"/>
  <c r="O48" i="62"/>
  <c r="P48" i="62"/>
  <c r="Q48" i="62"/>
  <c r="R48" i="62"/>
  <c r="S48" i="62"/>
  <c r="T48" i="62"/>
  <c r="U48" i="62"/>
  <c r="V48" i="62"/>
  <c r="W48" i="62"/>
  <c r="X48" i="62"/>
  <c r="Y48" i="62"/>
  <c r="Z48" i="62"/>
  <c r="AA48" i="62"/>
  <c r="AB48" i="62"/>
  <c r="AC48" i="62"/>
  <c r="AD48" i="62"/>
  <c r="AE48" i="62"/>
  <c r="AF48" i="62"/>
  <c r="AI48" i="62"/>
  <c r="AJ48" i="62"/>
  <c r="AK48" i="62"/>
  <c r="AL48" i="62"/>
  <c r="AM48" i="62"/>
  <c r="AN48" i="62"/>
  <c r="H49" i="62"/>
  <c r="K49" i="62"/>
  <c r="L49" i="62"/>
  <c r="M49" i="62"/>
  <c r="N49" i="62"/>
  <c r="O49" i="62"/>
  <c r="P49" i="62"/>
  <c r="Q49" i="62"/>
  <c r="R49" i="62"/>
  <c r="S49" i="62"/>
  <c r="T49" i="62"/>
  <c r="U49" i="62"/>
  <c r="V49" i="62"/>
  <c r="W49" i="62"/>
  <c r="X49" i="62"/>
  <c r="Y49" i="62"/>
  <c r="Z49" i="62"/>
  <c r="AA49" i="62"/>
  <c r="AB49" i="62"/>
  <c r="AC49" i="62"/>
  <c r="AD49" i="62"/>
  <c r="AE49" i="62"/>
  <c r="AF49" i="62"/>
  <c r="AI49" i="62"/>
  <c r="AJ49" i="62"/>
  <c r="AK49" i="62"/>
  <c r="AL49" i="62"/>
  <c r="AM49" i="62"/>
  <c r="AN49" i="62"/>
  <c r="H50" i="62"/>
  <c r="K50" i="62"/>
  <c r="L50" i="62"/>
  <c r="M50" i="62"/>
  <c r="N50" i="62"/>
  <c r="O50" i="62"/>
  <c r="P50" i="62"/>
  <c r="Q50" i="62"/>
  <c r="R50" i="62"/>
  <c r="S50" i="62"/>
  <c r="T50" i="62"/>
  <c r="U50" i="62"/>
  <c r="V50" i="62"/>
  <c r="W50" i="62"/>
  <c r="X50" i="62"/>
  <c r="Y50" i="62"/>
  <c r="Z50" i="62"/>
  <c r="AA50" i="62"/>
  <c r="AB50" i="62"/>
  <c r="AC50" i="62"/>
  <c r="AD50" i="62"/>
  <c r="AE50" i="62"/>
  <c r="AF50" i="62"/>
  <c r="AI50" i="62"/>
  <c r="AJ50" i="62"/>
  <c r="AK50" i="62"/>
  <c r="AL50" i="62"/>
  <c r="AM50" i="62"/>
  <c r="AN50" i="62"/>
  <c r="H51" i="62"/>
  <c r="K51" i="62"/>
  <c r="L51" i="62"/>
  <c r="M51" i="62"/>
  <c r="N51" i="62"/>
  <c r="O51" i="62"/>
  <c r="P51" i="62"/>
  <c r="Q51" i="62"/>
  <c r="R51" i="62"/>
  <c r="S51" i="62"/>
  <c r="T51" i="62"/>
  <c r="U51" i="62"/>
  <c r="V51" i="62"/>
  <c r="W51" i="62"/>
  <c r="X51" i="62"/>
  <c r="Y51" i="62"/>
  <c r="Z51" i="62"/>
  <c r="AA51" i="62"/>
  <c r="AB51" i="62"/>
  <c r="AC51" i="62"/>
  <c r="AD51" i="62"/>
  <c r="AE51" i="62"/>
  <c r="AF51" i="62"/>
  <c r="AI51" i="62"/>
  <c r="AJ51" i="62"/>
  <c r="AK51" i="62"/>
  <c r="AL51" i="62"/>
  <c r="AM51" i="62"/>
  <c r="AN51" i="62"/>
  <c r="K40" i="2"/>
  <c r="L40" i="2"/>
  <c r="M40" i="2"/>
  <c r="N40" i="2"/>
  <c r="O40" i="2"/>
  <c r="P40" i="2"/>
  <c r="Q40" i="2"/>
  <c r="R40" i="2"/>
  <c r="S40" i="2"/>
  <c r="T40" i="2"/>
  <c r="U40" i="2"/>
  <c r="V40" i="2"/>
  <c r="W40" i="2"/>
  <c r="X40" i="2"/>
  <c r="Y40" i="2"/>
  <c r="Z40" i="2"/>
  <c r="AA40" i="2"/>
  <c r="AB40" i="2"/>
  <c r="AC40" i="2"/>
  <c r="AD40" i="2"/>
  <c r="AE40" i="2"/>
  <c r="AH40" i="2"/>
  <c r="AI40" i="2"/>
  <c r="AJ40" i="2"/>
  <c r="AK40" i="2"/>
  <c r="AL40" i="2"/>
  <c r="AM40" i="2"/>
  <c r="AQ40" i="2"/>
  <c r="AR40" i="2"/>
  <c r="AS40" i="2"/>
  <c r="AT40" i="2"/>
  <c r="AU40" i="2"/>
  <c r="AV40" i="2"/>
  <c r="H41" i="2"/>
  <c r="I41" i="2"/>
  <c r="AH41" i="2"/>
  <c r="L42" i="2"/>
  <c r="M42" i="2"/>
  <c r="N42" i="2"/>
  <c r="O42" i="2"/>
  <c r="P42" i="2"/>
  <c r="Q42" i="2"/>
  <c r="R42" i="2"/>
  <c r="S42" i="2"/>
  <c r="T42" i="2"/>
  <c r="U42" i="2"/>
  <c r="V42" i="2"/>
  <c r="W42" i="2"/>
  <c r="X42" i="2"/>
  <c r="Y42" i="2"/>
  <c r="Z42" i="2"/>
  <c r="AA42" i="2"/>
  <c r="AB42" i="2"/>
  <c r="AC42" i="2"/>
  <c r="AD42" i="2"/>
  <c r="AE42" i="2"/>
  <c r="AI42" i="2"/>
  <c r="AJ42" i="2"/>
  <c r="AK42" i="2"/>
  <c r="AL42" i="2"/>
  <c r="AM42" i="2"/>
  <c r="AR42" i="2"/>
  <c r="AS42" i="2"/>
  <c r="AT42" i="2"/>
  <c r="AU42" i="2"/>
  <c r="AV42" i="2"/>
  <c r="K43" i="2"/>
  <c r="L43" i="2"/>
  <c r="M43" i="2"/>
  <c r="N43" i="2"/>
  <c r="O43" i="2"/>
  <c r="P43" i="2"/>
  <c r="Q43" i="2"/>
  <c r="R43" i="2"/>
  <c r="S43" i="2"/>
  <c r="T43" i="2"/>
  <c r="U43" i="2"/>
  <c r="V43" i="2"/>
  <c r="W43" i="2"/>
  <c r="X43" i="2"/>
  <c r="Y43" i="2"/>
  <c r="Z43" i="2"/>
  <c r="AA43" i="2"/>
  <c r="AB43" i="2"/>
  <c r="AC43" i="2"/>
  <c r="AD43" i="2"/>
  <c r="AE43" i="2"/>
  <c r="AH43" i="2"/>
  <c r="AI43" i="2"/>
  <c r="AJ43" i="2"/>
  <c r="AK43" i="2"/>
  <c r="AL43" i="2"/>
  <c r="AM43" i="2"/>
  <c r="M44" i="2"/>
  <c r="N44" i="2"/>
  <c r="O44" i="2"/>
  <c r="P44" i="2"/>
  <c r="Q44" i="2"/>
  <c r="R44" i="2"/>
  <c r="S44" i="2"/>
  <c r="T44" i="2"/>
  <c r="U44" i="2"/>
  <c r="V44" i="2"/>
  <c r="W44" i="2"/>
  <c r="X44" i="2"/>
  <c r="Y44" i="2"/>
  <c r="Z44" i="2"/>
  <c r="AA44" i="2"/>
  <c r="AB44" i="2"/>
  <c r="AC44" i="2"/>
  <c r="AD44" i="2"/>
  <c r="AE44" i="2"/>
  <c r="AI44" i="2"/>
  <c r="AJ44" i="2"/>
  <c r="AK44" i="2"/>
  <c r="AL44" i="2"/>
  <c r="AM44" i="2"/>
  <c r="J45" i="2"/>
  <c r="L45" i="2"/>
  <c r="M45" i="2"/>
  <c r="N45" i="2"/>
  <c r="O45" i="2"/>
  <c r="P45" i="2"/>
  <c r="Q45" i="2"/>
  <c r="R45" i="2"/>
  <c r="S45" i="2"/>
  <c r="T45" i="2"/>
  <c r="U45" i="2"/>
  <c r="V45" i="2"/>
  <c r="W45" i="2"/>
  <c r="X45" i="2"/>
  <c r="Y45" i="2"/>
  <c r="Z45" i="2"/>
  <c r="AA45" i="2"/>
  <c r="AB45" i="2"/>
  <c r="AC45" i="2"/>
  <c r="AD45" i="2"/>
  <c r="AE45" i="2"/>
  <c r="AH45" i="2"/>
  <c r="AI45" i="2"/>
  <c r="AJ45" i="2"/>
  <c r="AK45" i="2"/>
  <c r="AL45" i="2"/>
  <c r="AM45" i="2"/>
  <c r="AQ45" i="2"/>
  <c r="AR45" i="2"/>
  <c r="AS45" i="2"/>
  <c r="AT45" i="2"/>
  <c r="AU45" i="2"/>
  <c r="AV45" i="2"/>
  <c r="H46" i="2"/>
  <c r="I46" i="2"/>
  <c r="J46" i="2"/>
  <c r="K46" i="2"/>
  <c r="L46" i="2"/>
  <c r="M46" i="2"/>
  <c r="N46" i="2"/>
  <c r="O46" i="2"/>
  <c r="P46" i="2"/>
  <c r="Q46" i="2"/>
  <c r="R46" i="2"/>
  <c r="S46" i="2"/>
  <c r="T46" i="2"/>
  <c r="U46" i="2"/>
  <c r="V46" i="2"/>
  <c r="W46" i="2"/>
  <c r="X46" i="2"/>
  <c r="Y46" i="2"/>
  <c r="Z46" i="2"/>
  <c r="AA46" i="2"/>
  <c r="AB46" i="2"/>
  <c r="AC46" i="2"/>
  <c r="AD46" i="2"/>
  <c r="AE46" i="2"/>
  <c r="AH46" i="2"/>
  <c r="AI46" i="2"/>
  <c r="AJ46" i="2"/>
  <c r="AK46" i="2"/>
  <c r="AL46" i="2"/>
  <c r="AM46" i="2"/>
  <c r="AQ46" i="2"/>
  <c r="AR46" i="2"/>
  <c r="AS46" i="2"/>
  <c r="AT46" i="2"/>
  <c r="AU46" i="2"/>
  <c r="AV46" i="2"/>
  <c r="H50" i="2"/>
  <c r="I50" i="2"/>
  <c r="J50" i="2"/>
  <c r="K50" i="2"/>
  <c r="L50" i="2"/>
  <c r="M50" i="2"/>
  <c r="N50" i="2"/>
  <c r="O50" i="2"/>
  <c r="P50" i="2"/>
  <c r="Q50" i="2"/>
  <c r="R50" i="2"/>
  <c r="S50" i="2"/>
  <c r="T50" i="2"/>
  <c r="U50" i="2"/>
  <c r="V50" i="2"/>
  <c r="W50" i="2"/>
  <c r="X50" i="2"/>
  <c r="Y50" i="2"/>
  <c r="Z50" i="2"/>
  <c r="AA50" i="2"/>
  <c r="AB50" i="2"/>
  <c r="AC50" i="2"/>
  <c r="AD50" i="2"/>
  <c r="AE50" i="2"/>
  <c r="AH50" i="2"/>
  <c r="AI50" i="2"/>
  <c r="AJ50" i="2"/>
  <c r="AK50" i="2"/>
  <c r="AL50" i="2"/>
  <c r="AM50" i="2"/>
  <c r="AQ50" i="2"/>
  <c r="AR50" i="2"/>
  <c r="AS50" i="2"/>
  <c r="AT50" i="2"/>
  <c r="AU50" i="2"/>
  <c r="AV50" i="2"/>
  <c r="J51" i="2"/>
  <c r="K51" i="2"/>
  <c r="L51" i="2"/>
  <c r="M51" i="2"/>
  <c r="N51" i="2"/>
  <c r="O51" i="2"/>
  <c r="P51" i="2"/>
  <c r="Q51" i="2"/>
  <c r="R51" i="2"/>
  <c r="S51" i="2"/>
  <c r="T51" i="2"/>
  <c r="U51" i="2"/>
  <c r="V51" i="2"/>
  <c r="W51" i="2"/>
  <c r="X51" i="2"/>
  <c r="Y51" i="2"/>
  <c r="Z51" i="2"/>
  <c r="AA51" i="2"/>
  <c r="AB51" i="2"/>
  <c r="AC51" i="2"/>
  <c r="AD51" i="2"/>
  <c r="AE51" i="2"/>
  <c r="AH51" i="2"/>
  <c r="AI51" i="2"/>
  <c r="AJ51" i="2"/>
  <c r="AK51" i="2"/>
  <c r="AL51" i="2"/>
  <c r="AM51" i="2"/>
  <c r="AQ51" i="2"/>
  <c r="AR51" i="2"/>
  <c r="AS51" i="2"/>
  <c r="AT51" i="2"/>
  <c r="AU51" i="2"/>
  <c r="AV51" i="2"/>
  <c r="H52" i="2"/>
  <c r="I52" i="2"/>
  <c r="AH52" i="2"/>
  <c r="AQ52" i="2"/>
  <c r="K54" i="2"/>
  <c r="L54" i="2"/>
  <c r="M54" i="2"/>
  <c r="N54" i="2"/>
  <c r="O54" i="2"/>
  <c r="P54" i="2"/>
  <c r="Q54" i="2"/>
  <c r="R54" i="2"/>
  <c r="S54" i="2"/>
  <c r="T54" i="2"/>
  <c r="U54" i="2"/>
  <c r="V54" i="2"/>
  <c r="W54" i="2"/>
  <c r="X54" i="2"/>
  <c r="Y54" i="2"/>
  <c r="Z54" i="2"/>
  <c r="AA54" i="2"/>
  <c r="AB54" i="2"/>
  <c r="AC54" i="2"/>
  <c r="AD54" i="2"/>
  <c r="AE54" i="2"/>
  <c r="AH54" i="2"/>
  <c r="AI54" i="2"/>
  <c r="AJ54" i="2"/>
  <c r="AK54" i="2"/>
  <c r="AL54" i="2"/>
  <c r="AM54" i="2"/>
  <c r="AQ54" i="2"/>
  <c r="AR54" i="2"/>
  <c r="AS54" i="2"/>
  <c r="AT54" i="2"/>
  <c r="AU54" i="2"/>
  <c r="AV54" i="2"/>
  <c r="H57" i="2"/>
  <c r="I57" i="2"/>
  <c r="J57" i="2"/>
  <c r="K57" i="2"/>
  <c r="L57" i="2"/>
  <c r="M57" i="2"/>
  <c r="N57" i="2"/>
  <c r="O57" i="2"/>
  <c r="P57" i="2"/>
  <c r="Q57" i="2"/>
  <c r="R57" i="2"/>
  <c r="S57" i="2"/>
  <c r="T57" i="2"/>
  <c r="U57" i="2"/>
  <c r="V57" i="2"/>
  <c r="W57" i="2"/>
  <c r="X57" i="2"/>
  <c r="Y57" i="2"/>
  <c r="Z57" i="2"/>
  <c r="AA57" i="2"/>
  <c r="AB57" i="2"/>
  <c r="AC57" i="2"/>
  <c r="AD57" i="2"/>
  <c r="AE57" i="2"/>
  <c r="AH57" i="2"/>
  <c r="AI57" i="2"/>
  <c r="AJ57" i="2"/>
  <c r="AK57" i="2"/>
  <c r="AL57" i="2"/>
  <c r="AM57" i="2"/>
  <c r="AQ57" i="2"/>
  <c r="AR57" i="2"/>
  <c r="AS57" i="2"/>
  <c r="AT57" i="2"/>
  <c r="AU57" i="2"/>
  <c r="AV57" i="2"/>
  <c r="H71" i="2"/>
  <c r="I71" i="2"/>
  <c r="J71" i="2"/>
  <c r="K71" i="2"/>
  <c r="L71" i="2"/>
  <c r="M71" i="2"/>
  <c r="N71" i="2"/>
  <c r="O71" i="2"/>
  <c r="P71" i="2"/>
  <c r="Q71" i="2"/>
  <c r="R71" i="2"/>
  <c r="S71" i="2"/>
  <c r="T71" i="2"/>
  <c r="U71" i="2"/>
  <c r="V71" i="2"/>
  <c r="W71" i="2"/>
  <c r="X71" i="2"/>
  <c r="Y71" i="2"/>
  <c r="Z71" i="2"/>
  <c r="AA71" i="2"/>
  <c r="AB71" i="2"/>
  <c r="AC71" i="2"/>
  <c r="AD71" i="2"/>
  <c r="AE71" i="2"/>
  <c r="AH71" i="2"/>
  <c r="AI71" i="2"/>
  <c r="AJ71" i="2"/>
  <c r="AK71" i="2"/>
  <c r="AL71" i="2"/>
  <c r="AM71" i="2"/>
  <c r="AQ71" i="2"/>
  <c r="AR71" i="2"/>
  <c r="AS71" i="2"/>
  <c r="AT71" i="2"/>
  <c r="AU71" i="2"/>
  <c r="AV71" i="2"/>
  <c r="H74" i="2"/>
  <c r="I74" i="2"/>
  <c r="J74" i="2"/>
  <c r="K74" i="2"/>
  <c r="L74" i="2"/>
  <c r="M74" i="2"/>
  <c r="N74" i="2"/>
  <c r="O74" i="2"/>
  <c r="P74" i="2"/>
  <c r="Q74" i="2"/>
  <c r="R74" i="2"/>
  <c r="S74" i="2"/>
  <c r="T74" i="2"/>
  <c r="U74" i="2"/>
  <c r="V74" i="2"/>
  <c r="W74" i="2"/>
  <c r="X74" i="2"/>
  <c r="Y74" i="2"/>
  <c r="Z74" i="2"/>
  <c r="AA74" i="2"/>
  <c r="AB74" i="2"/>
  <c r="AC74" i="2"/>
  <c r="AD74" i="2"/>
  <c r="AE74" i="2"/>
  <c r="AH74" i="2"/>
  <c r="AI74" i="2"/>
  <c r="AJ74" i="2"/>
  <c r="AK74" i="2"/>
  <c r="AL74" i="2"/>
  <c r="AM74" i="2"/>
  <c r="K10" i="9"/>
  <c r="L10" i="9"/>
  <c r="M10" i="9"/>
  <c r="N10" i="9"/>
  <c r="O10" i="9"/>
  <c r="P10" i="9"/>
  <c r="Q10" i="9"/>
  <c r="R10" i="9"/>
  <c r="S10" i="9"/>
  <c r="T10" i="9"/>
  <c r="U10" i="9"/>
  <c r="V10" i="9"/>
  <c r="W10" i="9"/>
  <c r="X10" i="9"/>
  <c r="Y10" i="9"/>
  <c r="Z10" i="9"/>
  <c r="AA10" i="9"/>
  <c r="AB10" i="9"/>
  <c r="AC10" i="9"/>
  <c r="AD10" i="9"/>
  <c r="AE10" i="9"/>
  <c r="AF10" i="9"/>
  <c r="M17" i="9"/>
  <c r="N17" i="9"/>
  <c r="O17" i="9"/>
  <c r="P17" i="9"/>
  <c r="Q17" i="9"/>
  <c r="R17" i="9"/>
  <c r="S17" i="9"/>
  <c r="T17" i="9"/>
  <c r="U17" i="9"/>
  <c r="V17" i="9"/>
  <c r="W17" i="9"/>
  <c r="X17" i="9"/>
  <c r="Y17" i="9"/>
  <c r="Z17" i="9"/>
  <c r="AA17" i="9"/>
  <c r="AB17" i="9"/>
  <c r="AC17" i="9"/>
  <c r="AD17" i="9"/>
  <c r="AE17" i="9"/>
  <c r="AF17" i="9"/>
  <c r="M18" i="9"/>
  <c r="N18" i="9"/>
  <c r="O18" i="9"/>
  <c r="P18" i="9"/>
  <c r="Q18" i="9"/>
  <c r="R18" i="9"/>
  <c r="S18" i="9"/>
  <c r="T18" i="9"/>
  <c r="U18" i="9"/>
  <c r="V18" i="9"/>
  <c r="W18" i="9"/>
  <c r="X18" i="9"/>
  <c r="Y18" i="9"/>
  <c r="Z18" i="9"/>
  <c r="AA18" i="9"/>
  <c r="AB18" i="9"/>
  <c r="AC18" i="9"/>
  <c r="AD18" i="9"/>
  <c r="AE18" i="9"/>
  <c r="AF18" i="9"/>
  <c r="M19" i="9"/>
  <c r="N19" i="9"/>
  <c r="O19" i="9"/>
  <c r="P19" i="9"/>
  <c r="Q19" i="9"/>
  <c r="R19" i="9"/>
  <c r="S19" i="9"/>
  <c r="T19" i="9"/>
  <c r="U19" i="9"/>
  <c r="V19" i="9"/>
  <c r="W19" i="9"/>
  <c r="X19" i="9"/>
  <c r="Y19" i="9"/>
  <c r="Z19" i="9"/>
  <c r="AA19" i="9"/>
  <c r="AB19" i="9"/>
  <c r="AC19" i="9"/>
  <c r="AD19" i="9"/>
  <c r="AE19" i="9"/>
  <c r="AF19" i="9"/>
  <c r="M21" i="9"/>
  <c r="N21" i="9"/>
  <c r="O21" i="9"/>
  <c r="P21" i="9"/>
  <c r="Q21" i="9"/>
  <c r="R21" i="9"/>
  <c r="S21" i="9"/>
  <c r="T21" i="9"/>
  <c r="U21" i="9"/>
  <c r="V21" i="9"/>
  <c r="W21" i="9"/>
  <c r="X21" i="9"/>
  <c r="Y21" i="9"/>
  <c r="Z21" i="9"/>
  <c r="AA21" i="9"/>
  <c r="AB21" i="9"/>
  <c r="AC21" i="9"/>
  <c r="AD21" i="9"/>
  <c r="AE21" i="9"/>
  <c r="AF21" i="9"/>
  <c r="M25" i="9"/>
  <c r="N25" i="9"/>
  <c r="O25" i="9"/>
  <c r="P25" i="9"/>
  <c r="Q25" i="9"/>
  <c r="R25" i="9"/>
  <c r="S25" i="9"/>
  <c r="T25" i="9"/>
  <c r="U25" i="9"/>
  <c r="V25" i="9"/>
  <c r="W25" i="9"/>
  <c r="X25" i="9"/>
  <c r="Y25" i="9"/>
  <c r="Z25" i="9"/>
  <c r="AA25" i="9"/>
  <c r="AB25" i="9"/>
  <c r="AC25" i="9"/>
  <c r="AD25" i="9"/>
  <c r="AE25" i="9"/>
  <c r="AF25" i="9"/>
  <c r="N27" i="9"/>
  <c r="O27" i="9"/>
  <c r="P27" i="9"/>
  <c r="Q27" i="9"/>
  <c r="R27" i="9"/>
  <c r="S27" i="9"/>
  <c r="T27" i="9"/>
  <c r="U27" i="9"/>
  <c r="V27" i="9"/>
  <c r="W27" i="9"/>
  <c r="X27" i="9"/>
  <c r="Y27" i="9"/>
  <c r="Z27" i="9"/>
  <c r="AA27" i="9"/>
  <c r="AB27" i="9"/>
  <c r="AC27" i="9"/>
  <c r="AD27" i="9"/>
  <c r="AE27" i="9"/>
  <c r="AF27" i="9"/>
  <c r="M28" i="9"/>
  <c r="N28" i="9"/>
  <c r="O28" i="9"/>
  <c r="P28" i="9"/>
  <c r="Q28" i="9"/>
  <c r="R28" i="9"/>
  <c r="S28" i="9"/>
  <c r="T28" i="9"/>
  <c r="U28" i="9"/>
  <c r="V28" i="9"/>
  <c r="W28" i="9"/>
  <c r="X28" i="9"/>
  <c r="Y28" i="9"/>
  <c r="Z28" i="9"/>
  <c r="AA28" i="9"/>
  <c r="AB28" i="9"/>
  <c r="AC28" i="9"/>
  <c r="AD28" i="9"/>
  <c r="AE28" i="9"/>
  <c r="AF28" i="9"/>
  <c r="M29" i="9"/>
  <c r="N29" i="9"/>
  <c r="O29" i="9"/>
  <c r="P29" i="9"/>
  <c r="Q29" i="9"/>
  <c r="R29" i="9"/>
  <c r="S29" i="9"/>
  <c r="T29" i="9"/>
  <c r="U29" i="9"/>
  <c r="V29" i="9"/>
  <c r="W29" i="9"/>
  <c r="X29" i="9"/>
  <c r="Y29" i="9"/>
  <c r="Z29" i="9"/>
  <c r="AA29" i="9"/>
  <c r="AB29" i="9"/>
  <c r="AC29" i="9"/>
  <c r="AD29" i="9"/>
  <c r="AE29" i="9"/>
  <c r="AF29" i="9"/>
  <c r="N31" i="9"/>
  <c r="O31" i="9"/>
  <c r="P31" i="9"/>
  <c r="Q31" i="9"/>
  <c r="R31" i="9"/>
  <c r="S31" i="9"/>
  <c r="T31" i="9"/>
  <c r="U31" i="9"/>
  <c r="V31" i="9"/>
  <c r="W31" i="9"/>
  <c r="X31" i="9"/>
  <c r="Y31" i="9"/>
  <c r="Z31" i="9"/>
  <c r="AA31" i="9"/>
  <c r="AB31" i="9"/>
  <c r="AC31" i="9"/>
  <c r="AD31" i="9"/>
  <c r="AE31" i="9"/>
  <c r="AF31" i="9"/>
  <c r="M32" i="9"/>
  <c r="N32" i="9"/>
  <c r="O32" i="9"/>
  <c r="P32" i="9"/>
  <c r="Q32" i="9"/>
  <c r="R32" i="9"/>
  <c r="S32" i="9"/>
  <c r="T32" i="9"/>
  <c r="U32" i="9"/>
  <c r="V32" i="9"/>
  <c r="W32" i="9"/>
  <c r="X32" i="9"/>
  <c r="Y32" i="9"/>
  <c r="Z32" i="9"/>
  <c r="AA32" i="9"/>
  <c r="AB32" i="9"/>
  <c r="AC32" i="9"/>
  <c r="AD32" i="9"/>
  <c r="AE32" i="9"/>
  <c r="AF32" i="9"/>
  <c r="N33" i="9"/>
  <c r="O33" i="9"/>
  <c r="P33" i="9"/>
  <c r="Q33" i="9"/>
  <c r="R33" i="9"/>
  <c r="S33" i="9"/>
  <c r="T33" i="9"/>
  <c r="U33" i="9"/>
  <c r="V33" i="9"/>
  <c r="W33" i="9"/>
  <c r="X33" i="9"/>
  <c r="Y33" i="9"/>
  <c r="Z33" i="9"/>
  <c r="AA33" i="9"/>
  <c r="AB33" i="9"/>
  <c r="AC33" i="9"/>
  <c r="AD33" i="9"/>
  <c r="AE33" i="9"/>
  <c r="AF33" i="9"/>
  <c r="M34" i="9"/>
  <c r="N34" i="9"/>
  <c r="O34" i="9"/>
  <c r="P34" i="9"/>
  <c r="Q34" i="9"/>
  <c r="R34" i="9"/>
  <c r="S34" i="9"/>
  <c r="T34" i="9"/>
  <c r="U34" i="9"/>
  <c r="V34" i="9"/>
  <c r="W34" i="9"/>
  <c r="X34" i="9"/>
  <c r="Y34" i="9"/>
  <c r="Z34" i="9"/>
  <c r="AA34" i="9"/>
  <c r="AB34" i="9"/>
  <c r="AC34" i="9"/>
  <c r="AD34" i="9"/>
  <c r="AE34" i="9"/>
  <c r="AF34" i="9"/>
  <c r="Y17" i="7"/>
  <c r="Z17" i="7"/>
  <c r="AA17" i="7"/>
  <c r="AB17" i="7"/>
  <c r="AC17" i="7"/>
  <c r="AD17" i="7"/>
  <c r="Y18" i="7"/>
  <c r="Y19" i="7"/>
  <c r="Z19" i="7"/>
  <c r="AA19" i="7"/>
  <c r="AB19" i="7"/>
  <c r="AC19" i="7"/>
  <c r="AD19" i="7"/>
  <c r="Y20" i="7"/>
  <c r="Z20" i="7"/>
  <c r="AA20" i="7"/>
  <c r="AB20" i="7"/>
  <c r="AC20" i="7"/>
  <c r="AD20" i="7"/>
  <c r="Y21" i="7"/>
  <c r="Z21" i="7"/>
  <c r="AA21" i="7"/>
  <c r="AB21" i="7"/>
  <c r="AC21" i="7"/>
  <c r="AD21" i="7"/>
  <c r="Y22" i="7"/>
  <c r="Z22" i="7"/>
  <c r="AA22" i="7"/>
  <c r="AB22" i="7"/>
  <c r="AC22" i="7"/>
  <c r="AD22" i="7"/>
</calcChain>
</file>

<file path=xl/comments1.xml><?xml version="1.0" encoding="utf-8"?>
<comments xmlns="http://schemas.openxmlformats.org/spreadsheetml/2006/main">
  <authors>
    <author>Michael Foster</author>
  </authors>
  <commentList>
    <comment ref="F29" authorId="0" shapeId="0">
      <text>
        <r>
          <rPr>
            <b/>
            <sz val="9"/>
            <color indexed="81"/>
            <rFont val="Tahoma"/>
            <family val="2"/>
          </rPr>
          <t>Michael Foster:</t>
        </r>
        <r>
          <rPr>
            <sz val="9"/>
            <color indexed="81"/>
            <rFont val="Tahoma"/>
            <family val="2"/>
          </rPr>
          <t xml:space="preserve">
Removed R&amp;D Adjustment (CL NQ'd) and added back $331k discontinued items</t>
        </r>
      </text>
    </comment>
    <comment ref="G29" authorId="0" shapeId="0">
      <text>
        <r>
          <rPr>
            <b/>
            <sz val="9"/>
            <color indexed="81"/>
            <rFont val="Tahoma"/>
            <family val="2"/>
          </rPr>
          <t>Michael Foster:</t>
        </r>
        <r>
          <rPr>
            <sz val="9"/>
            <color indexed="81"/>
            <rFont val="Tahoma"/>
            <family val="2"/>
          </rPr>
          <t xml:space="preserve">
Included R&amp;D (CL NQ'd)</t>
        </r>
      </text>
    </comment>
    <comment ref="J39" authorId="0" shapeId="0">
      <text>
        <r>
          <rPr>
            <b/>
            <sz val="9"/>
            <color indexed="81"/>
            <rFont val="Tahoma"/>
            <family val="2"/>
          </rPr>
          <t>Michael Foster:</t>
        </r>
        <r>
          <rPr>
            <sz val="9"/>
            <color indexed="81"/>
            <rFont val="Tahoma"/>
            <family val="2"/>
          </rPr>
          <t xml:space="preserve">
To plug to 9m15 QoE</t>
        </r>
      </text>
    </comment>
  </commentList>
</comments>
</file>

<file path=xl/comments2.xml><?xml version="1.0" encoding="utf-8"?>
<comments xmlns="http://schemas.openxmlformats.org/spreadsheetml/2006/main">
  <authors>
    <author>ehensele</author>
  </authors>
  <commentList>
    <comment ref="A25" authorId="0" shapeId="0">
      <text>
        <r>
          <rPr>
            <b/>
            <sz val="9"/>
            <color indexed="81"/>
            <rFont val="Tahoma"/>
            <family val="2"/>
          </rPr>
          <t>ehensele:</t>
        </r>
        <r>
          <rPr>
            <sz val="9"/>
            <color indexed="81"/>
            <rFont val="Tahoma"/>
            <family val="2"/>
          </rPr>
          <t xml:space="preserve">
Excludes Omar Rosales salary and bonuses paid</t>
        </r>
      </text>
    </comment>
  </commentList>
</comments>
</file>

<file path=xl/comments3.xml><?xml version="1.0" encoding="utf-8"?>
<comments xmlns="http://schemas.openxmlformats.org/spreadsheetml/2006/main">
  <authors>
    <author>Michael Foster</author>
  </authors>
  <commentList>
    <comment ref="A11" authorId="0" shapeId="0">
      <text>
        <r>
          <rPr>
            <b/>
            <sz val="9"/>
            <color indexed="81"/>
            <rFont val="Tahoma"/>
            <family val="2"/>
          </rPr>
          <t>Michael Foster:</t>
        </r>
        <r>
          <rPr>
            <sz val="9"/>
            <color indexed="81"/>
            <rFont val="Tahoma"/>
            <family val="2"/>
          </rPr>
          <t xml:space="preserve">
Assumes $5m of $7m CCI  and 300k of $1.1m Ashley real property is land</t>
        </r>
      </text>
    </comment>
  </commentList>
</comments>
</file>

<file path=xl/sharedStrings.xml><?xml version="1.0" encoding="utf-8"?>
<sst xmlns="http://schemas.openxmlformats.org/spreadsheetml/2006/main" count="1841" uniqueCount="977">
  <si>
    <t>Prepaid Expenses</t>
  </si>
  <si>
    <t>Total Assets</t>
  </si>
  <si>
    <t>Total Liabilities</t>
  </si>
  <si>
    <t>Total Equity</t>
  </si>
  <si>
    <t>FY11</t>
  </si>
  <si>
    <t>Net Income</t>
  </si>
  <si>
    <t>Accounts Payable</t>
  </si>
  <si>
    <t>FY12</t>
  </si>
  <si>
    <t>FY13</t>
  </si>
  <si>
    <t>EBITDA</t>
  </si>
  <si>
    <t>FYE</t>
  </si>
  <si>
    <t>QE</t>
  </si>
  <si>
    <t>Cash flows from operating activities:</t>
  </si>
  <si>
    <t>Adjustments to reconcile net income to cash:</t>
  </si>
  <si>
    <t>Increase (decrease) in cash from changes in:</t>
  </si>
  <si>
    <t>Net cash provided by / (used in) operations</t>
  </si>
  <si>
    <t>Cash flow from investing activities:</t>
  </si>
  <si>
    <t>Capital Expenditures</t>
  </si>
  <si>
    <t>Net cash provided by/ (used in) investing activities</t>
  </si>
  <si>
    <t>Cash flows from financing activities:</t>
  </si>
  <si>
    <t>Net cash provided by / (used in) financing activities</t>
  </si>
  <si>
    <t>Cash, beginning of period</t>
  </si>
  <si>
    <t>Increase (decrease) in cash</t>
  </si>
  <si>
    <t>Cash, end of period</t>
  </si>
  <si>
    <t>Check</t>
  </si>
  <si>
    <t>Days in Year</t>
  </si>
  <si>
    <t>Sales</t>
  </si>
  <si>
    <t>AR Trade</t>
  </si>
  <si>
    <t>Average Gross Fixed Assets</t>
  </si>
  <si>
    <t>Depreciation</t>
  </si>
  <si>
    <t>Average Annual Life</t>
  </si>
  <si>
    <t>&lt;- Assumed average useful life, straight line</t>
  </si>
  <si>
    <t>CapEx</t>
  </si>
  <si>
    <t>NA</t>
  </si>
  <si>
    <t>FY14</t>
  </si>
  <si>
    <t>FY15</t>
  </si>
  <si>
    <t>FY16</t>
  </si>
  <si>
    <t>FY17</t>
  </si>
  <si>
    <t>FY18</t>
  </si>
  <si>
    <t>% of Revenue</t>
  </si>
  <si>
    <t>Initial Investment</t>
  </si>
  <si>
    <t>Debt</t>
  </si>
  <si>
    <t>Equity</t>
  </si>
  <si>
    <t>Total</t>
  </si>
  <si>
    <t>Terminal Value</t>
  </si>
  <si>
    <t>Closing Date</t>
  </si>
  <si>
    <t>Beginning Balance</t>
  </si>
  <si>
    <t>Balance after Principal Payments</t>
  </si>
  <si>
    <t>Number of Days</t>
  </si>
  <si>
    <t>Interest Rate</t>
  </si>
  <si>
    <t>Interest Expense</t>
  </si>
  <si>
    <t>Ending Balance</t>
  </si>
  <si>
    <t>Cash Flow Sweep Calculation</t>
  </si>
  <si>
    <t>Plus/Minus: Change in Working Capital</t>
  </si>
  <si>
    <t>Minus: Capital Expenditures</t>
  </si>
  <si>
    <t>Minus: Tax Related Distributions</t>
  </si>
  <si>
    <t>Excess Cash Flow</t>
  </si>
  <si>
    <t>Excess Cash Flow Sweep %</t>
  </si>
  <si>
    <t>Amount of Excess Cash Flow Sweep (paid next quarter)</t>
  </si>
  <si>
    <t>EV/EBITDA Multiple</t>
  </si>
  <si>
    <t>TEV</t>
  </si>
  <si>
    <t>Equity Value</t>
  </si>
  <si>
    <t>Assumptions</t>
  </si>
  <si>
    <t>Sources</t>
  </si>
  <si>
    <t>Uses</t>
  </si>
  <si>
    <t>Cash Sources</t>
  </si>
  <si>
    <t>Cash Uses</t>
  </si>
  <si>
    <t>Transaction Costs</t>
  </si>
  <si>
    <t>Net Interest Expense</t>
  </si>
  <si>
    <t>Depreciation and Amortiztion</t>
  </si>
  <si>
    <t>Adjusted EBITDA</t>
  </si>
  <si>
    <t>Earnings Before Taxes</t>
  </si>
  <si>
    <t>Intangible Assets Amortization Deduction</t>
  </si>
  <si>
    <t>Tax / Book Depreciation Differential</t>
  </si>
  <si>
    <t>Book Depreciation</t>
  </si>
  <si>
    <t>Tax Depreciation</t>
  </si>
  <si>
    <t xml:space="preserve">    Differential</t>
  </si>
  <si>
    <t>Taxable Profit / Loss</t>
  </si>
  <si>
    <t>Estimated Statutory Tax Rate</t>
  </si>
  <si>
    <t>Tax Expense / (Benefit)</t>
  </si>
  <si>
    <t>Beginning NOL</t>
  </si>
  <si>
    <t>Change in NOL</t>
  </si>
  <si>
    <t>Ending NOL</t>
  </si>
  <si>
    <t>Beginning Taxes Due</t>
  </si>
  <si>
    <t>Additional Taxes Due</t>
  </si>
  <si>
    <t>Tax Payments/Distributions</t>
  </si>
  <si>
    <t>Ending Income Taxes Payable</t>
  </si>
  <si>
    <t>Intangible Assets Amortization:</t>
  </si>
  <si>
    <t>Minimum Cash Balance</t>
  </si>
  <si>
    <t>Sub Debt Interest</t>
  </si>
  <si>
    <t>Sub Debt Principal Repayment</t>
  </si>
  <si>
    <t>Assumed Sub Debt Retirement at Exit</t>
  </si>
  <si>
    <t>Equity:</t>
  </si>
  <si>
    <t>Special Distributions</t>
  </si>
  <si>
    <t>Debt:</t>
  </si>
  <si>
    <t>Combined</t>
  </si>
  <si>
    <t>IRR</t>
  </si>
  <si>
    <t>xMoney</t>
  </si>
  <si>
    <t>Actual</t>
  </si>
  <si>
    <t>Cash</t>
  </si>
  <si>
    <t>Add: DD&amp;A</t>
  </si>
  <si>
    <t>$</t>
  </si>
  <si>
    <t>Income Taxes</t>
  </si>
  <si>
    <t>Common Stock Contributions/(Redemptions)</t>
  </si>
  <si>
    <t>Amount of Dividends</t>
  </si>
  <si>
    <t>Exit Multiple</t>
  </si>
  <si>
    <t>N/A</t>
  </si>
  <si>
    <t>Special distributions</t>
  </si>
  <si>
    <t>Div %</t>
  </si>
  <si>
    <t>Own. %</t>
  </si>
  <si>
    <t>YoY Revenue Growth Rate</t>
  </si>
  <si>
    <t>Terminal Value Multiple (EV/EBITDA)</t>
  </si>
  <si>
    <t>Times Money Invested</t>
  </si>
  <si>
    <t>Capital Stock</t>
  </si>
  <si>
    <t>3 Yr Avg</t>
  </si>
  <si>
    <t>EBITDA %</t>
  </si>
  <si>
    <t>Tax Related Distributions</t>
  </si>
  <si>
    <t>Pre Tax-IRR</t>
  </si>
  <si>
    <t>Revenue</t>
  </si>
  <si>
    <t>Beginning Amortizable Intangibles</t>
  </si>
  <si>
    <t>Amortization Period</t>
  </si>
  <si>
    <t>Current Assets</t>
  </si>
  <si>
    <t>Intangible Amortization</t>
  </si>
  <si>
    <t>FY10</t>
  </si>
  <si>
    <t>Plus: Book Amortization</t>
  </si>
  <si>
    <t>Notes</t>
  </si>
  <si>
    <t>Tax Distributions</t>
  </si>
  <si>
    <t>Quarterly Revenue Split</t>
  </si>
  <si>
    <t>Q1</t>
  </si>
  <si>
    <t>Q2</t>
  </si>
  <si>
    <t>Q3</t>
  </si>
  <si>
    <t>Q4</t>
  </si>
  <si>
    <t>% of Total Expenses</t>
  </si>
  <si>
    <t>Days Payable Outstanding</t>
  </si>
  <si>
    <t>TTM EBITDA</t>
  </si>
  <si>
    <t>Debt to EBITDA</t>
  </si>
  <si>
    <t>Total Debt before FCF sweep</t>
  </si>
  <si>
    <t>Requirement met? (1=yes, 2=no)</t>
  </si>
  <si>
    <t>Minus: Net Debt Service</t>
  </si>
  <si>
    <t>Real Property</t>
  </si>
  <si>
    <t>Trucks</t>
  </si>
  <si>
    <t>Miscellaneous</t>
  </si>
  <si>
    <t>Table B1 - Page 105</t>
  </si>
  <si>
    <t>39 year - Non-residential real property</t>
  </si>
  <si>
    <t>Year 1</t>
  </si>
  <si>
    <t>Year 2</t>
  </si>
  <si>
    <t>Year 3</t>
  </si>
  <si>
    <t>Year 4</t>
  </si>
  <si>
    <t>Year 5</t>
  </si>
  <si>
    <t>Year 6</t>
  </si>
  <si>
    <t>Year 7</t>
  </si>
  <si>
    <t>Year 8</t>
  </si>
  <si>
    <t>Year 9</t>
  </si>
  <si>
    <t>Year 10</t>
  </si>
  <si>
    <t>Year 11</t>
  </si>
  <si>
    <t>Year 12</t>
  </si>
  <si>
    <t>Year 13</t>
  </si>
  <si>
    <t>Year 14</t>
  </si>
  <si>
    <t>Year 15</t>
  </si>
  <si>
    <t>Year 16</t>
  </si>
  <si>
    <t>Year 17</t>
  </si>
  <si>
    <t>Year 18</t>
  </si>
  <si>
    <t>Year 19</t>
  </si>
  <si>
    <t>Year 20</t>
  </si>
  <si>
    <t>Year 21</t>
  </si>
  <si>
    <t>Year 22</t>
  </si>
  <si>
    <t>Year 23</t>
  </si>
  <si>
    <t>Year 24</t>
  </si>
  <si>
    <t>Year 25</t>
  </si>
  <si>
    <t>Year 26</t>
  </si>
  <si>
    <t>Year 27</t>
  </si>
  <si>
    <t>Year 28</t>
  </si>
  <si>
    <t>Year 29</t>
  </si>
  <si>
    <t>Year 30</t>
  </si>
  <si>
    <t>Year 31</t>
  </si>
  <si>
    <t>Year 32</t>
  </si>
  <si>
    <t>Year 33</t>
  </si>
  <si>
    <t>Year 34</t>
  </si>
  <si>
    <t>Year 35</t>
  </si>
  <si>
    <t>Year 36</t>
  </si>
  <si>
    <t>Year 37</t>
  </si>
  <si>
    <t>Year 38</t>
  </si>
  <si>
    <t>Year 39</t>
  </si>
  <si>
    <t>Year 40</t>
  </si>
  <si>
    <t>Capex</t>
  </si>
  <si>
    <t>Acquisition and Capex</t>
  </si>
  <si>
    <t>MACRS Depreciation</t>
  </si>
  <si>
    <t>Total Depreciation</t>
  </si>
  <si>
    <t>Management Fees</t>
  </si>
  <si>
    <t>Total Cashflow to Investors</t>
  </si>
  <si>
    <t>Total Cashflow IRR</t>
  </si>
  <si>
    <t>Combined After-Tax Total</t>
  </si>
  <si>
    <t>Fixed Charge Coverage Ratio</t>
  </si>
  <si>
    <t>TTM Interest</t>
  </si>
  <si>
    <t>TTM Principle Amortization</t>
  </si>
  <si>
    <t>TTM Tax Distributions</t>
  </si>
  <si>
    <t>TTM Non-financed CapEx</t>
  </si>
  <si>
    <t>Tranche B Leverage</t>
  </si>
  <si>
    <t>Debt to Tangible Net Worth</t>
  </si>
  <si>
    <t>Fixed Assets, Net</t>
  </si>
  <si>
    <t>GM</t>
  </si>
  <si>
    <t>COGS</t>
  </si>
  <si>
    <t>Adjustments</t>
  </si>
  <si>
    <t>FY19</t>
  </si>
  <si>
    <t>Forecast</t>
  </si>
  <si>
    <t>Goodwill</t>
  </si>
  <si>
    <t>Total Liabilities &amp; Equity</t>
  </si>
  <si>
    <t xml:space="preserve"> </t>
  </si>
  <si>
    <t>Other Income &amp; Expense</t>
  </si>
  <si>
    <t xml:space="preserve">7 Year </t>
  </si>
  <si>
    <t>5 year</t>
  </si>
  <si>
    <t>Unreconciled Difference from Audit</t>
  </si>
  <si>
    <t>Add: Other</t>
  </si>
  <si>
    <t>Total Sales</t>
  </si>
  <si>
    <t>Total Cost of Sales</t>
  </si>
  <si>
    <t>Operating Expenses</t>
  </si>
  <si>
    <t>Total Gross Margin</t>
  </si>
  <si>
    <t>Total GM%</t>
  </si>
  <si>
    <t>YTD</t>
  </si>
  <si>
    <t>Revenue - Percent Growth</t>
  </si>
  <si>
    <t>LIBOR Curve</t>
  </si>
  <si>
    <t>Repayments - Borrowing Capacity</t>
  </si>
  <si>
    <t>Repayments - Free Cash Flow</t>
  </si>
  <si>
    <t>Draws - Working Capital</t>
  </si>
  <si>
    <t>Free Cash Flow Distribution %</t>
  </si>
  <si>
    <t>Special Distribution</t>
  </si>
  <si>
    <t>Management Fee</t>
  </si>
  <si>
    <t>Distributions? (1=yes, 0=no)</t>
  </si>
  <si>
    <t>I. Minimum Combined Trust Position</t>
  </si>
  <si>
    <t>+</t>
  </si>
  <si>
    <t>Receivables</t>
  </si>
  <si>
    <t>-</t>
  </si>
  <si>
    <t>Used Floor Plan Outstandings</t>
  </si>
  <si>
    <t>Divided by:</t>
  </si>
  <si>
    <t>Car Inventory</t>
  </si>
  <si>
    <t>Cash before Special Distributions, Main Repayment and WC Line Repayment</t>
  </si>
  <si>
    <t>% Covenant</t>
  </si>
  <si>
    <t>In compliance?</t>
  </si>
  <si>
    <t>Requirement</t>
  </si>
  <si>
    <t>TotalSales</t>
  </si>
  <si>
    <t>Cash Required</t>
  </si>
  <si>
    <t>I. Minimum Combined Trust Position (WHAT IF)</t>
  </si>
  <si>
    <t>Equity Infusion</t>
  </si>
  <si>
    <t>With $7m Debt Financing:</t>
  </si>
  <si>
    <t>Investment - 50% Ownership</t>
  </si>
  <si>
    <t>Management Fees [1]</t>
  </si>
  <si>
    <t>Special Distributions [2]</t>
  </si>
  <si>
    <t>Total Cashflow to VS/JH/Hildebrand</t>
  </si>
  <si>
    <t>Cash on Cash Return</t>
  </si>
  <si>
    <t>Without $7m Debt Financing:</t>
  </si>
  <si>
    <t>All Equity vs. Equity + Sub Debt Comparison</t>
  </si>
  <si>
    <t>Terminal Value as Multiple of Original Investment</t>
  </si>
  <si>
    <t>MAIN Debt Repayment</t>
  </si>
  <si>
    <t>Terminal Value (at 4x)</t>
  </si>
  <si>
    <t>[1] - Based on the greater of A) 5% of total cash equity investment or B) 400k. Paid pro-rata to equity investors based on ownership.</t>
  </si>
  <si>
    <t>[2] - Once WC Line and MAIN lines are paid off, 60% of positive cashflow from operations paid pro-rata in equity investors based on ownership.</t>
  </si>
  <si>
    <t>Cash Balance Available for Distribution</t>
  </si>
  <si>
    <t>BEFORE CURING PAYDOWN</t>
  </si>
  <si>
    <t>GM%</t>
  </si>
  <si>
    <t>Debt/Net Profit</t>
  </si>
  <si>
    <t>Debt Service Coverage</t>
  </si>
  <si>
    <t>Base Case</t>
  </si>
  <si>
    <t>EBITDA Calculation</t>
  </si>
  <si>
    <t>FY14F</t>
  </si>
  <si>
    <t>Gross Margin</t>
  </si>
  <si>
    <t>GM %</t>
  </si>
  <si>
    <t>Marketing</t>
  </si>
  <si>
    <t>Professional Standards</t>
  </si>
  <si>
    <t>IT</t>
  </si>
  <si>
    <t>G&amp;A</t>
  </si>
  <si>
    <t>Profit/(Loss) Bfr Tax</t>
  </si>
  <si>
    <t>Accounts Receivable</t>
  </si>
  <si>
    <t>Fixed Assets, at Cost</t>
  </si>
  <si>
    <t>Accumulated Depreciation</t>
  </si>
  <si>
    <t>Other Assets</t>
  </si>
  <si>
    <t>Bank of Cascades LOC</t>
  </si>
  <si>
    <t>Accrued Liabilities</t>
  </si>
  <si>
    <t>Current Liabilities</t>
  </si>
  <si>
    <t>Note Payable - D. Freedman</t>
  </si>
  <si>
    <t>Retained Earnings</t>
  </si>
  <si>
    <t xml:space="preserve">AllMed </t>
  </si>
  <si>
    <t>Valuation Summary</t>
  </si>
  <si>
    <t>EV/EBITDA Multiple (1)</t>
  </si>
  <si>
    <t>Enterprise Value - Before Premium</t>
  </si>
  <si>
    <t>Total Enterprise Value</t>
  </si>
  <si>
    <t>Premium</t>
  </si>
  <si>
    <t>Plus: Cash at 10/31/14</t>
  </si>
  <si>
    <t>Less: Bank of Cascades LOC</t>
  </si>
  <si>
    <t>Less: Freedman Note</t>
  </si>
  <si>
    <t>Equity Value before Premium</t>
  </si>
  <si>
    <t>Total Equity Value</t>
  </si>
  <si>
    <t>Notes:</t>
  </si>
  <si>
    <t xml:space="preserve">Plus: </t>
  </si>
  <si>
    <t>(1) Multiples are impacted by the size of the Company and the amount of required investment in IT to support growth in revenues and earnings for the company (ie. Lower free cash flow)</t>
  </si>
  <si>
    <t>Interest (2)</t>
  </si>
  <si>
    <t>(2) FY12 and FY14 levels assumed to be equivilent to FY13 due to lack of information</t>
  </si>
  <si>
    <t xml:space="preserve">Less: </t>
  </si>
  <si>
    <t>(3) 10m14 CapEx of $568k annualized for FY14</t>
  </si>
  <si>
    <t>Web Portal / IT Security CapEx (3)</t>
  </si>
  <si>
    <t>Free Cash Flow</t>
  </si>
  <si>
    <t>Interest*</t>
  </si>
  <si>
    <t>Notes: (1)</t>
  </si>
  <si>
    <t>TOTAL REVENUE</t>
  </si>
  <si>
    <t>TOTAL COGS</t>
  </si>
  <si>
    <t>YoY Growth (%) - Base</t>
  </si>
  <si>
    <t>OPERATING EXPENSES</t>
  </si>
  <si>
    <t>YoY Growth (%) - Actual</t>
  </si>
  <si>
    <t>% Revenue - Base</t>
  </si>
  <si>
    <t>CAGR Case</t>
  </si>
  <si>
    <t>OPEX</t>
  </si>
  <si>
    <t>ADJUSTED</t>
  </si>
  <si>
    <t>FY20</t>
  </si>
  <si>
    <t>$ Value</t>
  </si>
  <si>
    <t>Own %</t>
  </si>
  <si>
    <t>Pre</t>
  </si>
  <si>
    <t>Post</t>
  </si>
  <si>
    <t>Run-Rate EBITDA</t>
  </si>
  <si>
    <t>Borrowing Base</t>
  </si>
  <si>
    <t>Borrowing Base Percentage</t>
  </si>
  <si>
    <t>Management Fee Distributions</t>
  </si>
  <si>
    <t>Excess Cash Available for Distribution</t>
  </si>
  <si>
    <t>Percent of Sales</t>
  </si>
  <si>
    <t>Ending Balance Before Acquisitions</t>
  </si>
  <si>
    <t>Draws - Acqusitions</t>
  </si>
  <si>
    <t>Circ Breaker</t>
  </si>
  <si>
    <t>Payment</t>
  </si>
  <si>
    <t>Repayments - Amortization</t>
  </si>
  <si>
    <t>% Base</t>
  </si>
  <si>
    <t>Equipment - Base</t>
  </si>
  <si>
    <t xml:space="preserve">Acquistion </t>
  </si>
  <si>
    <t>Valuation &amp; Sources &amp; Uses</t>
  </si>
  <si>
    <t>Selling Expenses</t>
  </si>
  <si>
    <t>Other Expense (Income)</t>
  </si>
  <si>
    <t>Interest Expense - Term Loan</t>
  </si>
  <si>
    <t>Line 1</t>
  </si>
  <si>
    <t>Line 2</t>
  </si>
  <si>
    <t>Line 3</t>
  </si>
  <si>
    <t>Line 4</t>
  </si>
  <si>
    <t>Line 5</t>
  </si>
  <si>
    <t>Line 6</t>
  </si>
  <si>
    <t>Line 7</t>
  </si>
  <si>
    <t>Line 8</t>
  </si>
  <si>
    <t>Ashland Equity</t>
  </si>
  <si>
    <t>2 Yr Avg</t>
  </si>
  <si>
    <t>COGS + OPEX</t>
  </si>
  <si>
    <t>Days inventory outstanding</t>
  </si>
  <si>
    <t xml:space="preserve">Days sales outstanding </t>
  </si>
  <si>
    <t>Inventory</t>
  </si>
  <si>
    <t>Management Rolled Equity</t>
  </si>
  <si>
    <t>Senior Term Debt</t>
  </si>
  <si>
    <t>Adjustment #3</t>
  </si>
  <si>
    <t>Line</t>
  </si>
  <si>
    <t>Adjusted</t>
  </si>
  <si>
    <t>xEBITDA</t>
  </si>
  <si>
    <t>Ashland</t>
  </si>
  <si>
    <t>YoY Growth (%) - Down</t>
  </si>
  <si>
    <t>YoY Growth Case (1=+5%, 2=0%, 3=-5%)</t>
  </si>
  <si>
    <t>Machinery</t>
  </si>
  <si>
    <t>State Tax</t>
  </si>
  <si>
    <t>Percent of Gross Margin</t>
  </si>
  <si>
    <t>Percent of Total Expenses</t>
  </si>
  <si>
    <t>Summary Balance Sheet</t>
  </si>
  <si>
    <t>Closing</t>
  </si>
  <si>
    <t>Opening</t>
  </si>
  <si>
    <t>Adj.</t>
  </si>
  <si>
    <t>Inventories</t>
  </si>
  <si>
    <t>Fixed Assets</t>
  </si>
  <si>
    <t>Less: Accumulatived Depreciation</t>
  </si>
  <si>
    <t>Deferred Financing Costs</t>
  </si>
  <si>
    <t>Deposits</t>
  </si>
  <si>
    <t>Assets</t>
  </si>
  <si>
    <t>A/P Trade</t>
  </si>
  <si>
    <t>Total Current Liabilities</t>
  </si>
  <si>
    <t>Retained earnings</t>
  </si>
  <si>
    <t>Liabilities and Equity</t>
  </si>
  <si>
    <t>Prior Term Loan</t>
  </si>
  <si>
    <t>New RLOC</t>
  </si>
  <si>
    <t>New Term Debt</t>
  </si>
  <si>
    <t>RLOC</t>
  </si>
  <si>
    <t>Less: Net Debt at 12/31/14</t>
  </si>
  <si>
    <t>Term Interest Rate</t>
  </si>
  <si>
    <t>OPEN FOR RLOC</t>
  </si>
  <si>
    <t>Beginning Cash Balance</t>
  </si>
  <si>
    <t>Less: Minimum Cash Balance</t>
  </si>
  <si>
    <t>Cash Available for Term Debt Pay Down</t>
  </si>
  <si>
    <t>Balance after Required Principal Payments</t>
  </si>
  <si>
    <t>Sweep</t>
  </si>
  <si>
    <t>Cash Available for Sub Debt Paydown</t>
  </si>
  <si>
    <t>Carried Interest - Hurdle</t>
  </si>
  <si>
    <t>Carried Interest</t>
  </si>
  <si>
    <t>PIK? (0=Yes, 1=Cash Pay)</t>
  </si>
  <si>
    <t>Cumulative Cashflow</t>
  </si>
  <si>
    <t>Carry Applies? (1=yes, 0=no)</t>
  </si>
  <si>
    <t>Carry Factor</t>
  </si>
  <si>
    <t/>
  </si>
  <si>
    <t>G&amp;A (Adjusted)</t>
  </si>
  <si>
    <t>Cash Consideration + Rolled Equity</t>
  </si>
  <si>
    <t>Total Cosnideration</t>
  </si>
  <si>
    <t>PPA</t>
  </si>
  <si>
    <t>Tax Rate</t>
  </si>
  <si>
    <t>Note: Includes Tax Distributions</t>
  </si>
  <si>
    <t>At 3x Exit</t>
  </si>
  <si>
    <t>TMI</t>
  </si>
  <si>
    <t>YoY Growth</t>
  </si>
  <si>
    <t>Seller Note</t>
  </si>
  <si>
    <t>Interest Expense - Seller Note</t>
  </si>
  <si>
    <t>EBITDA (Adjusted)</t>
  </si>
  <si>
    <t>Liabilities Assumed (includes Seller Note)</t>
  </si>
  <si>
    <t>Income Tax Expense</t>
  </si>
  <si>
    <t>Selling</t>
  </si>
  <si>
    <t>Other Receivables</t>
  </si>
  <si>
    <t>Income Tax Payable</t>
  </si>
  <si>
    <t>Deferred Tax Liability</t>
  </si>
  <si>
    <t>Common Stock + APIC</t>
  </si>
  <si>
    <t>na</t>
  </si>
  <si>
    <t>YoY Growth (%) - Management</t>
  </si>
  <si>
    <t>% Revenue - Management</t>
  </si>
  <si>
    <t>% Revenue - Down</t>
  </si>
  <si>
    <t>% YoY Growth - Management</t>
  </si>
  <si>
    <t>% YoY Growth - Base</t>
  </si>
  <si>
    <t>% YoY Growth - Down</t>
  </si>
  <si>
    <t>Q3'15</t>
  </si>
  <si>
    <t>LTM15</t>
  </si>
  <si>
    <t>Less: Net Debt at 6/30/15</t>
  </si>
  <si>
    <t>Lender Equity</t>
  </si>
  <si>
    <t>Dan Greene</t>
  </si>
  <si>
    <t>Dan Greene Rolled Equity</t>
  </si>
  <si>
    <t>Assumed Management Fee - % of Revenue</t>
  </si>
  <si>
    <t>Lender</t>
  </si>
  <si>
    <r>
      <t>MACRS Schedules (</t>
    </r>
    <r>
      <rPr>
        <b/>
        <i/>
        <sz val="10"/>
        <color theme="1"/>
        <rFont val="Cambria"/>
        <family val="1"/>
      </rPr>
      <t>Half-year Convention</t>
    </r>
    <r>
      <rPr>
        <b/>
        <sz val="10"/>
        <color theme="1"/>
        <rFont val="Cambria"/>
        <family val="1"/>
      </rPr>
      <t>)</t>
    </r>
  </si>
  <si>
    <t>Draws</t>
  </si>
  <si>
    <t>Colorado Timberline</t>
  </si>
  <si>
    <t>Management</t>
  </si>
  <si>
    <t>Base</t>
  </si>
  <si>
    <t>Flat</t>
  </si>
  <si>
    <t>Case</t>
  </si>
  <si>
    <t>Total Consideration, Debt-free, Cash-Free</t>
  </si>
  <si>
    <t>Less: Debt</t>
  </si>
  <si>
    <t>Less: Closing Fees</t>
  </si>
  <si>
    <t>Net Equity to Seller</t>
  </si>
  <si>
    <t>Income Tax (28% Rate)</t>
  </si>
  <si>
    <t>Ex-Wife Note Repayment</t>
  </si>
  <si>
    <t>Rolled Equity Investment</t>
  </si>
  <si>
    <t>Net AT Consideration to Seller</t>
  </si>
  <si>
    <t>Total After Tax Consideration to Seller</t>
  </si>
  <si>
    <t>Dan Greene Cash Consideration</t>
  </si>
  <si>
    <t>Net Debt at 6/30/15</t>
  </si>
  <si>
    <t>Management &amp; Closing Fees</t>
  </si>
  <si>
    <t>Closing + Ashland Fees</t>
  </si>
  <si>
    <t>Toggle from 'Data Tables' tab</t>
  </si>
  <si>
    <t>Seller Transaction Expenses</t>
  </si>
  <si>
    <t>Buyer Transaction Expenses</t>
  </si>
  <si>
    <t>Dan Greene ATCF Summary</t>
  </si>
  <si>
    <t>in $000's</t>
  </si>
  <si>
    <t>Senior Term A</t>
  </si>
  <si>
    <t>Mezzanine Debt</t>
  </si>
  <si>
    <t>Mezz Interest Rate</t>
  </si>
  <si>
    <t>Interest Expense - RLOC</t>
  </si>
  <si>
    <t>Interest Expense - Mezzanine</t>
  </si>
  <si>
    <t>RLOC Interest Rate</t>
  </si>
  <si>
    <t>New Term A</t>
  </si>
  <si>
    <t>New Mezzanine</t>
  </si>
  <si>
    <t>New Seller Note</t>
  </si>
  <si>
    <t>Cash Available for Mezz Paydown</t>
  </si>
  <si>
    <t>Term A</t>
  </si>
  <si>
    <t xml:space="preserve">Mezzanine </t>
  </si>
  <si>
    <t>RLOC Drawn at Closing</t>
  </si>
  <si>
    <t>% Pre Carry</t>
  </si>
  <si>
    <t>Financial Model_v12 - Term + Mezzanine</t>
  </si>
  <si>
    <t>Key Bank - Leverage Cap</t>
  </si>
  <si>
    <t>Senior Leverage at Closing</t>
  </si>
  <si>
    <t>Mezzanine Leverage at Closing</t>
  </si>
  <si>
    <t>Returns Analysis</t>
  </si>
  <si>
    <t>v</t>
  </si>
  <si>
    <t>Implied Enterprise Value</t>
  </si>
  <si>
    <t>Plus: Cash &amp; Equivalents</t>
  </si>
  <si>
    <t>Implied Equity Value</t>
  </si>
  <si>
    <t>Rollover Equity</t>
  </si>
  <si>
    <t>Investor Economics - To Ashland (GP)</t>
  </si>
  <si>
    <t>w/o Management Fee &amp; Carry</t>
  </si>
  <si>
    <t>IRR to GP</t>
  </si>
  <si>
    <t>Return on Money</t>
  </si>
  <si>
    <t>Investor Economics - To Ashland (LP)</t>
  </si>
  <si>
    <t>with Carry</t>
  </si>
  <si>
    <t>IRR to LP</t>
  </si>
  <si>
    <t>Carry</t>
  </si>
  <si>
    <t>Ashland Fee Schedule</t>
  </si>
  <si>
    <t>Monitoring Fee</t>
  </si>
  <si>
    <t>Board Fee ($2,000 per seat)</t>
  </si>
  <si>
    <t>Total Fees</t>
  </si>
  <si>
    <t>Cash Equity</t>
  </si>
  <si>
    <t>Other Distributions</t>
  </si>
  <si>
    <t>Total GP Cashflow</t>
  </si>
  <si>
    <t>GP Cashflow before tax distributions</t>
  </si>
  <si>
    <t>Required Return</t>
  </si>
  <si>
    <t>Cumulative LP Cashflow</t>
  </si>
  <si>
    <t>Carry Value</t>
  </si>
  <si>
    <t>Total LP Cashflow</t>
  </si>
  <si>
    <t>LP Cashflow before tax distributions</t>
  </si>
  <si>
    <t>Return analysis - includes tax distributions</t>
  </si>
  <si>
    <t>Ashland GP IRR Calculation</t>
  </si>
  <si>
    <t>Cash Flow Matrix</t>
  </si>
  <si>
    <t>Implied IRR</t>
  </si>
  <si>
    <t>MOIC</t>
  </si>
  <si>
    <t>Ashland Investor IRR Calculation</t>
  </si>
  <si>
    <t>Entrance Fee</t>
  </si>
  <si>
    <t>Fees</t>
  </si>
  <si>
    <t>Return analysis - no tax distributions</t>
  </si>
  <si>
    <t>Equity Value Appreciation</t>
  </si>
  <si>
    <t>GP Chart Data</t>
  </si>
  <si>
    <t>LP Chart Data</t>
  </si>
  <si>
    <t>$ in thousands</t>
  </si>
  <si>
    <t>FY Ending</t>
  </si>
  <si>
    <t xml:space="preserve">Equity Value </t>
  </si>
  <si>
    <t>Equity Value (1)</t>
  </si>
  <si>
    <t>Net Debt</t>
  </si>
  <si>
    <t>Enterprise Value</t>
  </si>
  <si>
    <t>Equity Value Appreciation to Ashland GP's</t>
  </si>
  <si>
    <t>Equity Value Appreciation to Ashland LP's</t>
  </si>
  <si>
    <t>x Exit Multiple</t>
  </si>
  <si>
    <t>Less: Total Debt</t>
  </si>
  <si>
    <t>Plus: Cash</t>
  </si>
  <si>
    <t>Ashland LP Returns</t>
  </si>
  <si>
    <t>Ashland GP Returns</t>
  </si>
  <si>
    <t>Equity Value at Exit</t>
  </si>
  <si>
    <t>LP Equity Value at Exit</t>
  </si>
  <si>
    <t>Internal Rate of Return (IRR)</t>
  </si>
  <si>
    <t>Cash-on-Cash Return</t>
  </si>
  <si>
    <t>Sources &amp; Uses</t>
  </si>
  <si>
    <t>Multiple of</t>
  </si>
  <si>
    <t>Dollar Amount</t>
  </si>
  <si>
    <t>Initial Balance</t>
  </si>
  <si>
    <t>Spread</t>
  </si>
  <si>
    <t>Maturity</t>
  </si>
  <si>
    <t>Purchase Price</t>
  </si>
  <si>
    <t>Transaction Fees</t>
  </si>
  <si>
    <t>Total Uses</t>
  </si>
  <si>
    <t>Total Sources</t>
  </si>
  <si>
    <t>check</t>
  </si>
  <si>
    <t>DCF</t>
  </si>
  <si>
    <t>Discounted Cash Flow Analysis</t>
  </si>
  <si>
    <t>Projected Fiscal Year Ending</t>
  </si>
  <si>
    <t>Revenue Growth %</t>
  </si>
  <si>
    <t>Adjusted EBITDA Margin %</t>
  </si>
  <si>
    <t>Incremental Depreciation</t>
  </si>
  <si>
    <t>Amortization</t>
  </si>
  <si>
    <t>Incremental Amortization</t>
  </si>
  <si>
    <t>Goodwill Amortization</t>
  </si>
  <si>
    <t>EBIT</t>
  </si>
  <si>
    <t>Unlevered Net Income</t>
  </si>
  <si>
    <t>Plus: Depreciation</t>
  </si>
  <si>
    <t>Plus: Incremental Depreciation</t>
  </si>
  <si>
    <t>Plus: Amortization</t>
  </si>
  <si>
    <t>Plus: Incremental Amortization</t>
  </si>
  <si>
    <t>Plus: Goodwill Amortization</t>
  </si>
  <si>
    <t>Less: Increase in Net Working Capital</t>
  </si>
  <si>
    <t>Less: PPE Capital Expenditures</t>
  </si>
  <si>
    <t>Unlevered Free Cash Flow</t>
  </si>
  <si>
    <t>Terminal Multiple Method</t>
  </si>
  <si>
    <t>Estimated WACC</t>
  </si>
  <si>
    <t>Period</t>
  </si>
  <si>
    <t>Discount Factor</t>
  </si>
  <si>
    <t>Discounted Unlevered Free Cash Flow</t>
  </si>
  <si>
    <t>Terminal Multiple</t>
  </si>
  <si>
    <t>Implied Perpetuity Growth</t>
  </si>
  <si>
    <t>WACC</t>
  </si>
  <si>
    <t>Terminal Unlevered FCF</t>
  </si>
  <si>
    <t>Summary Charts</t>
  </si>
  <si>
    <t>Chart Data</t>
  </si>
  <si>
    <t>$ in Millions</t>
  </si>
  <si>
    <t>Historical Fiscal Year Ending</t>
  </si>
  <si>
    <t>Estimated</t>
  </si>
  <si>
    <t>Gross Profit</t>
  </si>
  <si>
    <t>Adjusted EBITDA Margin</t>
  </si>
  <si>
    <t>Income Statement Summary</t>
  </si>
  <si>
    <t>Income Statement Output</t>
  </si>
  <si>
    <t>CAGRs</t>
  </si>
  <si>
    <t>Growth Rate %</t>
  </si>
  <si>
    <t>n/a</t>
  </si>
  <si>
    <t>Gross Margin %</t>
  </si>
  <si>
    <t>SG&amp;A</t>
  </si>
  <si>
    <t>EBITDA Margin %</t>
  </si>
  <si>
    <t>Net Working Capital Summary</t>
  </si>
  <si>
    <t>Historical &amp; Projected NWC Summary</t>
  </si>
  <si>
    <t>Prepaid Expenses &amp; Other</t>
  </si>
  <si>
    <t>Total Current Assets</t>
  </si>
  <si>
    <t>Accrued and Other Current Liabilities</t>
  </si>
  <si>
    <t>Net Working Capital</t>
  </si>
  <si>
    <t>Increase in NWC</t>
  </si>
  <si>
    <t>Working Capital Statistics</t>
  </si>
  <si>
    <t>NWC % of Revenue</t>
  </si>
  <si>
    <t>Accounts Receivable Days</t>
  </si>
  <si>
    <t xml:space="preserve">Prepaid Expenses &amp; Other % of COGS </t>
  </si>
  <si>
    <t>Accounts Payable Days</t>
  </si>
  <si>
    <t>Accrued Expenses &amp; Other % of COGS</t>
  </si>
  <si>
    <t>Mezzanine Sweep Toggle (1=on, 0=off)</t>
  </si>
  <si>
    <t>Implied Total Equity Value At Exit</t>
  </si>
  <si>
    <t>Total Distributions</t>
  </si>
  <si>
    <t>Cookie Specialties, Inc.</t>
  </si>
  <si>
    <t>Operating &amp; Valuation Model</t>
  </si>
  <si>
    <t>June 16, 2014</t>
  </si>
  <si>
    <t>PRIVATE &amp; CONFIDENTIAL</t>
  </si>
  <si>
    <t>x</t>
  </si>
  <si>
    <t>Revenue and EBITDA Charting</t>
  </si>
  <si>
    <t>Historical Fiscal Year Ended</t>
  </si>
  <si>
    <t>Projected Fiscal Year Ended</t>
  </si>
  <si>
    <t>2013A</t>
  </si>
  <si>
    <t>2014A</t>
  </si>
  <si>
    <t>2015P</t>
  </si>
  <si>
    <t>2016P</t>
  </si>
  <si>
    <t>2017P</t>
  </si>
  <si>
    <t>2018P</t>
  </si>
  <si>
    <t>2019P</t>
  </si>
  <si>
    <t>2020P</t>
  </si>
  <si>
    <t>PASTE IN</t>
  </si>
  <si>
    <t>`</t>
  </si>
  <si>
    <t>Total Cashflow to LP's</t>
  </si>
  <si>
    <t>Convertible Note</t>
  </si>
  <si>
    <t>Monthly EBITDA Adjustment Schedule</t>
  </si>
  <si>
    <t>TTM</t>
  </si>
  <si>
    <t>($ in 000's)</t>
  </si>
  <si>
    <t>Net Income (Loss)</t>
  </si>
  <si>
    <t>Depreciation &amp; Amortization</t>
  </si>
  <si>
    <t>EBITDA, as reported</t>
  </si>
  <si>
    <t>Management Adjustments</t>
  </si>
  <si>
    <t>Owner's Personal Expenses</t>
  </si>
  <si>
    <t>Non-essential Employee Salary</t>
  </si>
  <si>
    <t>Professional Fees</t>
  </si>
  <si>
    <t>Relocation Expenses - Consulting</t>
  </si>
  <si>
    <t>Relocation Expense - Rent</t>
  </si>
  <si>
    <t>Write-off of Discontinued Items</t>
  </si>
  <si>
    <t>Uncollected Freight Expense</t>
  </si>
  <si>
    <t>Loss Margin - Fire Destroyed Inventory</t>
  </si>
  <si>
    <t>Parts - Installation of New Machines</t>
  </si>
  <si>
    <t>Premium Freight Expense - China</t>
  </si>
  <si>
    <t>Consulting Fees</t>
  </si>
  <si>
    <t>Excess Sampling for New Products</t>
  </si>
  <si>
    <t>Research and Development Projects</t>
  </si>
  <si>
    <t>NQ</t>
  </si>
  <si>
    <t xml:space="preserve">Total Management Adjustments </t>
  </si>
  <si>
    <t>Due Diligence Adjustments</t>
  </si>
  <si>
    <t xml:space="preserve">Owner's Life Insurance </t>
  </si>
  <si>
    <t>Relocation Expense - Storage &amp; Freight</t>
  </si>
  <si>
    <t>Premium Freight Expense - From Fire</t>
  </si>
  <si>
    <t>Total Due Diligence Adjustments</t>
  </si>
  <si>
    <t>Balance Sheet</t>
  </si>
  <si>
    <t>Balance Sheet Slide</t>
  </si>
  <si>
    <t xml:space="preserve">Cash </t>
  </si>
  <si>
    <t>Accounts Receivable, net</t>
  </si>
  <si>
    <t>Inventory, net</t>
  </si>
  <si>
    <t>Prepaids and Other Current Assets</t>
  </si>
  <si>
    <t>Non-Current and Other Assets</t>
  </si>
  <si>
    <t>Property and Equipment, net</t>
  </si>
  <si>
    <t>Intangible Assets</t>
  </si>
  <si>
    <t>Other Non-Current Assets</t>
  </si>
  <si>
    <t>Current Portion of Long-Term Debt</t>
  </si>
  <si>
    <t>Accrued Expenses</t>
  </si>
  <si>
    <t>Long Term Liabilities</t>
  </si>
  <si>
    <t>Long Term Debt</t>
  </si>
  <si>
    <t>Other Long-Term Liabilities</t>
  </si>
  <si>
    <t>Total Liabilities and Equity</t>
  </si>
  <si>
    <t>ck - s/b 0</t>
  </si>
  <si>
    <t>Income Statement</t>
  </si>
  <si>
    <t>CY</t>
  </si>
  <si>
    <t>Income Statement Slide</t>
  </si>
  <si>
    <t>Cost of Goods Sold</t>
  </si>
  <si>
    <t>Wages and Salaries</t>
  </si>
  <si>
    <t>Other Operating Expenses</t>
  </si>
  <si>
    <t>Total Operating Expenses</t>
  </si>
  <si>
    <t>As a % of Sales</t>
  </si>
  <si>
    <t>Other Expense</t>
  </si>
  <si>
    <t>Total Other Expense</t>
  </si>
  <si>
    <t>Depreciation and Amortization</t>
  </si>
  <si>
    <t>Reported. EBITDA Margin</t>
  </si>
  <si>
    <t>Background Slide</t>
  </si>
  <si>
    <t>Long-Term Liabilites</t>
  </si>
  <si>
    <t>Total Liabilites and Equity</t>
  </si>
  <si>
    <t>Summary Income Statement</t>
  </si>
  <si>
    <t>SG&amp;A Expenses</t>
  </si>
  <si>
    <t>EBITDA Margin</t>
  </si>
  <si>
    <t>EBITDA, as adjusted by CLA</t>
  </si>
  <si>
    <t>Normalized EBITDA Margin</t>
  </si>
  <si>
    <t>Quality of Earnings</t>
  </si>
  <si>
    <t>Quality of Earnings Slide</t>
  </si>
  <si>
    <t>Per reviewed F/S</t>
  </si>
  <si>
    <t>Change</t>
  </si>
  <si>
    <t>As % of Revenue</t>
  </si>
  <si>
    <t>Difference</t>
  </si>
  <si>
    <t>1. Owner's Personal Expenses</t>
  </si>
  <si>
    <t>0550.14</t>
  </si>
  <si>
    <t>2. Non-essential Employee Salary</t>
  </si>
  <si>
    <t>0550.01</t>
  </si>
  <si>
    <t>3. Professional Fees</t>
  </si>
  <si>
    <t>0550.01a, 0550.01b, 0550.14a</t>
  </si>
  <si>
    <t>4. Relocation Expenses - Consulting</t>
  </si>
  <si>
    <t>0550.02, 0550.02a</t>
  </si>
  <si>
    <t>5. Relocation Expenses - Rent</t>
  </si>
  <si>
    <t>0550.13, 0550.13a</t>
  </si>
  <si>
    <t>6. Write-off of Discontinued Items</t>
  </si>
  <si>
    <t>0550.04</t>
  </si>
  <si>
    <t>7. Uncollected Freight Expense</t>
  </si>
  <si>
    <t>0550.07</t>
  </si>
  <si>
    <t>8. Loss Margin - Fire Destroyed Inventory</t>
  </si>
  <si>
    <t>0550.15</t>
  </si>
  <si>
    <t>9. Parts - Installation of New Machines</t>
  </si>
  <si>
    <t>0550.05</t>
  </si>
  <si>
    <t>10. Premium Freight Expense - China</t>
  </si>
  <si>
    <t>0550.16</t>
  </si>
  <si>
    <t>11. Consulting Fees</t>
  </si>
  <si>
    <t>0550.06</t>
  </si>
  <si>
    <t>12. Excess Sample Costs for New Products</t>
  </si>
  <si>
    <t>0550.08</t>
  </si>
  <si>
    <t>13. R&amp;D - Excess Ink &amp; Paper Usage</t>
  </si>
  <si>
    <t>0550.09 - 0550.11a</t>
  </si>
  <si>
    <t>14. Relocation Expense - Excess Over-time</t>
  </si>
  <si>
    <t>Total Management Adjustments</t>
  </si>
  <si>
    <t>EBITDA, as adjusted by Management</t>
  </si>
  <si>
    <t>1. Owner's Life Insurance Premiums</t>
  </si>
  <si>
    <t>0550.11</t>
  </si>
  <si>
    <t>2. Relocation Expenses - Rent</t>
  </si>
  <si>
    <t>3. Relocation Expenses - Storage &amp; Freight</t>
  </si>
  <si>
    <t>0550.17c</t>
  </si>
  <si>
    <t>4. Loss Margin - Fire Destroyed Inventory</t>
  </si>
  <si>
    <t>5. Premium Freight Expense - From Fire</t>
  </si>
  <si>
    <t>0550.15a</t>
  </si>
  <si>
    <t>only considered the air freight as the container freight is standard shipping</t>
  </si>
  <si>
    <t>6. Premium Freight Expense - China</t>
  </si>
  <si>
    <t>7. Excess Sample Costs of New Products</t>
  </si>
  <si>
    <t>8. R&amp;D - Excess Ink &amp; Paper Usage</t>
  </si>
  <si>
    <t>9. Relocation Expense - Excess Over-time</t>
  </si>
  <si>
    <t>Normalized EBITDA</t>
  </si>
  <si>
    <t>Accounts Receivable Slide</t>
  </si>
  <si>
    <t>US$ (000's)</t>
  </si>
  <si>
    <t>Accounts receivable, net</t>
  </si>
  <si>
    <t>A/R as a % of Net Sales</t>
  </si>
  <si>
    <t>Net Sales</t>
  </si>
  <si>
    <t>Yearly Turnover</t>
  </si>
  <si>
    <t>Days Sales Outstanding</t>
  </si>
  <si>
    <t>Summary of Accounts Receivable Aging (Based on Due Date)</t>
  </si>
  <si>
    <t>Current</t>
  </si>
  <si>
    <t>0-30</t>
  </si>
  <si>
    <t>31-60</t>
  </si>
  <si>
    <t>61-90</t>
  </si>
  <si>
    <t>Over 90</t>
  </si>
  <si>
    <t>Less: Allowance for Doubtful Accounts</t>
  </si>
  <si>
    <t>Total Accounts Receivable, net</t>
  </si>
  <si>
    <t>ck</t>
  </si>
  <si>
    <t>As a % of Total Accounts Receivable</t>
  </si>
  <si>
    <t>Allowance for Doubtful Accounts</t>
  </si>
  <si>
    <t>Accounts receivable</t>
  </si>
  <si>
    <t>Allowance as a % of A/R</t>
  </si>
  <si>
    <t>Bad Debt Expense</t>
  </si>
  <si>
    <t>Bad Debt Expensa as a % of A/R</t>
  </si>
  <si>
    <t>Inventory Analysis</t>
  </si>
  <si>
    <t>Inventory Slide</t>
  </si>
  <si>
    <t>Finished Goods</t>
  </si>
  <si>
    <t>Supplies Inventory</t>
  </si>
  <si>
    <t>Inventory Reserve</t>
  </si>
  <si>
    <t>Total Inventory, net</t>
  </si>
  <si>
    <t>Change in Inventory</t>
  </si>
  <si>
    <t>Inventory Turnover</t>
  </si>
  <si>
    <t>Days Costs in Inventory</t>
  </si>
  <si>
    <t>Accrued Liabilities Slide</t>
  </si>
  <si>
    <t>Wages and Payroll Taxes</t>
  </si>
  <si>
    <t>Vacation &amp; PTO</t>
  </si>
  <si>
    <t>401(K)</t>
  </si>
  <si>
    <t>Sales and Use Tax</t>
  </si>
  <si>
    <t>Interest</t>
  </si>
  <si>
    <t>Property Tax</t>
  </si>
  <si>
    <t>Purchase Clearing Account</t>
  </si>
  <si>
    <t>Other</t>
  </si>
  <si>
    <t>Accounts Payable Slide</t>
  </si>
  <si>
    <t>Summary of Accounts Payable Aging (Based on Due Date)</t>
  </si>
  <si>
    <t>As a % of Total Accounts Payable</t>
  </si>
  <si>
    <t>Quality of Assets</t>
  </si>
  <si>
    <t xml:space="preserve">Excluded </t>
  </si>
  <si>
    <t>Quality of Assets Slide</t>
  </si>
  <si>
    <t>Items</t>
  </si>
  <si>
    <t>Final</t>
  </si>
  <si>
    <t>Employee Advances and Owner Receivable</t>
  </si>
  <si>
    <t>Old facility - security deposit s/b written off - not going to be collected</t>
  </si>
  <si>
    <t>Accrued Interest and Income Tax Payable</t>
  </si>
  <si>
    <t>Deferred income tax liability</t>
  </si>
  <si>
    <t>Average Working Capital</t>
  </si>
  <si>
    <t>Working Capital Slide</t>
  </si>
  <si>
    <t>Other Recievables</t>
  </si>
  <si>
    <t>Net Working Capital, as reported</t>
  </si>
  <si>
    <t>Accrured Interest</t>
  </si>
  <si>
    <t>Accrued Income Taxes</t>
  </si>
  <si>
    <t>Employee Advances</t>
  </si>
  <si>
    <t>Owner Note Receivable</t>
  </si>
  <si>
    <t>Net Working Capital, as adjusted</t>
  </si>
  <si>
    <t>Cost of Sales</t>
  </si>
  <si>
    <t>Materials</t>
  </si>
  <si>
    <t>Direct Labor</t>
  </si>
  <si>
    <t>Overhead</t>
  </si>
  <si>
    <t>As a % of Total Revenue</t>
  </si>
  <si>
    <t>Labor</t>
  </si>
  <si>
    <t>Value Added Revenue</t>
  </si>
  <si>
    <t>Average Production Employees</t>
  </si>
  <si>
    <t>Value Added Revenue per Employee</t>
  </si>
  <si>
    <t>Net Sales per Employee</t>
  </si>
  <si>
    <t>Value Added per $ of Equipment</t>
  </si>
  <si>
    <t>Salaries and Benefits</t>
  </si>
  <si>
    <t>Rent</t>
  </si>
  <si>
    <t>Legal and Professional</t>
  </si>
  <si>
    <t>Credit Card Discounts</t>
  </si>
  <si>
    <t>Supplies</t>
  </si>
  <si>
    <t>Utilities</t>
  </si>
  <si>
    <t>Travel and Entertainment</t>
  </si>
  <si>
    <t>Sales Samples &amp; Displays / Sales Literature</t>
  </si>
  <si>
    <t>Conventions</t>
  </si>
  <si>
    <t>Insurance</t>
  </si>
  <si>
    <t>Repair and Maintenance</t>
  </si>
  <si>
    <t>Bad Debts</t>
  </si>
  <si>
    <t>As a % of Total Operating Expenses</t>
  </si>
  <si>
    <t>FY</t>
  </si>
  <si>
    <t>Jan</t>
  </si>
  <si>
    <t>Feb</t>
  </si>
  <si>
    <t>Mar</t>
  </si>
  <si>
    <t>Apr</t>
  </si>
  <si>
    <t>May</t>
  </si>
  <si>
    <t>Jun</t>
  </si>
  <si>
    <t>Jul</t>
  </si>
  <si>
    <t>Aug</t>
  </si>
  <si>
    <t>Sep</t>
  </si>
  <si>
    <t>Oct</t>
  </si>
  <si>
    <t>Nov</t>
  </si>
  <si>
    <t>Dec</t>
  </si>
  <si>
    <t>Direct Labor &amp; Benefits</t>
  </si>
  <si>
    <t>Ink, Paper and Packaging - Supplies</t>
  </si>
  <si>
    <t>Utilities/Telephone/Trash</t>
  </si>
  <si>
    <t>Equipment Maintenance &amp; Repair</t>
  </si>
  <si>
    <t>Travel &amp; Entertainment</t>
  </si>
  <si>
    <t>Other - Taxes/Licenses, Misc</t>
  </si>
  <si>
    <t>Material</t>
  </si>
  <si>
    <t>Advertising</t>
  </si>
  <si>
    <t>Repair &amp; Maintenance</t>
  </si>
  <si>
    <t>Miscellaneous Expenses</t>
  </si>
  <si>
    <t>Other Income (Expense)</t>
  </si>
  <si>
    <t>Interest Income (Expense)</t>
  </si>
  <si>
    <t>Total Other Income (Expense)</t>
  </si>
  <si>
    <t>Taxes</t>
  </si>
  <si>
    <t>EBITDA, As Reported</t>
  </si>
  <si>
    <t>Officer Life Insurance</t>
  </si>
  <si>
    <t>Adjustment #4</t>
  </si>
  <si>
    <t>Adjustment #5</t>
  </si>
  <si>
    <t>Adjustment #6</t>
  </si>
  <si>
    <t>Adjustment #7</t>
  </si>
  <si>
    <t>EBITDA, Adjusted</t>
  </si>
  <si>
    <t>Audit Fee</t>
  </si>
  <si>
    <t>Controller</t>
  </si>
  <si>
    <t>EBITDA, Normalized</t>
  </si>
  <si>
    <t>Inventory: FG</t>
  </si>
  <si>
    <t>Inventory: FG - Close Outs</t>
  </si>
  <si>
    <t>Inventory: Reserve Close Out</t>
  </si>
  <si>
    <t>Reserve - 2011 Tax Review</t>
  </si>
  <si>
    <t>Property and Equipment</t>
  </si>
  <si>
    <t>Total Long Term Assets</t>
  </si>
  <si>
    <t>Revolving Line of Credit</t>
  </si>
  <si>
    <t>Accrued Expenses Payable</t>
  </si>
  <si>
    <t>Payroll Taxes Payable</t>
  </si>
  <si>
    <t>Sales Tax &amp; Purchase Tax Clearing</t>
  </si>
  <si>
    <t>Group Health Payable</t>
  </si>
  <si>
    <t>Deferred Revenue</t>
  </si>
  <si>
    <t>Other Current Liabilities</t>
  </si>
  <si>
    <t>Total Long Term Liabilities</t>
  </si>
  <si>
    <t>ck-s/b 0</t>
  </si>
  <si>
    <t>MF</t>
  </si>
  <si>
    <t>Excess Ink &amp; Paper Usage</t>
  </si>
  <si>
    <t>Technicians M&amp;E/Travel</t>
  </si>
  <si>
    <t>Over-time Costs</t>
  </si>
  <si>
    <t>Total R&amp;D Adjustment</t>
  </si>
  <si>
    <t>Management Calculation</t>
  </si>
  <si>
    <t>Total Management R&amp;D Adjustment</t>
  </si>
  <si>
    <t>EBITDA Adjustment - Due Diligence</t>
  </si>
  <si>
    <t>AverageExcess Ink &amp; Paper</t>
  </si>
  <si>
    <t>Over-time Analysis</t>
  </si>
  <si>
    <t>Monthly Wages: Decorating (Acct. #6000-40-00-00)</t>
  </si>
  <si>
    <t>Monthly Labor Costs - based on standards</t>
  </si>
  <si>
    <t>Over-time R&amp;D Adjustment</t>
  </si>
  <si>
    <t>Standard Labor Costs as % of Revenue</t>
  </si>
  <si>
    <t>Seller Preferred</t>
  </si>
  <si>
    <t>Total Leverage Cap</t>
  </si>
  <si>
    <t>Line Item</t>
  </si>
  <si>
    <t>Opex</t>
  </si>
  <si>
    <t>Caretek Inc  dba Colorado Timberline</t>
  </si>
  <si>
    <t>2015 YTD Income Statement From  January to  September  by Category with accounts reclassification</t>
  </si>
  <si>
    <t>With Reclassification</t>
  </si>
  <si>
    <t>Decorated Products</t>
  </si>
  <si>
    <t>2015 YTD</t>
  </si>
  <si>
    <t>Wholesale</t>
  </si>
  <si>
    <t>Decorated</t>
  </si>
  <si>
    <t>Adjustments*</t>
  </si>
  <si>
    <t>Decorated (with adjustments)</t>
  </si>
  <si>
    <t xml:space="preserve"> 2015 Whsle + Decorated  (w adjustments)</t>
  </si>
  <si>
    <t>Shipping revenue</t>
  </si>
  <si>
    <t>Landed Material Cost</t>
  </si>
  <si>
    <t>Wages &amp; Related Direct Cost</t>
  </si>
  <si>
    <t>Ink, paper, package</t>
  </si>
  <si>
    <t xml:space="preserve">Total Direct Cost  </t>
  </si>
  <si>
    <t>WAGES</t>
  </si>
  <si>
    <t>ACCRUED WAGES</t>
  </si>
  <si>
    <t>PAYROLL TAX EXPENSE</t>
  </si>
  <si>
    <t>GROUP INSURANCE</t>
  </si>
  <si>
    <t>MISC EMPLOYMENT EXP</t>
  </si>
  <si>
    <t>CONTRACT LABOR</t>
  </si>
  <si>
    <t>Total Selling Wages &amp; Related</t>
  </si>
  <si>
    <t>DISTRIBUTION EXPENSES</t>
  </si>
  <si>
    <t>Reclassification of outbound freight to Operating Expense from COGS</t>
  </si>
  <si>
    <t>TELEPHONE</t>
  </si>
  <si>
    <t>DEPRECIATION</t>
  </si>
  <si>
    <t>SUPPLIES</t>
  </si>
  <si>
    <t>LEGAL</t>
  </si>
  <si>
    <t>OTHER CONSULTING SERVICES</t>
  </si>
  <si>
    <t>Consulting expenses for attending Shows Jeffrey $11,000.   and Nacr ( New report for CSR) $2,363.22 , builing data room Headwater $28,000.</t>
  </si>
  <si>
    <t>MISC EXPENSE</t>
  </si>
  <si>
    <t>TRAVEL - TRANSPORTATION</t>
  </si>
  <si>
    <t>TRAVEL - LODGING</t>
  </si>
  <si>
    <t>TRAVEL - MEALS</t>
  </si>
  <si>
    <t>TRAVEL - ENTERTAINMENT</t>
  </si>
  <si>
    <t>CONVENTIONS</t>
  </si>
  <si>
    <t>COMMISIONS</t>
  </si>
  <si>
    <t>SALES LITERATURE</t>
  </si>
  <si>
    <t>SALES SAMPLES &amp; DISPLAYS</t>
  </si>
  <si>
    <t>Samples Cost- Cost of samples sent to customers to introduce new items.</t>
  </si>
  <si>
    <t>REBATE &amp; REFUND  AR ACCOUNTS</t>
  </si>
  <si>
    <t>BAD DEBT EXPENSE</t>
  </si>
  <si>
    <t>MEMBERSHIP DUES</t>
  </si>
  <si>
    <t xml:space="preserve">MEXICO CALL CENTER </t>
  </si>
  <si>
    <t>Total Selling Expenses</t>
  </si>
  <si>
    <t>Operations Expenses</t>
  </si>
  <si>
    <t>RENT</t>
  </si>
  <si>
    <t>Double Rent and extra charges  from Pac operation</t>
  </si>
  <si>
    <t>UTILITIES</t>
  </si>
  <si>
    <t>TRASH REMOVAL</t>
  </si>
  <si>
    <t>EQUIPMENT MAINT &amp; REPAIR</t>
  </si>
  <si>
    <t>FACILITY MAINT &amp; REPAIR</t>
  </si>
  <si>
    <t>Consulting services to create new building layout and warehouse logistics</t>
  </si>
  <si>
    <t>TAXES &amp; LICENSES</t>
  </si>
  <si>
    <t>TRAVEL - MEAL</t>
  </si>
  <si>
    <t>Total Operations Expenses</t>
  </si>
  <si>
    <t>G&amp;A Expenses</t>
  </si>
  <si>
    <t>WORK COMP EXP</t>
  </si>
  <si>
    <t>PAYROLL SERVICE FEES</t>
  </si>
  <si>
    <t>CONTRAC LABOR</t>
  </si>
  <si>
    <t>Total G&amp;A Wages &amp; Related</t>
  </si>
  <si>
    <t>Christy Greene payroll</t>
  </si>
  <si>
    <t>BUSINESS INSURANCE</t>
  </si>
  <si>
    <t>POSTAGE &amp; COURIER</t>
  </si>
  <si>
    <t>AUDIT/TAX SERVICES</t>
  </si>
  <si>
    <t>Consulting expenses for MDF Case Dinsmore $5,615.  and   $8,000.00  Headwater  $1,440. Pathways ,   Services sell the company Bayberry $12,000.</t>
  </si>
  <si>
    <t>TAXES LICENSE</t>
  </si>
  <si>
    <t>BANK CHARGES</t>
  </si>
  <si>
    <t>CREDIT CARD DISCOUNTS</t>
  </si>
  <si>
    <t>DAN PERSONAL EXPENSES</t>
  </si>
  <si>
    <t>Dan's personal expenses including son's tuition ($17,921), apartment ($10,770),  Family Greene's flys  ($1,777.) and meals ($5,010.)  Dan' entertraiment ($1,930.)</t>
  </si>
  <si>
    <t>Total G&amp;A Expenses</t>
  </si>
  <si>
    <t>Total Operating Expense</t>
  </si>
  <si>
    <t>R&amp;D Expenses</t>
  </si>
  <si>
    <t>RESEARCH AND DEVELOPMENT</t>
  </si>
  <si>
    <t>One time R&amp;D costs associated with the change to new warehouse,  internal labor ($177,479. ) Paper local vendor ($427,800.)</t>
  </si>
  <si>
    <t>Operating Income</t>
  </si>
  <si>
    <t>INTEREST EXPENSE - BANK LINE</t>
  </si>
  <si>
    <t>FINANCE CHARGES - OTHER</t>
  </si>
  <si>
    <t>TAXES - OTHER</t>
  </si>
  <si>
    <t>Total Other Income/Expenses</t>
  </si>
  <si>
    <t>Pre-Tax Income</t>
  </si>
  <si>
    <t>FY15 Revenue Estimate</t>
  </si>
  <si>
    <t>Q1'15</t>
  </si>
  <si>
    <t>Q2'15</t>
  </si>
  <si>
    <t>2015E</t>
  </si>
  <si>
    <t>2020E</t>
  </si>
  <si>
    <t>Revolver</t>
  </si>
  <si>
    <t>Senior Term</t>
  </si>
  <si>
    <t>Sub. Debt</t>
  </si>
  <si>
    <t>Project Vulcan</t>
  </si>
</sst>
</file>

<file path=xl/styles.xml><?xml version="1.0" encoding="utf-8"?>
<styleSheet xmlns="http://schemas.openxmlformats.org/spreadsheetml/2006/main" xmlns:mc="http://schemas.openxmlformats.org/markup-compatibility/2006" xmlns:x14ac="http://schemas.microsoft.com/office/spreadsheetml/2009/9/ac" mc:Ignorable="x14ac">
  <numFmts count="42">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yy"/>
    <numFmt numFmtId="165" formatCode="_(* #,##0_);_(* \(#,##0\);_(* &quot;-&quot;??_);_(@_)"/>
    <numFmt numFmtId="166" formatCode="0.0%"/>
    <numFmt numFmtId="167" formatCode="_(* #,##0.0_);_(* \(#,##0.0\);_(* &quot;-&quot;_);_(@_)"/>
    <numFmt numFmtId="168" formatCode="0.0\x"/>
    <numFmt numFmtId="169" formatCode="0_);\(0\)"/>
    <numFmt numFmtId="170" formatCode="_(* #,##0.0_);_(* \(#,##0.0\);_(* &quot;-&quot;??_);_(@_)"/>
    <numFmt numFmtId="171" formatCode="_(&quot;$&quot;* #,##0_);_(&quot;$&quot;* \(#,##0\);_(&quot;$&quot;* &quot;-&quot;??_);_(@_)"/>
    <numFmt numFmtId="172" formatCode="_(* #,##0.0_);_(* \(#,##0.0\);_(* &quot;-&quot;?_);_(@_)"/>
    <numFmt numFmtId="173" formatCode="&quot;At&quot;\ 0.0\x\ &quot;Exit&quot;"/>
    <numFmt numFmtId="174" formatCode="_(&quot;$&quot;* #,##0.0_);_(&quot;$&quot;* \(#,##0.0\);_(&quot;$&quot;* &quot;-&quot;?_);_(@_)"/>
    <numFmt numFmtId="175" formatCode="_(* #,##0.00000_);_(* \(#,##0.00000\);_(* &quot;-&quot;??_);_(@_)"/>
    <numFmt numFmtId="176" formatCode="_(* #,##0.0000000_);_(* \(#,##0.0000000\);_(* &quot;-&quot;??_);_(@_)"/>
    <numFmt numFmtId="177" formatCode="_(* #,##0.000000_);_(* \(#,##0.000000\);_(* &quot;-&quot;??_);_(@_)"/>
    <numFmt numFmtId="178" formatCode="_(* #,##0.000_);_(* \(#,##0.000\);_(* &quot;-&quot;??_);_(@_)"/>
    <numFmt numFmtId="179" formatCode="0.000\x"/>
    <numFmt numFmtId="180" formatCode="0.000000"/>
    <numFmt numFmtId="181" formatCode="0.00\x"/>
    <numFmt numFmtId="182" formatCode="yyyy&quot;PF&quot;"/>
    <numFmt numFmtId="183" formatCode="yyyy&quot;E&quot;"/>
    <numFmt numFmtId="184" formatCode="0.0\x;\(0.0\x\)"/>
    <numFmt numFmtId="185" formatCode="0.0\x_);\(0.0\x\);0.0\x_);@_)"/>
    <numFmt numFmtId="186" formatCode="0.00\x_);\(0.00\x\);0.00\x_);@_)"/>
    <numFmt numFmtId="187" formatCode="#,##0.0_);\(#,##0.0\)"/>
    <numFmt numFmtId="188" formatCode="m/d/yy;@"/>
    <numFmt numFmtId="189" formatCode="0.0%;\(0.0%\)"/>
    <numFmt numFmtId="190" formatCode="mm/dd/yy;@"/>
    <numFmt numFmtId="191" formatCode="mmm\.\ yyyy"/>
    <numFmt numFmtId="192" formatCode="0.00\x_);\(0.00\x\)"/>
    <numFmt numFmtId="193" formatCode="0.0%_);\(0.0%\)"/>
    <numFmt numFmtId="194" formatCode="0.0\x_);\(0.0\x\)"/>
    <numFmt numFmtId="195" formatCode="0.0\ &quot;Years&quot;"/>
    <numFmt numFmtId="196" formatCode="#,##0.0%_);\(#,##0.0%\);#,##0.0%_);@_%_)"/>
    <numFmt numFmtId="197" formatCode="yyyy&quot;A&quot;"/>
    <numFmt numFmtId="198" formatCode="_(&quot;$&quot;* #,##0.0_);_(&quot;$&quot;* \(#,##0.0\);_(&quot;$&quot;* &quot;-&quot;??_);_(@_)"/>
    <numFmt numFmtId="199" formatCode="[$-409]mmm\-yy;@"/>
    <numFmt numFmtId="200" formatCode="mmmm\ d\,\ yyyy"/>
  </numFmts>
  <fonts count="174"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1"/>
      <color theme="1"/>
      <name val="Calibri"/>
      <family val="2"/>
      <scheme val="minor"/>
    </font>
    <font>
      <sz val="9"/>
      <color indexed="81"/>
      <name val="Tahoma"/>
      <family val="2"/>
    </font>
    <font>
      <b/>
      <sz val="9"/>
      <color indexed="81"/>
      <name val="Tahoma"/>
      <family val="2"/>
    </font>
    <font>
      <sz val="10"/>
      <name val="Arial"/>
      <family val="2"/>
    </font>
    <font>
      <sz val="12"/>
      <color theme="1"/>
      <name val="Calibri"/>
      <family val="2"/>
      <scheme val="minor"/>
    </font>
    <font>
      <sz val="11"/>
      <color indexed="8"/>
      <name val="Calibri"/>
      <family val="2"/>
    </font>
    <font>
      <u/>
      <sz val="11"/>
      <color theme="10"/>
      <name val="Calibri"/>
      <family val="2"/>
      <scheme val="minor"/>
    </font>
    <font>
      <u/>
      <sz val="11"/>
      <color theme="11"/>
      <name val="Calibri"/>
      <family val="2"/>
      <scheme val="minor"/>
    </font>
    <font>
      <sz val="10"/>
      <color theme="1"/>
      <name val="Book Antiqua"/>
      <family val="1"/>
    </font>
    <font>
      <b/>
      <sz val="10"/>
      <color theme="1"/>
      <name val="Book Antiqua"/>
      <family val="1"/>
    </font>
    <font>
      <i/>
      <u val="singleAccounting"/>
      <sz val="10"/>
      <color theme="1"/>
      <name val="Book Antiqua"/>
      <family val="1"/>
    </font>
    <font>
      <sz val="10"/>
      <color theme="2" tint="-9.9978637043366805E-2"/>
      <name val="Book Antiqua"/>
      <family val="1"/>
    </font>
    <font>
      <sz val="10"/>
      <color theme="0"/>
      <name val="Book Antiqua"/>
      <family val="1"/>
    </font>
    <font>
      <sz val="11"/>
      <color theme="1"/>
      <name val="Bookman Old Style"/>
      <family val="1"/>
    </font>
    <font>
      <i/>
      <sz val="11"/>
      <color theme="1"/>
      <name val="Bookman Old Style"/>
      <family val="1"/>
    </font>
    <font>
      <b/>
      <sz val="11"/>
      <color rgb="FF0070C0"/>
      <name val="Bookman Old Style"/>
      <family val="1"/>
    </font>
    <font>
      <b/>
      <sz val="11"/>
      <color theme="1"/>
      <name val="Bookman Old Style"/>
      <family val="1"/>
    </font>
    <font>
      <b/>
      <sz val="10"/>
      <color rgb="FFFF0000"/>
      <name val="Book Antiqua"/>
      <family val="1"/>
    </font>
    <font>
      <b/>
      <i/>
      <sz val="10"/>
      <color rgb="FFFF0000"/>
      <name val="Book Antiqua"/>
      <family val="1"/>
    </font>
    <font>
      <sz val="10"/>
      <color rgb="FFFF0000"/>
      <name val="Book Antiqua"/>
      <family val="1"/>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b/>
      <sz val="10"/>
      <name val="Times New Roman"/>
      <family val="1"/>
    </font>
    <font>
      <sz val="10"/>
      <name val="Times New Roman"/>
      <family val="1"/>
    </font>
    <font>
      <b/>
      <u val="singleAccounting"/>
      <sz val="10"/>
      <name val="Times New Roman"/>
      <family val="1"/>
    </font>
    <font>
      <u val="singleAccounting"/>
      <sz val="10"/>
      <name val="Times New Roman"/>
      <family val="1"/>
    </font>
    <font>
      <i/>
      <sz val="10"/>
      <name val="Times New Roman"/>
      <family val="1"/>
    </font>
    <font>
      <b/>
      <u val="doubleAccounting"/>
      <sz val="10"/>
      <name val="Times New Roman"/>
      <family val="1"/>
    </font>
    <font>
      <u val="doubleAccounting"/>
      <sz val="10"/>
      <name val="Times New Roman"/>
      <family val="1"/>
    </font>
    <font>
      <sz val="10"/>
      <color theme="1"/>
      <name val="Cambria"/>
      <family val="1"/>
    </font>
    <font>
      <b/>
      <sz val="10"/>
      <color theme="1"/>
      <name val="Cambria"/>
      <family val="1"/>
    </font>
    <font>
      <u val="singleAccounting"/>
      <sz val="10"/>
      <color theme="1"/>
      <name val="Cambria"/>
      <family val="1"/>
    </font>
    <font>
      <b/>
      <u/>
      <sz val="10"/>
      <color theme="1"/>
      <name val="Cambria"/>
      <family val="1"/>
    </font>
    <font>
      <b/>
      <u val="singleAccounting"/>
      <sz val="10"/>
      <color theme="1"/>
      <name val="Cambria"/>
      <family val="1"/>
    </font>
    <font>
      <sz val="10"/>
      <color rgb="FF0070C0"/>
      <name val="Cambria"/>
      <family val="1"/>
    </font>
    <font>
      <sz val="10"/>
      <name val="Cambria"/>
      <family val="1"/>
    </font>
    <font>
      <sz val="10"/>
      <color theme="0"/>
      <name val="Cambria"/>
      <family val="1"/>
    </font>
    <font>
      <i/>
      <sz val="10"/>
      <color theme="1"/>
      <name val="Cambria"/>
      <family val="1"/>
    </font>
    <font>
      <sz val="10"/>
      <color theme="4" tint="-0.249977111117893"/>
      <name val="Cambria"/>
      <family val="1"/>
    </font>
    <font>
      <b/>
      <i/>
      <sz val="10"/>
      <color theme="1"/>
      <name val="Cambria"/>
      <family val="1"/>
    </font>
    <font>
      <sz val="10"/>
      <color theme="2" tint="-9.9978637043366805E-2"/>
      <name val="Cambria"/>
      <family val="1"/>
    </font>
    <font>
      <i/>
      <sz val="10"/>
      <name val="Cambria"/>
      <family val="1"/>
    </font>
    <font>
      <i/>
      <u val="singleAccounting"/>
      <sz val="10"/>
      <color theme="1"/>
      <name val="Cambria"/>
      <family val="1"/>
    </font>
    <font>
      <u/>
      <sz val="10"/>
      <color theme="10"/>
      <name val="Cambria"/>
      <family val="1"/>
    </font>
    <font>
      <sz val="11"/>
      <name val="Cambria"/>
      <family val="1"/>
    </font>
    <font>
      <b/>
      <sz val="11"/>
      <name val="Cambria"/>
      <family val="1"/>
    </font>
    <font>
      <b/>
      <sz val="11"/>
      <color rgb="FF008000"/>
      <name val="Cambria"/>
      <family val="1"/>
    </font>
    <font>
      <b/>
      <sz val="11"/>
      <color theme="0"/>
      <name val="Cambria"/>
      <family val="1"/>
    </font>
    <font>
      <b/>
      <u/>
      <sz val="11"/>
      <name val="Cambria"/>
      <family val="1"/>
    </font>
    <font>
      <b/>
      <sz val="11"/>
      <color theme="1"/>
      <name val="Cambria"/>
      <family val="1"/>
    </font>
    <font>
      <sz val="11"/>
      <color rgb="FF008000"/>
      <name val="Cambria"/>
      <family val="1"/>
    </font>
    <font>
      <sz val="11"/>
      <color rgb="FF0000FF"/>
      <name val="Cambria"/>
      <family val="1"/>
    </font>
    <font>
      <sz val="11"/>
      <color rgb="FF00B050"/>
      <name val="Cambria"/>
      <family val="1"/>
    </font>
    <font>
      <i/>
      <sz val="10"/>
      <color theme="0" tint="-0.14999847407452621"/>
      <name val="Cambria"/>
      <family val="1"/>
    </font>
    <font>
      <sz val="10"/>
      <color rgb="FF0000FF"/>
      <name val="Cambria"/>
      <family val="1"/>
    </font>
    <font>
      <b/>
      <sz val="10"/>
      <color rgb="FF000000"/>
      <name val="Cambria"/>
      <family val="1"/>
    </font>
    <font>
      <i/>
      <sz val="10"/>
      <color theme="0"/>
      <name val="Cambria"/>
      <family val="1"/>
    </font>
    <font>
      <b/>
      <sz val="10"/>
      <name val="Cambria"/>
      <family val="1"/>
    </font>
    <font>
      <sz val="10"/>
      <color rgb="FF00B050"/>
      <name val="Cambria"/>
      <family val="1"/>
    </font>
    <font>
      <b/>
      <sz val="10"/>
      <color rgb="FF008000"/>
      <name val="Cambria"/>
      <family val="1"/>
    </font>
    <font>
      <b/>
      <sz val="10"/>
      <color rgb="FF00B050"/>
      <name val="Cambria"/>
      <family val="1"/>
    </font>
    <font>
      <b/>
      <sz val="10"/>
      <color rgb="FF0070C0"/>
      <name val="Cambria"/>
      <family val="1"/>
    </font>
    <font>
      <sz val="10"/>
      <color rgb="FF008000"/>
      <name val="Cambria"/>
      <family val="1"/>
    </font>
    <font>
      <b/>
      <sz val="10"/>
      <color rgb="FF0000FF"/>
      <name val="Cambria"/>
      <family val="1"/>
    </font>
    <font>
      <sz val="10"/>
      <color theme="0" tint="-0.499984740745262"/>
      <name val="Cambria"/>
      <family val="1"/>
    </font>
    <font>
      <b/>
      <sz val="10"/>
      <color theme="0"/>
      <name val="Cambria"/>
      <family val="1"/>
    </font>
    <font>
      <sz val="10"/>
      <color rgb="FF000000"/>
      <name val="Cambria"/>
      <family val="1"/>
    </font>
    <font>
      <b/>
      <i/>
      <sz val="10"/>
      <color rgb="FF000000"/>
      <name val="Cambria"/>
      <family val="1"/>
    </font>
    <font>
      <b/>
      <sz val="10"/>
      <color theme="9" tint="-0.249977111117893"/>
      <name val="Cambria"/>
      <family val="1"/>
    </font>
    <font>
      <b/>
      <sz val="10"/>
      <color rgb="FF002060"/>
      <name val="Cambria"/>
      <family val="1"/>
    </font>
    <font>
      <b/>
      <i/>
      <sz val="10"/>
      <color theme="9" tint="-0.249977111117893"/>
      <name val="Cambria"/>
      <family val="1"/>
    </font>
    <font>
      <sz val="10"/>
      <color theme="0" tint="-0.249977111117893"/>
      <name val="Cambria"/>
      <family val="1"/>
    </font>
    <font>
      <b/>
      <sz val="10"/>
      <color theme="0" tint="-0.249977111117893"/>
      <name val="Cambria"/>
      <family val="1"/>
    </font>
    <font>
      <i/>
      <sz val="10"/>
      <color rgb="FF00B050"/>
      <name val="Cambria"/>
      <family val="1"/>
    </font>
    <font>
      <i/>
      <sz val="10"/>
      <color rgb="FF008000"/>
      <name val="Cambria"/>
      <family val="1"/>
    </font>
    <font>
      <b/>
      <sz val="12"/>
      <color theme="1"/>
      <name val="Cambria"/>
      <family val="1"/>
    </font>
    <font>
      <sz val="12"/>
      <color theme="1"/>
      <name val="Cambria"/>
      <family val="1"/>
    </font>
    <font>
      <sz val="12"/>
      <color theme="0" tint="-0.249977111117893"/>
      <name val="Cambria"/>
      <family val="1"/>
    </font>
    <font>
      <b/>
      <sz val="12"/>
      <name val="Cambria"/>
      <family val="1"/>
    </font>
    <font>
      <sz val="12"/>
      <name val="Cambria"/>
      <family val="1"/>
    </font>
    <font>
      <u val="singleAccounting"/>
      <sz val="12"/>
      <color theme="1"/>
      <name val="Cambria"/>
      <family val="1"/>
    </font>
    <font>
      <sz val="12"/>
      <color rgb="FF0070C0"/>
      <name val="Cambria"/>
      <family val="1"/>
    </font>
    <font>
      <sz val="10"/>
      <color theme="0" tint="-0.14999847407452621"/>
      <name val="Cambria"/>
      <family val="1"/>
    </font>
    <font>
      <i/>
      <sz val="12"/>
      <color theme="1"/>
      <name val="Cambria"/>
      <family val="1"/>
    </font>
    <font>
      <b/>
      <i/>
      <u val="singleAccounting"/>
      <sz val="10"/>
      <color theme="1"/>
      <name val="Cambria"/>
      <family val="1"/>
    </font>
    <font>
      <sz val="10"/>
      <color rgb="FF002060"/>
      <name val="Cambria"/>
      <family val="1"/>
    </font>
    <font>
      <b/>
      <u val="singleAccounting"/>
      <sz val="10"/>
      <color rgb="FF0070C0"/>
      <name val="Cambria"/>
      <family val="1"/>
    </font>
    <font>
      <u val="singleAccounting"/>
      <sz val="10"/>
      <color rgb="FF0070C0"/>
      <name val="Cambria"/>
      <family val="1"/>
    </font>
    <font>
      <i/>
      <sz val="10"/>
      <color rgb="FF000000"/>
      <name val="Cambria"/>
      <family val="1"/>
    </font>
    <font>
      <sz val="10"/>
      <color theme="0" tint="-0.34998626667073579"/>
      <name val="Cambria"/>
      <family val="1"/>
    </font>
    <font>
      <sz val="11"/>
      <color theme="1"/>
      <name val="Cambria"/>
      <family val="1"/>
    </font>
    <font>
      <b/>
      <sz val="18"/>
      <color theme="1"/>
      <name val="Cambria"/>
      <family val="1"/>
    </font>
    <font>
      <b/>
      <sz val="16"/>
      <color theme="1"/>
      <name val="Book Antiqua"/>
      <family val="1"/>
    </font>
    <font>
      <sz val="11"/>
      <color theme="1"/>
      <name val="Book Antiqua"/>
      <family val="1"/>
    </font>
    <font>
      <sz val="10"/>
      <name val="Wingdings"/>
      <charset val="2"/>
    </font>
    <font>
      <b/>
      <sz val="10"/>
      <color theme="0"/>
      <name val="Book Antiqua"/>
      <family val="1"/>
    </font>
    <font>
      <b/>
      <sz val="10"/>
      <color rgb="FF0000FF"/>
      <name val="Book Antiqua"/>
      <family val="1"/>
    </font>
    <font>
      <b/>
      <sz val="10"/>
      <name val="Book Antiqua"/>
      <family val="1"/>
    </font>
    <font>
      <sz val="10"/>
      <color indexed="58"/>
      <name val="Book Antiqua"/>
      <family val="1"/>
    </font>
    <font>
      <sz val="10"/>
      <color rgb="FF00B050"/>
      <name val="Book Antiqua"/>
      <family val="1"/>
    </font>
    <font>
      <sz val="10"/>
      <name val="Book Antiqua"/>
      <family val="1"/>
    </font>
    <font>
      <sz val="10"/>
      <color indexed="10"/>
      <name val="Book Antiqua"/>
      <family val="1"/>
    </font>
    <font>
      <sz val="10"/>
      <color rgb="FF0000FF"/>
      <name val="Book Antiqua"/>
      <family val="1"/>
    </font>
    <font>
      <sz val="18"/>
      <color rgb="FFFF0000"/>
      <name val="Book Antiqua"/>
      <family val="1"/>
    </font>
    <font>
      <b/>
      <i/>
      <sz val="10"/>
      <name val="Book Antiqua"/>
      <family val="1"/>
    </font>
    <font>
      <sz val="8"/>
      <name val="Times New Roman"/>
      <family val="1"/>
    </font>
    <font>
      <i/>
      <sz val="10"/>
      <color rgb="FFFF0000"/>
      <name val="Book Antiqua"/>
      <family val="1"/>
    </font>
    <font>
      <b/>
      <i/>
      <u/>
      <sz val="10"/>
      <color theme="1"/>
      <name val="Book Antiqua"/>
      <family val="1"/>
    </font>
    <font>
      <b/>
      <sz val="10"/>
      <color rgb="FF00B050"/>
      <name val="Book Antiqua"/>
      <family val="1"/>
    </font>
    <font>
      <i/>
      <sz val="10"/>
      <name val="Book Antiqua"/>
      <family val="1"/>
    </font>
    <font>
      <u/>
      <sz val="10"/>
      <name val="Book Antiqua"/>
      <family val="1"/>
    </font>
    <font>
      <u/>
      <sz val="10"/>
      <color theme="1"/>
      <name val="Book Antiqua"/>
      <family val="1"/>
    </font>
    <font>
      <b/>
      <u/>
      <sz val="10"/>
      <name val="Book Antiqua"/>
      <family val="1"/>
    </font>
    <font>
      <i/>
      <sz val="10"/>
      <color theme="1"/>
      <name val="Book Antiqua"/>
      <family val="1"/>
    </font>
    <font>
      <sz val="10"/>
      <color rgb="FF006600"/>
      <name val="Book Antiqua"/>
      <family val="1"/>
    </font>
    <font>
      <b/>
      <u/>
      <sz val="10"/>
      <color theme="1"/>
      <name val="Book Antiqua"/>
      <family val="1"/>
    </font>
    <font>
      <b/>
      <sz val="26"/>
      <name val="Book Antiqua"/>
      <family val="1"/>
    </font>
    <font>
      <b/>
      <sz val="14"/>
      <name val="Book Antiqua"/>
      <family val="1"/>
    </font>
    <font>
      <b/>
      <i/>
      <sz val="14"/>
      <name val="Book Antiqua"/>
      <family val="1"/>
    </font>
    <font>
      <b/>
      <sz val="11"/>
      <color theme="0"/>
      <name val="Book Antiqua"/>
      <family val="1"/>
    </font>
    <font>
      <i/>
      <sz val="11"/>
      <color rgb="FFFF0000"/>
      <name val="Book Antiqua"/>
      <family val="1"/>
    </font>
    <font>
      <sz val="11"/>
      <color theme="0"/>
      <name val="Book Antiqua"/>
      <family val="1"/>
    </font>
    <font>
      <b/>
      <sz val="11"/>
      <color theme="1"/>
      <name val="Book Antiqua"/>
      <family val="1"/>
    </font>
    <font>
      <sz val="11"/>
      <color rgb="FF00B050"/>
      <name val="Book Antiqua"/>
      <family val="1"/>
    </font>
    <font>
      <sz val="11"/>
      <color rgb="FFFF0000"/>
      <name val="Book Antiqua"/>
      <family val="1"/>
    </font>
    <font>
      <b/>
      <u val="singleAccounting"/>
      <sz val="10"/>
      <color theme="1"/>
      <name val="Book Antiqua"/>
      <family val="1"/>
    </font>
    <font>
      <sz val="11"/>
      <color theme="1"/>
      <name val="Calibri"/>
      <family val="2"/>
    </font>
    <font>
      <b/>
      <sz val="11"/>
      <color theme="1"/>
      <name val="Calibri"/>
      <family val="2"/>
    </font>
    <font>
      <sz val="10"/>
      <name val="Tahoma"/>
      <family val="2"/>
    </font>
    <font>
      <b/>
      <sz val="10"/>
      <color theme="0"/>
      <name val="Calibri"/>
      <family val="2"/>
      <scheme val="minor"/>
    </font>
    <font>
      <b/>
      <sz val="10"/>
      <color rgb="FFFFFFFF"/>
      <name val="Calibri"/>
      <family val="2"/>
      <scheme val="minor"/>
    </font>
    <font>
      <sz val="10"/>
      <name val="Arial"/>
      <family val="2"/>
    </font>
    <font>
      <b/>
      <sz val="10"/>
      <name val="Calibri"/>
      <family val="2"/>
      <scheme val="minor"/>
    </font>
    <font>
      <sz val="10"/>
      <name val="Calibri"/>
      <family val="2"/>
      <scheme val="minor"/>
    </font>
    <font>
      <sz val="10"/>
      <color rgb="FFFF0000"/>
      <name val="Calibri"/>
      <family val="2"/>
      <scheme val="minor"/>
    </font>
    <font>
      <sz val="10"/>
      <name val="Arial Narrow"/>
      <family val="2"/>
    </font>
    <font>
      <i/>
      <sz val="10"/>
      <name val="Calibri"/>
      <family val="2"/>
      <scheme val="minor"/>
    </font>
    <font>
      <b/>
      <sz val="10"/>
      <color rgb="FF0000FF"/>
      <name val="Calibri"/>
      <family val="2"/>
      <scheme val="minor"/>
    </font>
    <font>
      <i/>
      <sz val="10"/>
      <color rgb="FF0000FF"/>
      <name val="Calibri"/>
      <family val="2"/>
      <scheme val="minor"/>
    </font>
    <font>
      <sz val="12"/>
      <name val="Calibri"/>
      <family val="2"/>
      <scheme val="minor"/>
    </font>
    <font>
      <b/>
      <u/>
      <sz val="10"/>
      <name val="Calibri"/>
      <family val="2"/>
      <scheme val="minor"/>
    </font>
    <font>
      <sz val="10"/>
      <color indexed="10"/>
      <name val="Calibri"/>
      <family val="2"/>
      <scheme val="minor"/>
    </font>
    <font>
      <b/>
      <sz val="14"/>
      <name val="Calibri"/>
      <family val="2"/>
      <scheme val="minor"/>
    </font>
    <font>
      <sz val="9"/>
      <name val="Arial"/>
      <family val="2"/>
    </font>
    <font>
      <b/>
      <sz val="9"/>
      <name val="Arial"/>
      <family val="2"/>
    </font>
    <font>
      <sz val="10"/>
      <color rgb="FF006600"/>
      <name val="Calibri"/>
      <family val="2"/>
      <scheme val="minor"/>
    </font>
    <font>
      <sz val="10"/>
      <color indexed="8"/>
      <name val="Arial"/>
      <family val="2"/>
    </font>
    <font>
      <sz val="10"/>
      <color indexed="8"/>
      <name val="Arial"/>
      <family val="2"/>
    </font>
    <font>
      <i/>
      <sz val="10"/>
      <name val="Arial"/>
      <family val="2"/>
    </font>
    <font>
      <sz val="11"/>
      <name val="Calibri"/>
      <family val="2"/>
    </font>
    <font>
      <b/>
      <i/>
      <sz val="11"/>
      <color theme="1"/>
      <name val="Calibri"/>
      <family val="2"/>
    </font>
    <font>
      <sz val="10"/>
      <color rgb="FF283764"/>
      <name val="Cambria"/>
      <family val="1"/>
    </font>
    <font>
      <sz val="10"/>
      <color indexed="8"/>
      <name val="Times New Roman"/>
      <family val="1"/>
    </font>
    <font>
      <b/>
      <sz val="10"/>
      <color indexed="8"/>
      <name val="Times New Roman"/>
      <family val="1"/>
    </font>
    <font>
      <sz val="10"/>
      <color indexed="10"/>
      <name val="Times New Roman"/>
      <family val="1"/>
    </font>
  </fonts>
  <fills count="53">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FFFF99"/>
        <bgColor indexed="64"/>
      </patternFill>
    </fill>
    <fill>
      <patternFill patternType="solid">
        <fgColor rgb="FF0070C0"/>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8" tint="-0.499984740745262"/>
        <bgColor indexed="64"/>
      </patternFill>
    </fill>
    <fill>
      <patternFill patternType="solid">
        <fgColor theme="1"/>
        <bgColor indexed="64"/>
      </patternFill>
    </fill>
    <fill>
      <patternFill patternType="solid">
        <fgColor rgb="FFE6F0FF"/>
        <bgColor indexed="64"/>
      </patternFill>
    </fill>
    <fill>
      <patternFill patternType="solid">
        <fgColor theme="0" tint="-0.499984740745262"/>
        <bgColor indexed="64"/>
      </patternFill>
    </fill>
    <fill>
      <patternFill patternType="solid">
        <fgColor rgb="FFD1E0F3"/>
        <bgColor indexed="64"/>
      </patternFill>
    </fill>
    <fill>
      <patternFill patternType="solid">
        <fgColor rgb="FF28343C"/>
        <bgColor indexed="64"/>
      </patternFill>
    </fill>
    <fill>
      <patternFill patternType="solid">
        <fgColor rgb="FF003D6B"/>
        <bgColor indexed="64"/>
      </patternFill>
    </fill>
    <fill>
      <patternFill patternType="solid">
        <fgColor rgb="FFFFC000"/>
        <bgColor indexed="64"/>
      </patternFill>
    </fill>
    <fill>
      <patternFill patternType="solid">
        <fgColor rgb="FF053769"/>
        <bgColor indexed="64"/>
      </patternFill>
    </fill>
    <fill>
      <patternFill patternType="solid">
        <fgColor theme="0"/>
        <bgColor indexed="64"/>
      </patternFill>
    </fill>
    <fill>
      <patternFill patternType="solid">
        <fgColor rgb="FF003767"/>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s>
  <borders count="64">
    <border>
      <left/>
      <right/>
      <top/>
      <bottom/>
      <diagonal/>
    </border>
    <border>
      <left/>
      <right/>
      <top/>
      <bottom style="thin">
        <color auto="1"/>
      </bottom>
      <diagonal/>
    </border>
    <border>
      <left/>
      <right/>
      <top/>
      <bottom style="double">
        <color auto="1"/>
      </bottom>
      <diagonal/>
    </border>
    <border>
      <left/>
      <right/>
      <top/>
      <bottom style="thick">
        <color auto="1"/>
      </bottom>
      <diagonal/>
    </border>
    <border>
      <left/>
      <right/>
      <top/>
      <bottom style="medium">
        <color auto="1"/>
      </bottom>
      <diagonal/>
    </border>
    <border>
      <left/>
      <right/>
      <top style="medium">
        <color auto="1"/>
      </top>
      <bottom style="medium">
        <color auto="1"/>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thin">
        <color auto="1"/>
      </top>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double">
        <color auto="1"/>
      </bottom>
      <diagonal/>
    </border>
    <border>
      <left/>
      <right style="medium">
        <color indexed="64"/>
      </right>
      <top/>
      <bottom style="thick">
        <color auto="1"/>
      </bottom>
      <diagonal/>
    </border>
    <border>
      <left/>
      <right style="medium">
        <color indexed="64"/>
      </right>
      <top style="thin">
        <color auto="1"/>
      </top>
      <bottom style="double">
        <color auto="1"/>
      </bottom>
      <diagonal/>
    </border>
    <border>
      <left/>
      <right style="medium">
        <color indexed="64"/>
      </right>
      <top style="medium">
        <color indexed="64"/>
      </top>
      <bottom style="thin">
        <color auto="1"/>
      </bottom>
      <diagonal/>
    </border>
    <border>
      <left style="dashed">
        <color auto="1"/>
      </left>
      <right style="dashed">
        <color auto="1"/>
      </right>
      <top style="dashed">
        <color auto="1"/>
      </top>
      <bottom style="dashed">
        <color auto="1"/>
      </bottom>
      <diagonal/>
    </border>
    <border>
      <left style="dotted">
        <color auto="1"/>
      </left>
      <right/>
      <top/>
      <bottom/>
      <diagonal/>
    </border>
    <border>
      <left style="dotted">
        <color auto="1"/>
      </left>
      <right/>
      <top/>
      <bottom style="thin">
        <color indexed="64"/>
      </bottom>
      <diagonal/>
    </border>
    <border>
      <left/>
      <right/>
      <top style="hair">
        <color indexed="64"/>
      </top>
      <bottom style="thin">
        <color indexed="64"/>
      </bottom>
      <diagonal/>
    </border>
    <border>
      <left/>
      <right/>
      <top style="hair">
        <color indexed="64"/>
      </top>
      <bottom/>
      <diagonal/>
    </border>
    <border>
      <left/>
      <right/>
      <top/>
      <bottom style="hair">
        <color indexed="64"/>
      </bottom>
      <diagonal/>
    </border>
    <border>
      <left/>
      <right/>
      <top style="thin">
        <color indexed="64"/>
      </top>
      <bottom style="medium">
        <color indexed="64"/>
      </bottom>
      <diagonal/>
    </border>
    <border>
      <left/>
      <right style="thick">
        <color theme="0"/>
      </right>
      <top/>
      <bottom/>
      <diagonal/>
    </border>
    <border>
      <left/>
      <right style="thick">
        <color theme="0"/>
      </right>
      <top/>
      <bottom style="medium">
        <color auto="1"/>
      </bottom>
      <diagonal/>
    </border>
    <border>
      <left/>
      <right style="thick">
        <color theme="0"/>
      </right>
      <top style="thin">
        <color indexed="64"/>
      </top>
      <bottom/>
      <diagonal/>
    </border>
    <border>
      <left/>
      <right style="thick">
        <color theme="0"/>
      </right>
      <top/>
      <bottom style="thin">
        <color indexed="64"/>
      </bottom>
      <diagonal/>
    </border>
    <border>
      <left/>
      <right style="thick">
        <color theme="0"/>
      </right>
      <top style="thin">
        <color indexed="64"/>
      </top>
      <bottom style="medium">
        <color indexed="64"/>
      </bottom>
      <diagonal/>
    </border>
    <border>
      <left style="thick">
        <color theme="0"/>
      </left>
      <right style="thick">
        <color theme="0"/>
      </right>
      <top/>
      <bottom/>
      <diagonal/>
    </border>
    <border>
      <left style="thick">
        <color theme="0"/>
      </left>
      <right style="thick">
        <color theme="0"/>
      </right>
      <top/>
      <bottom style="medium">
        <color auto="1"/>
      </bottom>
      <diagonal/>
    </border>
    <border>
      <left style="thick">
        <color theme="0"/>
      </left>
      <right style="thick">
        <color theme="0"/>
      </right>
      <top style="thin">
        <color indexed="64"/>
      </top>
      <bottom/>
      <diagonal/>
    </border>
    <border>
      <left style="thick">
        <color theme="0"/>
      </left>
      <right style="thick">
        <color theme="0"/>
      </right>
      <top/>
      <bottom style="thin">
        <color indexed="64"/>
      </bottom>
      <diagonal/>
    </border>
    <border>
      <left style="thick">
        <color theme="0"/>
      </left>
      <right style="thick">
        <color theme="0"/>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s>
  <cellStyleXfs count="114">
    <xf numFmtId="0" fontId="0"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7" fillId="0" borderId="0"/>
    <xf numFmtId="43" fontId="8"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44" fontId="4" fillId="0" borderId="0" applyFont="0" applyFill="0" applyBorder="0" applyAlignment="0" applyProtection="0"/>
    <xf numFmtId="0" fontId="9"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4" fillId="0" borderId="0" applyNumberFormat="0" applyFill="0" applyBorder="0" applyAlignment="0" applyProtection="0"/>
    <xf numFmtId="0" fontId="25" fillId="0" borderId="30" applyNumberFormat="0" applyFill="0" applyAlignment="0" applyProtection="0"/>
    <xf numFmtId="0" fontId="26" fillId="0" borderId="31" applyNumberFormat="0" applyFill="0" applyAlignment="0" applyProtection="0"/>
    <xf numFmtId="0" fontId="27" fillId="0" borderId="32" applyNumberFormat="0" applyFill="0" applyAlignment="0" applyProtection="0"/>
    <xf numFmtId="0" fontId="27" fillId="0" borderId="0" applyNumberFormat="0" applyFill="0" applyBorder="0" applyAlignment="0" applyProtection="0"/>
    <xf numFmtId="0" fontId="28" fillId="7" borderId="0" applyNumberFormat="0" applyBorder="0" applyAlignment="0" applyProtection="0"/>
    <xf numFmtId="0" fontId="29" fillId="8" borderId="0" applyNumberFormat="0" applyBorder="0" applyAlignment="0" applyProtection="0"/>
    <xf numFmtId="0" fontId="30" fillId="9" borderId="0" applyNumberFormat="0" applyBorder="0" applyAlignment="0" applyProtection="0"/>
    <xf numFmtId="0" fontId="31" fillId="10" borderId="33" applyNumberFormat="0" applyAlignment="0" applyProtection="0"/>
    <xf numFmtId="0" fontId="32" fillId="11" borderId="34" applyNumberFormat="0" applyAlignment="0" applyProtection="0"/>
    <xf numFmtId="0" fontId="33" fillId="11" borderId="33" applyNumberFormat="0" applyAlignment="0" applyProtection="0"/>
    <xf numFmtId="0" fontId="34" fillId="0" borderId="35" applyNumberFormat="0" applyFill="0" applyAlignment="0" applyProtection="0"/>
    <xf numFmtId="0" fontId="35" fillId="12" borderId="36"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0" borderId="38" applyNumberFormat="0" applyFill="0" applyAlignment="0" applyProtection="0"/>
    <xf numFmtId="0" fontId="39"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9" fillId="17" borderId="0" applyNumberFormat="0" applyBorder="0" applyAlignment="0" applyProtection="0"/>
    <xf numFmtId="0" fontId="39"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9" fillId="21" borderId="0" applyNumberFormat="0" applyBorder="0" applyAlignment="0" applyProtection="0"/>
    <xf numFmtId="0" fontId="39"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9" fillId="25" borderId="0" applyNumberFormat="0" applyBorder="0" applyAlignment="0" applyProtection="0"/>
    <xf numFmtId="0" fontId="39"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9" fillId="29" borderId="0" applyNumberFormat="0" applyBorder="0" applyAlignment="0" applyProtection="0"/>
    <xf numFmtId="0" fontId="39"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9" fillId="33" borderId="0" applyNumberFormat="0" applyBorder="0" applyAlignment="0" applyProtection="0"/>
    <xf numFmtId="0" fontId="39"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39" fillId="37"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13" borderId="37" applyNumberFormat="0" applyFont="0" applyAlignment="0" applyProtection="0"/>
    <xf numFmtId="0" fontId="40" fillId="0" borderId="0"/>
    <xf numFmtId="44" fontId="7" fillId="0" borderId="0" applyFont="0" applyFill="0" applyBorder="0" applyAlignment="0" applyProtection="0"/>
    <xf numFmtId="0" fontId="7" fillId="0" borderId="0"/>
    <xf numFmtId="0" fontId="124" fillId="0" borderId="0" applyFont="0" applyFill="0" applyBorder="0" applyAlignment="0" applyProtection="0"/>
    <xf numFmtId="0" fontId="145" fillId="0" borderId="0"/>
    <xf numFmtId="0" fontId="147" fillId="0" borderId="0"/>
    <xf numFmtId="44" fontId="145" fillId="0" borderId="0" applyFont="0" applyFill="0" applyBorder="0" applyAlignment="0" applyProtection="0"/>
    <xf numFmtId="43" fontId="145" fillId="0" borderId="0" applyFont="0" applyFill="0" applyBorder="0" applyAlignment="0" applyProtection="0"/>
    <xf numFmtId="0" fontId="150" fillId="0" borderId="0"/>
    <xf numFmtId="44" fontId="154" fillId="0" borderId="0" applyFont="0" applyFill="0" applyBorder="0" applyAlignment="0" applyProtection="0"/>
    <xf numFmtId="44" fontId="150" fillId="0" borderId="0" applyFont="0" applyFill="0" applyBorder="0" applyAlignment="0" applyProtection="0"/>
    <xf numFmtId="43" fontId="154" fillId="0" borderId="0" applyFont="0" applyFill="0" applyBorder="0" applyAlignment="0" applyProtection="0"/>
    <xf numFmtId="43" fontId="147" fillId="0" borderId="0" applyFont="0" applyFill="0" applyBorder="0" applyAlignment="0" applyProtection="0"/>
    <xf numFmtId="44" fontId="147" fillId="0" borderId="0" applyFont="0" applyFill="0" applyBorder="0" applyAlignment="0" applyProtection="0"/>
    <xf numFmtId="0" fontId="154" fillId="0" borderId="0"/>
    <xf numFmtId="9" fontId="154" fillId="0" borderId="0" applyFont="0" applyFill="0" applyBorder="0" applyAlignment="0" applyProtection="0"/>
    <xf numFmtId="0" fontId="165" fillId="0" borderId="0">
      <alignment vertical="top"/>
    </xf>
    <xf numFmtId="0" fontId="165" fillId="0" borderId="0">
      <alignment vertical="top"/>
    </xf>
    <xf numFmtId="0" fontId="165" fillId="0" borderId="0">
      <alignment vertical="top"/>
    </xf>
    <xf numFmtId="0" fontId="165" fillId="0" borderId="0">
      <alignment vertical="top"/>
    </xf>
    <xf numFmtId="0" fontId="165" fillId="0" borderId="0">
      <alignment vertical="top"/>
    </xf>
    <xf numFmtId="0" fontId="165" fillId="0" borderId="0">
      <alignment vertical="top"/>
    </xf>
    <xf numFmtId="0" fontId="165" fillId="0" borderId="0">
      <alignment vertical="top"/>
    </xf>
    <xf numFmtId="9" fontId="145" fillId="0" borderId="0" applyFont="0" applyFill="0" applyBorder="0" applyAlignment="0" applyProtection="0"/>
    <xf numFmtId="0" fontId="166" fillId="0" borderId="0">
      <alignment vertical="top"/>
    </xf>
    <xf numFmtId="44" fontId="166" fillId="0" borderId="0" applyFont="0" applyFill="0" applyBorder="0" applyAlignment="0" applyProtection="0">
      <alignment vertical="top"/>
    </xf>
    <xf numFmtId="9" fontId="166" fillId="0" borderId="0" applyFont="0" applyFill="0" applyBorder="0" applyAlignment="0" applyProtection="0">
      <alignment vertical="top"/>
    </xf>
    <xf numFmtId="43" fontId="166" fillId="0" borderId="0" applyFont="0" applyFill="0" applyBorder="0" applyAlignment="0" applyProtection="0">
      <alignment vertical="top"/>
    </xf>
  </cellStyleXfs>
  <cellXfs count="1217">
    <xf numFmtId="0" fontId="0" fillId="0" borderId="0" xfId="0"/>
    <xf numFmtId="0" fontId="12" fillId="0" borderId="0" xfId="0" applyFont="1"/>
    <xf numFmtId="0" fontId="12" fillId="0" borderId="0" xfId="0" applyFont="1" applyBorder="1"/>
    <xf numFmtId="0" fontId="12" fillId="0" borderId="10" xfId="0" applyFont="1" applyBorder="1"/>
    <xf numFmtId="165" fontId="12" fillId="0" borderId="0" xfId="1" applyNumberFormat="1" applyFont="1"/>
    <xf numFmtId="165" fontId="12" fillId="0" borderId="0" xfId="1" applyNumberFormat="1" applyFont="1" applyBorder="1"/>
    <xf numFmtId="165" fontId="12" fillId="0" borderId="11" xfId="1" applyNumberFormat="1" applyFont="1" applyBorder="1"/>
    <xf numFmtId="41" fontId="12" fillId="0" borderId="0" xfId="0" applyNumberFormat="1" applyFont="1"/>
    <xf numFmtId="164" fontId="13" fillId="0" borderId="0" xfId="0" applyNumberFormat="1" applyFont="1" applyBorder="1" applyAlignment="1">
      <alignment horizontal="center"/>
    </xf>
    <xf numFmtId="0" fontId="13" fillId="0" borderId="0" xfId="0" applyFont="1"/>
    <xf numFmtId="0" fontId="15" fillId="0" borderId="0" xfId="1" applyNumberFormat="1" applyFont="1" applyBorder="1" applyAlignment="1">
      <alignment horizontal="center"/>
    </xf>
    <xf numFmtId="165" fontId="14" fillId="0" borderId="0" xfId="1" applyNumberFormat="1" applyFont="1" applyBorder="1" applyAlignment="1">
      <alignment horizontal="centerContinuous"/>
    </xf>
    <xf numFmtId="14" fontId="15" fillId="0" borderId="0" xfId="1" applyNumberFormat="1" applyFont="1" applyBorder="1" applyAlignment="1">
      <alignment horizontal="center"/>
    </xf>
    <xf numFmtId="0" fontId="17" fillId="0" borderId="0" xfId="0" applyFont="1"/>
    <xf numFmtId="0" fontId="17" fillId="0" borderId="0" xfId="0" applyFont="1" applyAlignment="1">
      <alignment horizontal="right"/>
    </xf>
    <xf numFmtId="0" fontId="17" fillId="0" borderId="0" xfId="0" applyFont="1" applyBorder="1"/>
    <xf numFmtId="0" fontId="18" fillId="0" borderId="0" xfId="0" applyFont="1"/>
    <xf numFmtId="41" fontId="17" fillId="0" borderId="0" xfId="0" applyNumberFormat="1" applyFont="1"/>
    <xf numFmtId="165" fontId="17" fillId="0" borderId="0" xfId="1" applyNumberFormat="1" applyFont="1"/>
    <xf numFmtId="165" fontId="17" fillId="0" borderId="1" xfId="1" applyNumberFormat="1" applyFont="1" applyBorder="1"/>
    <xf numFmtId="165" fontId="17" fillId="0" borderId="0" xfId="1" applyNumberFormat="1" applyFont="1" applyBorder="1"/>
    <xf numFmtId="165" fontId="17" fillId="0" borderId="0" xfId="0" applyNumberFormat="1" applyFont="1"/>
    <xf numFmtId="0" fontId="17" fillId="0" borderId="0" xfId="0" applyFont="1" applyAlignment="1">
      <alignment wrapText="1"/>
    </xf>
    <xf numFmtId="166" fontId="19" fillId="0" borderId="28" xfId="2" applyNumberFormat="1" applyFont="1" applyBorder="1"/>
    <xf numFmtId="166" fontId="18" fillId="0" borderId="26" xfId="2" applyNumberFormat="1" applyFont="1" applyBorder="1"/>
    <xf numFmtId="166" fontId="18" fillId="0" borderId="5" xfId="2" applyNumberFormat="1" applyFont="1" applyBorder="1"/>
    <xf numFmtId="166" fontId="18" fillId="0" borderId="29" xfId="2" applyNumberFormat="1" applyFont="1" applyBorder="1"/>
    <xf numFmtId="0" fontId="20" fillId="0" borderId="0" xfId="0" applyFont="1" applyAlignment="1">
      <alignment horizontal="center"/>
    </xf>
    <xf numFmtId="166" fontId="19" fillId="0" borderId="0" xfId="2" applyNumberFormat="1" applyFont="1" applyBorder="1"/>
    <xf numFmtId="0" fontId="17" fillId="0" borderId="0" xfId="0" applyFont="1" applyBorder="1" applyAlignment="1">
      <alignment horizontal="right"/>
    </xf>
    <xf numFmtId="166" fontId="17" fillId="0" borderId="0" xfId="0" applyNumberFormat="1" applyFont="1"/>
    <xf numFmtId="0" fontId="13" fillId="0" borderId="1" xfId="0" applyFont="1" applyBorder="1" applyAlignment="1">
      <alignment horizontal="center"/>
    </xf>
    <xf numFmtId="41" fontId="12" fillId="0" borderId="1" xfId="0" applyNumberFormat="1" applyFont="1" applyBorder="1"/>
    <xf numFmtId="41" fontId="16" fillId="0" borderId="0" xfId="0" applyNumberFormat="1" applyFont="1"/>
    <xf numFmtId="0" fontId="21" fillId="0" borderId="7" xfId="0" applyFont="1" applyBorder="1"/>
    <xf numFmtId="41" fontId="21" fillId="0" borderId="8" xfId="0" applyNumberFormat="1" applyFont="1" applyBorder="1"/>
    <xf numFmtId="168" fontId="22" fillId="0" borderId="9" xfId="1" applyNumberFormat="1" applyFont="1" applyBorder="1"/>
    <xf numFmtId="0" fontId="23" fillId="0" borderId="14" xfId="0" applyFont="1" applyBorder="1"/>
    <xf numFmtId="0" fontId="23" fillId="0" borderId="4" xfId="0" applyFont="1" applyBorder="1"/>
    <xf numFmtId="168" fontId="23" fillId="0" borderId="15" xfId="0" applyNumberFormat="1" applyFont="1" applyBorder="1"/>
    <xf numFmtId="0" fontId="20" fillId="0" borderId="0" xfId="0" applyFont="1"/>
    <xf numFmtId="0" fontId="42" fillId="0" borderId="0" xfId="4" applyFont="1" applyAlignment="1"/>
    <xf numFmtId="164" fontId="44" fillId="0" borderId="0" xfId="4" applyNumberFormat="1" applyFont="1" applyAlignment="1">
      <alignment horizontal="center"/>
    </xf>
    <xf numFmtId="165" fontId="42" fillId="0" borderId="0" xfId="7" applyNumberFormat="1" applyFont="1" applyAlignment="1"/>
    <xf numFmtId="165" fontId="42" fillId="0" borderId="1" xfId="7" applyNumberFormat="1" applyFont="1" applyBorder="1" applyAlignment="1"/>
    <xf numFmtId="171" fontId="42" fillId="0" borderId="0" xfId="87" applyNumberFormat="1" applyFont="1" applyAlignment="1"/>
    <xf numFmtId="0" fontId="45" fillId="0" borderId="0" xfId="4" applyFont="1" applyAlignment="1"/>
    <xf numFmtId="165" fontId="44" fillId="0" borderId="0" xfId="7" applyNumberFormat="1" applyFont="1" applyAlignment="1"/>
    <xf numFmtId="171" fontId="46" fillId="0" borderId="0" xfId="87" applyNumberFormat="1" applyFont="1" applyAlignment="1"/>
    <xf numFmtId="0" fontId="42" fillId="0" borderId="0" xfId="4" applyFont="1"/>
    <xf numFmtId="0" fontId="41" fillId="0" borderId="0" xfId="4" applyFont="1"/>
    <xf numFmtId="164" fontId="43" fillId="0" borderId="0" xfId="4" applyNumberFormat="1" applyFont="1" applyAlignment="1">
      <alignment horizontal="center"/>
    </xf>
    <xf numFmtId="165" fontId="42" fillId="0" borderId="0" xfId="7" applyNumberFormat="1" applyFont="1"/>
    <xf numFmtId="165" fontId="42" fillId="0" borderId="1" xfId="7" applyNumberFormat="1" applyFont="1" applyBorder="1"/>
    <xf numFmtId="165" fontId="42" fillId="0" borderId="0" xfId="4" applyNumberFormat="1" applyFont="1"/>
    <xf numFmtId="165" fontId="41" fillId="0" borderId="2" xfId="4" applyNumberFormat="1" applyFont="1" applyBorder="1"/>
    <xf numFmtId="165" fontId="41" fillId="0" borderId="27" xfId="4" applyNumberFormat="1" applyFont="1" applyBorder="1"/>
    <xf numFmtId="165" fontId="41" fillId="0" borderId="6" xfId="4" applyNumberFormat="1" applyFont="1" applyBorder="1"/>
    <xf numFmtId="0" fontId="41" fillId="0" borderId="7" xfId="4" applyFont="1" applyBorder="1"/>
    <xf numFmtId="0" fontId="42" fillId="0" borderId="8" xfId="4" applyFont="1" applyBorder="1"/>
    <xf numFmtId="0" fontId="42" fillId="0" borderId="9" xfId="4" applyFont="1" applyBorder="1"/>
    <xf numFmtId="0" fontId="41" fillId="0" borderId="10" xfId="4" applyFont="1" applyBorder="1"/>
    <xf numFmtId="0" fontId="42" fillId="0" borderId="0" xfId="4" applyFont="1" applyBorder="1"/>
    <xf numFmtId="0" fontId="42" fillId="0" borderId="11" xfId="4" applyFont="1" applyBorder="1"/>
    <xf numFmtId="0" fontId="42" fillId="0" borderId="10" xfId="4" applyFont="1" applyBorder="1"/>
    <xf numFmtId="164" fontId="43" fillId="0" borderId="0" xfId="4" applyNumberFormat="1" applyFont="1" applyBorder="1" applyAlignment="1">
      <alignment horizontal="center"/>
    </xf>
    <xf numFmtId="164" fontId="43" fillId="0" borderId="11" xfId="4" applyNumberFormat="1" applyFont="1" applyBorder="1" applyAlignment="1">
      <alignment horizontal="center"/>
    </xf>
    <xf numFmtId="171" fontId="42" fillId="0" borderId="0" xfId="4" applyNumberFormat="1" applyFont="1"/>
    <xf numFmtId="171" fontId="42" fillId="0" borderId="0" xfId="4" applyNumberFormat="1" applyFont="1" applyBorder="1"/>
    <xf numFmtId="0" fontId="41" fillId="0" borderId="0" xfId="4" applyFont="1" applyBorder="1" applyAlignment="1">
      <alignment horizontal="left"/>
    </xf>
    <xf numFmtId="171" fontId="41" fillId="0" borderId="0" xfId="87" applyNumberFormat="1" applyFont="1" applyBorder="1" applyAlignment="1"/>
    <xf numFmtId="171" fontId="41" fillId="0" borderId="11" xfId="87" applyNumberFormat="1" applyFont="1" applyBorder="1" applyAlignment="1"/>
    <xf numFmtId="168" fontId="42" fillId="0" borderId="1" xfId="4" applyNumberFormat="1" applyFont="1" applyBorder="1"/>
    <xf numFmtId="0" fontId="42" fillId="0" borderId="0" xfId="4" applyFont="1" applyBorder="1" applyAlignment="1">
      <alignment horizontal="left"/>
    </xf>
    <xf numFmtId="165" fontId="42" fillId="0" borderId="13" xfId="7" applyNumberFormat="1" applyFont="1" applyBorder="1" applyAlignment="1"/>
    <xf numFmtId="165" fontId="42" fillId="0" borderId="0" xfId="7" applyNumberFormat="1" applyFont="1" applyBorder="1"/>
    <xf numFmtId="0" fontId="42" fillId="0" borderId="0" xfId="4" applyFont="1" applyBorder="1" applyAlignment="1"/>
    <xf numFmtId="165" fontId="42" fillId="0" borderId="0" xfId="7" applyNumberFormat="1" applyFont="1" applyBorder="1" applyAlignment="1"/>
    <xf numFmtId="165" fontId="42" fillId="0" borderId="11" xfId="7" applyNumberFormat="1" applyFont="1" applyBorder="1" applyAlignment="1"/>
    <xf numFmtId="165" fontId="42" fillId="0" borderId="1" xfId="4" applyNumberFormat="1" applyFont="1" applyBorder="1"/>
    <xf numFmtId="165" fontId="42" fillId="0" borderId="0" xfId="4" applyNumberFormat="1" applyFont="1" applyBorder="1"/>
    <xf numFmtId="0" fontId="45" fillId="0" borderId="0" xfId="4" applyFont="1" applyBorder="1" applyAlignment="1"/>
    <xf numFmtId="166" fontId="45" fillId="0" borderId="0" xfId="6" applyNumberFormat="1" applyFont="1" applyBorder="1"/>
    <xf numFmtId="166" fontId="45" fillId="0" borderId="11" xfId="6" applyNumberFormat="1" applyFont="1" applyBorder="1"/>
    <xf numFmtId="171" fontId="42" fillId="0" borderId="11" xfId="4" applyNumberFormat="1" applyFont="1" applyBorder="1"/>
    <xf numFmtId="171" fontId="41" fillId="0" borderId="0" xfId="87" applyNumberFormat="1" applyFont="1"/>
    <xf numFmtId="171" fontId="41" fillId="0" borderId="6" xfId="87" applyNumberFormat="1" applyFont="1" applyBorder="1"/>
    <xf numFmtId="165" fontId="44" fillId="0" borderId="0" xfId="7" applyNumberFormat="1" applyFont="1" applyBorder="1" applyAlignment="1"/>
    <xf numFmtId="165" fontId="44" fillId="0" borderId="11" xfId="7" applyNumberFormat="1" applyFont="1" applyBorder="1" applyAlignment="1"/>
    <xf numFmtId="0" fontId="42" fillId="0" borderId="0" xfId="4" applyFont="1" applyAlignment="1">
      <alignment horizontal="left"/>
    </xf>
    <xf numFmtId="171" fontId="47" fillId="0" borderId="0" xfId="87" applyNumberFormat="1" applyFont="1" applyBorder="1" applyAlignment="1"/>
    <xf numFmtId="171" fontId="47" fillId="0" borderId="11" xfId="87" applyNumberFormat="1" applyFont="1" applyBorder="1" applyAlignment="1"/>
    <xf numFmtId="0" fontId="42" fillId="0" borderId="0" xfId="4" applyFont="1" applyBorder="1" applyAlignment="1">
      <alignment horizontal="left" indent="1"/>
    </xf>
    <xf numFmtId="166" fontId="45" fillId="0" borderId="0" xfId="6" applyNumberFormat="1" applyFont="1"/>
    <xf numFmtId="0" fontId="41" fillId="0" borderId="0" xfId="4" applyFont="1" applyBorder="1" applyAlignment="1"/>
    <xf numFmtId="171" fontId="46" fillId="0" borderId="0" xfId="87" applyNumberFormat="1" applyFont="1" applyBorder="1" applyAlignment="1"/>
    <xf numFmtId="171" fontId="46" fillId="0" borderId="11" xfId="87" applyNumberFormat="1" applyFont="1" applyBorder="1" applyAlignment="1"/>
    <xf numFmtId="0" fontId="42" fillId="0" borderId="10" xfId="4" quotePrefix="1" applyFont="1" applyBorder="1"/>
    <xf numFmtId="165" fontId="41" fillId="0" borderId="0" xfId="7" applyNumberFormat="1" applyFont="1"/>
    <xf numFmtId="0" fontId="42" fillId="0" borderId="14" xfId="4" applyFont="1" applyBorder="1"/>
    <xf numFmtId="0" fontId="42" fillId="0" borderId="4" xfId="4" applyFont="1" applyBorder="1"/>
    <xf numFmtId="0" fontId="41" fillId="0" borderId="4" xfId="4" applyFont="1" applyBorder="1"/>
    <xf numFmtId="171" fontId="46" fillId="0" borderId="4" xfId="87" applyNumberFormat="1" applyFont="1" applyBorder="1" applyAlignment="1"/>
    <xf numFmtId="171" fontId="46" fillId="0" borderId="15" xfId="87" applyNumberFormat="1" applyFont="1" applyBorder="1" applyAlignment="1"/>
    <xf numFmtId="171" fontId="47" fillId="0" borderId="0" xfId="87" applyNumberFormat="1" applyFont="1" applyAlignment="1"/>
    <xf numFmtId="165" fontId="41" fillId="0" borderId="0" xfId="4" applyNumberFormat="1" applyFont="1" applyBorder="1"/>
    <xf numFmtId="0" fontId="48" fillId="0" borderId="0" xfId="0" applyFont="1"/>
    <xf numFmtId="0" fontId="49" fillId="0" borderId="7" xfId="1" applyNumberFormat="1" applyFont="1" applyBorder="1" applyAlignment="1"/>
    <xf numFmtId="0" fontId="48" fillId="0" borderId="8" xfId="0" applyFont="1" applyBorder="1"/>
    <xf numFmtId="0" fontId="48" fillId="0" borderId="9" xfId="0" applyFont="1" applyBorder="1"/>
    <xf numFmtId="0" fontId="49" fillId="0" borderId="10" xfId="0" applyFont="1" applyBorder="1"/>
    <xf numFmtId="0" fontId="48" fillId="0" borderId="0" xfId="0" applyFont="1" applyBorder="1"/>
    <xf numFmtId="9" fontId="48" fillId="0" borderId="0" xfId="2" applyFont="1" applyBorder="1"/>
    <xf numFmtId="0" fontId="48" fillId="0" borderId="11" xfId="0" applyFont="1" applyBorder="1"/>
    <xf numFmtId="0" fontId="48" fillId="0" borderId="18" xfId="0" applyFont="1" applyBorder="1"/>
    <xf numFmtId="0" fontId="50" fillId="0" borderId="19" xfId="0" applyFont="1" applyBorder="1" applyAlignment="1">
      <alignment horizontal="centerContinuous"/>
    </xf>
    <xf numFmtId="0" fontId="48" fillId="0" borderId="19" xfId="0" applyFont="1" applyBorder="1"/>
    <xf numFmtId="0" fontId="50" fillId="0" borderId="20" xfId="0" applyFont="1" applyBorder="1" applyAlignment="1">
      <alignment horizontal="centerContinuous"/>
    </xf>
    <xf numFmtId="0" fontId="49" fillId="0" borderId="10" xfId="0" applyFont="1" applyBorder="1" applyAlignment="1">
      <alignment vertical="top"/>
    </xf>
    <xf numFmtId="43" fontId="48" fillId="0" borderId="0" xfId="0" applyNumberFormat="1" applyFont="1" applyBorder="1"/>
    <xf numFmtId="165" fontId="48" fillId="0" borderId="0" xfId="0" applyNumberFormat="1" applyFont="1" applyBorder="1"/>
    <xf numFmtId="43" fontId="48" fillId="0" borderId="0" xfId="1" applyNumberFormat="1" applyFont="1" applyBorder="1"/>
    <xf numFmtId="0" fontId="48" fillId="0" borderId="21" xfId="0" applyFont="1" applyBorder="1"/>
    <xf numFmtId="0" fontId="50" fillId="0" borderId="0" xfId="0" applyFont="1" applyBorder="1" applyAlignment="1">
      <alignment horizontal="center"/>
    </xf>
    <xf numFmtId="0" fontId="50" fillId="0" borderId="22" xfId="0" applyFont="1" applyBorder="1" applyAlignment="1">
      <alignment horizontal="center"/>
    </xf>
    <xf numFmtId="0" fontId="48" fillId="0" borderId="10" xfId="0" applyFont="1" applyBorder="1"/>
    <xf numFmtId="174" fontId="48" fillId="0" borderId="0" xfId="0" applyNumberFormat="1" applyFont="1" applyBorder="1"/>
    <xf numFmtId="171" fontId="48" fillId="0" borderId="0" xfId="0" applyNumberFormat="1" applyFont="1" applyBorder="1"/>
    <xf numFmtId="166" fontId="48" fillId="0" borderId="0" xfId="2" applyNumberFormat="1" applyFont="1" applyBorder="1"/>
    <xf numFmtId="166" fontId="48" fillId="0" borderId="22" xfId="2" applyNumberFormat="1" applyFont="1" applyBorder="1"/>
    <xf numFmtId="0" fontId="51" fillId="0" borderId="10" xfId="0" applyFont="1" applyBorder="1"/>
    <xf numFmtId="0" fontId="52" fillId="0" borderId="0" xfId="0" applyFont="1" applyBorder="1" applyAlignment="1">
      <alignment horizontal="centerContinuous"/>
    </xf>
    <xf numFmtId="0" fontId="49" fillId="0" borderId="7" xfId="0" applyFont="1" applyBorder="1"/>
    <xf numFmtId="0" fontId="49" fillId="0" borderId="8" xfId="0" applyFont="1" applyBorder="1"/>
    <xf numFmtId="0" fontId="48" fillId="0" borderId="7" xfId="0" applyFont="1" applyBorder="1"/>
    <xf numFmtId="164" fontId="52" fillId="0" borderId="8" xfId="0" applyNumberFormat="1" applyFont="1" applyBorder="1" applyAlignment="1">
      <alignment horizontal="center"/>
    </xf>
    <xf numFmtId="164" fontId="52" fillId="0" borderId="9" xfId="0" applyNumberFormat="1" applyFont="1" applyBorder="1" applyAlignment="1">
      <alignment horizontal="center"/>
    </xf>
    <xf numFmtId="164" fontId="52" fillId="0" borderId="19" xfId="0" applyNumberFormat="1" applyFont="1" applyBorder="1" applyAlignment="1">
      <alignment horizontal="center"/>
    </xf>
    <xf numFmtId="164" fontId="52" fillId="0" borderId="20" xfId="0" applyNumberFormat="1" applyFont="1" applyBorder="1" applyAlignment="1">
      <alignment horizontal="center"/>
    </xf>
    <xf numFmtId="171" fontId="53" fillId="0" borderId="0" xfId="8" applyNumberFormat="1" applyFont="1" applyBorder="1"/>
    <xf numFmtId="166" fontId="54" fillId="0" borderId="0" xfId="2" applyNumberFormat="1" applyFont="1" applyBorder="1"/>
    <xf numFmtId="168" fontId="48" fillId="0" borderId="0" xfId="0" applyNumberFormat="1" applyFont="1" applyBorder="1"/>
    <xf numFmtId="9" fontId="55" fillId="0" borderId="0" xfId="2" applyFont="1"/>
    <xf numFmtId="171" fontId="49" fillId="0" borderId="0" xfId="8" applyNumberFormat="1" applyFont="1" applyBorder="1"/>
    <xf numFmtId="171" fontId="49" fillId="0" borderId="11" xfId="8" applyNumberFormat="1" applyFont="1" applyBorder="1"/>
    <xf numFmtId="168" fontId="48" fillId="0" borderId="0" xfId="0" applyNumberFormat="1" applyFont="1" applyBorder="1" applyAlignment="1">
      <alignment horizontal="right"/>
    </xf>
    <xf numFmtId="168" fontId="48" fillId="0" borderId="22" xfId="0" applyNumberFormat="1" applyFont="1" applyBorder="1"/>
    <xf numFmtId="165" fontId="48" fillId="0" borderId="1" xfId="1" applyNumberFormat="1" applyFont="1" applyBorder="1"/>
    <xf numFmtId="166" fontId="48" fillId="0" borderId="1" xfId="2" applyNumberFormat="1" applyFont="1" applyBorder="1"/>
    <xf numFmtId="166" fontId="48" fillId="0" borderId="24" xfId="2" applyNumberFormat="1" applyFont="1" applyBorder="1"/>
    <xf numFmtId="0" fontId="48" fillId="0" borderId="10" xfId="0" applyFont="1" applyBorder="1" applyAlignment="1">
      <alignment horizontal="left" indent="1"/>
    </xf>
    <xf numFmtId="171" fontId="48" fillId="0" borderId="0" xfId="8" applyNumberFormat="1" applyFont="1" applyBorder="1"/>
    <xf numFmtId="0" fontId="48" fillId="0" borderId="0" xfId="0" applyFont="1" applyBorder="1" applyAlignment="1">
      <alignment horizontal="left" indent="1"/>
    </xf>
    <xf numFmtId="165" fontId="48" fillId="0" borderId="13" xfId="1" applyNumberFormat="1" applyFont="1" applyBorder="1"/>
    <xf numFmtId="0" fontId="48" fillId="0" borderId="23" xfId="0" applyFont="1" applyBorder="1"/>
    <xf numFmtId="168" fontId="48" fillId="0" borderId="1" xfId="0" applyNumberFormat="1" applyFont="1" applyBorder="1" applyAlignment="1">
      <alignment horizontal="right"/>
    </xf>
    <xf numFmtId="168" fontId="48" fillId="0" borderId="1" xfId="0" applyNumberFormat="1" applyFont="1" applyBorder="1"/>
    <xf numFmtId="168" fontId="48" fillId="0" borderId="24" xfId="0" applyNumberFormat="1" applyFont="1" applyBorder="1"/>
    <xf numFmtId="0" fontId="49" fillId="0" borderId="23" xfId="0" applyFont="1" applyBorder="1"/>
    <xf numFmtId="171" fontId="49" fillId="0" borderId="1" xfId="0" applyNumberFormat="1" applyFont="1" applyBorder="1"/>
    <xf numFmtId="166" fontId="49" fillId="0" borderId="1" xfId="2" applyNumberFormat="1" applyFont="1" applyBorder="1"/>
    <xf numFmtId="0" fontId="49" fillId="0" borderId="1" xfId="0" applyFont="1" applyBorder="1"/>
    <xf numFmtId="166" fontId="49" fillId="0" borderId="24" xfId="2" applyNumberFormat="1" applyFont="1" applyBorder="1"/>
    <xf numFmtId="165" fontId="48" fillId="0" borderId="0" xfId="0" applyNumberFormat="1" applyFont="1"/>
    <xf numFmtId="165" fontId="48" fillId="0" borderId="11" xfId="1" applyNumberFormat="1" applyFont="1" applyBorder="1"/>
    <xf numFmtId="165" fontId="49" fillId="0" borderId="0" xfId="1" applyNumberFormat="1" applyFont="1" applyBorder="1"/>
    <xf numFmtId="165" fontId="49" fillId="0" borderId="11" xfId="1" applyNumberFormat="1" applyFont="1" applyBorder="1"/>
    <xf numFmtId="171" fontId="48" fillId="0" borderId="0" xfId="0" applyNumberFormat="1" applyFont="1"/>
    <xf numFmtId="166" fontId="56" fillId="0" borderId="0" xfId="2" applyNumberFormat="1" applyFont="1" applyBorder="1"/>
    <xf numFmtId="166" fontId="56" fillId="0" borderId="11" xfId="2" applyNumberFormat="1" applyFont="1" applyBorder="1"/>
    <xf numFmtId="166" fontId="57" fillId="0" borderId="0" xfId="2" applyNumberFormat="1" applyFont="1" applyBorder="1"/>
    <xf numFmtId="0" fontId="48" fillId="0" borderId="12" xfId="0" applyFont="1" applyBorder="1" applyAlignment="1">
      <alignment horizontal="left" indent="1"/>
    </xf>
    <xf numFmtId="0" fontId="48" fillId="0" borderId="1" xfId="0" applyFont="1" applyBorder="1" applyAlignment="1">
      <alignment horizontal="left" indent="1"/>
    </xf>
    <xf numFmtId="171" fontId="48" fillId="0" borderId="13" xfId="8" applyNumberFormat="1" applyFont="1" applyBorder="1"/>
    <xf numFmtId="165" fontId="48" fillId="0" borderId="0" xfId="1" applyNumberFormat="1" applyFont="1" applyBorder="1"/>
    <xf numFmtId="165" fontId="54" fillId="0" borderId="0" xfId="1" applyNumberFormat="1" applyFont="1" applyBorder="1"/>
    <xf numFmtId="165" fontId="48" fillId="0" borderId="11" xfId="0" applyNumberFormat="1" applyFont="1" applyBorder="1"/>
    <xf numFmtId="165" fontId="48" fillId="0" borderId="1" xfId="0" applyNumberFormat="1" applyFont="1" applyBorder="1"/>
    <xf numFmtId="0" fontId="52" fillId="0" borderId="7" xfId="0" applyFont="1" applyBorder="1" applyAlignment="1">
      <alignment horizontal="centerContinuous"/>
    </xf>
    <xf numFmtId="0" fontId="52" fillId="0" borderId="8" xfId="0" applyFont="1" applyBorder="1" applyAlignment="1">
      <alignment horizontal="centerContinuous"/>
    </xf>
    <xf numFmtId="0" fontId="52" fillId="0" borderId="9" xfId="0" applyFont="1" applyBorder="1" applyAlignment="1">
      <alignment horizontal="centerContinuous"/>
    </xf>
    <xf numFmtId="171" fontId="57" fillId="0" borderId="0" xfId="8" applyNumberFormat="1" applyFont="1" applyBorder="1"/>
    <xf numFmtId="0" fontId="49" fillId="0" borderId="14" xfId="0" applyFont="1" applyBorder="1"/>
    <xf numFmtId="171" fontId="49" fillId="0" borderId="4" xfId="8" applyNumberFormat="1" applyFont="1" applyBorder="1"/>
    <xf numFmtId="0" fontId="48" fillId="0" borderId="4" xfId="0" applyFont="1" applyBorder="1"/>
    <xf numFmtId="0" fontId="49" fillId="0" borderId="4" xfId="0" applyFont="1" applyBorder="1"/>
    <xf numFmtId="171" fontId="49" fillId="0" borderId="15" xfId="8" applyNumberFormat="1" applyFont="1" applyBorder="1"/>
    <xf numFmtId="165" fontId="49" fillId="0" borderId="0" xfId="0" applyNumberFormat="1" applyFont="1" applyBorder="1"/>
    <xf numFmtId="165" fontId="49" fillId="0" borderId="11" xfId="0" applyNumberFormat="1" applyFont="1" applyBorder="1"/>
    <xf numFmtId="0" fontId="52" fillId="0" borderId="10" xfId="0" applyFont="1" applyBorder="1" applyAlignment="1">
      <alignment horizontal="centerContinuous"/>
    </xf>
    <xf numFmtId="0" fontId="52" fillId="0" borderId="11" xfId="0" applyFont="1" applyBorder="1" applyAlignment="1">
      <alignment horizontal="centerContinuous"/>
    </xf>
    <xf numFmtId="9" fontId="48" fillId="0" borderId="10" xfId="2" applyFont="1" applyBorder="1" applyAlignment="1">
      <alignment horizontal="center"/>
    </xf>
    <xf numFmtId="168" fontId="48" fillId="0" borderId="11" xfId="0" applyNumberFormat="1" applyFont="1" applyBorder="1"/>
    <xf numFmtId="0" fontId="58" fillId="0" borderId="14" xfId="0" applyFont="1" applyBorder="1"/>
    <xf numFmtId="9" fontId="58" fillId="0" borderId="4" xfId="2" applyFont="1" applyBorder="1"/>
    <xf numFmtId="9" fontId="58" fillId="0" borderId="15" xfId="2" applyFont="1" applyBorder="1"/>
    <xf numFmtId="0" fontId="49" fillId="0" borderId="0" xfId="0" applyFont="1" applyBorder="1"/>
    <xf numFmtId="9" fontId="48" fillId="0" borderId="14" xfId="2" applyFont="1" applyBorder="1" applyAlignment="1">
      <alignment horizontal="center"/>
    </xf>
    <xf numFmtId="166" fontId="48" fillId="0" borderId="4" xfId="2" applyNumberFormat="1" applyFont="1" applyBorder="1"/>
    <xf numFmtId="168" fontId="48" fillId="0" borderId="15" xfId="0" applyNumberFormat="1" applyFont="1" applyBorder="1"/>
    <xf numFmtId="164" fontId="52" fillId="0" borderId="0" xfId="0" applyNumberFormat="1" applyFont="1" applyBorder="1" applyAlignment="1">
      <alignment horizontal="centerContinuous"/>
    </xf>
    <xf numFmtId="164" fontId="49" fillId="0" borderId="0" xfId="0" applyNumberFormat="1" applyFont="1" applyBorder="1" applyAlignment="1">
      <alignment horizontal="center"/>
    </xf>
    <xf numFmtId="3" fontId="48" fillId="0" borderId="0" xfId="0" applyNumberFormat="1" applyFont="1" applyBorder="1"/>
    <xf numFmtId="0" fontId="49" fillId="0" borderId="12" xfId="0" applyFont="1" applyBorder="1"/>
    <xf numFmtId="164" fontId="52" fillId="0" borderId="8" xfId="0" applyNumberFormat="1" applyFont="1" applyBorder="1" applyAlignment="1">
      <alignment horizontal="centerContinuous"/>
    </xf>
    <xf numFmtId="164" fontId="52" fillId="0" borderId="9" xfId="0" applyNumberFormat="1" applyFont="1" applyBorder="1" applyAlignment="1">
      <alignment horizontal="centerContinuous"/>
    </xf>
    <xf numFmtId="164" fontId="49" fillId="0" borderId="11" xfId="0" applyNumberFormat="1" applyFont="1" applyBorder="1" applyAlignment="1">
      <alignment horizontal="center"/>
    </xf>
    <xf numFmtId="0" fontId="56" fillId="0" borderId="7" xfId="0" applyFont="1" applyBorder="1" applyAlignment="1">
      <alignment horizontal="left" indent="1"/>
    </xf>
    <xf numFmtId="173" fontId="58" fillId="0" borderId="8" xfId="1" applyNumberFormat="1" applyFont="1" applyBorder="1" applyAlignment="1">
      <alignment horizontal="centerContinuous"/>
    </xf>
    <xf numFmtId="173" fontId="58" fillId="0" borderId="9" xfId="1" applyNumberFormat="1" applyFont="1" applyBorder="1" applyAlignment="1">
      <alignment horizontal="centerContinuous"/>
    </xf>
    <xf numFmtId="0" fontId="49" fillId="0" borderId="19" xfId="0" applyFont="1" applyBorder="1" applyAlignment="1">
      <alignment horizontal="center"/>
    </xf>
    <xf numFmtId="0" fontId="49" fillId="0" borderId="25" xfId="0" applyFont="1" applyBorder="1" applyAlignment="1">
      <alignment horizontal="center"/>
    </xf>
    <xf numFmtId="171" fontId="54" fillId="0" borderId="0" xfId="8" applyNumberFormat="1" applyFont="1" applyBorder="1"/>
    <xf numFmtId="168" fontId="53" fillId="0" borderId="13" xfId="0" applyNumberFormat="1" applyFont="1" applyBorder="1"/>
    <xf numFmtId="166" fontId="49" fillId="0" borderId="0" xfId="2" applyNumberFormat="1" applyFont="1" applyBorder="1"/>
    <xf numFmtId="168" fontId="49" fillId="0" borderId="11" xfId="0" applyNumberFormat="1" applyFont="1" applyBorder="1"/>
    <xf numFmtId="0" fontId="56" fillId="0" borderId="10" xfId="0" quotePrefix="1" applyFont="1" applyBorder="1"/>
    <xf numFmtId="166" fontId="49" fillId="0" borderId="0" xfId="2" applyNumberFormat="1" applyFont="1" applyBorder="1" applyAlignment="1">
      <alignment horizontal="right"/>
    </xf>
    <xf numFmtId="168" fontId="49" fillId="0" borderId="11" xfId="0" applyNumberFormat="1" applyFont="1" applyBorder="1" applyAlignment="1">
      <alignment horizontal="right"/>
    </xf>
    <xf numFmtId="171" fontId="54" fillId="0" borderId="4" xfId="8" applyNumberFormat="1" applyFont="1" applyBorder="1"/>
    <xf numFmtId="171" fontId="54" fillId="0" borderId="15" xfId="8" applyNumberFormat="1" applyFont="1" applyBorder="1"/>
    <xf numFmtId="8" fontId="48" fillId="0" borderId="0" xfId="0" applyNumberFormat="1" applyFont="1"/>
    <xf numFmtId="166" fontId="49" fillId="0" borderId="4" xfId="2" applyNumberFormat="1" applyFont="1" applyBorder="1"/>
    <xf numFmtId="168" fontId="49" fillId="0" borderId="15" xfId="0" applyNumberFormat="1" applyFont="1" applyBorder="1"/>
    <xf numFmtId="0" fontId="48" fillId="0" borderId="15" xfId="0" applyFont="1" applyBorder="1"/>
    <xf numFmtId="0" fontId="49" fillId="0" borderId="0" xfId="0" applyFont="1"/>
    <xf numFmtId="175" fontId="48" fillId="0" borderId="0" xfId="1" applyNumberFormat="1" applyFont="1"/>
    <xf numFmtId="0" fontId="49" fillId="0" borderId="18" xfId="1" applyNumberFormat="1" applyFont="1" applyBorder="1" applyAlignment="1"/>
    <xf numFmtId="165" fontId="48" fillId="0" borderId="19" xfId="1" applyNumberFormat="1" applyFont="1" applyBorder="1"/>
    <xf numFmtId="165" fontId="48" fillId="0" borderId="0" xfId="1" applyNumberFormat="1" applyFont="1"/>
    <xf numFmtId="0" fontId="49" fillId="0" borderId="21" xfId="0" applyFont="1" applyBorder="1"/>
    <xf numFmtId="43" fontId="48" fillId="0" borderId="0" xfId="1" applyNumberFormat="1" applyFont="1"/>
    <xf numFmtId="0" fontId="59" fillId="0" borderId="0" xfId="1" applyNumberFormat="1" applyFont="1" applyBorder="1" applyAlignment="1">
      <alignment horizontal="center"/>
    </xf>
    <xf numFmtId="165" fontId="59" fillId="0" borderId="0" xfId="1" applyNumberFormat="1" applyFont="1" applyBorder="1" applyAlignment="1">
      <alignment horizontal="center"/>
    </xf>
    <xf numFmtId="166" fontId="53" fillId="0" borderId="0" xfId="2" applyNumberFormat="1" applyFont="1"/>
    <xf numFmtId="14" fontId="59" fillId="0" borderId="0" xfId="1" applyNumberFormat="1" applyFont="1" applyBorder="1"/>
    <xf numFmtId="14" fontId="60" fillId="0" borderId="0" xfId="1" applyNumberFormat="1" applyFont="1" applyBorder="1" applyAlignment="1">
      <alignment horizontal="center"/>
    </xf>
    <xf numFmtId="165" fontId="61" fillId="0" borderId="0" xfId="1" applyNumberFormat="1" applyFont="1" applyBorder="1" applyAlignment="1">
      <alignment horizontal="centerContinuous"/>
    </xf>
    <xf numFmtId="164" fontId="49" fillId="0" borderId="0" xfId="0" quotePrefix="1" applyNumberFormat="1" applyFont="1" applyBorder="1" applyAlignment="1">
      <alignment horizontal="center"/>
    </xf>
    <xf numFmtId="165" fontId="49" fillId="0" borderId="0" xfId="1" applyNumberFormat="1" applyFont="1"/>
    <xf numFmtId="0" fontId="62" fillId="0" borderId="0" xfId="37" applyFont="1"/>
    <xf numFmtId="0" fontId="48" fillId="0" borderId="0" xfId="0" applyFont="1" applyAlignment="1">
      <alignment horizontal="center"/>
    </xf>
    <xf numFmtId="165" fontId="53" fillId="0" borderId="0" xfId="1" applyNumberFormat="1" applyFont="1"/>
    <xf numFmtId="10" fontId="53" fillId="0" borderId="0" xfId="2" applyNumberFormat="1" applyFont="1"/>
    <xf numFmtId="41" fontId="63" fillId="0" borderId="0" xfId="4" applyNumberFormat="1" applyFont="1" applyProtection="1"/>
    <xf numFmtId="41" fontId="64" fillId="0" borderId="0" xfId="4" applyNumberFormat="1" applyFont="1" applyProtection="1"/>
    <xf numFmtId="14" fontId="65" fillId="0" borderId="3" xfId="3" applyNumberFormat="1" applyFont="1" applyBorder="1" applyAlignment="1" applyProtection="1">
      <alignment horizontal="center"/>
    </xf>
    <xf numFmtId="41" fontId="63" fillId="0" borderId="0" xfId="4" applyNumberFormat="1" applyFont="1" applyFill="1" applyProtection="1"/>
    <xf numFmtId="0" fontId="49" fillId="0" borderId="0" xfId="0" applyFont="1" applyFill="1" applyBorder="1"/>
    <xf numFmtId="0" fontId="66" fillId="0" borderId="0" xfId="3" applyNumberFormat="1" applyFont="1" applyFill="1" applyAlignment="1" applyProtection="1">
      <alignment horizontal="centerContinuous"/>
    </xf>
    <xf numFmtId="169" fontId="67" fillId="0" borderId="0" xfId="4" applyNumberFormat="1" applyFont="1" applyAlignment="1" applyProtection="1">
      <alignment horizontal="center"/>
    </xf>
    <xf numFmtId="0" fontId="68" fillId="0" borderId="0" xfId="3" applyNumberFormat="1" applyFont="1" applyAlignment="1" applyProtection="1">
      <alignment horizontal="center"/>
    </xf>
    <xf numFmtId="14" fontId="64" fillId="0" borderId="0" xfId="4" applyNumberFormat="1" applyFont="1" applyBorder="1" applyAlignment="1" applyProtection="1">
      <alignment horizontal="center"/>
    </xf>
    <xf numFmtId="14" fontId="49" fillId="0" borderId="3" xfId="3" applyNumberFormat="1" applyFont="1" applyBorder="1" applyAlignment="1" applyProtection="1">
      <alignment horizontal="center"/>
    </xf>
    <xf numFmtId="41" fontId="63" fillId="0" borderId="0" xfId="4" applyNumberFormat="1" applyFont="1" applyBorder="1" applyProtection="1"/>
    <xf numFmtId="165" fontId="63" fillId="0" borderId="0" xfId="7" applyNumberFormat="1" applyFont="1" applyFill="1" applyBorder="1" applyProtection="1"/>
    <xf numFmtId="165" fontId="69" fillId="0" borderId="0" xfId="7" applyNumberFormat="1" applyFont="1" applyBorder="1" applyProtection="1"/>
    <xf numFmtId="165" fontId="63" fillId="0" borderId="0" xfId="7" applyNumberFormat="1" applyFont="1" applyBorder="1" applyProtection="1"/>
    <xf numFmtId="41" fontId="63" fillId="0" borderId="0" xfId="4" applyNumberFormat="1" applyFont="1" applyBorder="1" applyAlignment="1" applyProtection="1">
      <alignment horizontal="left"/>
    </xf>
    <xf numFmtId="165" fontId="70" fillId="4" borderId="0" xfId="7" applyNumberFormat="1" applyFont="1" applyFill="1" applyBorder="1" applyProtection="1">
      <protection locked="0"/>
    </xf>
    <xf numFmtId="165" fontId="70" fillId="4" borderId="1" xfId="7" applyNumberFormat="1" applyFont="1" applyFill="1" applyBorder="1" applyProtection="1">
      <protection locked="0"/>
    </xf>
    <xf numFmtId="41" fontId="63" fillId="0" borderId="0" xfId="4" applyNumberFormat="1" applyFont="1" applyFill="1" applyBorder="1" applyProtection="1"/>
    <xf numFmtId="9" fontId="63" fillId="0" borderId="0" xfId="6" applyFont="1" applyFill="1" applyProtection="1"/>
    <xf numFmtId="9" fontId="70" fillId="4" borderId="0" xfId="6" applyFont="1" applyFill="1" applyProtection="1">
      <protection locked="0"/>
    </xf>
    <xf numFmtId="9" fontId="71" fillId="4" borderId="0" xfId="6" applyFont="1" applyFill="1" applyProtection="1">
      <protection locked="0"/>
    </xf>
    <xf numFmtId="9" fontId="63" fillId="0" borderId="0" xfId="6" applyFont="1" applyProtection="1"/>
    <xf numFmtId="43" fontId="63" fillId="0" borderId="0" xfId="1" applyFont="1" applyProtection="1"/>
    <xf numFmtId="165" fontId="63" fillId="0" borderId="0" xfId="4" applyNumberFormat="1" applyFont="1" applyProtection="1"/>
    <xf numFmtId="41" fontId="70" fillId="4" borderId="0" xfId="4" applyNumberFormat="1" applyFont="1" applyFill="1" applyProtection="1">
      <protection locked="0"/>
    </xf>
    <xf numFmtId="166" fontId="63" fillId="0" borderId="0" xfId="4" applyNumberFormat="1" applyFont="1" applyBorder="1" applyProtection="1"/>
    <xf numFmtId="41" fontId="54" fillId="0" borderId="0" xfId="4" applyNumberFormat="1" applyFont="1"/>
    <xf numFmtId="41" fontId="53" fillId="4" borderId="0" xfId="4" applyNumberFormat="1" applyFont="1" applyFill="1" applyBorder="1" applyProtection="1">
      <protection locked="0"/>
    </xf>
    <xf numFmtId="0" fontId="72" fillId="0" borderId="0" xfId="3" applyNumberFormat="1" applyFont="1" applyAlignment="1">
      <alignment horizontal="center"/>
    </xf>
    <xf numFmtId="166" fontId="48" fillId="0" borderId="0" xfId="84" applyNumberFormat="1" applyFont="1"/>
    <xf numFmtId="10" fontId="73" fillId="4" borderId="0" xfId="2" applyNumberFormat="1" applyFont="1" applyFill="1" applyBorder="1" applyProtection="1">
      <protection locked="0"/>
    </xf>
    <xf numFmtId="0" fontId="74" fillId="0" borderId="0" xfId="3" applyNumberFormat="1" applyFont="1"/>
    <xf numFmtId="0" fontId="74" fillId="0" borderId="0" xfId="3" applyNumberFormat="1" applyFont="1" applyAlignment="1">
      <alignment horizontal="left"/>
    </xf>
    <xf numFmtId="0" fontId="75" fillId="0" borderId="0" xfId="3" applyFont="1" applyAlignment="1">
      <alignment horizontal="center"/>
    </xf>
    <xf numFmtId="0" fontId="54" fillId="0" borderId="0" xfId="4" applyNumberFormat="1" applyFont="1"/>
    <xf numFmtId="0" fontId="76" fillId="0" borderId="0" xfId="4" applyNumberFormat="1" applyFont="1"/>
    <xf numFmtId="41" fontId="54" fillId="0" borderId="0" xfId="4" applyNumberFormat="1" applyFont="1" applyFill="1" applyBorder="1"/>
    <xf numFmtId="41" fontId="54" fillId="0" borderId="0" xfId="4" applyNumberFormat="1" applyFont="1" applyFill="1" applyBorder="1" applyAlignment="1">
      <alignment horizontal="right"/>
    </xf>
    <xf numFmtId="0" fontId="54" fillId="0" borderId="0" xfId="4" applyNumberFormat="1" applyFont="1" applyBorder="1"/>
    <xf numFmtId="9" fontId="54" fillId="0" borderId="0" xfId="4" applyNumberFormat="1" applyFont="1" applyFill="1" applyBorder="1" applyAlignment="1">
      <alignment horizontal="right"/>
    </xf>
    <xf numFmtId="9" fontId="54" fillId="0" borderId="0" xfId="4" applyNumberFormat="1" applyFont="1" applyFill="1" applyBorder="1"/>
    <xf numFmtId="10" fontId="73" fillId="4" borderId="1" xfId="2" applyNumberFormat="1" applyFont="1" applyFill="1" applyBorder="1" applyProtection="1">
      <protection locked="0"/>
    </xf>
    <xf numFmtId="10" fontId="77" fillId="4" borderId="1" xfId="2" applyNumberFormat="1" applyFont="1" applyFill="1" applyBorder="1" applyProtection="1">
      <protection locked="0"/>
    </xf>
    <xf numFmtId="41" fontId="48" fillId="0" borderId="0" xfId="4" applyNumberFormat="1" applyFont="1" applyFill="1" applyBorder="1"/>
    <xf numFmtId="165" fontId="54" fillId="0" borderId="0" xfId="1" applyNumberFormat="1" applyFont="1" applyFill="1" applyBorder="1"/>
    <xf numFmtId="165" fontId="54" fillId="0" borderId="0" xfId="1" applyNumberFormat="1" applyFont="1" applyFill="1" applyBorder="1" applyAlignment="1">
      <alignment horizontal="right"/>
    </xf>
    <xf numFmtId="165" fontId="76" fillId="0" borderId="6" xfId="1" applyNumberFormat="1" applyFont="1" applyFill="1" applyBorder="1" applyAlignment="1">
      <alignment horizontal="right"/>
    </xf>
    <xf numFmtId="0" fontId="54" fillId="0" borderId="0" xfId="4" applyNumberFormat="1" applyFont="1" applyFill="1" applyBorder="1" applyAlignment="1">
      <alignment horizontal="right"/>
    </xf>
    <xf numFmtId="41" fontId="76" fillId="0" borderId="0" xfId="4" applyNumberFormat="1" applyFont="1"/>
    <xf numFmtId="14" fontId="78" fillId="0" borderId="3" xfId="3" applyNumberFormat="1" applyFont="1" applyBorder="1" applyAlignment="1">
      <alignment horizontal="center"/>
    </xf>
    <xf numFmtId="41" fontId="73" fillId="4" borderId="0" xfId="4" applyNumberFormat="1" applyFont="1" applyFill="1" applyBorder="1" applyProtection="1">
      <protection locked="0"/>
    </xf>
    <xf numFmtId="10" fontId="73" fillId="4" borderId="0" xfId="4" applyNumberFormat="1" applyFont="1" applyFill="1" applyBorder="1" applyProtection="1">
      <protection locked="0"/>
    </xf>
    <xf numFmtId="0" fontId="49" fillId="0" borderId="0" xfId="3" applyNumberFormat="1" applyFont="1" applyAlignment="1">
      <alignment horizontal="center"/>
    </xf>
    <xf numFmtId="41" fontId="49" fillId="0" borderId="0" xfId="3" applyNumberFormat="1" applyFont="1" applyAlignment="1">
      <alignment horizontal="center"/>
    </xf>
    <xf numFmtId="165" fontId="79" fillId="0" borderId="1" xfId="1" applyNumberFormat="1" applyFont="1" applyBorder="1" applyAlignment="1">
      <alignment horizontal="center"/>
    </xf>
    <xf numFmtId="165" fontId="49" fillId="0" borderId="0" xfId="1" applyNumberFormat="1" applyFont="1" applyAlignment="1">
      <alignment horizontal="center"/>
    </xf>
    <xf numFmtId="41" fontId="54" fillId="4" borderId="0" xfId="4" applyNumberFormat="1" applyFont="1" applyFill="1" applyBorder="1" applyProtection="1">
      <protection locked="0"/>
    </xf>
    <xf numFmtId="10" fontId="77" fillId="4" borderId="0" xfId="2" applyNumberFormat="1" applyFont="1" applyFill="1" applyBorder="1" applyProtection="1">
      <protection locked="0"/>
    </xf>
    <xf numFmtId="10" fontId="54" fillId="4" borderId="0" xfId="4" applyNumberFormat="1" applyFont="1" applyFill="1" applyBorder="1" applyProtection="1">
      <protection locked="0"/>
    </xf>
    <xf numFmtId="165" fontId="54" fillId="4" borderId="0" xfId="1" applyNumberFormat="1" applyFont="1" applyFill="1" applyBorder="1" applyProtection="1">
      <protection locked="0"/>
    </xf>
    <xf numFmtId="165" fontId="49" fillId="0" borderId="0" xfId="3" applyNumberFormat="1" applyFont="1" applyAlignment="1">
      <alignment horizontal="center"/>
    </xf>
    <xf numFmtId="0" fontId="80" fillId="0" borderId="0" xfId="4" applyNumberFormat="1" applyFont="1" applyFill="1" applyBorder="1" applyAlignment="1">
      <alignment horizontal="center"/>
    </xf>
    <xf numFmtId="9" fontId="54" fillId="0" borderId="1" xfId="4" applyNumberFormat="1" applyFont="1" applyFill="1" applyBorder="1"/>
    <xf numFmtId="41" fontId="76" fillId="0" borderId="0" xfId="4" applyNumberFormat="1" applyFont="1" applyFill="1" applyBorder="1"/>
    <xf numFmtId="168" fontId="58" fillId="0" borderId="0" xfId="0" applyNumberFormat="1" applyFont="1" applyBorder="1"/>
    <xf numFmtId="41" fontId="81" fillId="0" borderId="0" xfId="4" applyNumberFormat="1" applyFont="1" applyFill="1" applyBorder="1"/>
    <xf numFmtId="41" fontId="81" fillId="0" borderId="4" xfId="4" applyNumberFormat="1" applyFont="1" applyFill="1" applyBorder="1"/>
    <xf numFmtId="166" fontId="82" fillId="4" borderId="0" xfId="4" applyNumberFormat="1" applyFont="1" applyFill="1" applyBorder="1" applyProtection="1">
      <protection locked="0"/>
    </xf>
    <xf numFmtId="41" fontId="54" fillId="0" borderId="6" xfId="4" applyNumberFormat="1" applyFont="1" applyFill="1" applyBorder="1"/>
    <xf numFmtId="9" fontId="54" fillId="0" borderId="0" xfId="2" applyFont="1" applyFill="1" applyBorder="1"/>
    <xf numFmtId="0" fontId="48" fillId="0" borderId="0" xfId="3" applyFont="1"/>
    <xf numFmtId="0" fontId="83" fillId="0" borderId="0" xfId="3" applyNumberFormat="1" applyFont="1"/>
    <xf numFmtId="0" fontId="49" fillId="0" borderId="0" xfId="3" applyNumberFormat="1" applyFont="1"/>
    <xf numFmtId="166" fontId="49" fillId="0" borderId="0" xfId="2" applyNumberFormat="1" applyFont="1"/>
    <xf numFmtId="166" fontId="49" fillId="2" borderId="26" xfId="2" applyNumberFormat="1" applyFont="1" applyFill="1" applyBorder="1"/>
    <xf numFmtId="166" fontId="49" fillId="2" borderId="28" xfId="2" applyNumberFormat="1" applyFont="1" applyFill="1" applyBorder="1"/>
    <xf numFmtId="166" fontId="49" fillId="2" borderId="0" xfId="2" applyNumberFormat="1" applyFont="1" applyFill="1" applyBorder="1"/>
    <xf numFmtId="0" fontId="83" fillId="0" borderId="0" xfId="3" applyNumberFormat="1" applyFont="1" applyAlignment="1">
      <alignment horizontal="center"/>
    </xf>
    <xf numFmtId="0" fontId="84" fillId="5" borderId="0" xfId="3" applyFont="1" applyFill="1" applyAlignment="1">
      <alignment horizontal="center"/>
    </xf>
    <xf numFmtId="0" fontId="84" fillId="3" borderId="0" xfId="3" applyFont="1" applyFill="1" applyAlignment="1">
      <alignment horizontal="center"/>
    </xf>
    <xf numFmtId="49" fontId="74" fillId="0" borderId="0" xfId="3" applyNumberFormat="1" applyFont="1" applyAlignment="1">
      <alignment horizontal="center"/>
    </xf>
    <xf numFmtId="0" fontId="48" fillId="0" borderId="0" xfId="3" applyFont="1" applyAlignment="1">
      <alignment horizontal="center"/>
    </xf>
    <xf numFmtId="164" fontId="49" fillId="0" borderId="0" xfId="3" applyNumberFormat="1" applyFont="1" applyAlignment="1">
      <alignment horizontal="center"/>
    </xf>
    <xf numFmtId="165" fontId="80" fillId="2" borderId="28" xfId="1" applyNumberFormat="1" applyFont="1" applyFill="1" applyBorder="1"/>
    <xf numFmtId="41" fontId="78" fillId="0" borderId="6" xfId="3" applyNumberFormat="1" applyFont="1" applyBorder="1"/>
    <xf numFmtId="165" fontId="49" fillId="0" borderId="6" xfId="1" applyNumberFormat="1" applyFont="1" applyBorder="1"/>
    <xf numFmtId="0" fontId="85" fillId="0" borderId="0" xfId="3" applyNumberFormat="1" applyFont="1"/>
    <xf numFmtId="41" fontId="48" fillId="0" borderId="0" xfId="3" applyNumberFormat="1" applyFont="1" applyFill="1"/>
    <xf numFmtId="0" fontId="86" fillId="0" borderId="0" xfId="3" applyNumberFormat="1" applyFont="1"/>
    <xf numFmtId="41" fontId="78" fillId="0" borderId="0" xfId="3" applyNumberFormat="1" applyFont="1" applyBorder="1"/>
    <xf numFmtId="43" fontId="49" fillId="0" borderId="0" xfId="1" applyFont="1" applyBorder="1"/>
    <xf numFmtId="9" fontId="49" fillId="0" borderId="0" xfId="2" applyFont="1" applyBorder="1"/>
    <xf numFmtId="41" fontId="82" fillId="4" borderId="0" xfId="2" applyNumberFormat="1" applyFont="1" applyFill="1" applyBorder="1" applyProtection="1">
      <protection locked="0"/>
    </xf>
    <xf numFmtId="41" fontId="76" fillId="4" borderId="0" xfId="2" applyNumberFormat="1" applyFont="1" applyFill="1" applyBorder="1" applyProtection="1">
      <protection locked="0"/>
    </xf>
    <xf numFmtId="165" fontId="76" fillId="4" borderId="0" xfId="1" applyNumberFormat="1" applyFont="1" applyFill="1" applyBorder="1" applyProtection="1">
      <protection locked="0"/>
    </xf>
    <xf numFmtId="9" fontId="82" fillId="4" borderId="0" xfId="2" applyFont="1" applyFill="1" applyBorder="1" applyProtection="1">
      <protection locked="0"/>
    </xf>
    <xf numFmtId="9" fontId="87" fillId="4" borderId="0" xfId="6" applyNumberFormat="1" applyFont="1" applyFill="1" applyBorder="1" applyAlignment="1" applyProtection="1">
      <alignment horizontal="center"/>
      <protection locked="0"/>
    </xf>
    <xf numFmtId="9" fontId="80" fillId="4" borderId="0" xfId="2" applyFont="1" applyFill="1" applyBorder="1" applyAlignment="1" applyProtection="1">
      <alignment horizontal="right"/>
      <protection locked="0"/>
    </xf>
    <xf numFmtId="9" fontId="87" fillId="4" borderId="0" xfId="6" applyNumberFormat="1" applyFont="1" applyFill="1" applyBorder="1" applyProtection="1">
      <protection locked="0"/>
    </xf>
    <xf numFmtId="166" fontId="86" fillId="0" borderId="0" xfId="2" applyNumberFormat="1" applyFont="1"/>
    <xf numFmtId="9" fontId="82" fillId="4" borderId="0" xfId="6" applyNumberFormat="1" applyFont="1" applyFill="1" applyBorder="1" applyProtection="1">
      <protection locked="0"/>
    </xf>
    <xf numFmtId="9" fontId="88" fillId="4" borderId="0" xfId="6" applyNumberFormat="1" applyFont="1" applyFill="1" applyBorder="1" applyProtection="1">
      <protection locked="0"/>
    </xf>
    <xf numFmtId="166" fontId="82" fillId="4" borderId="0" xfId="6" applyNumberFormat="1" applyFont="1" applyFill="1" applyBorder="1" applyProtection="1">
      <protection locked="0"/>
    </xf>
    <xf numFmtId="166" fontId="89" fillId="4" borderId="0" xfId="6" applyNumberFormat="1" applyFont="1" applyFill="1" applyBorder="1" applyProtection="1">
      <protection locked="0"/>
    </xf>
    <xf numFmtId="166" fontId="87" fillId="4" borderId="0" xfId="6" applyNumberFormat="1" applyFont="1" applyFill="1" applyBorder="1" applyProtection="1">
      <protection locked="0"/>
    </xf>
    <xf numFmtId="165" fontId="49" fillId="0" borderId="6" xfId="3" applyNumberFormat="1" applyFont="1" applyBorder="1"/>
    <xf numFmtId="9" fontId="80" fillId="4" borderId="0" xfId="6" applyNumberFormat="1" applyFont="1" applyFill="1" applyBorder="1" applyProtection="1">
      <protection locked="0"/>
    </xf>
    <xf numFmtId="165" fontId="53" fillId="0" borderId="0" xfId="1" applyNumberFormat="1" applyFont="1" applyFill="1"/>
    <xf numFmtId="41" fontId="54" fillId="0" borderId="19" xfId="4" applyNumberFormat="1" applyFont="1" applyBorder="1" applyProtection="1"/>
    <xf numFmtId="41" fontId="76" fillId="0" borderId="0" xfId="4" applyNumberFormat="1" applyFont="1" applyBorder="1" applyProtection="1"/>
    <xf numFmtId="41" fontId="54" fillId="0" borderId="0" xfId="4" applyNumberFormat="1" applyFont="1" applyProtection="1"/>
    <xf numFmtId="41" fontId="54" fillId="0" borderId="0" xfId="4" applyNumberFormat="1" applyFont="1" applyBorder="1" applyProtection="1"/>
    <xf numFmtId="167" fontId="76" fillId="0" borderId="0" xfId="4" applyNumberFormat="1" applyFont="1" applyBorder="1" applyProtection="1"/>
    <xf numFmtId="0" fontId="74" fillId="0" borderId="21" xfId="3" applyNumberFormat="1" applyFont="1" applyBorder="1" applyProtection="1"/>
    <xf numFmtId="0" fontId="90" fillId="0" borderId="0" xfId="4" applyNumberFormat="1" applyFont="1" applyBorder="1" applyProtection="1"/>
    <xf numFmtId="41" fontId="76" fillId="38" borderId="0" xfId="4" applyNumberFormat="1" applyFont="1" applyFill="1" applyBorder="1" applyProtection="1"/>
    <xf numFmtId="41" fontId="54" fillId="0" borderId="21" xfId="4" applyNumberFormat="1" applyFont="1" applyBorder="1" applyProtection="1"/>
    <xf numFmtId="0" fontId="49" fillId="0" borderId="0" xfId="3" applyNumberFormat="1" applyFont="1" applyBorder="1" applyAlignment="1" applyProtection="1">
      <alignment horizontal="center"/>
    </xf>
    <xf numFmtId="41" fontId="76" fillId="0" borderId="21" xfId="4" applyNumberFormat="1" applyFont="1" applyBorder="1" applyProtection="1"/>
    <xf numFmtId="14" fontId="91" fillId="0" borderId="0" xfId="4" applyNumberFormat="1" applyFont="1" applyBorder="1" applyProtection="1"/>
    <xf numFmtId="14" fontId="78" fillId="0" borderId="3" xfId="3" applyNumberFormat="1" applyFont="1" applyBorder="1" applyAlignment="1" applyProtection="1">
      <alignment horizontal="center"/>
    </xf>
    <xf numFmtId="41" fontId="60" fillId="0" borderId="21" xfId="4" applyNumberFormat="1" applyFont="1" applyBorder="1" applyProtection="1"/>
    <xf numFmtId="41" fontId="60" fillId="0" borderId="0" xfId="4" applyNumberFormat="1" applyFont="1" applyBorder="1" applyProtection="1"/>
    <xf numFmtId="41" fontId="56" fillId="0" borderId="0" xfId="4" applyNumberFormat="1" applyFont="1" applyBorder="1" applyProtection="1"/>
    <xf numFmtId="41" fontId="60" fillId="0" borderId="0" xfId="4" applyNumberFormat="1" applyFont="1" applyProtection="1"/>
    <xf numFmtId="42" fontId="60" fillId="0" borderId="21" xfId="4" applyNumberFormat="1" applyFont="1" applyBorder="1" applyProtection="1"/>
    <xf numFmtId="42" fontId="60" fillId="0" borderId="0" xfId="4" applyNumberFormat="1" applyFont="1" applyBorder="1" applyProtection="1"/>
    <xf numFmtId="41" fontId="92" fillId="6" borderId="0" xfId="4" applyNumberFormat="1" applyFont="1" applyFill="1" applyBorder="1" applyProtection="1"/>
    <xf numFmtId="41" fontId="92" fillId="0" borderId="0" xfId="4" applyNumberFormat="1" applyFont="1" applyBorder="1" applyProtection="1"/>
    <xf numFmtId="165" fontId="92" fillId="6" borderId="0" xfId="1" applyNumberFormat="1" applyFont="1" applyFill="1" applyBorder="1" applyProtection="1"/>
    <xf numFmtId="41" fontId="60" fillId="6" borderId="0" xfId="4" applyNumberFormat="1" applyFont="1" applyFill="1" applyBorder="1" applyProtection="1"/>
    <xf numFmtId="41" fontId="93" fillId="0" borderId="0" xfId="4" applyNumberFormat="1" applyFont="1" applyBorder="1" applyProtection="1"/>
    <xf numFmtId="167" fontId="54" fillId="4" borderId="5" xfId="4" applyNumberFormat="1" applyFont="1" applyFill="1" applyBorder="1" applyProtection="1">
      <protection locked="0"/>
    </xf>
    <xf numFmtId="167" fontId="80" fillId="2" borderId="5" xfId="4" applyNumberFormat="1" applyFont="1" applyFill="1" applyBorder="1" applyProtection="1">
      <protection locked="0"/>
    </xf>
    <xf numFmtId="167" fontId="77" fillId="4" borderId="5" xfId="4" applyNumberFormat="1" applyFont="1" applyFill="1" applyBorder="1" applyProtection="1">
      <protection locked="0"/>
    </xf>
    <xf numFmtId="166" fontId="54" fillId="4" borderId="5" xfId="4" applyNumberFormat="1" applyFont="1" applyFill="1" applyBorder="1" applyProtection="1">
      <protection locked="0"/>
    </xf>
    <xf numFmtId="166" fontId="77" fillId="4" borderId="5" xfId="2" applyNumberFormat="1" applyFont="1" applyFill="1" applyBorder="1" applyProtection="1">
      <protection locked="0"/>
    </xf>
    <xf numFmtId="166" fontId="54" fillId="4" borderId="5" xfId="2" applyNumberFormat="1" applyFont="1" applyFill="1" applyBorder="1" applyProtection="1">
      <protection locked="0"/>
    </xf>
    <xf numFmtId="166" fontId="80" fillId="2" borderId="5" xfId="2" applyNumberFormat="1" applyFont="1" applyFill="1" applyBorder="1" applyProtection="1">
      <protection locked="0"/>
    </xf>
    <xf numFmtId="9" fontId="77" fillId="4" borderId="5" xfId="2" applyFont="1" applyFill="1" applyBorder="1" applyProtection="1">
      <protection locked="0"/>
    </xf>
    <xf numFmtId="165" fontId="54" fillId="0" borderId="0" xfId="5" applyNumberFormat="1" applyFont="1" applyBorder="1" applyProtection="1"/>
    <xf numFmtId="167" fontId="54" fillId="4" borderId="0" xfId="4" applyNumberFormat="1" applyFont="1" applyFill="1" applyBorder="1" applyProtection="1">
      <protection locked="0"/>
    </xf>
    <xf numFmtId="0" fontId="90" fillId="0" borderId="0" xfId="4" applyNumberFormat="1" applyFont="1" applyBorder="1" applyAlignment="1" applyProtection="1">
      <alignment horizontal="center"/>
    </xf>
    <xf numFmtId="41" fontId="76" fillId="0" borderId="0" xfId="4" applyNumberFormat="1" applyFont="1" applyBorder="1" applyAlignment="1" applyProtection="1">
      <alignment horizontal="center"/>
    </xf>
    <xf numFmtId="41" fontId="73" fillId="4" borderId="5" xfId="4" applyNumberFormat="1" applyFont="1" applyFill="1" applyBorder="1" applyProtection="1">
      <protection locked="0"/>
    </xf>
    <xf numFmtId="41" fontId="54" fillId="0" borderId="22" xfId="4" applyNumberFormat="1" applyFont="1" applyBorder="1" applyProtection="1"/>
    <xf numFmtId="0" fontId="94" fillId="0" borderId="7" xfId="1" applyNumberFormat="1" applyFont="1" applyBorder="1" applyAlignment="1"/>
    <xf numFmtId="165" fontId="95" fillId="0" borderId="8" xfId="1" applyNumberFormat="1" applyFont="1" applyBorder="1"/>
    <xf numFmtId="0" fontId="94" fillId="0" borderId="10" xfId="0" applyFont="1" applyBorder="1"/>
    <xf numFmtId="0" fontId="96" fillId="0" borderId="0" xfId="1" applyNumberFormat="1" applyFont="1" applyBorder="1" applyAlignment="1">
      <alignment horizontal="center"/>
    </xf>
    <xf numFmtId="0" fontId="97" fillId="0" borderId="10" xfId="0" applyFont="1" applyBorder="1"/>
    <xf numFmtId="165" fontId="98" fillId="0" borderId="0" xfId="1" applyNumberFormat="1" applyFont="1" applyBorder="1" applyAlignment="1">
      <alignment horizontal="center"/>
    </xf>
    <xf numFmtId="0" fontId="94" fillId="0" borderId="12" xfId="0" applyFont="1" applyBorder="1"/>
    <xf numFmtId="165" fontId="98" fillId="0" borderId="1" xfId="1" applyNumberFormat="1" applyFont="1" applyBorder="1" applyAlignment="1">
      <alignment horizontal="center"/>
    </xf>
    <xf numFmtId="165" fontId="95" fillId="0" borderId="0" xfId="1" applyNumberFormat="1" applyFont="1" applyBorder="1"/>
    <xf numFmtId="0" fontId="95" fillId="0" borderId="10" xfId="0" applyFont="1" applyBorder="1"/>
    <xf numFmtId="0" fontId="94" fillId="0" borderId="0" xfId="0" applyFont="1" applyBorder="1" applyAlignment="1">
      <alignment horizontal="center"/>
    </xf>
    <xf numFmtId="0" fontId="95" fillId="0" borderId="0" xfId="0" applyFont="1" applyBorder="1"/>
    <xf numFmtId="164" fontId="94" fillId="0" borderId="1" xfId="0" applyNumberFormat="1" applyFont="1" applyBorder="1" applyAlignment="1">
      <alignment horizontal="center"/>
    </xf>
    <xf numFmtId="41" fontId="95" fillId="0" borderId="0" xfId="0" applyNumberFormat="1" applyFont="1" applyBorder="1"/>
    <xf numFmtId="41" fontId="99" fillId="0" borderId="0" xfId="0" applyNumberFormat="1" applyFont="1" applyBorder="1"/>
    <xf numFmtId="0" fontId="95" fillId="0" borderId="10" xfId="0" applyFont="1" applyBorder="1" applyAlignment="1">
      <alignment horizontal="left" indent="1"/>
    </xf>
    <xf numFmtId="165" fontId="95" fillId="0" borderId="1" xfId="1" applyNumberFormat="1" applyFont="1" applyBorder="1"/>
    <xf numFmtId="165" fontId="100" fillId="0" borderId="0" xfId="1" applyNumberFormat="1" applyFont="1" applyBorder="1"/>
    <xf numFmtId="165" fontId="95" fillId="0" borderId="6" xfId="1" applyNumberFormat="1" applyFont="1" applyBorder="1"/>
    <xf numFmtId="165" fontId="99" fillId="0" borderId="0" xfId="1" applyNumberFormat="1" applyFont="1" applyBorder="1"/>
    <xf numFmtId="165" fontId="95" fillId="0" borderId="0" xfId="1" applyNumberFormat="1" applyFont="1" applyBorder="1" applyAlignment="1">
      <alignment horizontal="left"/>
    </xf>
    <xf numFmtId="165" fontId="95" fillId="0" borderId="2" xfId="1" applyNumberFormat="1" applyFont="1" applyBorder="1"/>
    <xf numFmtId="0" fontId="95" fillId="0" borderId="14" xfId="0" applyFont="1" applyBorder="1"/>
    <xf numFmtId="165" fontId="95" fillId="0" borderId="4" xfId="1" applyNumberFormat="1" applyFont="1" applyBorder="1"/>
    <xf numFmtId="41" fontId="54" fillId="0" borderId="8" xfId="4" applyNumberFormat="1" applyFont="1" applyBorder="1"/>
    <xf numFmtId="41" fontId="54" fillId="0" borderId="0" xfId="4" applyNumberFormat="1" applyFont="1" applyBorder="1"/>
    <xf numFmtId="0" fontId="59" fillId="0" borderId="11" xfId="1" applyNumberFormat="1" applyFont="1" applyBorder="1" applyAlignment="1">
      <alignment horizontal="center"/>
    </xf>
    <xf numFmtId="0" fontId="74" fillId="0" borderId="10" xfId="3" applyNumberFormat="1" applyFont="1" applyBorder="1"/>
    <xf numFmtId="41" fontId="76" fillId="0" borderId="10" xfId="4" applyNumberFormat="1" applyFont="1" applyBorder="1"/>
    <xf numFmtId="14" fontId="101" fillId="0" borderId="0" xfId="4" applyNumberFormat="1" applyFont="1" applyBorder="1"/>
    <xf numFmtId="14" fontId="101" fillId="0" borderId="11" xfId="4" applyNumberFormat="1" applyFont="1" applyBorder="1"/>
    <xf numFmtId="41" fontId="54" fillId="0" borderId="10" xfId="4" applyNumberFormat="1" applyFont="1" applyBorder="1"/>
    <xf numFmtId="14" fontId="76" fillId="0" borderId="3" xfId="3" applyNumberFormat="1" applyFont="1" applyFill="1" applyBorder="1" applyAlignment="1">
      <alignment horizontal="center"/>
    </xf>
    <xf numFmtId="14" fontId="76" fillId="0" borderId="40" xfId="3" applyNumberFormat="1" applyFont="1" applyFill="1" applyBorder="1" applyAlignment="1">
      <alignment horizontal="center"/>
    </xf>
    <xf numFmtId="41" fontId="54" fillId="0" borderId="11" xfId="4" applyNumberFormat="1" applyFont="1" applyFill="1" applyBorder="1"/>
    <xf numFmtId="42" fontId="54" fillId="0" borderId="10" xfId="4" applyNumberFormat="1" applyFont="1" applyBorder="1"/>
    <xf numFmtId="41" fontId="54" fillId="0" borderId="1" xfId="4" applyNumberFormat="1" applyFont="1" applyFill="1" applyBorder="1"/>
    <xf numFmtId="165" fontId="54" fillId="0" borderId="11" xfId="1" applyNumberFormat="1" applyFont="1" applyFill="1" applyBorder="1"/>
    <xf numFmtId="41" fontId="54" fillId="0" borderId="0" xfId="4" applyNumberFormat="1" applyFont="1" applyFill="1" applyBorder="1" applyProtection="1">
      <protection locked="0"/>
    </xf>
    <xf numFmtId="41" fontId="54" fillId="0" borderId="11" xfId="4" applyNumberFormat="1" applyFont="1" applyFill="1" applyBorder="1" applyProtection="1">
      <protection locked="0"/>
    </xf>
    <xf numFmtId="41" fontId="54" fillId="0" borderId="4" xfId="4" applyNumberFormat="1" applyFont="1" applyFill="1" applyBorder="1"/>
    <xf numFmtId="41" fontId="54" fillId="0" borderId="15" xfId="4" applyNumberFormat="1" applyFont="1" applyFill="1" applyBorder="1"/>
    <xf numFmtId="41" fontId="54" fillId="0" borderId="2" xfId="4" applyNumberFormat="1" applyFont="1" applyFill="1" applyBorder="1"/>
    <xf numFmtId="41" fontId="54" fillId="0" borderId="39" xfId="4" applyNumberFormat="1" applyFont="1" applyFill="1" applyBorder="1"/>
    <xf numFmtId="0" fontId="54" fillId="0" borderId="14" xfId="4" applyNumberFormat="1" applyFont="1" applyBorder="1"/>
    <xf numFmtId="0" fontId="54" fillId="0" borderId="4" xfId="4" applyNumberFormat="1" applyFont="1" applyBorder="1"/>
    <xf numFmtId="0" fontId="54" fillId="0" borderId="0" xfId="4" quotePrefix="1" applyNumberFormat="1" applyFont="1"/>
    <xf numFmtId="0" fontId="95" fillId="0" borderId="8" xfId="0" applyFont="1" applyBorder="1"/>
    <xf numFmtId="165" fontId="95" fillId="0" borderId="8" xfId="1" quotePrefix="1" applyNumberFormat="1" applyFont="1" applyBorder="1"/>
    <xf numFmtId="165" fontId="48" fillId="0" borderId="9" xfId="1" applyNumberFormat="1" applyFont="1" applyBorder="1"/>
    <xf numFmtId="165" fontId="95" fillId="0" borderId="0" xfId="0" applyNumberFormat="1" applyFont="1" applyBorder="1"/>
    <xf numFmtId="0" fontId="102" fillId="0" borderId="0" xfId="0" quotePrefix="1" applyFont="1" applyBorder="1" applyAlignment="1">
      <alignment horizontal="center"/>
    </xf>
    <xf numFmtId="164" fontId="94" fillId="0" borderId="13" xfId="0" applyNumberFormat="1" applyFont="1" applyBorder="1" applyAlignment="1">
      <alignment horizontal="center"/>
    </xf>
    <xf numFmtId="41" fontId="100" fillId="0" borderId="0" xfId="0" applyNumberFormat="1" applyFont="1" applyBorder="1"/>
    <xf numFmtId="41" fontId="48" fillId="0" borderId="0" xfId="0" applyNumberFormat="1" applyFont="1" applyBorder="1"/>
    <xf numFmtId="41" fontId="100" fillId="0" borderId="1" xfId="0" applyNumberFormat="1" applyFont="1" applyBorder="1"/>
    <xf numFmtId="41" fontId="95" fillId="0" borderId="1" xfId="0" applyNumberFormat="1" applyFont="1" applyBorder="1"/>
    <xf numFmtId="0" fontId="95" fillId="0" borderId="1" xfId="0" applyFont="1" applyBorder="1"/>
    <xf numFmtId="43" fontId="95" fillId="0" borderId="0" xfId="1" applyNumberFormat="1" applyFont="1" applyBorder="1"/>
    <xf numFmtId="165" fontId="100" fillId="0" borderId="1" xfId="1" applyNumberFormat="1" applyFont="1" applyBorder="1"/>
    <xf numFmtId="176" fontId="48" fillId="0" borderId="0" xfId="1" applyNumberFormat="1" applyFont="1"/>
    <xf numFmtId="0" fontId="49" fillId="0" borderId="8" xfId="1" applyNumberFormat="1" applyFont="1" applyBorder="1" applyAlignment="1"/>
    <xf numFmtId="165" fontId="48" fillId="0" borderId="8" xfId="1" applyNumberFormat="1" applyFont="1" applyBorder="1"/>
    <xf numFmtId="177" fontId="49" fillId="0" borderId="0" xfId="1" applyNumberFormat="1" applyFont="1" applyBorder="1"/>
    <xf numFmtId="0" fontId="94" fillId="0" borderId="0" xfId="0" applyFont="1" applyBorder="1"/>
    <xf numFmtId="0" fontId="90" fillId="0" borderId="0" xfId="1" applyNumberFormat="1" applyFont="1" applyBorder="1"/>
    <xf numFmtId="0" fontId="90" fillId="0" borderId="11" xfId="1" applyNumberFormat="1" applyFont="1" applyBorder="1"/>
    <xf numFmtId="14" fontId="59" fillId="0" borderId="0" xfId="1" applyNumberFormat="1" applyFont="1" applyBorder="1" applyAlignment="1">
      <alignment horizontal="center"/>
    </xf>
    <xf numFmtId="166" fontId="59" fillId="0" borderId="0" xfId="2" applyNumberFormat="1" applyFont="1" applyBorder="1" applyAlignment="1">
      <alignment horizontal="center"/>
    </xf>
    <xf numFmtId="0" fontId="103" fillId="0" borderId="0" xfId="0" applyFont="1" applyBorder="1" applyAlignment="1">
      <alignment horizontal="centerContinuous"/>
    </xf>
    <xf numFmtId="0" fontId="103" fillId="0" borderId="11" xfId="0" applyFont="1" applyBorder="1" applyAlignment="1">
      <alignment horizontal="centerContinuous"/>
    </xf>
    <xf numFmtId="165" fontId="103" fillId="0" borderId="0" xfId="1" applyNumberFormat="1" applyFont="1" applyBorder="1" applyAlignment="1">
      <alignment horizontal="centerContinuous"/>
    </xf>
    <xf numFmtId="165" fontId="58" fillId="0" borderId="0" xfId="1" applyNumberFormat="1" applyFont="1" applyBorder="1" applyAlignment="1">
      <alignment horizontal="centerContinuous"/>
    </xf>
    <xf numFmtId="165" fontId="61" fillId="0" borderId="11" xfId="1" applyNumberFormat="1" applyFont="1" applyBorder="1" applyAlignment="1">
      <alignment horizontal="centerContinuous"/>
    </xf>
    <xf numFmtId="0" fontId="49" fillId="0" borderId="0" xfId="0" applyFont="1" applyBorder="1" applyAlignment="1">
      <alignment horizontal="center"/>
    </xf>
    <xf numFmtId="0" fontId="54" fillId="0" borderId="10" xfId="4" applyFont="1" applyBorder="1" applyAlignment="1"/>
    <xf numFmtId="0" fontId="54" fillId="0" borderId="0" xfId="4" applyFont="1" applyBorder="1" applyAlignment="1"/>
    <xf numFmtId="165" fontId="48" fillId="0" borderId="0" xfId="1" applyNumberFormat="1" applyFont="1" applyBorder="1" applyAlignment="1">
      <alignment horizontal="center"/>
    </xf>
    <xf numFmtId="165" fontId="48" fillId="0" borderId="11" xfId="1" applyNumberFormat="1" applyFont="1" applyBorder="1" applyAlignment="1">
      <alignment horizontal="center"/>
    </xf>
    <xf numFmtId="0" fontId="52" fillId="0" borderId="0" xfId="0" applyFont="1" applyBorder="1" applyAlignment="1">
      <alignment horizontal="center"/>
    </xf>
    <xf numFmtId="165" fontId="50" fillId="0" borderId="0" xfId="1" applyNumberFormat="1" applyFont="1" applyBorder="1" applyAlignment="1">
      <alignment horizontal="center"/>
    </xf>
    <xf numFmtId="0" fontId="50" fillId="0" borderId="0" xfId="0" applyFont="1" applyBorder="1"/>
    <xf numFmtId="165" fontId="50" fillId="0" borderId="11" xfId="1" applyNumberFormat="1" applyFont="1" applyBorder="1" applyAlignment="1">
      <alignment horizontal="center"/>
    </xf>
    <xf numFmtId="0" fontId="48" fillId="0" borderId="10" xfId="0" applyFont="1" applyBorder="1" applyAlignment="1">
      <alignment horizontal="left"/>
    </xf>
    <xf numFmtId="0" fontId="48" fillId="0" borderId="0" xfId="0" applyFont="1" applyBorder="1" applyAlignment="1">
      <alignment horizontal="left"/>
    </xf>
    <xf numFmtId="165" fontId="53" fillId="0" borderId="0" xfId="1" applyNumberFormat="1" applyFont="1" applyBorder="1"/>
    <xf numFmtId="166" fontId="48" fillId="0" borderId="11" xfId="2" applyNumberFormat="1" applyFont="1" applyBorder="1"/>
    <xf numFmtId="165" fontId="53" fillId="0" borderId="1" xfId="1" applyNumberFormat="1" applyFont="1" applyBorder="1"/>
    <xf numFmtId="166" fontId="48" fillId="0" borderId="13" xfId="2" applyNumberFormat="1" applyFont="1" applyBorder="1"/>
    <xf numFmtId="0" fontId="48" fillId="0" borderId="10" xfId="0" applyFont="1" applyBorder="1" applyAlignment="1">
      <alignment horizontal="left" indent="2"/>
    </xf>
    <xf numFmtId="0" fontId="48" fillId="0" borderId="0" xfId="0" applyFont="1" applyBorder="1" applyAlignment="1">
      <alignment horizontal="left" indent="2"/>
    </xf>
    <xf numFmtId="0" fontId="56" fillId="0" borderId="10" xfId="0" applyFont="1" applyBorder="1" applyAlignment="1">
      <alignment horizontal="left" indent="2"/>
    </xf>
    <xf numFmtId="0" fontId="56" fillId="0" borderId="0" xfId="0" applyFont="1" applyBorder="1" applyAlignment="1">
      <alignment horizontal="left" indent="2"/>
    </xf>
    <xf numFmtId="170" fontId="61" fillId="0" borderId="0" xfId="1" applyNumberFormat="1" applyFont="1" applyBorder="1" applyAlignment="1">
      <alignment horizontal="right"/>
    </xf>
    <xf numFmtId="166" fontId="61" fillId="0" borderId="0" xfId="2" applyNumberFormat="1" applyFont="1" applyBorder="1" applyAlignment="1">
      <alignment horizontal="right"/>
    </xf>
    <xf numFmtId="166" fontId="61" fillId="0" borderId="11" xfId="2" applyNumberFormat="1" applyFont="1" applyBorder="1" applyAlignment="1">
      <alignment horizontal="right"/>
    </xf>
    <xf numFmtId="170" fontId="61" fillId="0" borderId="11" xfId="1" applyNumberFormat="1" applyFont="1" applyBorder="1" applyAlignment="1">
      <alignment horizontal="right"/>
    </xf>
    <xf numFmtId="165" fontId="53" fillId="0" borderId="0" xfId="1" applyNumberFormat="1" applyFont="1" applyBorder="1" applyAlignment="1">
      <alignment horizontal="center"/>
    </xf>
    <xf numFmtId="166" fontId="48" fillId="0" borderId="0" xfId="2" applyNumberFormat="1" applyFont="1" applyBorder="1" applyAlignment="1">
      <alignment horizontal="right"/>
    </xf>
    <xf numFmtId="166" fontId="48" fillId="0" borderId="11" xfId="2" applyNumberFormat="1" applyFont="1" applyBorder="1" applyAlignment="1">
      <alignment horizontal="right"/>
    </xf>
    <xf numFmtId="165" fontId="104" fillId="0" borderId="0" xfId="1" applyNumberFormat="1" applyFont="1" applyBorder="1" applyAlignment="1">
      <alignment horizontal="center"/>
    </xf>
    <xf numFmtId="165" fontId="105" fillId="0" borderId="0" xfId="1" applyNumberFormat="1" applyFont="1" applyBorder="1" applyAlignment="1">
      <alignment horizontal="center"/>
    </xf>
    <xf numFmtId="165" fontId="106" fillId="0" borderId="0" xfId="1" applyNumberFormat="1" applyFont="1" applyBorder="1" applyAlignment="1">
      <alignment horizontal="center"/>
    </xf>
    <xf numFmtId="166" fontId="50" fillId="0" borderId="0" xfId="2" applyNumberFormat="1" applyFont="1" applyBorder="1" applyAlignment="1">
      <alignment horizontal="right"/>
    </xf>
    <xf numFmtId="166" fontId="50" fillId="0" borderId="11" xfId="2" applyNumberFormat="1" applyFont="1" applyBorder="1" applyAlignment="1">
      <alignment horizontal="right"/>
    </xf>
    <xf numFmtId="165" fontId="48" fillId="0" borderId="2" xfId="1" applyNumberFormat="1" applyFont="1" applyBorder="1"/>
    <xf numFmtId="9" fontId="48" fillId="0" borderId="2" xfId="2" applyFont="1" applyBorder="1"/>
    <xf numFmtId="9" fontId="48" fillId="0" borderId="39" xfId="2" applyFont="1" applyBorder="1"/>
    <xf numFmtId="0" fontId="74" fillId="0" borderId="0" xfId="3" applyNumberFormat="1" applyFont="1" applyBorder="1"/>
    <xf numFmtId="41" fontId="49" fillId="0" borderId="0" xfId="3" applyNumberFormat="1" applyFont="1" applyBorder="1"/>
    <xf numFmtId="0" fontId="74" fillId="0" borderId="11" xfId="3" applyNumberFormat="1" applyFont="1" applyBorder="1"/>
    <xf numFmtId="0" fontId="85" fillId="0" borderId="10" xfId="3" applyNumberFormat="1" applyFont="1" applyBorder="1"/>
    <xf numFmtId="0" fontId="85" fillId="0" borderId="0" xfId="3" applyNumberFormat="1" applyFont="1" applyBorder="1"/>
    <xf numFmtId="41" fontId="48" fillId="0" borderId="0" xfId="3" applyNumberFormat="1" applyFont="1" applyBorder="1"/>
    <xf numFmtId="0" fontId="85" fillId="0" borderId="11" xfId="3" applyNumberFormat="1" applyFont="1" applyBorder="1"/>
    <xf numFmtId="165" fontId="85" fillId="0" borderId="0" xfId="3" applyNumberFormat="1" applyFont="1" applyBorder="1"/>
    <xf numFmtId="166" fontId="85" fillId="0" borderId="0" xfId="2" applyNumberFormat="1" applyFont="1" applyBorder="1"/>
    <xf numFmtId="166" fontId="85" fillId="0" borderId="11" xfId="2" applyNumberFormat="1" applyFont="1" applyBorder="1"/>
    <xf numFmtId="165" fontId="85" fillId="0" borderId="0" xfId="1" applyNumberFormat="1" applyFont="1" applyBorder="1"/>
    <xf numFmtId="165" fontId="85" fillId="0" borderId="1" xfId="3" applyNumberFormat="1" applyFont="1" applyBorder="1"/>
    <xf numFmtId="166" fontId="85" fillId="0" borderId="1" xfId="2" applyNumberFormat="1" applyFont="1" applyBorder="1"/>
    <xf numFmtId="166" fontId="85" fillId="0" borderId="13" xfId="2" applyNumberFormat="1" applyFont="1" applyBorder="1"/>
    <xf numFmtId="41" fontId="48" fillId="0" borderId="11" xfId="3" applyNumberFormat="1" applyFont="1" applyBorder="1"/>
    <xf numFmtId="166" fontId="49" fillId="0" borderId="11" xfId="2" applyNumberFormat="1" applyFont="1" applyBorder="1"/>
    <xf numFmtId="41" fontId="49" fillId="0" borderId="11" xfId="3" applyNumberFormat="1" applyFont="1" applyBorder="1"/>
    <xf numFmtId="9" fontId="48" fillId="0" borderId="11" xfId="2" applyFont="1" applyBorder="1"/>
    <xf numFmtId="41" fontId="48" fillId="0" borderId="1" xfId="3" applyNumberFormat="1" applyFont="1" applyBorder="1"/>
    <xf numFmtId="9" fontId="48" fillId="0" borderId="1" xfId="2" applyFont="1" applyBorder="1"/>
    <xf numFmtId="9" fontId="48" fillId="0" borderId="13" xfId="2" applyFont="1" applyBorder="1"/>
    <xf numFmtId="165" fontId="49" fillId="0" borderId="2" xfId="1" applyNumberFormat="1" applyFont="1" applyBorder="1"/>
    <xf numFmtId="0" fontId="107" fillId="0" borderId="14" xfId="3" applyNumberFormat="1" applyFont="1" applyBorder="1"/>
    <xf numFmtId="0" fontId="107" fillId="0" borderId="4" xfId="3" applyNumberFormat="1" applyFont="1" applyBorder="1"/>
    <xf numFmtId="170" fontId="107" fillId="0" borderId="4" xfId="1" applyNumberFormat="1" applyFont="1" applyBorder="1"/>
    <xf numFmtId="165" fontId="48" fillId="0" borderId="4" xfId="1" applyNumberFormat="1" applyFont="1" applyBorder="1"/>
    <xf numFmtId="166" fontId="107" fillId="0" borderId="4" xfId="2" applyNumberFormat="1" applyFont="1" applyBorder="1"/>
    <xf numFmtId="166" fontId="107" fillId="0" borderId="15" xfId="2" applyNumberFormat="1" applyFont="1" applyBorder="1"/>
    <xf numFmtId="0" fontId="85" fillId="0" borderId="21" xfId="3" applyNumberFormat="1" applyFont="1" applyBorder="1"/>
    <xf numFmtId="166" fontId="48" fillId="0" borderId="0" xfId="2" applyNumberFormat="1" applyFont="1"/>
    <xf numFmtId="9" fontId="48" fillId="0" borderId="0" xfId="2" applyFont="1"/>
    <xf numFmtId="0" fontId="108" fillId="0" borderId="0" xfId="0" applyFont="1"/>
    <xf numFmtId="2" fontId="108" fillId="0" borderId="0" xfId="0" applyNumberFormat="1" applyFont="1"/>
    <xf numFmtId="0" fontId="48" fillId="0" borderId="17" xfId="0" applyFont="1" applyBorder="1"/>
    <xf numFmtId="164" fontId="49" fillId="0" borderId="16" xfId="0" applyNumberFormat="1" applyFont="1" applyBorder="1" applyAlignment="1">
      <alignment horizontal="center"/>
    </xf>
    <xf numFmtId="0" fontId="49" fillId="0" borderId="10" xfId="0" applyFont="1" applyBorder="1" applyAlignment="1">
      <alignment horizontal="left" indent="1"/>
    </xf>
    <xf numFmtId="0" fontId="49" fillId="0" borderId="12" xfId="0" applyFont="1" applyBorder="1" applyAlignment="1">
      <alignment horizontal="left" indent="1"/>
    </xf>
    <xf numFmtId="0" fontId="58" fillId="0" borderId="14" xfId="0" applyFont="1" applyBorder="1" applyAlignment="1">
      <alignment horizontal="left" indent="1"/>
    </xf>
    <xf numFmtId="166" fontId="58" fillId="0" borderId="4" xfId="2" applyNumberFormat="1" applyFont="1" applyBorder="1"/>
    <xf numFmtId="43" fontId="48" fillId="0" borderId="0" xfId="1" applyFont="1"/>
    <xf numFmtId="0" fontId="48" fillId="0" borderId="0" xfId="0" quotePrefix="1" applyFont="1"/>
    <xf numFmtId="0" fontId="109" fillId="0" borderId="0" xfId="0" applyFont="1"/>
    <xf numFmtId="0" fontId="110" fillId="0" borderId="0" xfId="0" applyFont="1" applyAlignment="1">
      <alignment horizontal="center"/>
    </xf>
    <xf numFmtId="0" fontId="95" fillId="0" borderId="0" xfId="0" applyFont="1"/>
    <xf numFmtId="0" fontId="94" fillId="0" borderId="0" xfId="0" applyFont="1" applyAlignment="1">
      <alignment horizontal="centerContinuous"/>
    </xf>
    <xf numFmtId="166" fontId="55" fillId="0" borderId="0" xfId="2" applyNumberFormat="1" applyFont="1" applyBorder="1"/>
    <xf numFmtId="168" fontId="108" fillId="0" borderId="0" xfId="0" applyNumberFormat="1" applyFont="1" applyBorder="1"/>
    <xf numFmtId="166" fontId="108" fillId="0" borderId="0" xfId="2" applyNumberFormat="1" applyFont="1" applyBorder="1"/>
    <xf numFmtId="168" fontId="55" fillId="0" borderId="0" xfId="0" applyNumberFormat="1" applyFont="1" applyBorder="1"/>
    <xf numFmtId="165" fontId="48" fillId="0" borderId="22" xfId="1" applyNumberFormat="1" applyFont="1" applyBorder="1"/>
    <xf numFmtId="0" fontId="49" fillId="0" borderId="0" xfId="1" applyNumberFormat="1" applyFont="1" applyBorder="1" applyAlignment="1"/>
    <xf numFmtId="0" fontId="94" fillId="0" borderId="0" xfId="0" applyFont="1" applyAlignment="1">
      <alignment horizontal="left" indent="5"/>
    </xf>
    <xf numFmtId="41" fontId="48" fillId="0" borderId="0" xfId="0" applyNumberFormat="1" applyFont="1"/>
    <xf numFmtId="9" fontId="48" fillId="0" borderId="0" xfId="2" applyFont="1" applyBorder="1" applyAlignment="1">
      <alignment horizontal="center"/>
    </xf>
    <xf numFmtId="41" fontId="95" fillId="0" borderId="11" xfId="0" applyNumberFormat="1" applyFont="1" applyBorder="1"/>
    <xf numFmtId="41" fontId="95" fillId="0" borderId="13" xfId="0" applyNumberFormat="1" applyFont="1" applyBorder="1"/>
    <xf numFmtId="165" fontId="95" fillId="0" borderId="11" xfId="1" applyNumberFormat="1" applyFont="1" applyBorder="1"/>
    <xf numFmtId="165" fontId="95" fillId="0" borderId="13" xfId="1" applyNumberFormat="1" applyFont="1" applyBorder="1"/>
    <xf numFmtId="165" fontId="95" fillId="0" borderId="41" xfId="1" applyNumberFormat="1" applyFont="1" applyBorder="1"/>
    <xf numFmtId="165" fontId="95" fillId="0" borderId="39" xfId="1" applyNumberFormat="1" applyFont="1" applyBorder="1"/>
    <xf numFmtId="165" fontId="95" fillId="0" borderId="15" xfId="1" applyNumberFormat="1" applyFont="1" applyBorder="1"/>
    <xf numFmtId="9" fontId="85" fillId="0" borderId="0" xfId="2" applyFont="1"/>
    <xf numFmtId="164" fontId="49" fillId="0" borderId="42" xfId="0" applyNumberFormat="1" applyFont="1" applyBorder="1" applyAlignment="1">
      <alignment horizontal="center"/>
    </xf>
    <xf numFmtId="165" fontId="48" fillId="0" borderId="24" xfId="1" applyNumberFormat="1" applyFont="1" applyBorder="1"/>
    <xf numFmtId="0" fontId="56" fillId="0" borderId="10" xfId="0" applyFont="1" applyBorder="1" applyAlignment="1">
      <alignment horizontal="left"/>
    </xf>
    <xf numFmtId="178" fontId="48" fillId="0" borderId="0" xfId="1" applyNumberFormat="1" applyFont="1"/>
    <xf numFmtId="9" fontId="82" fillId="4" borderId="0" xfId="2" applyFont="1" applyFill="1" applyBorder="1" applyAlignment="1" applyProtection="1">
      <alignment horizontal="right"/>
      <protection locked="0"/>
    </xf>
    <xf numFmtId="165" fontId="49" fillId="4" borderId="0" xfId="1" applyNumberFormat="1" applyFont="1" applyFill="1" applyBorder="1" applyProtection="1">
      <protection locked="0"/>
    </xf>
    <xf numFmtId="165" fontId="87" fillId="4" borderId="0" xfId="1" applyNumberFormat="1" applyFont="1" applyFill="1" applyBorder="1" applyProtection="1">
      <protection locked="0"/>
    </xf>
    <xf numFmtId="166" fontId="60" fillId="0" borderId="0" xfId="2" applyNumberFormat="1" applyFont="1" applyBorder="1"/>
    <xf numFmtId="179" fontId="48" fillId="0" borderId="1" xfId="0" applyNumberFormat="1" applyFont="1" applyBorder="1"/>
    <xf numFmtId="171" fontId="48" fillId="0" borderId="24" xfId="8" applyNumberFormat="1" applyFont="1" applyBorder="1"/>
    <xf numFmtId="171" fontId="48" fillId="0" borderId="22" xfId="8" applyNumberFormat="1" applyFont="1" applyBorder="1"/>
    <xf numFmtId="0" fontId="49" fillId="0" borderId="18" xfId="0" applyNumberFormat="1" applyFont="1" applyBorder="1" applyAlignment="1">
      <alignment horizontal="centerContinuous"/>
    </xf>
    <xf numFmtId="0" fontId="48" fillId="0" borderId="20" xfId="0" applyNumberFormat="1" applyFont="1" applyBorder="1" applyAlignment="1">
      <alignment horizontal="centerContinuous"/>
    </xf>
    <xf numFmtId="0" fontId="48" fillId="0" borderId="23" xfId="0" applyFont="1" applyBorder="1" applyAlignment="1">
      <alignment horizontal="centerContinuous"/>
    </xf>
    <xf numFmtId="0" fontId="48" fillId="0" borderId="24" xfId="0" applyFont="1" applyBorder="1" applyAlignment="1">
      <alignment horizontal="centerContinuous"/>
    </xf>
    <xf numFmtId="170" fontId="54" fillId="4" borderId="0" xfId="1" applyNumberFormat="1" applyFont="1" applyFill="1" applyBorder="1" applyProtection="1">
      <protection locked="0"/>
    </xf>
    <xf numFmtId="180" fontId="48" fillId="0" borderId="0" xfId="0" applyNumberFormat="1" applyFont="1"/>
    <xf numFmtId="14" fontId="48" fillId="0" borderId="0" xfId="0" applyNumberFormat="1" applyFont="1"/>
    <xf numFmtId="171" fontId="48" fillId="0" borderId="11" xfId="8" applyNumberFormat="1" applyFont="1" applyBorder="1"/>
    <xf numFmtId="171" fontId="48" fillId="0" borderId="1" xfId="0" applyNumberFormat="1" applyFont="1" applyBorder="1"/>
    <xf numFmtId="0" fontId="48" fillId="0" borderId="1" xfId="0" applyFont="1" applyBorder="1"/>
    <xf numFmtId="0" fontId="48" fillId="0" borderId="13" xfId="0" applyFont="1" applyBorder="1"/>
    <xf numFmtId="168" fontId="53" fillId="0" borderId="0" xfId="0" applyNumberFormat="1" applyFont="1" applyBorder="1"/>
    <xf numFmtId="181" fontId="48" fillId="0" borderId="0" xfId="0" applyNumberFormat="1" applyFont="1" applyBorder="1"/>
    <xf numFmtId="174" fontId="48" fillId="0" borderId="0" xfId="0" applyNumberFormat="1" applyFont="1"/>
    <xf numFmtId="44" fontId="48" fillId="0" borderId="0" xfId="0" applyNumberFormat="1" applyFont="1"/>
    <xf numFmtId="0" fontId="111" fillId="0" borderId="4" xfId="0" applyFont="1" applyBorder="1"/>
    <xf numFmtId="0" fontId="112" fillId="0" borderId="4" xfId="0" applyFont="1" applyBorder="1"/>
    <xf numFmtId="0" fontId="112" fillId="0" borderId="0" xfId="0" applyFont="1"/>
    <xf numFmtId="0" fontId="113" fillId="0" borderId="0" xfId="88" applyFont="1" applyBorder="1" applyAlignment="1">
      <alignment horizontal="center"/>
    </xf>
    <xf numFmtId="0" fontId="114" fillId="39" borderId="0" xfId="0" applyFont="1" applyFill="1"/>
    <xf numFmtId="0" fontId="16" fillId="39" borderId="0" xfId="0" applyFont="1" applyFill="1"/>
    <xf numFmtId="0" fontId="12" fillId="0" borderId="4" xfId="88" applyFont="1" applyBorder="1"/>
    <xf numFmtId="182" fontId="115" fillId="0" borderId="4" xfId="88" applyNumberFormat="1" applyFont="1" applyFill="1" applyBorder="1" applyAlignment="1">
      <alignment horizontal="center"/>
    </xf>
    <xf numFmtId="183" fontId="116" fillId="0" borderId="4" xfId="88" applyNumberFormat="1" applyFont="1" applyFill="1" applyBorder="1" applyAlignment="1">
      <alignment horizontal="center"/>
    </xf>
    <xf numFmtId="0" fontId="12" fillId="0" borderId="0" xfId="88" applyFont="1" applyBorder="1"/>
    <xf numFmtId="0" fontId="12" fillId="0" borderId="19" xfId="88" applyFont="1" applyBorder="1"/>
    <xf numFmtId="184" fontId="117" fillId="0" borderId="0" xfId="88" applyNumberFormat="1" applyFont="1" applyBorder="1"/>
    <xf numFmtId="185" fontId="117" fillId="0" borderId="0" xfId="88" applyNumberFormat="1" applyFont="1" applyBorder="1"/>
    <xf numFmtId="186" fontId="118" fillId="0" borderId="0" xfId="88" applyNumberFormat="1" applyFont="1" applyBorder="1"/>
    <xf numFmtId="186" fontId="119" fillId="0" borderId="0" xfId="88" applyNumberFormat="1" applyFont="1" applyBorder="1"/>
    <xf numFmtId="0" fontId="12" fillId="0" borderId="1" xfId="88" applyFont="1" applyBorder="1"/>
    <xf numFmtId="187" fontId="12" fillId="0" borderId="1" xfId="88" applyNumberFormat="1" applyFont="1" applyBorder="1"/>
    <xf numFmtId="187" fontId="120" fillId="0" borderId="1" xfId="88" applyNumberFormat="1" applyFont="1" applyBorder="1"/>
    <xf numFmtId="41" fontId="118" fillId="0" borderId="1" xfId="88" applyNumberFormat="1" applyFont="1" applyBorder="1"/>
    <xf numFmtId="0" fontId="116" fillId="0" borderId="0" xfId="88" applyFont="1" applyBorder="1"/>
    <xf numFmtId="187" fontId="12" fillId="0" borderId="19" xfId="88" applyNumberFormat="1" applyFont="1" applyBorder="1"/>
    <xf numFmtId="41" fontId="119" fillId="0" borderId="19" xfId="88" applyNumberFormat="1" applyFont="1" applyBorder="1"/>
    <xf numFmtId="43" fontId="12" fillId="0" borderId="0" xfId="1" applyNumberFormat="1" applyFont="1"/>
    <xf numFmtId="0" fontId="12" fillId="0" borderId="0" xfId="88" applyFont="1" applyFill="1" applyBorder="1"/>
    <xf numFmtId="187" fontId="12" fillId="0" borderId="0" xfId="88" applyNumberFormat="1" applyFont="1" applyBorder="1"/>
    <xf numFmtId="187" fontId="120" fillId="0" borderId="0" xfId="88" applyNumberFormat="1" applyFont="1" applyBorder="1"/>
    <xf numFmtId="41" fontId="118" fillId="0" borderId="0" xfId="88" applyNumberFormat="1" applyFont="1" applyBorder="1"/>
    <xf numFmtId="0" fontId="116" fillId="0" borderId="27" xfId="88" applyFont="1" applyFill="1" applyBorder="1"/>
    <xf numFmtId="0" fontId="116" fillId="0" borderId="27" xfId="88" applyFont="1" applyBorder="1"/>
    <xf numFmtId="0" fontId="12" fillId="0" borderId="27" xfId="88" applyFont="1" applyBorder="1"/>
    <xf numFmtId="187" fontId="116" fillId="0" borderId="27" xfId="88" applyNumberFormat="1" applyFont="1" applyBorder="1"/>
    <xf numFmtId="41" fontId="116" fillId="0" borderId="27" xfId="88" applyNumberFormat="1" applyFont="1" applyBorder="1"/>
    <xf numFmtId="166" fontId="12" fillId="0" borderId="43" xfId="2" applyNumberFormat="1" applyFont="1" applyBorder="1" applyAlignment="1">
      <alignment horizontal="center"/>
    </xf>
    <xf numFmtId="165" fontId="12" fillId="0" borderId="0" xfId="88" applyNumberFormat="1" applyFont="1" applyBorder="1"/>
    <xf numFmtId="43" fontId="12" fillId="0" borderId="0" xfId="88" applyNumberFormat="1" applyFont="1" applyBorder="1"/>
    <xf numFmtId="0" fontId="116" fillId="0" borderId="1" xfId="88" applyFont="1" applyFill="1" applyBorder="1"/>
    <xf numFmtId="0" fontId="12" fillId="0" borderId="27" xfId="88" applyFont="1" applyFill="1" applyBorder="1"/>
    <xf numFmtId="165" fontId="12" fillId="0" borderId="27" xfId="88" applyNumberFormat="1" applyFont="1" applyBorder="1"/>
    <xf numFmtId="166" fontId="12" fillId="0" borderId="0" xfId="2" applyNumberFormat="1" applyFont="1" applyBorder="1"/>
    <xf numFmtId="166" fontId="12" fillId="2" borderId="0" xfId="2" applyNumberFormat="1" applyFont="1" applyFill="1" applyBorder="1"/>
    <xf numFmtId="0" fontId="12" fillId="0" borderId="1" xfId="88" applyFont="1" applyFill="1" applyBorder="1"/>
    <xf numFmtId="168" fontId="12" fillId="0" borderId="1" xfId="88" applyNumberFormat="1" applyFont="1" applyBorder="1"/>
    <xf numFmtId="0" fontId="12" fillId="0" borderId="44" xfId="88" applyFont="1" applyBorder="1"/>
    <xf numFmtId="165" fontId="12" fillId="0" borderId="0" xfId="88" applyNumberFormat="1" applyFont="1" applyFill="1" applyBorder="1"/>
    <xf numFmtId="0" fontId="12" fillId="0" borderId="45" xfId="88" applyFont="1" applyBorder="1"/>
    <xf numFmtId="165" fontId="12" fillId="0" borderId="1" xfId="1" applyNumberFormat="1" applyFont="1" applyBorder="1"/>
    <xf numFmtId="165" fontId="12" fillId="0" borderId="1" xfId="88" applyNumberFormat="1" applyFont="1" applyBorder="1"/>
    <xf numFmtId="183" fontId="12" fillId="0" borderId="19" xfId="88" applyNumberFormat="1" applyFont="1" applyBorder="1" applyAlignment="1">
      <alignment horizontal="center"/>
    </xf>
    <xf numFmtId="183" fontId="12" fillId="0" borderId="0" xfId="88" applyNumberFormat="1" applyFont="1" applyBorder="1" applyAlignment="1">
      <alignment horizontal="center"/>
    </xf>
    <xf numFmtId="41" fontId="12" fillId="0" borderId="0" xfId="88" applyNumberFormat="1" applyFont="1" applyBorder="1"/>
    <xf numFmtId="178" fontId="12" fillId="0" borderId="0" xfId="0" applyNumberFormat="1" applyFont="1"/>
    <xf numFmtId="166" fontId="121" fillId="0" borderId="0" xfId="2" applyNumberFormat="1" applyFont="1" applyBorder="1"/>
    <xf numFmtId="41" fontId="121" fillId="0" borderId="0" xfId="88" applyNumberFormat="1" applyFont="1" applyBorder="1"/>
    <xf numFmtId="171" fontId="121" fillId="0" borderId="0" xfId="8" applyNumberFormat="1" applyFont="1" applyBorder="1"/>
    <xf numFmtId="0" fontId="121" fillId="0" borderId="0" xfId="88" applyFont="1" applyBorder="1"/>
    <xf numFmtId="41" fontId="119" fillId="0" borderId="0" xfId="88" applyNumberFormat="1" applyFont="1" applyBorder="1"/>
    <xf numFmtId="0" fontId="116" fillId="0" borderId="46" xfId="88" applyFont="1" applyFill="1" applyBorder="1"/>
    <xf numFmtId="0" fontId="116" fillId="0" borderId="46" xfId="88" applyFont="1" applyBorder="1"/>
    <xf numFmtId="0" fontId="12" fillId="0" borderId="46" xfId="88" applyFont="1" applyBorder="1"/>
    <xf numFmtId="41" fontId="116" fillId="0" borderId="46" xfId="88" applyNumberFormat="1" applyFont="1" applyBorder="1"/>
    <xf numFmtId="0" fontId="119" fillId="0" borderId="0" xfId="88" applyFont="1" applyFill="1" applyBorder="1"/>
    <xf numFmtId="0" fontId="116" fillId="0" borderId="19" xfId="88" applyFont="1" applyFill="1" applyBorder="1"/>
    <xf numFmtId="0" fontId="116" fillId="0" borderId="19" xfId="88" applyFont="1" applyBorder="1"/>
    <xf numFmtId="187" fontId="116" fillId="0" borderId="19" xfId="88" applyNumberFormat="1" applyFont="1" applyBorder="1"/>
    <xf numFmtId="37" fontId="116" fillId="0" borderId="19" xfId="88" applyNumberFormat="1" applyFont="1" applyBorder="1"/>
    <xf numFmtId="41" fontId="116" fillId="0" borderId="19" xfId="88" applyNumberFormat="1" applyFont="1" applyBorder="1"/>
    <xf numFmtId="0" fontId="116" fillId="0" borderId="0" xfId="88" applyFont="1" applyFill="1" applyBorder="1"/>
    <xf numFmtId="41" fontId="119" fillId="0" borderId="1" xfId="88" applyNumberFormat="1" applyFont="1" applyBorder="1"/>
    <xf numFmtId="0" fontId="116" fillId="0" borderId="1" xfId="88" applyFont="1" applyBorder="1"/>
    <xf numFmtId="187" fontId="116" fillId="0" borderId="1" xfId="88" applyNumberFormat="1" applyFont="1" applyBorder="1"/>
    <xf numFmtId="165" fontId="116" fillId="0" borderId="1" xfId="1" applyNumberFormat="1" applyFont="1" applyBorder="1"/>
    <xf numFmtId="9" fontId="12" fillId="0" borderId="0" xfId="2" applyFont="1" applyBorder="1"/>
    <xf numFmtId="0" fontId="13" fillId="0" borderId="0" xfId="88" applyFont="1" applyFill="1" applyBorder="1"/>
    <xf numFmtId="165" fontId="12" fillId="0" borderId="0" xfId="0" applyNumberFormat="1" applyFont="1"/>
    <xf numFmtId="0" fontId="13" fillId="0" borderId="1" xfId="88" applyFont="1" applyFill="1" applyBorder="1"/>
    <xf numFmtId="0" fontId="12" fillId="0" borderId="1" xfId="0" applyFont="1" applyBorder="1"/>
    <xf numFmtId="187" fontId="116" fillId="0" borderId="0" xfId="88" applyNumberFormat="1" applyFont="1" applyBorder="1"/>
    <xf numFmtId="165" fontId="116" fillId="0" borderId="0" xfId="1" applyNumberFormat="1" applyFont="1" applyBorder="1"/>
    <xf numFmtId="0" fontId="122" fillId="0" borderId="0" xfId="88" applyFont="1" applyFill="1" applyBorder="1"/>
    <xf numFmtId="0" fontId="123" fillId="0" borderId="4" xfId="88" applyFont="1" applyFill="1" applyBorder="1"/>
    <xf numFmtId="182" fontId="116" fillId="0" borderId="4" xfId="88" applyNumberFormat="1" applyFont="1" applyFill="1" applyBorder="1" applyAlignment="1">
      <alignment horizontal="center"/>
    </xf>
    <xf numFmtId="188" fontId="116" fillId="0" borderId="1" xfId="88" applyNumberFormat="1" applyFont="1" applyBorder="1"/>
    <xf numFmtId="0" fontId="116" fillId="0" borderId="47" xfId="88" applyFont="1" applyFill="1" applyBorder="1"/>
    <xf numFmtId="0" fontId="116" fillId="0" borderId="47" xfId="88" applyFont="1" applyBorder="1"/>
    <xf numFmtId="0" fontId="116" fillId="0" borderId="0" xfId="88" applyFont="1"/>
    <xf numFmtId="189" fontId="116" fillId="0" borderId="47" xfId="89" applyNumberFormat="1" applyFont="1" applyBorder="1" applyAlignment="1">
      <alignment horizontal="right" vertical="center"/>
    </xf>
    <xf numFmtId="184" fontId="116" fillId="0" borderId="0" xfId="88" applyNumberFormat="1" applyFont="1" applyBorder="1"/>
    <xf numFmtId="184" fontId="116" fillId="0" borderId="1" xfId="88" applyNumberFormat="1" applyFont="1" applyBorder="1"/>
    <xf numFmtId="189" fontId="116" fillId="0" borderId="0" xfId="89" applyNumberFormat="1" applyFont="1" applyBorder="1" applyAlignment="1">
      <alignment horizontal="right" vertical="center"/>
    </xf>
    <xf numFmtId="0" fontId="112" fillId="0" borderId="1" xfId="0" applyFont="1" applyBorder="1"/>
    <xf numFmtId="171" fontId="12" fillId="0" borderId="0" xfId="8" applyNumberFormat="1" applyFont="1" applyBorder="1"/>
    <xf numFmtId="0" fontId="13" fillId="0" borderId="0" xfId="88" applyFont="1" applyBorder="1" applyAlignment="1">
      <alignment horizontal="center"/>
    </xf>
    <xf numFmtId="168" fontId="12" fillId="0" borderId="0" xfId="88" applyNumberFormat="1" applyFont="1" applyBorder="1"/>
    <xf numFmtId="0" fontId="12" fillId="0" borderId="48" xfId="88" applyFont="1" applyBorder="1"/>
    <xf numFmtId="190" fontId="116" fillId="0" borderId="1" xfId="88" applyNumberFormat="1" applyFont="1" applyBorder="1" applyAlignment="1">
      <alignment horizontal="right"/>
    </xf>
    <xf numFmtId="0" fontId="125" fillId="0" borderId="0" xfId="0" applyFont="1"/>
    <xf numFmtId="191" fontId="116" fillId="0" borderId="0" xfId="0" applyNumberFormat="1" applyFont="1" applyFill="1" applyBorder="1" applyAlignment="1">
      <alignment horizontal="center"/>
    </xf>
    <xf numFmtId="0" fontId="13" fillId="0" borderId="0" xfId="0" applyFont="1" applyBorder="1" applyAlignment="1">
      <alignment horizontal="center"/>
    </xf>
    <xf numFmtId="0" fontId="126" fillId="0" borderId="0" xfId="0" applyFont="1"/>
    <xf numFmtId="0" fontId="125" fillId="0" borderId="0" xfId="0" applyFont="1" applyAlignment="1">
      <alignment horizontal="left"/>
    </xf>
    <xf numFmtId="0" fontId="114" fillId="40" borderId="0" xfId="0" applyFont="1" applyFill="1" applyAlignment="1">
      <alignment horizontal="centerContinuous"/>
    </xf>
    <xf numFmtId="183" fontId="127" fillId="0" borderId="4" xfId="0" applyNumberFormat="1" applyFont="1" applyBorder="1" applyAlignment="1">
      <alignment horizontal="center"/>
    </xf>
    <xf numFmtId="41" fontId="119" fillId="0" borderId="0" xfId="0" applyNumberFormat="1" applyFont="1"/>
    <xf numFmtId="0" fontId="13" fillId="0" borderId="49" xfId="0" applyFont="1" applyBorder="1"/>
    <xf numFmtId="165" fontId="116" fillId="0" borderId="49" xfId="0" applyNumberFormat="1" applyFont="1" applyBorder="1"/>
    <xf numFmtId="41" fontId="116" fillId="0" borderId="49" xfId="0" applyNumberFormat="1" applyFont="1" applyBorder="1"/>
    <xf numFmtId="0" fontId="128" fillId="0" borderId="0" xfId="0" applyFont="1" applyAlignment="1">
      <alignment horizontal="left"/>
    </xf>
    <xf numFmtId="0" fontId="119" fillId="0" borderId="0" xfId="0" applyFont="1" applyAlignment="1">
      <alignment horizontal="centerContinuous"/>
    </xf>
    <xf numFmtId="0" fontId="116" fillId="40" borderId="0" xfId="0" applyFont="1" applyFill="1" applyAlignment="1">
      <alignment horizontal="centerContinuous"/>
    </xf>
    <xf numFmtId="0" fontId="119" fillId="0" borderId="0" xfId="0" applyFont="1"/>
    <xf numFmtId="0" fontId="13" fillId="0" borderId="4" xfId="0" applyNumberFormat="1" applyFont="1" applyBorder="1" applyAlignment="1">
      <alignment horizontal="center"/>
    </xf>
    <xf numFmtId="42" fontId="119" fillId="0" borderId="0" xfId="0" applyNumberFormat="1" applyFont="1"/>
    <xf numFmtId="192" fontId="119" fillId="0" borderId="0" xfId="0" applyNumberFormat="1" applyFont="1"/>
    <xf numFmtId="42" fontId="119" fillId="0" borderId="19" xfId="0" applyNumberFormat="1" applyFont="1" applyBorder="1"/>
    <xf numFmtId="165" fontId="119" fillId="0" borderId="0" xfId="0" applyNumberFormat="1" applyFont="1"/>
    <xf numFmtId="42" fontId="116" fillId="0" borderId="49" xfId="0" applyNumberFormat="1" applyFont="1" applyBorder="1"/>
    <xf numFmtId="0" fontId="116" fillId="41" borderId="19" xfId="0" applyFont="1" applyFill="1" applyBorder="1"/>
    <xf numFmtId="193" fontId="116" fillId="41" borderId="19" xfId="0" applyNumberFormat="1" applyFont="1" applyFill="1" applyBorder="1"/>
    <xf numFmtId="0" fontId="116" fillId="41" borderId="4" xfId="0" applyFont="1" applyFill="1" applyBorder="1"/>
    <xf numFmtId="194" fontId="116" fillId="41" borderId="4" xfId="0" applyNumberFormat="1" applyFont="1" applyFill="1" applyBorder="1"/>
    <xf numFmtId="0" fontId="128" fillId="0" borderId="19" xfId="0" applyFont="1" applyBorder="1"/>
    <xf numFmtId="0" fontId="112" fillId="0" borderId="19" xfId="0" applyFont="1" applyBorder="1"/>
    <xf numFmtId="0" fontId="13" fillId="0" borderId="4" xfId="0" applyFont="1" applyBorder="1" applyAlignment="1">
      <alignment horizontal="center"/>
    </xf>
    <xf numFmtId="168" fontId="12" fillId="0" borderId="0" xfId="0" applyNumberFormat="1" applyFont="1" applyAlignment="1">
      <alignment horizontal="center"/>
    </xf>
    <xf numFmtId="166" fontId="12" fillId="0" borderId="0" xfId="2" applyNumberFormat="1" applyFont="1" applyAlignment="1">
      <alignment horizontal="center"/>
    </xf>
    <xf numFmtId="0" fontId="12" fillId="0" borderId="0" xfId="0" applyFont="1" applyAlignment="1">
      <alignment horizontal="center"/>
    </xf>
    <xf numFmtId="42" fontId="118" fillId="0" borderId="0" xfId="0" applyNumberFormat="1" applyFont="1"/>
    <xf numFmtId="165" fontId="119" fillId="0" borderId="0" xfId="1" applyNumberFormat="1" applyFont="1"/>
    <xf numFmtId="195" fontId="12" fillId="0" borderId="0" xfId="0" applyNumberFormat="1" applyFont="1" applyAlignment="1">
      <alignment horizontal="center"/>
    </xf>
    <xf numFmtId="42" fontId="13" fillId="0" borderId="49" xfId="0" applyNumberFormat="1" applyFont="1" applyBorder="1"/>
    <xf numFmtId="165" fontId="23" fillId="0" borderId="0" xfId="1" applyNumberFormat="1" applyFont="1"/>
    <xf numFmtId="0" fontId="119" fillId="0" borderId="0" xfId="88" applyFont="1" applyBorder="1" applyAlignment="1">
      <alignment horizontal="center"/>
    </xf>
    <xf numFmtId="0" fontId="114" fillId="0" borderId="0" xfId="0" applyFont="1" applyFill="1"/>
    <xf numFmtId="0" fontId="16" fillId="0" borderId="0" xfId="0" applyFont="1" applyFill="1"/>
    <xf numFmtId="0" fontId="114" fillId="40" borderId="50" xfId="0" applyFont="1" applyFill="1" applyBorder="1" applyAlignment="1">
      <alignment horizontal="centerContinuous"/>
    </xf>
    <xf numFmtId="0" fontId="114" fillId="42" borderId="0" xfId="0" applyFont="1" applyFill="1" applyBorder="1" applyAlignment="1">
      <alignment horizontal="centerContinuous"/>
    </xf>
    <xf numFmtId="183" fontId="116" fillId="0" borderId="51" xfId="0" applyNumberFormat="1" applyFont="1" applyBorder="1" applyAlignment="1">
      <alignment horizontal="center"/>
    </xf>
    <xf numFmtId="183" fontId="116" fillId="0" borderId="4" xfId="0" applyNumberFormat="1" applyFont="1" applyBorder="1" applyAlignment="1">
      <alignment horizontal="center"/>
    </xf>
    <xf numFmtId="42" fontId="119" fillId="0" borderId="50" xfId="0" applyNumberFormat="1" applyFont="1" applyBorder="1"/>
    <xf numFmtId="0" fontId="128" fillId="0" borderId="0" xfId="0" applyFont="1" applyAlignment="1">
      <alignment horizontal="left" indent="1"/>
    </xf>
    <xf numFmtId="193" fontId="128" fillId="0" borderId="50" xfId="0" applyNumberFormat="1" applyFont="1" applyBorder="1" applyAlignment="1">
      <alignment horizontal="right"/>
    </xf>
    <xf numFmtId="193" fontId="128" fillId="0" borderId="0" xfId="0" applyNumberFormat="1" applyFont="1"/>
    <xf numFmtId="0" fontId="119" fillId="0" borderId="50" xfId="0" applyFont="1" applyBorder="1"/>
    <xf numFmtId="0" fontId="119" fillId="0" borderId="19" xfId="0" applyFont="1" applyFill="1" applyBorder="1"/>
    <xf numFmtId="42" fontId="116" fillId="0" borderId="52" xfId="0" applyNumberFormat="1" applyFont="1" applyFill="1" applyBorder="1"/>
    <xf numFmtId="42" fontId="116" fillId="0" borderId="19" xfId="0" applyNumberFormat="1" applyFont="1" applyFill="1" applyBorder="1"/>
    <xf numFmtId="0" fontId="128" fillId="0" borderId="1" xfId="0" applyFont="1" applyFill="1" applyBorder="1" applyAlignment="1">
      <alignment horizontal="left" indent="1"/>
    </xf>
    <xf numFmtId="193" fontId="128" fillId="0" borderId="53" xfId="0" applyNumberFormat="1" applyFont="1" applyFill="1" applyBorder="1"/>
    <xf numFmtId="193" fontId="128" fillId="0" borderId="1" xfId="0" applyNumberFormat="1" applyFont="1" applyFill="1" applyBorder="1"/>
    <xf numFmtId="0" fontId="119" fillId="2" borderId="0" xfId="0" applyFont="1" applyFill="1"/>
    <xf numFmtId="41" fontId="119" fillId="0" borderId="19" xfId="0" applyNumberFormat="1" applyFont="1" applyBorder="1"/>
    <xf numFmtId="0" fontId="116" fillId="0" borderId="49" xfId="0" applyFont="1" applyBorder="1"/>
    <xf numFmtId="0" fontId="116" fillId="0" borderId="54" xfId="0" applyFont="1" applyBorder="1"/>
    <xf numFmtId="0" fontId="129" fillId="0" borderId="0" xfId="0" applyFont="1"/>
    <xf numFmtId="193" fontId="119" fillId="0" borderId="0" xfId="0" applyNumberFormat="1" applyFont="1"/>
    <xf numFmtId="172" fontId="119" fillId="0" borderId="0" xfId="0" applyNumberFormat="1" applyFont="1"/>
    <xf numFmtId="0" fontId="116" fillId="43" borderId="49" xfId="0" applyFont="1" applyFill="1" applyBorder="1"/>
    <xf numFmtId="42" fontId="116" fillId="43" borderId="49" xfId="0" applyNumberFormat="1" applyFont="1" applyFill="1" applyBorder="1"/>
    <xf numFmtId="0" fontId="130" fillId="0" borderId="0" xfId="0" applyFont="1"/>
    <xf numFmtId="193" fontId="121" fillId="0" borderId="0" xfId="0" applyNumberFormat="1" applyFont="1"/>
    <xf numFmtId="193" fontId="12" fillId="0" borderId="0" xfId="0" applyNumberFormat="1" applyFont="1"/>
    <xf numFmtId="172" fontId="12" fillId="0" borderId="0" xfId="0" applyNumberFormat="1" applyFont="1"/>
    <xf numFmtId="43" fontId="12" fillId="0" borderId="0" xfId="1" applyFont="1"/>
    <xf numFmtId="0" fontId="13" fillId="43" borderId="49" xfId="0" applyFont="1" applyFill="1" applyBorder="1"/>
    <xf numFmtId="166" fontId="13" fillId="43" borderId="49" xfId="2" applyNumberFormat="1" applyFont="1" applyFill="1" applyBorder="1"/>
    <xf numFmtId="196" fontId="121" fillId="0" borderId="0" xfId="0" applyNumberFormat="1" applyFont="1"/>
    <xf numFmtId="0" fontId="131" fillId="0" borderId="0" xfId="0" applyFont="1" applyFill="1"/>
    <xf numFmtId="0" fontId="128" fillId="0" borderId="0" xfId="0" applyFont="1"/>
    <xf numFmtId="0" fontId="114" fillId="40" borderId="0" xfId="0" applyFont="1" applyFill="1" applyBorder="1" applyAlignment="1">
      <alignment horizontal="centerContinuous"/>
    </xf>
    <xf numFmtId="0" fontId="114" fillId="40" borderId="55" xfId="0" applyFont="1" applyFill="1" applyBorder="1" applyAlignment="1">
      <alignment horizontal="centerContinuous"/>
    </xf>
    <xf numFmtId="197" fontId="116" fillId="0" borderId="4" xfId="0" applyNumberFormat="1" applyFont="1" applyBorder="1" applyAlignment="1">
      <alignment horizontal="center"/>
    </xf>
    <xf numFmtId="183" fontId="116" fillId="0" borderId="56" xfId="0" applyNumberFormat="1" applyFont="1" applyBorder="1" applyAlignment="1">
      <alignment horizontal="center"/>
    </xf>
    <xf numFmtId="198" fontId="12" fillId="0" borderId="0" xfId="0" applyNumberFormat="1" applyFont="1"/>
    <xf numFmtId="198" fontId="12" fillId="0" borderId="0" xfId="1" applyNumberFormat="1" applyFont="1"/>
    <xf numFmtId="0" fontId="112" fillId="0" borderId="55" xfId="0" applyFont="1" applyBorder="1"/>
    <xf numFmtId="166" fontId="12" fillId="0" borderId="0" xfId="2" applyNumberFormat="1" applyFont="1"/>
    <xf numFmtId="0" fontId="0" fillId="0" borderId="4" xfId="0" applyBorder="1"/>
    <xf numFmtId="42" fontId="119" fillId="0" borderId="55" xfId="0" applyNumberFormat="1" applyFont="1" applyBorder="1"/>
    <xf numFmtId="42" fontId="119" fillId="0" borderId="0" xfId="0" applyNumberFormat="1" applyFont="1" applyBorder="1"/>
    <xf numFmtId="193" fontId="128" fillId="0" borderId="0" xfId="0" applyNumberFormat="1" applyFont="1" applyFill="1" applyBorder="1" applyAlignment="1">
      <alignment horizontal="right"/>
    </xf>
    <xf numFmtId="193" fontId="132" fillId="0" borderId="0" xfId="0" applyNumberFormat="1" applyFont="1"/>
    <xf numFmtId="193" fontId="132" fillId="0" borderId="55" xfId="0" applyNumberFormat="1" applyFont="1" applyBorder="1"/>
    <xf numFmtId="193" fontId="132" fillId="0" borderId="0" xfId="0" applyNumberFormat="1" applyFont="1" applyBorder="1"/>
    <xf numFmtId="0" fontId="12" fillId="0" borderId="50" xfId="0" applyFont="1" applyBorder="1"/>
    <xf numFmtId="0" fontId="12" fillId="0" borderId="55" xfId="0" applyFont="1" applyBorder="1"/>
    <xf numFmtId="0" fontId="12" fillId="0" borderId="0" xfId="0" applyFont="1" applyFill="1"/>
    <xf numFmtId="41" fontId="119" fillId="0" borderId="55" xfId="0" applyNumberFormat="1" applyFont="1" applyBorder="1"/>
    <xf numFmtId="41" fontId="119" fillId="0" borderId="0" xfId="0" applyNumberFormat="1" applyFont="1" applyBorder="1"/>
    <xf numFmtId="193" fontId="128" fillId="0" borderId="0" xfId="0" applyNumberFormat="1" applyFont="1" applyBorder="1"/>
    <xf numFmtId="165" fontId="12" fillId="0" borderId="19" xfId="1" applyNumberFormat="1" applyFont="1" applyBorder="1"/>
    <xf numFmtId="165" fontId="12" fillId="0" borderId="57" xfId="1" applyNumberFormat="1" applyFont="1" applyBorder="1"/>
    <xf numFmtId="41" fontId="133" fillId="0" borderId="0" xfId="0" applyNumberFormat="1" applyFont="1"/>
    <xf numFmtId="41" fontId="133" fillId="0" borderId="50" xfId="0" applyNumberFormat="1" applyFont="1" applyBorder="1"/>
    <xf numFmtId="41" fontId="133" fillId="0" borderId="55" xfId="0" applyNumberFormat="1" applyFont="1" applyBorder="1"/>
    <xf numFmtId="41" fontId="133" fillId="0" borderId="0" xfId="0" applyNumberFormat="1" applyFont="1" applyBorder="1"/>
    <xf numFmtId="42" fontId="116" fillId="41" borderId="19" xfId="0" applyNumberFormat="1" applyFont="1" applyFill="1" applyBorder="1"/>
    <xf numFmtId="42" fontId="116" fillId="41" borderId="57" xfId="0" applyNumberFormat="1" applyFont="1" applyFill="1" applyBorder="1"/>
    <xf numFmtId="193" fontId="123" fillId="0" borderId="0" xfId="0" applyNumberFormat="1" applyFont="1" applyFill="1" applyBorder="1"/>
    <xf numFmtId="193" fontId="123" fillId="41" borderId="19" xfId="0" applyNumberFormat="1" applyFont="1" applyFill="1" applyBorder="1"/>
    <xf numFmtId="0" fontId="123" fillId="41" borderId="0" xfId="0" applyFont="1" applyFill="1" applyBorder="1" applyAlignment="1">
      <alignment horizontal="left" indent="1"/>
    </xf>
    <xf numFmtId="193" fontId="123" fillId="41" borderId="0" xfId="0" applyNumberFormat="1" applyFont="1" applyFill="1" applyBorder="1"/>
    <xf numFmtId="193" fontId="123" fillId="41" borderId="55" xfId="0" applyNumberFormat="1" applyFont="1" applyFill="1" applyBorder="1"/>
    <xf numFmtId="0" fontId="123" fillId="41" borderId="4" xfId="0" applyFont="1" applyFill="1" applyBorder="1" applyAlignment="1">
      <alignment horizontal="left" indent="1"/>
    </xf>
    <xf numFmtId="193" fontId="123" fillId="41" borderId="4" xfId="0" applyNumberFormat="1" applyFont="1" applyFill="1" applyBorder="1" applyAlignment="1">
      <alignment horizontal="right"/>
    </xf>
    <xf numFmtId="193" fontId="123" fillId="41" borderId="4" xfId="0" applyNumberFormat="1" applyFont="1" applyFill="1" applyBorder="1"/>
    <xf numFmtId="193" fontId="123" fillId="41" borderId="56" xfId="0" applyNumberFormat="1" applyFont="1" applyFill="1" applyBorder="1"/>
    <xf numFmtId="193" fontId="132" fillId="0" borderId="50" xfId="0" applyNumberFormat="1" applyFont="1" applyBorder="1"/>
    <xf numFmtId="193" fontId="132" fillId="0" borderId="0" xfId="0" applyNumberFormat="1" applyFont="1" applyFill="1"/>
    <xf numFmtId="41" fontId="118" fillId="0" borderId="0" xfId="0" applyNumberFormat="1" applyFont="1" applyFill="1" applyBorder="1"/>
    <xf numFmtId="41" fontId="118" fillId="0" borderId="55" xfId="0" applyNumberFormat="1" applyFont="1" applyFill="1" applyBorder="1"/>
    <xf numFmtId="49" fontId="119" fillId="0" borderId="0" xfId="0" applyNumberFormat="1" applyFont="1"/>
    <xf numFmtId="165" fontId="12" fillId="0" borderId="0" xfId="1" applyNumberFormat="1" applyFont="1" applyFill="1" applyBorder="1"/>
    <xf numFmtId="165" fontId="12" fillId="0" borderId="55" xfId="1" applyNumberFormat="1" applyFont="1" applyFill="1" applyBorder="1"/>
    <xf numFmtId="165" fontId="12" fillId="0" borderId="1" xfId="1" applyNumberFormat="1" applyFont="1" applyFill="1" applyBorder="1"/>
    <xf numFmtId="165" fontId="12" fillId="0" borderId="58" xfId="1" applyNumberFormat="1" applyFont="1" applyFill="1" applyBorder="1"/>
    <xf numFmtId="171" fontId="12" fillId="0" borderId="0" xfId="0" applyNumberFormat="1" applyFont="1" applyFill="1" applyBorder="1"/>
    <xf numFmtId="171" fontId="12" fillId="0" borderId="55" xfId="0" applyNumberFormat="1" applyFont="1" applyFill="1" applyBorder="1"/>
    <xf numFmtId="41" fontId="133" fillId="0" borderId="0" xfId="0" applyNumberFormat="1" applyFont="1" applyFill="1" applyBorder="1"/>
    <xf numFmtId="41" fontId="133" fillId="0" borderId="55" xfId="0" applyNumberFormat="1" applyFont="1" applyFill="1" applyBorder="1"/>
    <xf numFmtId="41" fontId="119" fillId="0" borderId="0" xfId="0" applyNumberFormat="1" applyFont="1" applyFill="1" applyBorder="1"/>
    <xf numFmtId="41" fontId="119" fillId="0" borderId="55" xfId="0" applyNumberFormat="1" applyFont="1" applyFill="1" applyBorder="1"/>
    <xf numFmtId="41" fontId="119" fillId="0" borderId="1" xfId="0" applyNumberFormat="1" applyFont="1" applyFill="1" applyBorder="1"/>
    <xf numFmtId="41" fontId="119" fillId="0" borderId="58" xfId="0" applyNumberFormat="1" applyFont="1" applyFill="1" applyBorder="1"/>
    <xf numFmtId="193" fontId="123" fillId="0" borderId="55" xfId="0" applyNumberFormat="1" applyFont="1" applyFill="1" applyBorder="1"/>
    <xf numFmtId="0" fontId="116" fillId="0" borderId="49" xfId="0" applyFont="1" applyFill="1" applyBorder="1"/>
    <xf numFmtId="171" fontId="116" fillId="0" borderId="49" xfId="0" applyNumberFormat="1" applyFont="1" applyFill="1" applyBorder="1"/>
    <xf numFmtId="171" fontId="116" fillId="0" borderId="59" xfId="0" applyNumberFormat="1" applyFont="1" applyFill="1" applyBorder="1"/>
    <xf numFmtId="0" fontId="128" fillId="0" borderId="0" xfId="0" applyFont="1" applyFill="1" applyBorder="1" applyAlignment="1">
      <alignment horizontal="left" indent="1"/>
    </xf>
    <xf numFmtId="0" fontId="12" fillId="0" borderId="0" xfId="0" applyFont="1" applyFill="1" applyBorder="1" applyAlignment="1">
      <alignment horizontal="right"/>
    </xf>
    <xf numFmtId="41" fontId="128" fillId="0" borderId="0" xfId="0" applyNumberFormat="1" applyFont="1" applyFill="1" applyBorder="1"/>
    <xf numFmtId="41" fontId="128" fillId="0" borderId="55" xfId="0" applyNumberFormat="1" applyFont="1" applyFill="1" applyBorder="1"/>
    <xf numFmtId="0" fontId="134" fillId="0" borderId="0" xfId="0" applyFont="1"/>
    <xf numFmtId="0" fontId="132" fillId="0" borderId="0" xfId="0" applyFont="1"/>
    <xf numFmtId="172" fontId="132" fillId="0" borderId="0" xfId="0" applyNumberFormat="1" applyFont="1" applyBorder="1" applyAlignment="1">
      <alignment horizontal="right"/>
    </xf>
    <xf numFmtId="172" fontId="132" fillId="0" borderId="55" xfId="0" applyNumberFormat="1" applyFont="1" applyBorder="1" applyAlignment="1">
      <alignment horizontal="right"/>
    </xf>
    <xf numFmtId="165" fontId="57" fillId="0" borderId="0" xfId="1" applyNumberFormat="1" applyFont="1" applyBorder="1"/>
    <xf numFmtId="43" fontId="48" fillId="0" borderId="0" xfId="0" applyNumberFormat="1" applyFont="1"/>
    <xf numFmtId="0" fontId="114" fillId="44" borderId="0" xfId="0" applyFont="1" applyFill="1"/>
    <xf numFmtId="0" fontId="16" fillId="44" borderId="0" xfId="0" applyFont="1" applyFill="1"/>
    <xf numFmtId="0" fontId="114" fillId="44" borderId="0" xfId="0" applyFont="1" applyFill="1" applyAlignment="1"/>
    <xf numFmtId="41" fontId="83" fillId="0" borderId="0" xfId="3" applyNumberFormat="1" applyFont="1"/>
    <xf numFmtId="44" fontId="112" fillId="0" borderId="0" xfId="0" applyNumberFormat="1" applyFont="1"/>
    <xf numFmtId="0" fontId="135" fillId="0" borderId="4" xfId="0" applyFont="1" applyFill="1" applyBorder="1"/>
    <xf numFmtId="0" fontId="136" fillId="0" borderId="0" xfId="0" applyFont="1" applyFill="1" applyBorder="1"/>
    <xf numFmtId="188" fontId="136" fillId="0" borderId="0" xfId="0" applyNumberFormat="1" applyFont="1" applyFill="1" applyAlignment="1">
      <alignment horizontal="left"/>
    </xf>
    <xf numFmtId="0" fontId="137" fillId="0" borderId="0" xfId="0" applyFont="1" applyFill="1" applyBorder="1"/>
    <xf numFmtId="0" fontId="138" fillId="45" borderId="0" xfId="0" applyFont="1" applyFill="1"/>
    <xf numFmtId="0" fontId="139" fillId="0" borderId="0" xfId="0" applyFont="1"/>
    <xf numFmtId="0" fontId="138" fillId="40" borderId="0" xfId="0" applyFont="1" applyFill="1" applyAlignment="1">
      <alignment horizontal="center"/>
    </xf>
    <xf numFmtId="0" fontId="140" fillId="40" borderId="0" xfId="0" applyFont="1" applyFill="1" applyAlignment="1">
      <alignment horizontal="center"/>
    </xf>
    <xf numFmtId="0" fontId="141" fillId="0" borderId="4" xfId="0" applyFont="1" applyBorder="1" applyAlignment="1">
      <alignment horizontal="center"/>
    </xf>
    <xf numFmtId="42" fontId="142" fillId="0" borderId="0" xfId="0" applyNumberFormat="1" applyFont="1"/>
    <xf numFmtId="0" fontId="141" fillId="46" borderId="0" xfId="0" applyFont="1" applyFill="1"/>
    <xf numFmtId="0" fontId="139" fillId="0" borderId="0" xfId="0" applyFont="1" applyAlignment="1">
      <alignment horizontal="center"/>
    </xf>
    <xf numFmtId="0" fontId="143" fillId="0" borderId="0" xfId="0" applyFont="1" applyAlignment="1">
      <alignment horizontal="center"/>
    </xf>
    <xf numFmtId="0" fontId="132" fillId="0" borderId="0" xfId="0" applyFont="1" applyBorder="1"/>
    <xf numFmtId="0" fontId="128" fillId="0" borderId="0" xfId="0" applyFont="1" applyBorder="1"/>
    <xf numFmtId="0" fontId="112" fillId="0" borderId="0" xfId="0" applyFont="1" applyBorder="1"/>
    <xf numFmtId="165" fontId="73" fillId="0" borderId="0" xfId="1" applyNumberFormat="1" applyFont="1" applyBorder="1"/>
    <xf numFmtId="42" fontId="12" fillId="0" borderId="0" xfId="0" applyNumberFormat="1" applyFont="1"/>
    <xf numFmtId="0" fontId="144" fillId="0" borderId="0" xfId="0" applyFont="1" applyAlignment="1">
      <alignment horizontal="center"/>
    </xf>
    <xf numFmtId="171" fontId="12" fillId="0" borderId="0" xfId="8" applyNumberFormat="1" applyFont="1"/>
    <xf numFmtId="0" fontId="145" fillId="47" borderId="0" xfId="90" applyFill="1"/>
    <xf numFmtId="0" fontId="145" fillId="48" borderId="0" xfId="90" applyFill="1"/>
    <xf numFmtId="0" fontId="148" fillId="49" borderId="0" xfId="91" applyFont="1" applyFill="1" applyBorder="1"/>
    <xf numFmtId="0" fontId="149" fillId="49" borderId="0" xfId="91" applyFont="1" applyFill="1" applyBorder="1" applyAlignment="1">
      <alignment horizontal="center"/>
    </xf>
    <xf numFmtId="199" fontId="149" fillId="49" borderId="0" xfId="91" applyNumberFormat="1" applyFont="1" applyFill="1" applyBorder="1" applyAlignment="1">
      <alignment horizontal="center"/>
    </xf>
    <xf numFmtId="0" fontId="146" fillId="48" borderId="0" xfId="90" applyFont="1" applyFill="1"/>
    <xf numFmtId="171" fontId="0" fillId="48" borderId="0" xfId="92" applyNumberFormat="1" applyFont="1" applyFill="1"/>
    <xf numFmtId="171" fontId="145" fillId="48" borderId="0" xfId="90" applyNumberFormat="1" applyFill="1"/>
    <xf numFmtId="0" fontId="145" fillId="48" borderId="0" xfId="90" applyFill="1" applyAlignment="1">
      <alignment horizontal="left" indent="1"/>
    </xf>
    <xf numFmtId="165" fontId="0" fillId="48" borderId="0" xfId="93" applyNumberFormat="1" applyFont="1" applyFill="1"/>
    <xf numFmtId="171" fontId="0" fillId="48" borderId="27" xfId="92" applyNumberFormat="1" applyFont="1" applyFill="1" applyBorder="1"/>
    <xf numFmtId="171" fontId="145" fillId="48" borderId="27" xfId="90" applyNumberFormat="1" applyFill="1" applyBorder="1"/>
    <xf numFmtId="43" fontId="0" fillId="48" borderId="0" xfId="93" applyFont="1" applyFill="1"/>
    <xf numFmtId="165" fontId="145" fillId="48" borderId="0" xfId="90" applyNumberFormat="1" applyFill="1"/>
    <xf numFmtId="165" fontId="0" fillId="48" borderId="0" xfId="93" applyNumberFormat="1" applyFont="1" applyFill="1" applyAlignment="1">
      <alignment horizontal="right"/>
    </xf>
    <xf numFmtId="43" fontId="145" fillId="48" borderId="0" xfId="90" applyNumberFormat="1" applyFill="1"/>
    <xf numFmtId="0" fontId="146" fillId="48" borderId="0" xfId="90" applyFont="1" applyFill="1" applyAlignment="1">
      <alignment horizontal="left"/>
    </xf>
    <xf numFmtId="0" fontId="145" fillId="48" borderId="0" xfId="90" applyFont="1" applyFill="1" applyAlignment="1">
      <alignment horizontal="left" indent="1"/>
    </xf>
    <xf numFmtId="0" fontId="146" fillId="48" borderId="0" xfId="90" applyFont="1" applyFill="1" applyAlignment="1">
      <alignment horizontal="left" indent="2"/>
    </xf>
    <xf numFmtId="171" fontId="146" fillId="48" borderId="6" xfId="92" applyNumberFormat="1" applyFont="1" applyFill="1" applyBorder="1"/>
    <xf numFmtId="171" fontId="146" fillId="48" borderId="0" xfId="92" applyNumberFormat="1" applyFont="1" applyFill="1"/>
    <xf numFmtId="49" fontId="151" fillId="0" borderId="0" xfId="94" applyNumberFormat="1" applyFont="1"/>
    <xf numFmtId="49" fontId="152" fillId="0" borderId="0" xfId="94" applyNumberFormat="1" applyFont="1"/>
    <xf numFmtId="49" fontId="152" fillId="0" borderId="0" xfId="94" applyNumberFormat="1" applyFont="1" applyFill="1"/>
    <xf numFmtId="190" fontId="152" fillId="0" borderId="0" xfId="94" applyNumberFormat="1" applyFont="1"/>
    <xf numFmtId="0" fontId="152" fillId="0" borderId="0" xfId="94" applyFont="1"/>
    <xf numFmtId="190" fontId="149" fillId="49" borderId="0" xfId="91" applyNumberFormat="1" applyFont="1" applyFill="1" applyBorder="1" applyAlignment="1">
      <alignment horizontal="center"/>
    </xf>
    <xf numFmtId="0" fontId="152" fillId="0" borderId="0" xfId="94" applyFont="1" applyBorder="1" applyAlignment="1">
      <alignment vertical="center"/>
    </xf>
    <xf numFmtId="0" fontId="153" fillId="0" borderId="0" xfId="94" applyFont="1"/>
    <xf numFmtId="0" fontId="151" fillId="0" borderId="0" xfId="94" applyFont="1" applyAlignment="1">
      <alignment vertical="center"/>
    </xf>
    <xf numFmtId="0" fontId="152" fillId="0" borderId="0" xfId="95" applyNumberFormat="1" applyFont="1" applyAlignment="1">
      <alignment horizontal="left" vertical="center" indent="1"/>
    </xf>
    <xf numFmtId="171" fontId="152" fillId="0" borderId="0" xfId="96" applyNumberFormat="1" applyFont="1" applyFill="1" applyBorder="1" applyAlignment="1">
      <alignment vertical="center"/>
    </xf>
    <xf numFmtId="165" fontId="152" fillId="0" borderId="0" xfId="7" applyNumberFormat="1" applyFont="1" applyFill="1" applyBorder="1" applyAlignment="1">
      <alignment vertical="center"/>
    </xf>
    <xf numFmtId="165" fontId="152" fillId="0" borderId="0" xfId="7" applyNumberFormat="1" applyFont="1" applyBorder="1" applyAlignment="1">
      <alignment vertical="center"/>
    </xf>
    <xf numFmtId="0" fontId="152" fillId="0" borderId="0" xfId="95" applyNumberFormat="1" applyFont="1" applyBorder="1" applyAlignment="1">
      <alignment horizontal="left" vertical="center" indent="1"/>
    </xf>
    <xf numFmtId="0" fontId="151" fillId="0" borderId="19" xfId="94" applyFont="1" applyBorder="1" applyAlignment="1">
      <alignment horizontal="left" vertical="center" indent="2"/>
    </xf>
    <xf numFmtId="171" fontId="151" fillId="0" borderId="19" xfId="96" applyNumberFormat="1" applyFont="1" applyBorder="1" applyAlignment="1">
      <alignment vertical="center"/>
    </xf>
    <xf numFmtId="0" fontId="152" fillId="0" borderId="0" xfId="94" applyFont="1" applyAlignment="1">
      <alignment vertical="center"/>
    </xf>
    <xf numFmtId="41" fontId="152" fillId="0" borderId="0" xfId="94" applyNumberFormat="1" applyFont="1" applyFill="1" applyAlignment="1">
      <alignment vertical="center"/>
    </xf>
    <xf numFmtId="41" fontId="152" fillId="0" borderId="0" xfId="94" applyNumberFormat="1" applyFont="1" applyAlignment="1">
      <alignment vertical="center"/>
    </xf>
    <xf numFmtId="0" fontId="152" fillId="0" borderId="0" xfId="94" applyFont="1" applyAlignment="1">
      <alignment horizontal="left" vertical="center" indent="1"/>
    </xf>
    <xf numFmtId="0" fontId="151" fillId="0" borderId="6" xfId="94" applyFont="1" applyBorder="1" applyAlignment="1">
      <alignment vertical="center"/>
    </xf>
    <xf numFmtId="171" fontId="151" fillId="0" borderId="6" xfId="96" applyNumberFormat="1" applyFont="1" applyFill="1" applyBorder="1" applyAlignment="1">
      <alignment vertical="center"/>
    </xf>
    <xf numFmtId="171" fontId="151" fillId="0" borderId="6" xfId="96" applyNumberFormat="1" applyFont="1" applyBorder="1" applyAlignment="1">
      <alignment vertical="center"/>
    </xf>
    <xf numFmtId="43" fontId="152" fillId="0" borderId="0" xfId="94" applyNumberFormat="1" applyFont="1"/>
    <xf numFmtId="171" fontId="151" fillId="0" borderId="19" xfId="96" applyNumberFormat="1" applyFont="1" applyFill="1" applyBorder="1" applyAlignment="1">
      <alignment vertical="center"/>
    </xf>
    <xf numFmtId="41" fontId="152" fillId="0" borderId="0" xfId="97" applyNumberFormat="1" applyFont="1" applyAlignment="1">
      <alignment vertical="center"/>
    </xf>
    <xf numFmtId="0" fontId="151" fillId="0" borderId="6" xfId="94" applyFont="1" applyBorder="1" applyAlignment="1">
      <alignment horizontal="left" vertical="center" indent="2"/>
    </xf>
    <xf numFmtId="0" fontId="155" fillId="0" borderId="0" xfId="94" applyFont="1"/>
    <xf numFmtId="43" fontId="152" fillId="0" borderId="0" xfId="7" applyFont="1"/>
    <xf numFmtId="0" fontId="152" fillId="0" borderId="0" xfId="91" applyFont="1"/>
    <xf numFmtId="0" fontId="151" fillId="0" borderId="0" xfId="91" applyFont="1"/>
    <xf numFmtId="171" fontId="151" fillId="0" borderId="0" xfId="96" applyNumberFormat="1" applyFont="1"/>
    <xf numFmtId="0" fontId="152" fillId="0" borderId="0" xfId="91" applyFont="1" applyBorder="1"/>
    <xf numFmtId="0" fontId="151" fillId="0" borderId="19" xfId="91" applyFont="1" applyBorder="1"/>
    <xf numFmtId="171" fontId="151" fillId="0" borderId="19" xfId="96" applyNumberFormat="1" applyFont="1" applyBorder="1"/>
    <xf numFmtId="166" fontId="155" fillId="0" borderId="1" xfId="91" applyNumberFormat="1" applyFont="1" applyBorder="1" applyAlignment="1">
      <alignment horizontal="left" indent="1"/>
    </xf>
    <xf numFmtId="166" fontId="155" fillId="0" borderId="1" xfId="91" applyNumberFormat="1" applyFont="1" applyBorder="1"/>
    <xf numFmtId="166" fontId="155" fillId="0" borderId="0" xfId="91" applyNumberFormat="1" applyFont="1" applyBorder="1" applyAlignment="1">
      <alignment horizontal="left" indent="1"/>
    </xf>
    <xf numFmtId="166" fontId="155" fillId="0" borderId="0" xfId="91" applyNumberFormat="1" applyFont="1" applyBorder="1"/>
    <xf numFmtId="165" fontId="152" fillId="0" borderId="0" xfId="98" applyNumberFormat="1" applyFont="1" applyBorder="1"/>
    <xf numFmtId="0" fontId="152" fillId="0" borderId="1" xfId="91" applyFont="1" applyBorder="1"/>
    <xf numFmtId="165" fontId="152" fillId="0" borderId="1" xfId="98" applyNumberFormat="1" applyFont="1" applyBorder="1"/>
    <xf numFmtId="0" fontId="152" fillId="0" borderId="0" xfId="94" applyFont="1" applyBorder="1"/>
    <xf numFmtId="171" fontId="152" fillId="0" borderId="0" xfId="96" applyNumberFormat="1" applyFont="1" applyBorder="1"/>
    <xf numFmtId="166" fontId="155" fillId="0" borderId="19" xfId="91" applyNumberFormat="1" applyFont="1" applyBorder="1" applyAlignment="1">
      <alignment horizontal="left" indent="1"/>
    </xf>
    <xf numFmtId="9" fontId="152" fillId="0" borderId="19" xfId="6" applyFont="1" applyBorder="1"/>
    <xf numFmtId="3" fontId="152" fillId="0" borderId="0" xfId="91" applyNumberFormat="1" applyFont="1" applyBorder="1"/>
    <xf numFmtId="0" fontId="152" fillId="0" borderId="27" xfId="91" applyFont="1" applyBorder="1"/>
    <xf numFmtId="171" fontId="152" fillId="0" borderId="27" xfId="96" applyNumberFormat="1" applyFont="1" applyBorder="1"/>
    <xf numFmtId="3" fontId="152" fillId="0" borderId="0" xfId="91" applyNumberFormat="1" applyFont="1"/>
    <xf numFmtId="0" fontId="151" fillId="0" borderId="6" xfId="91" applyFont="1" applyBorder="1"/>
    <xf numFmtId="171" fontId="151" fillId="0" borderId="6" xfId="96" applyNumberFormat="1" applyFont="1" applyBorder="1"/>
    <xf numFmtId="166" fontId="152" fillId="0" borderId="19" xfId="6" applyNumberFormat="1" applyFont="1" applyBorder="1"/>
    <xf numFmtId="9" fontId="152" fillId="0" borderId="0" xfId="6" applyFont="1" applyBorder="1"/>
    <xf numFmtId="41" fontId="152" fillId="0" borderId="0" xfId="99" applyNumberFormat="1" applyFont="1"/>
    <xf numFmtId="166" fontId="155" fillId="0" borderId="0" xfId="91" applyNumberFormat="1" applyFont="1" applyAlignment="1">
      <alignment horizontal="left" indent="1"/>
    </xf>
    <xf numFmtId="166" fontId="155" fillId="0" borderId="0" xfId="91" applyNumberFormat="1" applyFont="1"/>
    <xf numFmtId="171" fontId="152" fillId="0" borderId="0" xfId="96" applyNumberFormat="1" applyFont="1" applyFill="1"/>
    <xf numFmtId="165" fontId="152" fillId="0" borderId="0" xfId="7" applyNumberFormat="1" applyFont="1"/>
    <xf numFmtId="9" fontId="155" fillId="0" borderId="1" xfId="91" applyNumberFormat="1" applyFont="1" applyBorder="1"/>
    <xf numFmtId="0" fontId="152" fillId="0" borderId="19" xfId="91" applyFont="1" applyBorder="1"/>
    <xf numFmtId="165" fontId="152" fillId="0" borderId="19" xfId="98" applyNumberFormat="1" applyFont="1" applyBorder="1"/>
    <xf numFmtId="41" fontId="152" fillId="0" borderId="0" xfId="91" applyNumberFormat="1" applyFont="1"/>
    <xf numFmtId="0" fontId="152" fillId="0" borderId="0" xfId="94" applyFont="1" applyAlignment="1">
      <alignment horizontal="right"/>
    </xf>
    <xf numFmtId="41" fontId="152" fillId="0" borderId="0" xfId="94" applyNumberFormat="1" applyFont="1"/>
    <xf numFmtId="171" fontId="151" fillId="0" borderId="6" xfId="96" applyNumberFormat="1" applyFont="1" applyFill="1" applyBorder="1"/>
    <xf numFmtId="9" fontId="155" fillId="0" borderId="0" xfId="91" applyNumberFormat="1" applyFont="1" applyBorder="1"/>
    <xf numFmtId="37" fontId="152" fillId="0" borderId="0" xfId="91" applyNumberFormat="1" applyFont="1" applyBorder="1" applyAlignment="1">
      <alignment horizontal="right"/>
    </xf>
    <xf numFmtId="9" fontId="155" fillId="0" borderId="0" xfId="91" applyNumberFormat="1" applyFont="1"/>
    <xf numFmtId="0" fontId="152" fillId="0" borderId="0" xfId="94" applyFont="1" applyFill="1"/>
    <xf numFmtId="0" fontId="152" fillId="0" borderId="1" xfId="94" applyFont="1" applyBorder="1" applyAlignment="1">
      <alignment horizontal="center"/>
    </xf>
    <xf numFmtId="0" fontId="152" fillId="0" borderId="0" xfId="100" applyFont="1" applyAlignment="1">
      <alignment vertical="center"/>
    </xf>
    <xf numFmtId="171" fontId="152" fillId="0" borderId="0" xfId="95" applyNumberFormat="1" applyFont="1" applyAlignment="1">
      <alignment vertical="center"/>
    </xf>
    <xf numFmtId="171" fontId="152" fillId="0" borderId="0" xfId="95" applyNumberFormat="1" applyFont="1" applyBorder="1" applyAlignment="1">
      <alignment vertical="center"/>
    </xf>
    <xf numFmtId="0" fontId="151" fillId="0" borderId="0" xfId="100" applyFont="1" applyAlignment="1">
      <alignment vertical="center"/>
    </xf>
    <xf numFmtId="171" fontId="151" fillId="0" borderId="0" xfId="96" applyNumberFormat="1" applyFont="1" applyAlignment="1">
      <alignment vertical="center"/>
    </xf>
    <xf numFmtId="0" fontId="152" fillId="0" borderId="0" xfId="100" applyFont="1" applyAlignment="1">
      <alignment horizontal="left" vertical="center" indent="1"/>
    </xf>
    <xf numFmtId="165" fontId="152" fillId="0" borderId="0" xfId="7" applyNumberFormat="1" applyFont="1" applyAlignment="1">
      <alignment vertical="center"/>
    </xf>
    <xf numFmtId="171" fontId="152" fillId="0" borderId="0" xfId="94" applyNumberFormat="1" applyFont="1"/>
    <xf numFmtId="165" fontId="152" fillId="0" borderId="1" xfId="7" applyNumberFormat="1" applyFont="1" applyBorder="1" applyAlignment="1">
      <alignment vertical="center"/>
    </xf>
    <xf numFmtId="0" fontId="151" fillId="0" borderId="0" xfId="100" applyFont="1" applyAlignment="1">
      <alignment horizontal="left" vertical="center"/>
    </xf>
    <xf numFmtId="171" fontId="151" fillId="0" borderId="1" xfId="96" applyNumberFormat="1" applyFont="1" applyBorder="1" applyAlignment="1">
      <alignment vertical="center"/>
    </xf>
    <xf numFmtId="165" fontId="152" fillId="0" borderId="19" xfId="7" applyNumberFormat="1" applyFont="1" applyBorder="1"/>
    <xf numFmtId="0" fontId="155" fillId="0" borderId="0" xfId="100" applyFont="1" applyAlignment="1">
      <alignment horizontal="left" vertical="center" indent="1"/>
    </xf>
    <xf numFmtId="9" fontId="155" fillId="0" borderId="0" xfId="6" applyFont="1" applyBorder="1" applyAlignment="1">
      <alignment vertical="center"/>
    </xf>
    <xf numFmtId="165" fontId="152" fillId="0" borderId="0" xfId="94" applyNumberFormat="1" applyFont="1"/>
    <xf numFmtId="0" fontId="151" fillId="0" borderId="0" xfId="100" applyFont="1" applyFill="1" applyAlignment="1">
      <alignment vertical="center"/>
    </xf>
    <xf numFmtId="41" fontId="152" fillId="0" borderId="0" xfId="100" applyNumberFormat="1" applyFont="1" applyFill="1" applyAlignment="1">
      <alignment vertical="center"/>
    </xf>
    <xf numFmtId="0" fontId="152" fillId="0" borderId="0" xfId="100" applyNumberFormat="1" applyFont="1" applyAlignment="1">
      <alignment horizontal="left" vertical="center" indent="1"/>
    </xf>
    <xf numFmtId="37" fontId="152" fillId="0" borderId="0" xfId="97" applyNumberFormat="1" applyFont="1" applyFill="1" applyBorder="1" applyAlignment="1">
      <alignment vertical="center"/>
    </xf>
    <xf numFmtId="0" fontId="156" fillId="0" borderId="0" xfId="94" quotePrefix="1" applyFont="1" applyAlignment="1">
      <alignment horizontal="right"/>
    </xf>
    <xf numFmtId="43" fontId="152" fillId="0" borderId="0" xfId="7" applyFont="1" applyFill="1" applyBorder="1" applyAlignment="1">
      <alignment vertical="center"/>
    </xf>
    <xf numFmtId="0" fontId="156" fillId="0" borderId="0" xfId="94" quotePrefix="1" applyFont="1" applyAlignment="1">
      <alignment horizontal="left"/>
    </xf>
    <xf numFmtId="0" fontId="152" fillId="0" borderId="0" xfId="100" applyNumberFormat="1" applyFont="1" applyFill="1" applyAlignment="1">
      <alignment horizontal="left" vertical="center" indent="1"/>
    </xf>
    <xf numFmtId="37" fontId="152" fillId="0" borderId="0" xfId="97" applyNumberFormat="1" applyFont="1" applyFill="1" applyBorder="1" applyAlignment="1">
      <alignment horizontal="right" vertical="center"/>
    </xf>
    <xf numFmtId="0" fontId="153" fillId="0" borderId="0" xfId="94" applyFont="1" applyFill="1"/>
    <xf numFmtId="49" fontId="152" fillId="0" borderId="0" xfId="100" applyNumberFormat="1" applyFont="1" applyAlignment="1">
      <alignment horizontal="right" vertical="center"/>
    </xf>
    <xf numFmtId="41" fontId="152" fillId="0" borderId="0" xfId="97" applyNumberFormat="1" applyFont="1" applyFill="1" applyBorder="1" applyAlignment="1">
      <alignment vertical="center"/>
    </xf>
    <xf numFmtId="0" fontId="152" fillId="0" borderId="0" xfId="100" applyFont="1" applyFill="1" applyAlignment="1">
      <alignment vertical="center"/>
    </xf>
    <xf numFmtId="0" fontId="152" fillId="0" borderId="1" xfId="100" applyFont="1" applyFill="1" applyBorder="1" applyAlignment="1">
      <alignment vertical="center"/>
    </xf>
    <xf numFmtId="171" fontId="151" fillId="0" borderId="6" xfId="95" applyNumberFormat="1" applyFont="1" applyFill="1" applyBorder="1" applyAlignment="1">
      <alignment vertical="center"/>
    </xf>
    <xf numFmtId="9" fontId="155" fillId="0" borderId="0" xfId="101" applyFont="1" applyFill="1" applyAlignment="1">
      <alignment vertical="center"/>
    </xf>
    <xf numFmtId="0" fontId="155" fillId="0" borderId="0" xfId="100" applyFont="1" applyFill="1" applyAlignment="1">
      <alignment vertical="center"/>
    </xf>
    <xf numFmtId="38" fontId="152" fillId="0" borderId="0" xfId="100" applyNumberFormat="1" applyFont="1" applyFill="1" applyAlignment="1">
      <alignment vertical="center"/>
    </xf>
    <xf numFmtId="41" fontId="152" fillId="0" borderId="0" xfId="100" applyNumberFormat="1" applyFont="1" applyFill="1" applyAlignment="1">
      <alignment horizontal="left" vertical="center" indent="1"/>
    </xf>
    <xf numFmtId="41" fontId="152" fillId="0" borderId="0" xfId="100" applyNumberFormat="1" applyFont="1" applyAlignment="1">
      <alignment horizontal="left" vertical="center" indent="1"/>
    </xf>
    <xf numFmtId="0" fontId="157" fillId="0" borderId="0" xfId="94" applyFont="1"/>
    <xf numFmtId="41" fontId="152" fillId="0" borderId="0" xfId="100" applyNumberFormat="1" applyFont="1" applyFill="1" applyAlignment="1">
      <alignment horizontal="right" vertical="center" indent="1"/>
    </xf>
    <xf numFmtId="190" fontId="149" fillId="49" borderId="0" xfId="91" applyNumberFormat="1" applyFont="1" applyFill="1" applyBorder="1" applyAlignment="1">
      <alignment horizontal="left"/>
    </xf>
    <xf numFmtId="0" fontId="152" fillId="0" borderId="19" xfId="100" applyFont="1" applyFill="1" applyBorder="1" applyAlignment="1">
      <alignment vertical="center"/>
    </xf>
    <xf numFmtId="171" fontId="152" fillId="0" borderId="0" xfId="95" applyNumberFormat="1" applyFont="1" applyFill="1" applyAlignment="1">
      <alignment vertical="center"/>
    </xf>
    <xf numFmtId="9" fontId="152" fillId="0" borderId="0" xfId="101" applyFont="1" applyFill="1"/>
    <xf numFmtId="166" fontId="152" fillId="0" borderId="0" xfId="101" applyNumberFormat="1" applyFont="1" applyFill="1" applyAlignment="1">
      <alignment horizontal="center" vertical="center"/>
    </xf>
    <xf numFmtId="0" fontId="152" fillId="0" borderId="0" xfId="100" applyFont="1" applyFill="1"/>
    <xf numFmtId="171" fontId="152" fillId="0" borderId="0" xfId="95" applyNumberFormat="1" applyFont="1" applyFill="1"/>
    <xf numFmtId="43" fontId="152" fillId="0" borderId="0" xfId="97" applyFont="1" applyFill="1"/>
    <xf numFmtId="0" fontId="152" fillId="0" borderId="1" xfId="100" applyFont="1" applyFill="1" applyBorder="1"/>
    <xf numFmtId="43" fontId="152" fillId="0" borderId="1" xfId="97" applyFont="1" applyFill="1" applyBorder="1"/>
    <xf numFmtId="200" fontId="152" fillId="0" borderId="0" xfId="100" applyNumberFormat="1" applyFont="1" applyFill="1" applyBorder="1" applyAlignment="1">
      <alignment horizontal="left" vertical="center"/>
    </xf>
    <xf numFmtId="42" fontId="152" fillId="0" borderId="0" xfId="97" applyNumberFormat="1" applyFont="1" applyFill="1" applyBorder="1" applyAlignment="1">
      <alignment horizontal="right" vertical="center"/>
    </xf>
    <xf numFmtId="41" fontId="152" fillId="0" borderId="0" xfId="97" applyNumberFormat="1" applyFont="1" applyFill="1" applyBorder="1" applyAlignment="1">
      <alignment horizontal="right" vertical="center"/>
    </xf>
    <xf numFmtId="0" fontId="152" fillId="0" borderId="19" xfId="100" applyFont="1" applyFill="1" applyBorder="1"/>
    <xf numFmtId="42" fontId="151" fillId="0" borderId="19" xfId="97" applyNumberFormat="1" applyFont="1" applyFill="1" applyBorder="1" applyAlignment="1">
      <alignment horizontal="right" vertical="center"/>
    </xf>
    <xf numFmtId="0" fontId="152" fillId="0" borderId="0" xfId="100" applyFont="1" applyFill="1" applyBorder="1"/>
    <xf numFmtId="165" fontId="152" fillId="0" borderId="0" xfId="7" applyNumberFormat="1" applyFont="1" applyFill="1" applyBorder="1" applyAlignment="1">
      <alignment horizontal="right" vertical="center"/>
    </xf>
    <xf numFmtId="42" fontId="152" fillId="0" borderId="0" xfId="94" applyNumberFormat="1" applyFont="1" applyFill="1"/>
    <xf numFmtId="42" fontId="152" fillId="0" borderId="0" xfId="94" applyNumberFormat="1" applyFont="1"/>
    <xf numFmtId="166" fontId="152" fillId="0" borderId="0" xfId="101" applyNumberFormat="1" applyFont="1" applyFill="1" applyBorder="1" applyAlignment="1">
      <alignment vertical="center"/>
    </xf>
    <xf numFmtId="9" fontId="152" fillId="0" borderId="0" xfId="6" applyFont="1" applyFill="1" applyBorder="1" applyAlignment="1">
      <alignment vertical="center"/>
    </xf>
    <xf numFmtId="9" fontId="152" fillId="0" borderId="1" xfId="6" applyFont="1" applyFill="1" applyBorder="1" applyAlignment="1">
      <alignment vertical="center"/>
    </xf>
    <xf numFmtId="0" fontId="152" fillId="0" borderId="0" xfId="100" applyFont="1"/>
    <xf numFmtId="171" fontId="152" fillId="0" borderId="0" xfId="100" applyNumberFormat="1" applyFont="1" applyFill="1"/>
    <xf numFmtId="171" fontId="152" fillId="0" borderId="0" xfId="100" applyNumberFormat="1" applyFont="1"/>
    <xf numFmtId="165" fontId="152" fillId="0" borderId="0" xfId="7" applyNumberFormat="1" applyFont="1" applyFill="1"/>
    <xf numFmtId="9" fontId="152" fillId="0" borderId="0" xfId="6" applyFont="1"/>
    <xf numFmtId="0" fontId="152" fillId="0" borderId="1" xfId="100" applyFont="1" applyBorder="1"/>
    <xf numFmtId="9" fontId="152" fillId="0" borderId="1" xfId="6" applyFont="1" applyBorder="1"/>
    <xf numFmtId="0" fontId="148" fillId="49" borderId="0" xfId="91" applyFont="1" applyFill="1" applyBorder="1" applyAlignment="1"/>
    <xf numFmtId="0" fontId="148" fillId="0" borderId="0" xfId="91" applyFont="1" applyFill="1" applyBorder="1" applyAlignment="1"/>
    <xf numFmtId="0" fontId="148" fillId="0" borderId="0" xfId="91" applyFont="1" applyFill="1" applyBorder="1" applyAlignment="1">
      <alignment horizontal="center"/>
    </xf>
    <xf numFmtId="0" fontId="158" fillId="0" borderId="0" xfId="100" applyFont="1" applyFill="1"/>
    <xf numFmtId="0" fontId="152" fillId="48" borderId="0" xfId="100" applyFont="1" applyFill="1"/>
    <xf numFmtId="0" fontId="159" fillId="48" borderId="0" xfId="100" applyFont="1" applyFill="1" applyAlignment="1">
      <alignment horizontal="center"/>
    </xf>
    <xf numFmtId="9" fontId="152" fillId="0" borderId="0" xfId="100" applyNumberFormat="1" applyFont="1" applyFill="1" applyAlignment="1">
      <alignment horizontal="left"/>
    </xf>
    <xf numFmtId="171" fontId="152" fillId="0" borderId="0" xfId="96" applyNumberFormat="1" applyFont="1" applyFill="1" applyBorder="1" applyAlignment="1">
      <alignment horizontal="right" vertical="center"/>
    </xf>
    <xf numFmtId="9" fontId="152" fillId="48" borderId="0" xfId="101" applyNumberFormat="1" applyFont="1" applyFill="1" applyAlignment="1">
      <alignment horizontal="center"/>
    </xf>
    <xf numFmtId="0" fontId="158" fillId="48" borderId="0" xfId="100" applyFont="1" applyFill="1"/>
    <xf numFmtId="0" fontId="151" fillId="48" borderId="0" xfId="100" applyFont="1" applyFill="1"/>
    <xf numFmtId="171" fontId="151" fillId="48" borderId="6" xfId="95" applyNumberFormat="1" applyFont="1" applyFill="1" applyBorder="1"/>
    <xf numFmtId="165" fontId="152" fillId="48" borderId="0" xfId="97" applyNumberFormat="1" applyFont="1" applyFill="1"/>
    <xf numFmtId="0" fontId="160" fillId="48" borderId="0" xfId="100" applyFont="1" applyFill="1" applyAlignment="1">
      <alignment horizontal="center" vertical="center"/>
    </xf>
    <xf numFmtId="166" fontId="152" fillId="48" borderId="0" xfId="6" applyNumberFormat="1" applyFont="1" applyFill="1"/>
    <xf numFmtId="0" fontId="152" fillId="48" borderId="0" xfId="100" applyFont="1" applyFill="1" applyAlignment="1">
      <alignment horizontal="center"/>
    </xf>
    <xf numFmtId="43" fontId="152" fillId="48" borderId="0" xfId="97" applyNumberFormat="1" applyFont="1" applyFill="1"/>
    <xf numFmtId="43" fontId="152" fillId="48" borderId="0" xfId="101" applyNumberFormat="1" applyFont="1" applyFill="1" applyAlignment="1">
      <alignment horizontal="left"/>
    </xf>
    <xf numFmtId="43" fontId="158" fillId="48" borderId="0" xfId="100" applyNumberFormat="1" applyFont="1" applyFill="1"/>
    <xf numFmtId="1" fontId="152" fillId="48" borderId="0" xfId="97" applyNumberFormat="1" applyFont="1" applyFill="1"/>
    <xf numFmtId="165" fontId="152" fillId="48" borderId="0" xfId="97" applyNumberFormat="1" applyFont="1" applyFill="1" applyAlignment="1">
      <alignment horizontal="left"/>
    </xf>
    <xf numFmtId="0" fontId="152" fillId="48" borderId="0" xfId="100" applyFont="1" applyFill="1" applyAlignment="1">
      <alignment horizontal="left"/>
    </xf>
    <xf numFmtId="43" fontId="152" fillId="0" borderId="0" xfId="7" applyFont="1" applyFill="1" applyAlignment="1">
      <alignment vertical="center"/>
    </xf>
    <xf numFmtId="165" fontId="152" fillId="0" borderId="0" xfId="7" applyNumberFormat="1" applyFont="1" applyFill="1" applyAlignment="1">
      <alignment vertical="center"/>
    </xf>
    <xf numFmtId="38" fontId="152" fillId="0" borderId="0" xfId="97" applyNumberFormat="1" applyFont="1" applyFill="1" applyAlignment="1">
      <alignment vertical="center"/>
    </xf>
    <xf numFmtId="37" fontId="152" fillId="0" borderId="0" xfId="97" applyNumberFormat="1" applyFont="1" applyFill="1" applyAlignment="1">
      <alignment vertical="center"/>
    </xf>
    <xf numFmtId="38" fontId="152" fillId="0" borderId="1" xfId="97" applyNumberFormat="1" applyFont="1" applyFill="1" applyBorder="1" applyAlignment="1">
      <alignment vertical="center"/>
    </xf>
    <xf numFmtId="0" fontId="151" fillId="0" borderId="1" xfId="100" applyFont="1" applyFill="1" applyBorder="1"/>
    <xf numFmtId="171" fontId="151" fillId="0" borderId="1" xfId="95" applyNumberFormat="1" applyFont="1" applyFill="1" applyBorder="1"/>
    <xf numFmtId="165" fontId="152" fillId="0" borderId="1" xfId="7" applyNumberFormat="1" applyFont="1" applyFill="1" applyBorder="1" applyAlignment="1">
      <alignment vertical="center"/>
    </xf>
    <xf numFmtId="42" fontId="151" fillId="0" borderId="1" xfId="97" applyNumberFormat="1" applyFont="1" applyFill="1" applyBorder="1" applyAlignment="1">
      <alignment horizontal="right" vertical="center"/>
    </xf>
    <xf numFmtId="166" fontId="152" fillId="0" borderId="0" xfId="6" applyNumberFormat="1" applyFont="1" applyFill="1" applyBorder="1" applyAlignment="1">
      <alignment vertical="center"/>
    </xf>
    <xf numFmtId="166" fontId="152" fillId="0" borderId="1" xfId="101" applyNumberFormat="1" applyFont="1" applyFill="1" applyBorder="1" applyAlignment="1">
      <alignment vertical="center"/>
    </xf>
    <xf numFmtId="166" fontId="152" fillId="0" borderId="1" xfId="6" applyNumberFormat="1" applyFont="1" applyFill="1" applyBorder="1" applyAlignment="1">
      <alignment vertical="center"/>
    </xf>
    <xf numFmtId="0" fontId="152" fillId="0" borderId="0" xfId="100" applyFont="1" applyFill="1" applyBorder="1" applyAlignment="1">
      <alignment vertical="center"/>
    </xf>
    <xf numFmtId="171" fontId="152" fillId="0" borderId="0" xfId="96" applyNumberFormat="1" applyFont="1" applyBorder="1" applyAlignment="1">
      <alignment vertical="center"/>
    </xf>
    <xf numFmtId="42" fontId="152" fillId="0" borderId="0" xfId="100" applyNumberFormat="1" applyFont="1" applyFill="1" applyAlignment="1">
      <alignment horizontal="left" vertical="center"/>
    </xf>
    <xf numFmtId="171" fontId="152" fillId="0" borderId="0" xfId="96" applyNumberFormat="1" applyFont="1" applyAlignment="1">
      <alignment vertical="center"/>
    </xf>
    <xf numFmtId="41" fontId="152" fillId="0" borderId="1" xfId="100" applyNumberFormat="1" applyFont="1" applyFill="1" applyBorder="1" applyAlignment="1">
      <alignment horizontal="left" vertical="center" indent="1"/>
    </xf>
    <xf numFmtId="42" fontId="151" fillId="0" borderId="0" xfId="100" applyNumberFormat="1" applyFont="1" applyFill="1" applyAlignment="1">
      <alignment horizontal="left" vertical="center"/>
    </xf>
    <xf numFmtId="3" fontId="152" fillId="0" borderId="0" xfId="94" applyNumberFormat="1" applyFont="1" applyBorder="1" applyAlignment="1">
      <alignment vertical="center"/>
    </xf>
    <xf numFmtId="41" fontId="152" fillId="0" borderId="0" xfId="97" applyNumberFormat="1" applyFont="1" applyFill="1" applyAlignment="1">
      <alignment vertical="center"/>
    </xf>
    <xf numFmtId="41" fontId="152" fillId="0" borderId="1" xfId="100" applyNumberFormat="1" applyFont="1" applyFill="1" applyBorder="1" applyAlignment="1">
      <alignment horizontal="right" vertical="center" indent="1"/>
    </xf>
    <xf numFmtId="165" fontId="152" fillId="0" borderId="19" xfId="7" applyNumberFormat="1" applyFont="1" applyFill="1" applyBorder="1" applyAlignment="1">
      <alignment vertical="center"/>
    </xf>
    <xf numFmtId="42" fontId="151" fillId="0" borderId="6" xfId="100" applyNumberFormat="1" applyFont="1" applyFill="1" applyBorder="1" applyAlignment="1">
      <alignment horizontal="left" vertical="center"/>
    </xf>
    <xf numFmtId="171" fontId="152" fillId="0" borderId="0" xfId="96" applyNumberFormat="1" applyFont="1"/>
    <xf numFmtId="0" fontId="152" fillId="0" borderId="0" xfId="94" applyFont="1" applyAlignment="1">
      <alignment horizontal="left" indent="1"/>
    </xf>
    <xf numFmtId="0" fontId="151" fillId="0" borderId="0" xfId="94" applyFont="1" applyAlignment="1">
      <alignment horizontal="left" indent="1"/>
    </xf>
    <xf numFmtId="0" fontId="152" fillId="0" borderId="0" xfId="94" applyFont="1" applyAlignment="1">
      <alignment horizontal="left"/>
    </xf>
    <xf numFmtId="171" fontId="151" fillId="0" borderId="6" xfId="94" applyNumberFormat="1" applyFont="1" applyBorder="1"/>
    <xf numFmtId="171" fontId="152" fillId="0" borderId="19" xfId="96" applyNumberFormat="1" applyFont="1" applyBorder="1"/>
    <xf numFmtId="0" fontId="152" fillId="0" borderId="1" xfId="94" applyFont="1" applyBorder="1"/>
    <xf numFmtId="41" fontId="152" fillId="0" borderId="1" xfId="94" applyNumberFormat="1" applyFont="1" applyBorder="1"/>
    <xf numFmtId="1" fontId="152" fillId="0" borderId="0" xfId="94" applyNumberFormat="1" applyFont="1"/>
    <xf numFmtId="41" fontId="152" fillId="0" borderId="0" xfId="94" applyNumberFormat="1" applyFont="1" applyFill="1"/>
    <xf numFmtId="41" fontId="152" fillId="0" borderId="0" xfId="94" applyNumberFormat="1" applyFont="1" applyBorder="1"/>
    <xf numFmtId="41" fontId="152" fillId="0" borderId="0" xfId="94" applyNumberFormat="1" applyFont="1" applyFill="1" applyBorder="1"/>
    <xf numFmtId="171" fontId="152" fillId="0" borderId="1" xfId="96" applyNumberFormat="1" applyFont="1" applyBorder="1"/>
    <xf numFmtId="166" fontId="152" fillId="0" borderId="0" xfId="94" applyNumberFormat="1" applyFont="1"/>
    <xf numFmtId="41" fontId="152" fillId="0" borderId="0" xfId="6" applyNumberFormat="1" applyFont="1" applyFill="1"/>
    <xf numFmtId="0" fontId="150" fillId="0" borderId="0" xfId="94" applyFill="1" applyBorder="1"/>
    <xf numFmtId="49" fontId="161" fillId="0" borderId="0" xfId="94" applyNumberFormat="1" applyFont="1"/>
    <xf numFmtId="0" fontId="162" fillId="0" borderId="0" xfId="94" applyFont="1" applyFill="1"/>
    <xf numFmtId="0" fontId="151" fillId="51" borderId="27" xfId="7" applyNumberFormat="1" applyFont="1" applyFill="1" applyBorder="1" applyAlignment="1">
      <alignment horizontal="center" vertical="center" wrapText="1"/>
    </xf>
    <xf numFmtId="0" fontId="151" fillId="51" borderId="61" xfId="7" applyNumberFormat="1" applyFont="1" applyFill="1" applyBorder="1" applyAlignment="1">
      <alignment horizontal="center" vertical="center" wrapText="1"/>
    </xf>
    <xf numFmtId="41" fontId="152" fillId="0" borderId="0" xfId="94" applyNumberFormat="1" applyFont="1" applyFill="1" applyAlignment="1">
      <alignment horizontal="center"/>
    </xf>
    <xf numFmtId="41" fontId="152" fillId="0" borderId="0" xfId="94" applyNumberFormat="1" applyFont="1" applyFill="1" applyBorder="1" applyAlignment="1">
      <alignment horizontal="center"/>
    </xf>
    <xf numFmtId="0" fontId="163" fillId="52" borderId="1" xfId="94" applyFont="1" applyFill="1" applyBorder="1" applyAlignment="1">
      <alignment horizontal="center"/>
    </xf>
    <xf numFmtId="41" fontId="151" fillId="0" borderId="1" xfId="7" applyNumberFormat="1" applyFont="1" applyFill="1" applyBorder="1" applyAlignment="1">
      <alignment horizontal="center"/>
    </xf>
    <xf numFmtId="0" fontId="151" fillId="0" borderId="1" xfId="94" applyNumberFormat="1" applyFont="1" applyFill="1" applyBorder="1" applyAlignment="1">
      <alignment horizontal="center"/>
    </xf>
    <xf numFmtId="41" fontId="164" fillId="0" borderId="0" xfId="7" applyNumberFormat="1" applyFont="1" applyFill="1"/>
    <xf numFmtId="41" fontId="152" fillId="0" borderId="0" xfId="7" applyNumberFormat="1" applyFont="1" applyFill="1"/>
    <xf numFmtId="0" fontId="162" fillId="0" borderId="0" xfId="94" applyFont="1" applyFill="1" applyAlignment="1">
      <alignment horizontal="left" indent="1"/>
    </xf>
    <xf numFmtId="41" fontId="164" fillId="0" borderId="1" xfId="7" applyNumberFormat="1" applyFont="1" applyFill="1" applyBorder="1"/>
    <xf numFmtId="41" fontId="152" fillId="0" borderId="1" xfId="7" applyNumberFormat="1" applyFont="1" applyFill="1" applyBorder="1"/>
    <xf numFmtId="41" fontId="164" fillId="0" borderId="0" xfId="7" applyNumberFormat="1" applyFont="1" applyFill="1" applyBorder="1"/>
    <xf numFmtId="41" fontId="152" fillId="0" borderId="0" xfId="7" applyNumberFormat="1" applyFont="1" applyFill="1" applyBorder="1"/>
    <xf numFmtId="9" fontId="152" fillId="0" borderId="0" xfId="6" applyFont="1" applyFill="1"/>
    <xf numFmtId="0" fontId="7" fillId="0" borderId="0" xfId="94" applyFont="1" applyFill="1" applyBorder="1"/>
    <xf numFmtId="41" fontId="152" fillId="0" borderId="19" xfId="6" applyNumberFormat="1" applyFont="1" applyFill="1" applyBorder="1"/>
    <xf numFmtId="41" fontId="152" fillId="0" borderId="0" xfId="6" applyNumberFormat="1" applyFont="1" applyFill="1" applyBorder="1"/>
    <xf numFmtId="41" fontId="152" fillId="0" borderId="1" xfId="6" applyNumberFormat="1" applyFont="1" applyFill="1" applyBorder="1"/>
    <xf numFmtId="41" fontId="152" fillId="0" borderId="27" xfId="6" applyNumberFormat="1" applyFont="1" applyFill="1" applyBorder="1"/>
    <xf numFmtId="0" fontId="162" fillId="0" borderId="0" xfId="94" applyFont="1" applyFill="1" applyBorder="1"/>
    <xf numFmtId="0" fontId="163" fillId="0" borderId="6" xfId="94" applyFont="1" applyFill="1" applyBorder="1"/>
    <xf numFmtId="41" fontId="152" fillId="0" borderId="6" xfId="7" applyNumberFormat="1" applyFont="1" applyFill="1" applyBorder="1"/>
    <xf numFmtId="41" fontId="152" fillId="0" borderId="6" xfId="94" applyNumberFormat="1" applyFont="1" applyFill="1" applyBorder="1"/>
    <xf numFmtId="41" fontId="152" fillId="0" borderId="6" xfId="6" applyNumberFormat="1" applyFont="1" applyFill="1" applyBorder="1"/>
    <xf numFmtId="0" fontId="163" fillId="0" borderId="0" xfId="94" applyFont="1" applyFill="1" applyBorder="1"/>
    <xf numFmtId="165" fontId="152" fillId="0" borderId="0" xfId="7" applyNumberFormat="1" applyFont="1" applyFill="1" applyBorder="1"/>
    <xf numFmtId="0" fontId="162" fillId="0" borderId="6" xfId="94" applyFont="1" applyFill="1" applyBorder="1"/>
    <xf numFmtId="41" fontId="164" fillId="0" borderId="6" xfId="7" applyNumberFormat="1" applyFont="1" applyFill="1" applyBorder="1"/>
    <xf numFmtId="0" fontId="150" fillId="0" borderId="0" xfId="94" applyFill="1"/>
    <xf numFmtId="0" fontId="7" fillId="0" borderId="0" xfId="94" applyFont="1" applyFill="1"/>
    <xf numFmtId="165" fontId="166" fillId="0" borderId="0" xfId="102" applyNumberFormat="1" applyFont="1" applyFill="1">
      <alignment vertical="top"/>
    </xf>
    <xf numFmtId="165" fontId="166" fillId="0" borderId="0" xfId="103" applyNumberFormat="1" applyFont="1">
      <alignment vertical="top"/>
    </xf>
    <xf numFmtId="165" fontId="166" fillId="0" borderId="0" xfId="104" applyNumberFormat="1" applyFont="1" applyFill="1">
      <alignment vertical="top"/>
    </xf>
    <xf numFmtId="165" fontId="166" fillId="0" borderId="0" xfId="105" applyNumberFormat="1" applyFont="1">
      <alignment vertical="top"/>
    </xf>
    <xf numFmtId="41" fontId="152" fillId="0" borderId="1" xfId="94" applyNumberFormat="1" applyFont="1" applyFill="1" applyBorder="1"/>
    <xf numFmtId="165" fontId="166" fillId="0" borderId="1" xfId="104" applyNumberFormat="1" applyFont="1" applyFill="1" applyBorder="1">
      <alignment vertical="top"/>
    </xf>
    <xf numFmtId="165" fontId="166" fillId="0" borderId="1" xfId="105" applyNumberFormat="1" applyFont="1" applyBorder="1">
      <alignment vertical="top"/>
    </xf>
    <xf numFmtId="0" fontId="7" fillId="0" borderId="0" xfId="94" applyFont="1" applyFill="1" applyAlignment="1">
      <alignment horizontal="left" indent="1"/>
    </xf>
    <xf numFmtId="0" fontId="150" fillId="0" borderId="0" xfId="94" applyFont="1" applyFill="1"/>
    <xf numFmtId="165" fontId="166" fillId="0" borderId="0" xfId="106" applyNumberFormat="1" applyFont="1" applyFill="1">
      <alignment vertical="top"/>
    </xf>
    <xf numFmtId="165" fontId="166" fillId="0" borderId="0" xfId="107" applyNumberFormat="1" applyFont="1">
      <alignment vertical="top"/>
    </xf>
    <xf numFmtId="165" fontId="166" fillId="0" borderId="1" xfId="107" applyNumberFormat="1" applyFont="1" applyBorder="1">
      <alignment vertical="top"/>
    </xf>
    <xf numFmtId="165" fontId="165" fillId="0" borderId="0" xfId="108" applyNumberFormat="1">
      <alignment vertical="top"/>
    </xf>
    <xf numFmtId="41" fontId="152" fillId="0" borderId="19" xfId="94" applyNumberFormat="1" applyFont="1" applyFill="1" applyBorder="1"/>
    <xf numFmtId="41" fontId="152" fillId="0" borderId="27" xfId="94" applyNumberFormat="1" applyFont="1" applyFill="1" applyBorder="1"/>
    <xf numFmtId="0" fontId="167" fillId="0" borderId="0" xfId="94" applyFont="1" applyFill="1"/>
    <xf numFmtId="0" fontId="150" fillId="0" borderId="0" xfId="94" applyFill="1" applyAlignment="1">
      <alignment horizontal="left" indent="1"/>
    </xf>
    <xf numFmtId="171" fontId="0" fillId="48" borderId="0" xfId="92" applyNumberFormat="1" applyFont="1" applyFill="1" applyBorder="1"/>
    <xf numFmtId="171" fontId="168" fillId="0" borderId="27" xfId="92" applyNumberFormat="1" applyFont="1" applyFill="1" applyBorder="1"/>
    <xf numFmtId="0" fontId="169" fillId="48" borderId="0" xfId="90" applyFont="1" applyFill="1"/>
    <xf numFmtId="171" fontId="146" fillId="48" borderId="62" xfId="92" applyNumberFormat="1" applyFont="1" applyFill="1" applyBorder="1" applyAlignment="1">
      <alignment horizontal="left"/>
    </xf>
    <xf numFmtId="171" fontId="0" fillId="0" borderId="27" xfId="92" applyNumberFormat="1" applyFont="1" applyFill="1" applyBorder="1"/>
    <xf numFmtId="166" fontId="0" fillId="48" borderId="0" xfId="109" applyNumberFormat="1" applyFont="1" applyFill="1"/>
    <xf numFmtId="171" fontId="170" fillId="0" borderId="0" xfId="8" applyNumberFormat="1" applyFont="1" applyBorder="1"/>
    <xf numFmtId="181" fontId="53" fillId="0" borderId="0" xfId="0" applyNumberFormat="1" applyFont="1" applyBorder="1"/>
    <xf numFmtId="171" fontId="168" fillId="0" borderId="0" xfId="92" applyNumberFormat="1" applyFont="1" applyFill="1" applyBorder="1"/>
    <xf numFmtId="37" fontId="152" fillId="0" borderId="1" xfId="97" applyNumberFormat="1" applyFont="1" applyFill="1" applyBorder="1" applyAlignment="1">
      <alignment horizontal="right" vertical="center"/>
    </xf>
    <xf numFmtId="0" fontId="148" fillId="49" borderId="0" xfId="91" applyFont="1" applyFill="1" applyBorder="1" applyAlignment="1">
      <alignment horizontal="center"/>
    </xf>
    <xf numFmtId="0" fontId="171" fillId="0" borderId="0" xfId="110" applyFont="1" applyFill="1">
      <alignment vertical="top"/>
    </xf>
    <xf numFmtId="43" fontId="171" fillId="0" borderId="0" xfId="110" applyNumberFormat="1" applyFont="1" applyFill="1">
      <alignment vertical="top"/>
    </xf>
    <xf numFmtId="0" fontId="172" fillId="0" borderId="0" xfId="110" applyFont="1" applyFill="1" applyAlignment="1">
      <alignment vertical="top"/>
    </xf>
    <xf numFmtId="43" fontId="171" fillId="0" borderId="0" xfId="110" applyNumberFormat="1" applyFont="1" applyFill="1" applyBorder="1" applyAlignment="1">
      <alignment horizontal="center" vertical="top"/>
    </xf>
    <xf numFmtId="171" fontId="171" fillId="0" borderId="0" xfId="111" applyNumberFormat="1" applyFont="1" applyFill="1">
      <alignment vertical="top"/>
    </xf>
    <xf numFmtId="166" fontId="171" fillId="0" borderId="0" xfId="112" applyNumberFormat="1" applyFont="1" applyFill="1">
      <alignment vertical="top"/>
    </xf>
    <xf numFmtId="0" fontId="172" fillId="0" borderId="0" xfId="110" applyFont="1" applyFill="1" applyBorder="1" applyAlignment="1">
      <alignment vertical="top"/>
    </xf>
    <xf numFmtId="43" fontId="172" fillId="0" borderId="1" xfId="110" applyNumberFormat="1" applyFont="1" applyFill="1" applyBorder="1" applyAlignment="1">
      <alignment horizontal="center" vertical="top"/>
    </xf>
    <xf numFmtId="0" fontId="172" fillId="0" borderId="0" xfId="110" applyFont="1" applyFill="1" applyAlignment="1"/>
    <xf numFmtId="171" fontId="172" fillId="0" borderId="1" xfId="111" applyNumberFormat="1" applyFont="1" applyFill="1" applyBorder="1" applyAlignment="1">
      <alignment horizontal="center"/>
    </xf>
    <xf numFmtId="166" fontId="172" fillId="0" borderId="0" xfId="112" applyNumberFormat="1" applyFont="1" applyFill="1" applyAlignment="1"/>
    <xf numFmtId="0" fontId="172" fillId="0" borderId="0" xfId="110" applyFont="1" applyFill="1" applyAlignment="1">
      <alignment horizontal="center"/>
    </xf>
    <xf numFmtId="0" fontId="172" fillId="0" borderId="0" xfId="110" applyFont="1" applyFill="1" applyAlignment="1">
      <alignment horizontal="center" wrapText="1"/>
    </xf>
    <xf numFmtId="171" fontId="171" fillId="0" borderId="0" xfId="110" applyNumberFormat="1" applyFont="1" applyFill="1" applyBorder="1" applyAlignment="1">
      <alignment horizontal="center" vertical="top"/>
    </xf>
    <xf numFmtId="44" fontId="172" fillId="0" borderId="0" xfId="111" applyNumberFormat="1" applyFont="1" applyFill="1">
      <alignment vertical="top"/>
    </xf>
    <xf numFmtId="0" fontId="172" fillId="0" borderId="0" xfId="110" applyNumberFormat="1" applyFont="1" applyFill="1" applyAlignment="1">
      <alignment horizontal="left"/>
    </xf>
    <xf numFmtId="165" fontId="171" fillId="0" borderId="0" xfId="110" applyNumberFormat="1" applyFont="1" applyFill="1" applyBorder="1" applyAlignment="1">
      <alignment horizontal="center" vertical="top"/>
    </xf>
    <xf numFmtId="165" fontId="171" fillId="0" borderId="0" xfId="110" applyNumberFormat="1" applyFont="1" applyFill="1">
      <alignment vertical="top"/>
    </xf>
    <xf numFmtId="9" fontId="171" fillId="0" borderId="0" xfId="112" applyNumberFormat="1" applyFont="1" applyFill="1">
      <alignment vertical="top"/>
    </xf>
    <xf numFmtId="171" fontId="42" fillId="0" borderId="0" xfId="111" applyNumberFormat="1" applyFont="1" applyFill="1" applyAlignment="1"/>
    <xf numFmtId="171" fontId="42" fillId="0" borderId="0" xfId="111" applyNumberFormat="1" applyFont="1" applyFill="1">
      <alignment vertical="top"/>
    </xf>
    <xf numFmtId="165" fontId="171" fillId="0" borderId="4" xfId="110" applyNumberFormat="1" applyFont="1" applyFill="1" applyBorder="1" applyAlignment="1">
      <alignment horizontal="center" vertical="top"/>
    </xf>
    <xf numFmtId="171" fontId="42" fillId="0" borderId="4" xfId="111" applyNumberFormat="1" applyFont="1" applyFill="1" applyBorder="1" applyAlignment="1"/>
    <xf numFmtId="165" fontId="41" fillId="0" borderId="0" xfId="113" applyNumberFormat="1" applyFont="1" applyFill="1" applyAlignment="1"/>
    <xf numFmtId="9" fontId="172" fillId="0" borderId="0" xfId="112" applyNumberFormat="1" applyFont="1" applyFill="1">
      <alignment vertical="top"/>
    </xf>
    <xf numFmtId="171" fontId="41" fillId="0" borderId="0" xfId="111" applyNumberFormat="1" applyFont="1" applyFill="1" applyAlignment="1"/>
    <xf numFmtId="166" fontId="172" fillId="0" borderId="0" xfId="112" applyNumberFormat="1" applyFont="1" applyFill="1">
      <alignment vertical="top"/>
    </xf>
    <xf numFmtId="171" fontId="41" fillId="0" borderId="0" xfId="111" applyNumberFormat="1" applyFont="1" applyFill="1">
      <alignment vertical="top"/>
    </xf>
    <xf numFmtId="0" fontId="172" fillId="0" borderId="0" xfId="110" applyFont="1" applyFill="1">
      <alignment vertical="top"/>
    </xf>
    <xf numFmtId="165" fontId="42" fillId="0" borderId="0" xfId="113" applyNumberFormat="1" applyFont="1" applyFill="1" applyAlignment="1"/>
    <xf numFmtId="165" fontId="42" fillId="0" borderId="0" xfId="113" applyNumberFormat="1" applyFont="1" applyFill="1" applyBorder="1" applyAlignment="1"/>
    <xf numFmtId="165" fontId="173" fillId="0" borderId="0" xfId="113" applyNumberFormat="1" applyFont="1" applyFill="1">
      <alignment vertical="top"/>
    </xf>
    <xf numFmtId="0" fontId="171" fillId="0" borderId="0" xfId="110" applyFont="1" applyFill="1" applyAlignment="1">
      <alignment vertical="top" wrapText="1"/>
    </xf>
    <xf numFmtId="165" fontId="171" fillId="0" borderId="0" xfId="113" applyNumberFormat="1" applyFont="1" applyFill="1" applyBorder="1" applyAlignment="1"/>
    <xf numFmtId="0" fontId="172" fillId="0" borderId="0" xfId="110" applyNumberFormat="1" applyFont="1" applyFill="1" applyBorder="1" applyAlignment="1">
      <alignment horizontal="left"/>
    </xf>
    <xf numFmtId="165" fontId="42" fillId="0" borderId="4" xfId="113" applyNumberFormat="1" applyFont="1" applyFill="1" applyBorder="1" applyAlignment="1"/>
    <xf numFmtId="0" fontId="171" fillId="0" borderId="0" xfId="110" applyFont="1" applyFill="1" applyBorder="1">
      <alignment vertical="top"/>
    </xf>
    <xf numFmtId="0" fontId="172" fillId="0" borderId="0" xfId="110" applyNumberFormat="1" applyFont="1" applyFill="1" applyAlignment="1">
      <alignment horizontal="right"/>
    </xf>
    <xf numFmtId="165" fontId="41" fillId="0" borderId="0" xfId="113" applyNumberFormat="1" applyFont="1" applyFill="1" applyBorder="1" applyAlignment="1"/>
    <xf numFmtId="165" fontId="172" fillId="0" borderId="0" xfId="113" applyNumberFormat="1" applyFont="1" applyFill="1" applyAlignment="1"/>
    <xf numFmtId="9" fontId="172" fillId="0" borderId="0" xfId="112" applyFont="1" applyFill="1" applyAlignment="1">
      <alignment horizontal="left"/>
    </xf>
    <xf numFmtId="171" fontId="171" fillId="0" borderId="0" xfId="111" applyNumberFormat="1" applyFont="1" applyFill="1" applyAlignment="1"/>
    <xf numFmtId="165" fontId="171" fillId="0" borderId="0" xfId="113" applyNumberFormat="1" applyFont="1" applyFill="1" applyAlignment="1"/>
    <xf numFmtId="0" fontId="171" fillId="0" borderId="0" xfId="110" applyNumberFormat="1" applyFont="1" applyFill="1" applyAlignment="1">
      <alignment horizontal="left"/>
    </xf>
    <xf numFmtId="43" fontId="41" fillId="0" borderId="0" xfId="113" applyFont="1" applyFill="1" applyAlignment="1"/>
    <xf numFmtId="165" fontId="42" fillId="0" borderId="1" xfId="113" applyNumberFormat="1" applyFont="1" applyFill="1" applyBorder="1" applyAlignment="1"/>
    <xf numFmtId="165" fontId="42" fillId="0" borderId="63" xfId="113" applyNumberFormat="1" applyFont="1" applyFill="1" applyBorder="1" applyAlignment="1"/>
    <xf numFmtId="10" fontId="42" fillId="0" borderId="0" xfId="112" applyNumberFormat="1" applyFont="1" applyFill="1" applyAlignment="1"/>
    <xf numFmtId="43" fontId="42" fillId="0" borderId="0" xfId="113" applyFont="1" applyFill="1" applyAlignment="1"/>
    <xf numFmtId="165" fontId="42" fillId="0" borderId="0" xfId="113" applyNumberFormat="1" applyFont="1" applyFill="1">
      <alignment vertical="top"/>
    </xf>
    <xf numFmtId="165" fontId="171" fillId="0" borderId="27" xfId="113" applyNumberFormat="1" applyFont="1" applyFill="1" applyBorder="1" applyAlignment="1"/>
    <xf numFmtId="43" fontId="42" fillId="0" borderId="1" xfId="113" applyFont="1" applyFill="1" applyBorder="1" applyAlignment="1"/>
    <xf numFmtId="43" fontId="172" fillId="0" borderId="0" xfId="110" applyNumberFormat="1" applyFont="1" applyFill="1" applyAlignment="1">
      <alignment horizontal="left"/>
    </xf>
    <xf numFmtId="165" fontId="173" fillId="0" borderId="0" xfId="113" applyNumberFormat="1" applyFont="1" applyFill="1" applyAlignment="1"/>
    <xf numFmtId="0" fontId="171" fillId="0" borderId="0" xfId="110" applyFont="1" applyFill="1" applyAlignment="1">
      <alignment wrapText="1"/>
    </xf>
    <xf numFmtId="165" fontId="171" fillId="0" borderId="1" xfId="113" applyNumberFormat="1" applyFont="1" applyFill="1" applyBorder="1" applyAlignment="1"/>
    <xf numFmtId="44" fontId="171" fillId="0" borderId="0" xfId="111" applyFont="1" applyFill="1">
      <alignment vertical="top"/>
    </xf>
    <xf numFmtId="43" fontId="171" fillId="0" borderId="0" xfId="113" applyNumberFormat="1" applyFont="1" applyFill="1" applyAlignment="1"/>
    <xf numFmtId="9" fontId="171" fillId="0" borderId="0" xfId="112" applyFont="1" applyFill="1" applyAlignment="1"/>
    <xf numFmtId="0" fontId="42" fillId="0" borderId="0" xfId="110" applyNumberFormat="1" applyFont="1" applyFill="1" applyAlignment="1"/>
    <xf numFmtId="43" fontId="42" fillId="0" borderId="0" xfId="113" applyNumberFormat="1" applyFont="1" applyFill="1" applyAlignment="1"/>
    <xf numFmtId="44" fontId="42" fillId="0" borderId="0" xfId="111" applyFont="1" applyFill="1" applyAlignment="1"/>
    <xf numFmtId="43" fontId="171" fillId="0" borderId="0" xfId="113" applyNumberFormat="1" applyFont="1" applyFill="1">
      <alignment vertical="top"/>
    </xf>
    <xf numFmtId="165" fontId="171" fillId="0" borderId="0" xfId="113" applyNumberFormat="1" applyFont="1" applyFill="1">
      <alignment vertical="top"/>
    </xf>
    <xf numFmtId="44" fontId="171" fillId="0" borderId="0" xfId="110" applyNumberFormat="1" applyFont="1" applyFill="1">
      <alignment vertical="top"/>
    </xf>
    <xf numFmtId="170" fontId="171" fillId="0" borderId="0" xfId="113" applyNumberFormat="1" applyFont="1" applyFill="1">
      <alignment vertical="top"/>
    </xf>
    <xf numFmtId="0" fontId="48" fillId="0" borderId="0" xfId="3" applyFont="1" applyAlignment="1">
      <alignment horizontal="right" indent="1"/>
    </xf>
    <xf numFmtId="165" fontId="48" fillId="2" borderId="28" xfId="1" applyNumberFormat="1" applyFont="1" applyFill="1" applyBorder="1"/>
    <xf numFmtId="41" fontId="145" fillId="48" borderId="0" xfId="90" applyNumberFormat="1" applyFill="1"/>
    <xf numFmtId="165" fontId="145" fillId="48" borderId="0" xfId="1" applyNumberFormat="1" applyFont="1" applyFill="1"/>
    <xf numFmtId="166" fontId="109" fillId="0" borderId="0" xfId="2" applyNumberFormat="1" applyFont="1"/>
    <xf numFmtId="0" fontId="12" fillId="0" borderId="0" xfId="0" quotePrefix="1" applyFont="1" applyAlignment="1">
      <alignment horizontal="left" wrapText="1"/>
    </xf>
    <xf numFmtId="0" fontId="110" fillId="0" borderId="0" xfId="0" applyFont="1" applyAlignment="1">
      <alignment horizontal="center"/>
    </xf>
    <xf numFmtId="0" fontId="94" fillId="0" borderId="0" xfId="0" applyFont="1" applyBorder="1" applyAlignment="1">
      <alignment horizontal="center" vertical="center" textRotation="90" wrapText="1"/>
    </xf>
    <xf numFmtId="0" fontId="42" fillId="0" borderId="10" xfId="4" quotePrefix="1" applyFont="1" applyBorder="1" applyAlignment="1">
      <alignment horizontal="left" vertical="top" wrapText="1"/>
    </xf>
    <xf numFmtId="0" fontId="42" fillId="0" borderId="0" xfId="4" quotePrefix="1" applyFont="1" applyBorder="1" applyAlignment="1">
      <alignment horizontal="left" vertical="top" wrapText="1"/>
    </xf>
    <xf numFmtId="0" fontId="172" fillId="0" borderId="0" xfId="110" applyFont="1" applyFill="1" applyAlignment="1">
      <alignment horizontal="center" vertical="top"/>
    </xf>
    <xf numFmtId="0" fontId="172" fillId="0" borderId="26" xfId="110" applyFont="1" applyFill="1" applyBorder="1" applyAlignment="1">
      <alignment horizontal="center" vertical="top"/>
    </xf>
    <xf numFmtId="0" fontId="172" fillId="0" borderId="5" xfId="110" applyFont="1" applyFill="1" applyBorder="1" applyAlignment="1">
      <alignment horizontal="center" vertical="top"/>
    </xf>
    <xf numFmtId="0" fontId="172" fillId="0" borderId="29" xfId="110" applyFont="1" applyFill="1" applyBorder="1" applyAlignment="1">
      <alignment horizontal="center" vertical="top"/>
    </xf>
    <xf numFmtId="0" fontId="172" fillId="0" borderId="1" xfId="110" applyFont="1" applyFill="1" applyBorder="1" applyAlignment="1">
      <alignment horizontal="center" vertical="top"/>
    </xf>
    <xf numFmtId="0" fontId="148" fillId="49" borderId="0" xfId="91" applyFont="1" applyFill="1" applyBorder="1" applyAlignment="1">
      <alignment horizontal="left"/>
    </xf>
    <xf numFmtId="0" fontId="151" fillId="50" borderId="60" xfId="7" applyNumberFormat="1" applyFont="1" applyFill="1" applyBorder="1" applyAlignment="1">
      <alignment horizontal="center" vertical="center" wrapText="1"/>
    </xf>
    <xf numFmtId="0" fontId="151" fillId="50" borderId="27" xfId="7" applyNumberFormat="1" applyFont="1" applyFill="1" applyBorder="1" applyAlignment="1">
      <alignment horizontal="center" vertical="center" wrapText="1"/>
    </xf>
    <xf numFmtId="0" fontId="151" fillId="50" borderId="61" xfId="7" applyNumberFormat="1" applyFont="1" applyFill="1" applyBorder="1" applyAlignment="1">
      <alignment horizontal="center" vertical="center" wrapText="1"/>
    </xf>
    <xf numFmtId="0" fontId="151" fillId="42" borderId="60" xfId="7" applyNumberFormat="1" applyFont="1" applyFill="1" applyBorder="1" applyAlignment="1">
      <alignment horizontal="center" vertical="center" wrapText="1"/>
    </xf>
    <xf numFmtId="0" fontId="151" fillId="42" borderId="27" xfId="7" applyNumberFormat="1" applyFont="1" applyFill="1" applyBorder="1" applyAlignment="1">
      <alignment horizontal="center" vertical="center" wrapText="1"/>
    </xf>
    <xf numFmtId="0" fontId="151" fillId="51" borderId="27" xfId="7" applyNumberFormat="1" applyFont="1" applyFill="1" applyBorder="1" applyAlignment="1">
      <alignment horizontal="center" vertical="center" wrapText="1"/>
    </xf>
    <xf numFmtId="0" fontId="114" fillId="44" borderId="0" xfId="0" applyFont="1" applyFill="1" applyAlignment="1">
      <alignment horizontal="center"/>
    </xf>
  </cellXfs>
  <cellStyles count="114">
    <cellStyle name="=C:\WINNT35\SYSTEM32\COMMAND.COM" xfId="88"/>
    <cellStyle name="20% - Accent1" xfId="59" builtinId="30" customBuiltin="1"/>
    <cellStyle name="20% - Accent2" xfId="63" builtinId="34" customBuiltin="1"/>
    <cellStyle name="20% - Accent3" xfId="67" builtinId="38" customBuiltin="1"/>
    <cellStyle name="20% - Accent4" xfId="71" builtinId="42" customBuiltin="1"/>
    <cellStyle name="20% - Accent5" xfId="75" builtinId="46" customBuiltin="1"/>
    <cellStyle name="20% - Accent6" xfId="79" builtinId="50" customBuiltin="1"/>
    <cellStyle name="40% - Accent1" xfId="60" builtinId="31" customBuiltin="1"/>
    <cellStyle name="40% - Accent2" xfId="64" builtinId="35" customBuiltin="1"/>
    <cellStyle name="40% - Accent3" xfId="68" builtinId="39" customBuiltin="1"/>
    <cellStyle name="40% - Accent4" xfId="72" builtinId="43" customBuiltin="1"/>
    <cellStyle name="40% - Accent5" xfId="76" builtinId="47" customBuiltin="1"/>
    <cellStyle name="40% - Accent6" xfId="80" builtinId="51" customBuiltin="1"/>
    <cellStyle name="60% - Accent1" xfId="61" builtinId="32" customBuiltin="1"/>
    <cellStyle name="60% - Accent2" xfId="65" builtinId="36" customBuiltin="1"/>
    <cellStyle name="60% - Accent3" xfId="69" builtinId="40" customBuiltin="1"/>
    <cellStyle name="60% - Accent4" xfId="73" builtinId="44" customBuiltin="1"/>
    <cellStyle name="60% - Accent5" xfId="77" builtinId="48" customBuiltin="1"/>
    <cellStyle name="60% - Accent6" xfId="81" builtinId="52" customBuiltin="1"/>
    <cellStyle name="Accent1" xfId="58" builtinId="29" customBuiltin="1"/>
    <cellStyle name="Accent2" xfId="62" builtinId="33" customBuiltin="1"/>
    <cellStyle name="Accent3" xfId="66" builtinId="37" customBuiltin="1"/>
    <cellStyle name="Accent4" xfId="70" builtinId="41" customBuiltin="1"/>
    <cellStyle name="Accent5" xfId="74" builtinId="45" customBuiltin="1"/>
    <cellStyle name="Accent6" xfId="78" builtinId="49" customBuiltin="1"/>
    <cellStyle name="Bad" xfId="48" builtinId="27" customBuiltin="1"/>
    <cellStyle name="Calculation" xfId="52" builtinId="22" customBuiltin="1"/>
    <cellStyle name="Check Cell" xfId="54" builtinId="23" customBuiltin="1"/>
    <cellStyle name="Comma" xfId="1" builtinId="3"/>
    <cellStyle name="Comma 2" xfId="5"/>
    <cellStyle name="Comma 2 2" xfId="7"/>
    <cellStyle name="Comma 2 3" xfId="98"/>
    <cellStyle name="Comma 3" xfId="34"/>
    <cellStyle name="Comma 4" xfId="39"/>
    <cellStyle name="Comma 4 4" xfId="97"/>
    <cellStyle name="Comma 5" xfId="83"/>
    <cellStyle name="Comma 6" xfId="93"/>
    <cellStyle name="Comma 7" xfId="113"/>
    <cellStyle name="Currency" xfId="8" builtinId="4"/>
    <cellStyle name="Currency 17" xfId="95"/>
    <cellStyle name="Currency 2" xfId="33"/>
    <cellStyle name="Currency 2 2" xfId="99"/>
    <cellStyle name="Currency 3" xfId="41"/>
    <cellStyle name="Currency 4" xfId="87"/>
    <cellStyle name="Currency 5" xfId="92"/>
    <cellStyle name="Currency 6" xfId="96"/>
    <cellStyle name="Currency 7" xfId="111"/>
    <cellStyle name="Explanatory Text" xfId="56" builtinId="53" customBuilti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6" builtinId="9" hidden="1"/>
    <cellStyle name="Good" xfId="47" builtinId="26" customBuiltin="1"/>
    <cellStyle name="Heading 1" xfId="43" builtinId="16" customBuiltin="1"/>
    <cellStyle name="Heading 2" xfId="44" builtinId="17" customBuiltin="1"/>
    <cellStyle name="Heading 3" xfId="45" builtinId="18" customBuiltin="1"/>
    <cellStyle name="Heading 4" xfId="46" builtinId="19" customBuilti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5" builtinId="8" hidden="1"/>
    <cellStyle name="Hyperlink" xfId="37" builtinId="8"/>
    <cellStyle name="Input" xfId="50" builtinId="20" customBuiltin="1"/>
    <cellStyle name="Linked Cell" xfId="53" builtinId="24" customBuiltin="1"/>
    <cellStyle name="Neutral" xfId="49" builtinId="28" customBuiltin="1"/>
    <cellStyle name="Normal" xfId="0" builtinId="0"/>
    <cellStyle name="Normal 10" xfId="110"/>
    <cellStyle name="Normal 2" xfId="9"/>
    <cellStyle name="Normal 2 2" xfId="86"/>
    <cellStyle name="Normal 3" xfId="4"/>
    <cellStyle name="Normal 3 2" xfId="91"/>
    <cellStyle name="Normal 4" xfId="32"/>
    <cellStyle name="Normal 4 4" xfId="100"/>
    <cellStyle name="Normal 5" xfId="3"/>
    <cellStyle name="Normal 6" xfId="38"/>
    <cellStyle name="Normal 7" xfId="82"/>
    <cellStyle name="Normal 78" xfId="102"/>
    <cellStyle name="Normal 8" xfId="90"/>
    <cellStyle name="Normal 80" xfId="104"/>
    <cellStyle name="Normal 81" xfId="106"/>
    <cellStyle name="Normal 82" xfId="103"/>
    <cellStyle name="Normal 83" xfId="105"/>
    <cellStyle name="Normal 84" xfId="107"/>
    <cellStyle name="Normal 86" xfId="108"/>
    <cellStyle name="Normal 9" xfId="94"/>
    <cellStyle name="Normal_Book1" xfId="89"/>
    <cellStyle name="Note 2" xfId="85"/>
    <cellStyle name="Output" xfId="51" builtinId="21" customBuiltin="1"/>
    <cellStyle name="Percent" xfId="2" builtinId="5"/>
    <cellStyle name="Percent 2" xfId="6"/>
    <cellStyle name="Percent 3" xfId="40"/>
    <cellStyle name="Percent 34" xfId="101"/>
    <cellStyle name="Percent 4" xfId="84"/>
    <cellStyle name="Percent 5" xfId="109"/>
    <cellStyle name="Percent 6" xfId="112"/>
    <cellStyle name="Title" xfId="42" builtinId="15" customBuiltin="1"/>
    <cellStyle name="Total" xfId="57" builtinId="25" customBuiltin="1"/>
    <cellStyle name="Warning Text" xfId="55" builtinId="11" customBuiltin="1"/>
  </cellStyles>
  <dxfs count="0"/>
  <tableStyles count="0" defaultTableStyle="TableStyleMedium2" defaultPivotStyle="PivotStyleLight16"/>
  <colors>
    <mruColors>
      <color rgb="FF283764"/>
      <color rgb="FF0000FF"/>
      <color rgb="FF283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 Id="rId46"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theme" Target="theme/theme1.xml"/><Relationship Id="rId45"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697621223373378E-2"/>
          <c:y val="4.9426918780104863E-2"/>
          <c:w val="0.86501924852105772"/>
          <c:h val="0.79672631149584461"/>
        </c:manualLayout>
      </c:layout>
      <c:barChart>
        <c:barDir val="col"/>
        <c:grouping val="clustered"/>
        <c:varyColors val="0"/>
        <c:ser>
          <c:idx val="0"/>
          <c:order val="0"/>
          <c:tx>
            <c:strRef>
              <c:f>'Proj Rev &amp; EBITDA Chart'!$B$9</c:f>
              <c:strCache>
                <c:ptCount val="1"/>
                <c:pt idx="0">
                  <c:v>Revenue</c:v>
                </c:pt>
              </c:strCache>
            </c:strRef>
          </c:tx>
          <c:spPr>
            <a:solidFill>
              <a:srgbClr val="003D6B"/>
            </a:solidFill>
          </c:spPr>
          <c:invertIfNegative val="0"/>
          <c:dPt>
            <c:idx val="0"/>
            <c:invertIfNegative val="0"/>
            <c:bubble3D val="0"/>
            <c:spPr>
              <a:solidFill>
                <a:srgbClr val="28343C"/>
              </a:solidFill>
            </c:spPr>
          </c:dPt>
          <c:dPt>
            <c:idx val="1"/>
            <c:invertIfNegative val="0"/>
            <c:bubble3D val="0"/>
            <c:spPr>
              <a:solidFill>
                <a:srgbClr val="28343C"/>
              </a:solidFill>
            </c:spPr>
          </c:dPt>
          <c:dPt>
            <c:idx val="2"/>
            <c:invertIfNegative val="0"/>
            <c:bubble3D val="0"/>
            <c:spPr>
              <a:solidFill>
                <a:srgbClr val="28343C"/>
              </a:solidFill>
            </c:spPr>
          </c:dPt>
          <c:dPt>
            <c:idx val="3"/>
            <c:invertIfNegative val="0"/>
            <c:bubble3D val="0"/>
            <c:spPr>
              <a:solidFill>
                <a:schemeClr val="accent1">
                  <a:lumMod val="40000"/>
                  <a:lumOff val="60000"/>
                </a:schemeClr>
              </a:solidFill>
            </c:spPr>
          </c:dPt>
          <c:dPt>
            <c:idx val="4"/>
            <c:invertIfNegative val="0"/>
            <c:bubble3D val="0"/>
            <c:spPr>
              <a:solidFill>
                <a:schemeClr val="accent1">
                  <a:lumMod val="40000"/>
                  <a:lumOff val="60000"/>
                </a:schemeClr>
              </a:solidFill>
            </c:spPr>
          </c:dPt>
          <c:dPt>
            <c:idx val="5"/>
            <c:invertIfNegative val="0"/>
            <c:bubble3D val="0"/>
            <c:spPr>
              <a:solidFill>
                <a:schemeClr val="accent1">
                  <a:lumMod val="40000"/>
                  <a:lumOff val="60000"/>
                </a:schemeClr>
              </a:solidFill>
            </c:spPr>
          </c:dPt>
          <c:dPt>
            <c:idx val="6"/>
            <c:invertIfNegative val="0"/>
            <c:bubble3D val="0"/>
            <c:spPr>
              <a:solidFill>
                <a:schemeClr val="accent1">
                  <a:lumMod val="40000"/>
                  <a:lumOff val="60000"/>
                </a:schemeClr>
              </a:solidFill>
            </c:spPr>
          </c:dPt>
          <c:dPt>
            <c:idx val="7"/>
            <c:invertIfNegative val="0"/>
            <c:bubble3D val="0"/>
            <c:spPr>
              <a:solidFill>
                <a:schemeClr val="accent1">
                  <a:lumMod val="40000"/>
                  <a:lumOff val="60000"/>
                </a:schemeClr>
              </a:solidFill>
            </c:spPr>
          </c:dPt>
          <c:dPt>
            <c:idx val="8"/>
            <c:invertIfNegative val="0"/>
            <c:bubble3D val="0"/>
            <c:spPr>
              <a:solidFill>
                <a:srgbClr val="D1E0F3"/>
              </a:solidFill>
            </c:spPr>
          </c:dPt>
          <c:dPt>
            <c:idx val="9"/>
            <c:invertIfNegative val="0"/>
            <c:bubble3D val="0"/>
            <c:spPr>
              <a:solidFill>
                <a:srgbClr val="D1E0F3"/>
              </a:solidFill>
            </c:spPr>
          </c:dPt>
          <c:dLbls>
            <c:numFmt formatCode="&quot;$&quot;#,##0" sourceLinked="0"/>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'Proj Rev &amp; EBITDA Chart'!$C$8:$J$8</c:f>
              <c:strCache>
                <c:ptCount val="8"/>
                <c:pt idx="0">
                  <c:v>2013A</c:v>
                </c:pt>
                <c:pt idx="1">
                  <c:v>2014A</c:v>
                </c:pt>
                <c:pt idx="2">
                  <c:v>2015P</c:v>
                </c:pt>
                <c:pt idx="3">
                  <c:v>2016P</c:v>
                </c:pt>
                <c:pt idx="4">
                  <c:v>2017P</c:v>
                </c:pt>
                <c:pt idx="5">
                  <c:v>2018P</c:v>
                </c:pt>
                <c:pt idx="6">
                  <c:v>2019P</c:v>
                </c:pt>
                <c:pt idx="7">
                  <c:v>2020P</c:v>
                </c:pt>
              </c:strCache>
            </c:strRef>
          </c:cat>
          <c:val>
            <c:numRef>
              <c:f>'Proj Rev &amp; EBITDA Chart'!$C$9:$J$9</c:f>
              <c:numCache>
                <c:formatCode>_("$"* #,##0_);_("$"* \(#,##0\);_("$"* "-"_);_(@_)</c:formatCode>
                <c:ptCount val="8"/>
                <c:pt idx="0">
                  <c:v>25799.011999999999</c:v>
                </c:pt>
                <c:pt idx="1">
                  <c:v>35229.434999999998</c:v>
                </c:pt>
                <c:pt idx="2">
                  <c:v>38000</c:v>
                </c:pt>
                <c:pt idx="3">
                  <c:v>41040</c:v>
                </c:pt>
                <c:pt idx="4">
                  <c:v>44323.199999999997</c:v>
                </c:pt>
                <c:pt idx="5">
                  <c:v>47869.056000000011</c:v>
                </c:pt>
                <c:pt idx="6">
                  <c:v>51698.580480000019</c:v>
                </c:pt>
                <c:pt idx="7">
                  <c:v>55834.466918400023</c:v>
                </c:pt>
              </c:numCache>
            </c:numRef>
          </c:val>
        </c:ser>
        <c:dLbls>
          <c:showLegendKey val="0"/>
          <c:showVal val="0"/>
          <c:showCatName val="0"/>
          <c:showSerName val="0"/>
          <c:showPercent val="0"/>
          <c:showBubbleSize val="0"/>
        </c:dLbls>
        <c:gapWidth val="30"/>
        <c:axId val="774144272"/>
        <c:axId val="774139960"/>
      </c:barChart>
      <c:lineChart>
        <c:grouping val="standard"/>
        <c:varyColors val="0"/>
        <c:ser>
          <c:idx val="1"/>
          <c:order val="1"/>
          <c:tx>
            <c:strRef>
              <c:f>'Proj Rev &amp; EBITDA Chart'!$B$10</c:f>
              <c:strCache>
                <c:ptCount val="1"/>
                <c:pt idx="0">
                  <c:v>EBITDA</c:v>
                </c:pt>
              </c:strCache>
            </c:strRef>
          </c:tx>
          <c:spPr>
            <a:ln>
              <a:solidFill>
                <a:schemeClr val="bg1">
                  <a:lumMod val="50000"/>
                </a:schemeClr>
              </a:solidFill>
            </a:ln>
          </c:spPr>
          <c:marker>
            <c:symbol val="none"/>
          </c:marker>
          <c:dLbls>
            <c:dLbl>
              <c:idx val="0"/>
              <c:numFmt formatCode="&quot;$&quot;#,##0" sourceLinked="0"/>
              <c:spPr>
                <a:noFill/>
                <a:ln>
                  <a:noFill/>
                </a:ln>
                <a:effectLst/>
              </c:spPr>
              <c:txPr>
                <a:bodyPr/>
                <a:lstStyle/>
                <a:p>
                  <a:pPr>
                    <a:defRPr sz="900" baseline="0">
                      <a:solidFill>
                        <a:schemeClr val="bg1"/>
                      </a:solidFill>
                    </a:defRPr>
                  </a:pPr>
                  <a:endParaRPr lang="en-US"/>
                </a:p>
              </c:txPr>
              <c:dLblPos val="t"/>
              <c:showLegendKey val="0"/>
              <c:showVal val="1"/>
              <c:showCatName val="0"/>
              <c:showSerName val="0"/>
              <c:showPercent val="0"/>
              <c:showBubbleSize val="0"/>
            </c:dLbl>
            <c:dLbl>
              <c:idx val="1"/>
              <c:numFmt formatCode="&quot;$&quot;#,##0" sourceLinked="0"/>
              <c:spPr>
                <a:noFill/>
                <a:ln>
                  <a:noFill/>
                </a:ln>
                <a:effectLst/>
              </c:spPr>
              <c:txPr>
                <a:bodyPr/>
                <a:lstStyle/>
                <a:p>
                  <a:pPr>
                    <a:defRPr sz="900" baseline="0">
                      <a:solidFill>
                        <a:schemeClr val="bg1"/>
                      </a:solidFill>
                    </a:defRPr>
                  </a:pPr>
                  <a:endParaRPr lang="en-US"/>
                </a:p>
              </c:txPr>
              <c:dLblPos val="t"/>
              <c:showLegendKey val="0"/>
              <c:showVal val="1"/>
              <c:showCatName val="0"/>
              <c:showSerName val="0"/>
              <c:showPercent val="0"/>
              <c:showBubbleSize val="0"/>
            </c:dLbl>
            <c:dLbl>
              <c:idx val="2"/>
              <c:numFmt formatCode="&quot;$&quot;#,##0" sourceLinked="0"/>
              <c:spPr>
                <a:noFill/>
                <a:ln>
                  <a:noFill/>
                </a:ln>
                <a:effectLst/>
              </c:spPr>
              <c:txPr>
                <a:bodyPr/>
                <a:lstStyle/>
                <a:p>
                  <a:pPr>
                    <a:defRPr sz="900" baseline="0">
                      <a:solidFill>
                        <a:schemeClr val="bg1"/>
                      </a:solidFill>
                    </a:defRPr>
                  </a:pPr>
                  <a:endParaRPr lang="en-US"/>
                </a:p>
              </c:txPr>
              <c:dLblPos val="t"/>
              <c:showLegendKey val="0"/>
              <c:showVal val="1"/>
              <c:showCatName val="0"/>
              <c:showSerName val="0"/>
              <c:showPercent val="0"/>
              <c:showBubbleSize val="0"/>
            </c:dLbl>
            <c:dLbl>
              <c:idx val="4"/>
              <c:numFmt formatCode="&quot;$&quot;#,##0" sourceLinked="0"/>
              <c:spPr/>
              <c:txPr>
                <a:bodyPr/>
                <a:lstStyle/>
                <a:p>
                  <a:pPr>
                    <a:defRPr sz="900"/>
                  </a:pPr>
                  <a:endParaRPr lang="en-US"/>
                </a:p>
              </c:txPr>
              <c:dLblPos val="t"/>
              <c:showLegendKey val="0"/>
              <c:showVal val="1"/>
              <c:showCatName val="0"/>
              <c:showSerName val="0"/>
              <c:showPercent val="0"/>
              <c:showBubbleSize val="0"/>
            </c:dLbl>
            <c:dLbl>
              <c:idx val="5"/>
              <c:numFmt formatCode="&quot;$&quot;#,##0" sourceLinked="0"/>
              <c:spPr/>
              <c:txPr>
                <a:bodyPr/>
                <a:lstStyle/>
                <a:p>
                  <a:pPr>
                    <a:defRPr sz="900"/>
                  </a:pPr>
                  <a:endParaRPr lang="en-US"/>
                </a:p>
              </c:txPr>
              <c:dLblPos val="t"/>
              <c:showLegendKey val="0"/>
              <c:showVal val="1"/>
              <c:showCatName val="0"/>
              <c:showSerName val="0"/>
              <c:showPercent val="0"/>
              <c:showBubbleSize val="0"/>
            </c:dLbl>
            <c:dLbl>
              <c:idx val="6"/>
              <c:numFmt formatCode="&quot;$&quot;#,##0" sourceLinked="0"/>
              <c:spPr/>
              <c:txPr>
                <a:bodyPr/>
                <a:lstStyle/>
                <a:p>
                  <a:pPr>
                    <a:defRPr sz="900"/>
                  </a:pPr>
                  <a:endParaRPr lang="en-US"/>
                </a:p>
              </c:txPr>
              <c:dLblPos val="t"/>
              <c:showLegendKey val="0"/>
              <c:showVal val="1"/>
              <c:showCatName val="0"/>
              <c:showSerName val="0"/>
              <c:showPercent val="0"/>
              <c:showBubbleSize val="0"/>
            </c:dLbl>
            <c:dLbl>
              <c:idx val="7"/>
              <c:numFmt formatCode="&quot;$&quot;#,##0" sourceLinked="0"/>
              <c:spPr/>
              <c:txPr>
                <a:bodyPr/>
                <a:lstStyle/>
                <a:p>
                  <a:pPr>
                    <a:defRPr sz="900"/>
                  </a:pPr>
                  <a:endParaRPr lang="en-US"/>
                </a:p>
              </c:txPr>
              <c:dLblPos val="t"/>
              <c:showLegendKey val="0"/>
              <c:showVal val="1"/>
              <c:showCatName val="0"/>
              <c:showSerName val="0"/>
              <c:showPercent val="0"/>
              <c:showBubbleSize val="0"/>
            </c:dLbl>
            <c:dLbl>
              <c:idx val="8"/>
              <c:numFmt formatCode="&quot;$&quot;#,##0" sourceLinked="0"/>
              <c:spPr/>
              <c:txPr>
                <a:bodyPr/>
                <a:lstStyle/>
                <a:p>
                  <a:pPr>
                    <a:defRPr sz="900"/>
                  </a:pPr>
                  <a:endParaRPr lang="en-US"/>
                </a:p>
              </c:txPr>
              <c:dLblPos val="t"/>
              <c:showLegendKey val="0"/>
              <c:showVal val="1"/>
              <c:showCatName val="0"/>
              <c:showSerName val="0"/>
              <c:showPercent val="0"/>
              <c:showBubbleSize val="0"/>
            </c:dLbl>
            <c:dLbl>
              <c:idx val="9"/>
              <c:numFmt formatCode="&quot;$&quot;#,##0" sourceLinked="0"/>
              <c:spPr/>
              <c:txPr>
                <a:bodyPr/>
                <a:lstStyle/>
                <a:p>
                  <a:pPr>
                    <a:defRPr sz="900"/>
                  </a:pPr>
                  <a:endParaRPr lang="en-US"/>
                </a:p>
              </c:txPr>
              <c:dLblPos val="t"/>
              <c:showLegendKey val="0"/>
              <c:showVal val="1"/>
              <c:showCatName val="0"/>
              <c:showSerName val="0"/>
              <c:showPercent val="0"/>
              <c:showBubbleSize val="0"/>
            </c:dLbl>
            <c:numFmt formatCode="&quot;$&quot;#,##0" sourceLinked="0"/>
            <c:spPr>
              <a:noFill/>
              <a:ln>
                <a:noFill/>
              </a:ln>
              <a:effectLst/>
            </c:spPr>
            <c:txPr>
              <a:bodyPr wrap="square" lIns="38100" tIns="19050" rIns="38100" bIns="19050" anchor="ctr">
                <a:spAutoFit/>
              </a:bodyPr>
              <a:lstStyle/>
              <a:p>
                <a:pPr>
                  <a:defRPr sz="90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'Proj Rev &amp; EBITDA Chart'!$C$8:$J$8</c:f>
              <c:strCache>
                <c:ptCount val="8"/>
                <c:pt idx="0">
                  <c:v>2013A</c:v>
                </c:pt>
                <c:pt idx="1">
                  <c:v>2014A</c:v>
                </c:pt>
                <c:pt idx="2">
                  <c:v>2015P</c:v>
                </c:pt>
                <c:pt idx="3">
                  <c:v>2016P</c:v>
                </c:pt>
                <c:pt idx="4">
                  <c:v>2017P</c:v>
                </c:pt>
                <c:pt idx="5">
                  <c:v>2018P</c:v>
                </c:pt>
                <c:pt idx="6">
                  <c:v>2019P</c:v>
                </c:pt>
                <c:pt idx="7">
                  <c:v>2020P</c:v>
                </c:pt>
              </c:strCache>
            </c:strRef>
          </c:cat>
          <c:val>
            <c:numRef>
              <c:f>'Proj Rev &amp; EBITDA Chart'!$C$10:$J$10</c:f>
              <c:numCache>
                <c:formatCode>_("$"* #,##0_);_("$"* \(#,##0\);_("$"* "-"_);_(@_)</c:formatCode>
                <c:ptCount val="8"/>
                <c:pt idx="0">
                  <c:v>3194.206000000001</c:v>
                </c:pt>
                <c:pt idx="1">
                  <c:v>5239.1015200000002</c:v>
                </c:pt>
                <c:pt idx="2">
                  <c:v>6060.5719586135619</c:v>
                </c:pt>
                <c:pt idx="3">
                  <c:v>6330.0662625000077</c:v>
                </c:pt>
                <c:pt idx="4">
                  <c:v>7132.8935756249994</c:v>
                </c:pt>
                <c:pt idx="5">
                  <c:v>8021.4166544062537</c:v>
                </c:pt>
                <c:pt idx="6">
                  <c:v>8745.6036151265671</c:v>
                </c:pt>
                <c:pt idx="7">
                  <c:v>9531.849214122898</c:v>
                </c:pt>
              </c:numCache>
            </c:numRef>
          </c:val>
          <c:smooth val="0"/>
        </c:ser>
        <c:dLbls>
          <c:showLegendKey val="0"/>
          <c:showVal val="0"/>
          <c:showCatName val="0"/>
          <c:showSerName val="0"/>
          <c:showPercent val="0"/>
          <c:showBubbleSize val="0"/>
        </c:dLbls>
        <c:marker val="1"/>
        <c:smooth val="0"/>
        <c:axId val="774140352"/>
        <c:axId val="774141920"/>
      </c:lineChart>
      <c:catAx>
        <c:axId val="774144272"/>
        <c:scaling>
          <c:orientation val="minMax"/>
        </c:scaling>
        <c:delete val="0"/>
        <c:axPos val="b"/>
        <c:numFmt formatCode="General" sourceLinked="0"/>
        <c:majorTickMark val="out"/>
        <c:minorTickMark val="none"/>
        <c:tickLblPos val="nextTo"/>
        <c:crossAx val="774139960"/>
        <c:crosses val="autoZero"/>
        <c:auto val="1"/>
        <c:lblAlgn val="ctr"/>
        <c:lblOffset val="100"/>
        <c:noMultiLvlLbl val="0"/>
      </c:catAx>
      <c:valAx>
        <c:axId val="774139960"/>
        <c:scaling>
          <c:orientation val="minMax"/>
          <c:max val="80000"/>
        </c:scaling>
        <c:delete val="0"/>
        <c:axPos val="l"/>
        <c:majorGridlines>
          <c:spPr>
            <a:ln>
              <a:noFill/>
            </a:ln>
          </c:spPr>
        </c:majorGridlines>
        <c:numFmt formatCode="&quot;$&quot;#,##0_);\(&quot;$&quot;#,##0\)" sourceLinked="0"/>
        <c:majorTickMark val="in"/>
        <c:minorTickMark val="in"/>
        <c:tickLblPos val="nextTo"/>
        <c:spPr>
          <a:ln/>
        </c:spPr>
        <c:crossAx val="774144272"/>
        <c:crosses val="autoZero"/>
        <c:crossBetween val="between"/>
        <c:majorUnit val="20000"/>
      </c:valAx>
      <c:valAx>
        <c:axId val="774141920"/>
        <c:scaling>
          <c:orientation val="minMax"/>
          <c:max val="40000"/>
        </c:scaling>
        <c:delete val="0"/>
        <c:axPos val="r"/>
        <c:numFmt formatCode="&quot;$&quot;#,##0_);\(&quot;$&quot;#,##0\)" sourceLinked="0"/>
        <c:majorTickMark val="out"/>
        <c:minorTickMark val="none"/>
        <c:tickLblPos val="nextTo"/>
        <c:crossAx val="774140352"/>
        <c:crosses val="max"/>
        <c:crossBetween val="between"/>
        <c:majorUnit val="10000"/>
        <c:minorUnit val="1000"/>
      </c:valAx>
      <c:catAx>
        <c:axId val="774140352"/>
        <c:scaling>
          <c:orientation val="minMax"/>
        </c:scaling>
        <c:delete val="1"/>
        <c:axPos val="b"/>
        <c:numFmt formatCode="General" sourceLinked="1"/>
        <c:majorTickMark val="out"/>
        <c:minorTickMark val="none"/>
        <c:tickLblPos val="nextTo"/>
        <c:crossAx val="774141920"/>
        <c:crosses val="autoZero"/>
        <c:auto val="1"/>
        <c:lblAlgn val="ctr"/>
        <c:lblOffset val="100"/>
        <c:noMultiLvlLbl val="0"/>
      </c:catAx>
      <c:spPr>
        <a:noFill/>
      </c:spPr>
    </c:plotArea>
    <c:legend>
      <c:legendPos val="r"/>
      <c:layout>
        <c:manualLayout>
          <c:xMode val="edge"/>
          <c:yMode val="edge"/>
          <c:x val="0.13221565523250028"/>
          <c:y val="4.696439923712651E-2"/>
          <c:w val="0.27906205525456079"/>
          <c:h val="0.18263533480772376"/>
        </c:manualLayout>
      </c:layout>
      <c:overlay val="1"/>
      <c:txPr>
        <a:bodyPr/>
        <a:lstStyle/>
        <a:p>
          <a:pPr rtl="0">
            <a:defRPr/>
          </a:pPr>
          <a:endParaRPr lang="en-US"/>
        </a:p>
      </c:txPr>
    </c:legend>
    <c:plotVisOnly val="1"/>
    <c:dispBlanksAs val="gap"/>
    <c:showDLblsOverMax val="0"/>
  </c:chart>
  <c:spPr>
    <a:noFill/>
    <a:ln>
      <a:noFill/>
    </a:ln>
  </c:spPr>
  <c:txPr>
    <a:bodyPr/>
    <a:lstStyle/>
    <a:p>
      <a:pPr>
        <a:defRPr sz="1000" baseline="0">
          <a:latin typeface="Book Antiqua" panose="0204060205030503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'Equity Return'!$B$9</c:f>
              <c:strCache>
                <c:ptCount val="1"/>
                <c:pt idx="0">
                  <c:v>Equity Value </c:v>
                </c:pt>
              </c:strCache>
            </c:strRef>
          </c:tx>
          <c:spPr>
            <a:solidFill>
              <a:srgbClr val="28343C"/>
            </a:solidFill>
            <a:ln>
              <a:noFill/>
            </a:ln>
            <a:effectLst/>
          </c:spPr>
          <c:invertIfNegative val="0"/>
          <c:dLbls>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'Equity Return'!$C$8:$D$8</c:f>
              <c:strCache>
                <c:ptCount val="2"/>
                <c:pt idx="0">
                  <c:v>2015E</c:v>
                </c:pt>
                <c:pt idx="1">
                  <c:v>2020E</c:v>
                </c:pt>
              </c:strCache>
            </c:strRef>
          </c:cat>
          <c:val>
            <c:numRef>
              <c:f>'Equity Return'!$C$9:$D$9</c:f>
              <c:numCache>
                <c:formatCode>_(* #,##0_);_(* \(#,##0\);_(* "-"_);_(@_)</c:formatCode>
                <c:ptCount val="2"/>
                <c:pt idx="0">
                  <c:v>24263.033552881352</c:v>
                </c:pt>
                <c:pt idx="1">
                  <c:v>66707.53904256344</c:v>
                </c:pt>
              </c:numCache>
            </c:numRef>
          </c:val>
        </c:ser>
        <c:dLbls>
          <c:dLblPos val="outEnd"/>
          <c:showLegendKey val="0"/>
          <c:showVal val="1"/>
          <c:showCatName val="0"/>
          <c:showSerName val="0"/>
          <c:showPercent val="0"/>
          <c:showBubbleSize val="0"/>
        </c:dLbls>
        <c:gapWidth val="89"/>
        <c:overlap val="-27"/>
        <c:axId val="797298776"/>
        <c:axId val="797301128"/>
      </c:barChart>
      <c:catAx>
        <c:axId val="797298776"/>
        <c:scaling>
          <c:orientation val="minMax"/>
        </c:scaling>
        <c:delete val="0"/>
        <c:axPos val="b"/>
        <c:numFmt formatCode="General" sourceLinked="1"/>
        <c:majorTickMark val="none"/>
        <c:minorTickMark val="none"/>
        <c:tickLblPos val="nextTo"/>
        <c:spPr>
          <a:noFill/>
          <a:ln w="9525" cap="flat" cmpd="sng" algn="ctr">
            <a:solidFill>
              <a:schemeClr val="bg1">
                <a:lumMod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301128"/>
        <c:crosses val="autoZero"/>
        <c:auto val="1"/>
        <c:lblAlgn val="ctr"/>
        <c:lblOffset val="100"/>
        <c:noMultiLvlLbl val="0"/>
      </c:catAx>
      <c:valAx>
        <c:axId val="797301128"/>
        <c:scaling>
          <c:orientation val="minMax"/>
        </c:scaling>
        <c:delete val="0"/>
        <c:axPos val="l"/>
        <c:numFmt formatCode="_(* #,##0_);_(* \(#,##0\);_(* &quot;-&quot;_);_(@_)" sourceLinked="1"/>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298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'Equity Return'!$I$9</c:f>
              <c:strCache>
                <c:ptCount val="1"/>
                <c:pt idx="0">
                  <c:v>Equity Value (1)</c:v>
                </c:pt>
              </c:strCache>
            </c:strRef>
          </c:tx>
          <c:spPr>
            <a:solidFill>
              <a:schemeClr val="accent5">
                <a:lumMod val="50000"/>
              </a:schemeClr>
            </a:solidFill>
            <a:ln>
              <a:noFill/>
            </a:ln>
            <a:effectLst/>
          </c:spPr>
          <c:invertIfNegative val="0"/>
          <c:dPt>
            <c:idx val="0"/>
            <c:invertIfNegative val="0"/>
            <c:bubble3D val="0"/>
            <c:spPr>
              <a:solidFill>
                <a:srgbClr val="28343C"/>
              </a:solidFill>
              <a:ln>
                <a:noFill/>
              </a:ln>
              <a:effectLst/>
            </c:spPr>
          </c:dPt>
          <c:dPt>
            <c:idx val="1"/>
            <c:invertIfNegative val="0"/>
            <c:bubble3D val="0"/>
            <c:spPr>
              <a:solidFill>
                <a:srgbClr val="28343C"/>
              </a:solidFill>
              <a:ln>
                <a:noFill/>
              </a:ln>
              <a:effectLst/>
            </c:spPr>
          </c:dPt>
          <c:dLbls>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ook Antiqua" panose="0204060205030503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'Equity Return'!$J$8:$K$8</c:f>
              <c:strCache>
                <c:ptCount val="2"/>
                <c:pt idx="0">
                  <c:v>2015E</c:v>
                </c:pt>
                <c:pt idx="1">
                  <c:v>2020E</c:v>
                </c:pt>
              </c:strCache>
            </c:strRef>
          </c:cat>
          <c:val>
            <c:numRef>
              <c:f>'Equity Return'!$J$9:$K$9</c:f>
              <c:numCache>
                <c:formatCode>_(* #,##0_);_(* \(#,##0\);_(* "-"_);_(@_)</c:formatCode>
                <c:ptCount val="2"/>
                <c:pt idx="0">
                  <c:v>0</c:v>
                </c:pt>
                <c:pt idx="1">
                  <c:v>39418.125182715579</c:v>
                </c:pt>
              </c:numCache>
            </c:numRef>
          </c:val>
        </c:ser>
        <c:dLbls>
          <c:dLblPos val="outEnd"/>
          <c:showLegendKey val="0"/>
          <c:showVal val="1"/>
          <c:showCatName val="0"/>
          <c:showSerName val="0"/>
          <c:showPercent val="0"/>
          <c:showBubbleSize val="0"/>
        </c:dLbls>
        <c:gapWidth val="89"/>
        <c:overlap val="-27"/>
        <c:axId val="797302304"/>
        <c:axId val="797301912"/>
      </c:barChart>
      <c:catAx>
        <c:axId val="797302304"/>
        <c:scaling>
          <c:orientation val="minMax"/>
        </c:scaling>
        <c:delete val="0"/>
        <c:axPos val="b"/>
        <c:numFmt formatCode="General" sourceLinked="1"/>
        <c:majorTickMark val="none"/>
        <c:minorTickMark val="none"/>
        <c:tickLblPos val="nextTo"/>
        <c:spPr>
          <a:noFill/>
          <a:ln w="9525" cap="flat" cmpd="sng" algn="ctr">
            <a:solidFill>
              <a:schemeClr val="bg1">
                <a:lumMod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ook Antiqua" panose="02040602050305030304" pitchFamily="18" charset="0"/>
                <a:ea typeface="+mn-ea"/>
                <a:cs typeface="+mn-cs"/>
              </a:defRPr>
            </a:pPr>
            <a:endParaRPr lang="en-US"/>
          </a:p>
        </c:txPr>
        <c:crossAx val="797301912"/>
        <c:crosses val="autoZero"/>
        <c:auto val="1"/>
        <c:lblAlgn val="ctr"/>
        <c:lblOffset val="100"/>
        <c:noMultiLvlLbl val="0"/>
      </c:catAx>
      <c:valAx>
        <c:axId val="797301912"/>
        <c:scaling>
          <c:orientation val="minMax"/>
        </c:scaling>
        <c:delete val="0"/>
        <c:axPos val="l"/>
        <c:numFmt formatCode="_(* #,##0_);_(* \(#,##0\);_(* &quot;-&quot;_);_(@_)" sourceLinked="1"/>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ook Antiqua" panose="02040602050305030304" pitchFamily="18" charset="0"/>
                <a:ea typeface="+mn-ea"/>
                <a:cs typeface="+mn-cs"/>
              </a:defRPr>
            </a:pPr>
            <a:endParaRPr lang="en-US"/>
          </a:p>
        </c:txPr>
        <c:crossAx val="797302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ook Antiqua" panose="02040602050305030304" pitchFamily="18"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Book Antiqua" panose="02040602050305030304" pitchFamily="18" charset="0"/>
                <a:ea typeface="+mn-ea"/>
                <a:cs typeface="+mn-cs"/>
              </a:defRPr>
            </a:pPr>
            <a:r>
              <a:rPr lang="en-US" sz="1000"/>
              <a:t>$ in Millions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Book Antiqua" panose="02040602050305030304" pitchFamily="18" charset="0"/>
              <a:ea typeface="+mn-ea"/>
              <a:cs typeface="+mn-cs"/>
            </a:defRPr>
          </a:pPr>
          <a:endParaRPr lang="en-US"/>
        </a:p>
      </c:txPr>
    </c:title>
    <c:autoTitleDeleted val="0"/>
    <c:plotArea>
      <c:layout/>
      <c:barChart>
        <c:barDir val="col"/>
        <c:grouping val="clustered"/>
        <c:varyColors val="0"/>
        <c:ser>
          <c:idx val="0"/>
          <c:order val="0"/>
          <c:tx>
            <c:strRef>
              <c:f>'Summary Charts'!$B$9</c:f>
              <c:strCache>
                <c:ptCount val="1"/>
                <c:pt idx="0">
                  <c:v>Revenue</c:v>
                </c:pt>
              </c:strCache>
            </c:strRef>
          </c:tx>
          <c:spPr>
            <a:solidFill>
              <a:schemeClr val="accent5">
                <a:lumMod val="50000"/>
              </a:schemeClr>
            </a:solidFill>
            <a:ln w="0">
              <a:noFill/>
            </a:ln>
            <a:effectLst/>
          </c:spPr>
          <c:invertIfNegative val="0"/>
          <c:dPt>
            <c:idx val="0"/>
            <c:invertIfNegative val="0"/>
            <c:bubble3D val="0"/>
            <c:spPr>
              <a:solidFill>
                <a:schemeClr val="accent5">
                  <a:lumMod val="50000"/>
                </a:schemeClr>
              </a:solidFill>
              <a:ln w="0">
                <a:noFill/>
              </a:ln>
              <a:effectLst/>
            </c:spPr>
          </c:dPt>
          <c:dPt>
            <c:idx val="1"/>
            <c:invertIfNegative val="0"/>
            <c:bubble3D val="0"/>
            <c:spPr>
              <a:solidFill>
                <a:schemeClr val="accent5">
                  <a:lumMod val="50000"/>
                </a:schemeClr>
              </a:solidFill>
              <a:ln w="0">
                <a:noFill/>
              </a:ln>
              <a:effectLst/>
            </c:spPr>
          </c:dPt>
          <c:dPt>
            <c:idx val="2"/>
            <c:invertIfNegative val="0"/>
            <c:bubble3D val="0"/>
            <c:spPr>
              <a:solidFill>
                <a:schemeClr val="accent5">
                  <a:lumMod val="50000"/>
                </a:schemeClr>
              </a:solidFill>
              <a:ln w="0">
                <a:noFill/>
              </a:ln>
              <a:effectLst/>
            </c:spPr>
          </c:dPt>
          <c:dPt>
            <c:idx val="3"/>
            <c:invertIfNegative val="0"/>
            <c:bubble3D val="0"/>
            <c:spPr>
              <a:solidFill>
                <a:srgbClr val="E6F0FF"/>
              </a:solidFill>
              <a:ln w="0">
                <a:noFill/>
              </a:ln>
              <a:effectLst/>
            </c:spPr>
          </c:dPt>
          <c:dPt>
            <c:idx val="4"/>
            <c:invertIfNegative val="0"/>
            <c:bubble3D val="0"/>
            <c:spPr>
              <a:solidFill>
                <a:srgbClr val="E6F0FF"/>
              </a:solidFill>
              <a:ln w="0">
                <a:noFill/>
              </a:ln>
              <a:effectLst/>
            </c:spPr>
          </c:dPt>
          <c:dPt>
            <c:idx val="5"/>
            <c:invertIfNegative val="0"/>
            <c:bubble3D val="0"/>
            <c:spPr>
              <a:solidFill>
                <a:srgbClr val="E6F0FF"/>
              </a:solidFill>
              <a:ln w="0">
                <a:noFill/>
              </a:ln>
              <a:effectLst/>
            </c:spPr>
          </c:dPt>
          <c:dPt>
            <c:idx val="6"/>
            <c:invertIfNegative val="0"/>
            <c:bubble3D val="0"/>
            <c:spPr>
              <a:solidFill>
                <a:srgbClr val="E6F0FF"/>
              </a:solidFill>
              <a:ln w="0">
                <a:noFill/>
              </a:ln>
              <a:effectLst/>
            </c:spPr>
          </c:dPt>
          <c:dPt>
            <c:idx val="7"/>
            <c:invertIfNegative val="0"/>
            <c:bubble3D val="0"/>
            <c:spPr>
              <a:solidFill>
                <a:srgbClr val="E6F0FF"/>
              </a:solidFill>
              <a:ln w="0">
                <a:noFill/>
              </a:ln>
              <a:effectLst/>
            </c:spPr>
          </c:dPt>
          <c:dPt>
            <c:idx val="8"/>
            <c:invertIfNegative val="0"/>
            <c:bubble3D val="0"/>
            <c:spPr>
              <a:solidFill>
                <a:srgbClr val="E6F0FF"/>
              </a:solidFill>
              <a:ln w="0">
                <a:noFill/>
              </a:ln>
              <a:effectLst/>
            </c:spPr>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Book Antiqua" panose="0204060205030503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 Charts'!$C$8:$K$8</c:f>
              <c:numCache>
                <c:formatCode>yyyy"A"</c:formatCode>
                <c:ptCount val="9"/>
                <c:pt idx="0">
                  <c:v>40909</c:v>
                </c:pt>
                <c:pt idx="1">
                  <c:v>41305</c:v>
                </c:pt>
                <c:pt idx="2">
                  <c:v>41670</c:v>
                </c:pt>
                <c:pt idx="3" formatCode="yyyy&quot;E&quot;">
                  <c:v>42035</c:v>
                </c:pt>
                <c:pt idx="4" formatCode="yyyy&quot;E&quot;">
                  <c:v>42400</c:v>
                </c:pt>
                <c:pt idx="5" formatCode="yyyy&quot;E&quot;">
                  <c:v>42766</c:v>
                </c:pt>
                <c:pt idx="6" formatCode="yyyy&quot;E&quot;">
                  <c:v>43131</c:v>
                </c:pt>
                <c:pt idx="7" formatCode="yyyy&quot;E&quot;">
                  <c:v>43496</c:v>
                </c:pt>
                <c:pt idx="8" formatCode="yyyy&quot;E&quot;">
                  <c:v>43861</c:v>
                </c:pt>
              </c:numCache>
            </c:numRef>
          </c:cat>
          <c:val>
            <c:numRef>
              <c:f>'Summary Charts'!$C$9:$K$9</c:f>
              <c:numCache>
                <c:formatCode>_("$"* #,##0.0_);_("$"* \(#,##0.0\);_("$"* "-"??_);_(@_)</c:formatCode>
                <c:ptCount val="9"/>
                <c:pt idx="0">
                  <c:v>20.894092000000001</c:v>
                </c:pt>
                <c:pt idx="1">
                  <c:v>25.799011999999998</c:v>
                </c:pt>
                <c:pt idx="2">
                  <c:v>35.229434999999995</c:v>
                </c:pt>
                <c:pt idx="3">
                  <c:v>38</c:v>
                </c:pt>
                <c:pt idx="4">
                  <c:v>41.04</c:v>
                </c:pt>
                <c:pt idx="5">
                  <c:v>44.3232</c:v>
                </c:pt>
                <c:pt idx="6">
                  <c:v>47.869056000000015</c:v>
                </c:pt>
                <c:pt idx="7">
                  <c:v>51.698580480000018</c:v>
                </c:pt>
                <c:pt idx="8">
                  <c:v>55.834466918400025</c:v>
                </c:pt>
              </c:numCache>
            </c:numRef>
          </c:val>
        </c:ser>
        <c:ser>
          <c:idx val="2"/>
          <c:order val="2"/>
          <c:tx>
            <c:strRef>
              <c:f>'Summary Charts'!$B$11</c:f>
              <c:strCache>
                <c:ptCount val="1"/>
                <c:pt idx="0">
                  <c:v>Adjusted EBITDA</c:v>
                </c:pt>
              </c:strCache>
            </c:strRef>
          </c:tx>
          <c:spPr>
            <a:solidFill>
              <a:schemeClr val="bg1">
                <a:lumMod val="50000"/>
              </a:schemeClr>
            </a:solidFill>
            <a:ln>
              <a:noFill/>
            </a:ln>
            <a:effectLst/>
          </c:spPr>
          <c:invertIfNegative val="0"/>
          <c:dPt>
            <c:idx val="0"/>
            <c:invertIfNegative val="0"/>
            <c:bubble3D val="0"/>
            <c:spPr>
              <a:solidFill>
                <a:schemeClr val="bg1">
                  <a:lumMod val="50000"/>
                </a:schemeClr>
              </a:solidFill>
              <a:ln>
                <a:noFill/>
              </a:ln>
              <a:effectLst/>
            </c:spPr>
          </c:dPt>
          <c:dPt>
            <c:idx val="1"/>
            <c:invertIfNegative val="0"/>
            <c:bubble3D val="0"/>
            <c:spPr>
              <a:solidFill>
                <a:schemeClr val="bg1">
                  <a:lumMod val="50000"/>
                </a:schemeClr>
              </a:solidFill>
              <a:ln>
                <a:noFill/>
              </a:ln>
              <a:effectLst/>
            </c:spPr>
          </c:dPt>
          <c:dPt>
            <c:idx val="2"/>
            <c:invertIfNegative val="0"/>
            <c:bubble3D val="0"/>
            <c:spPr>
              <a:solidFill>
                <a:schemeClr val="bg1">
                  <a:lumMod val="50000"/>
                </a:schemeClr>
              </a:solidFill>
              <a:ln>
                <a:noFill/>
              </a:ln>
              <a:effectLst/>
            </c:spPr>
          </c:dPt>
          <c:dPt>
            <c:idx val="3"/>
            <c:invertIfNegative val="0"/>
            <c:bubble3D val="0"/>
            <c:spPr>
              <a:solidFill>
                <a:schemeClr val="bg1">
                  <a:lumMod val="95000"/>
                </a:schemeClr>
              </a:solidFill>
              <a:ln>
                <a:noFill/>
              </a:ln>
              <a:effectLst/>
            </c:spPr>
          </c:dPt>
          <c:dPt>
            <c:idx val="4"/>
            <c:invertIfNegative val="0"/>
            <c:bubble3D val="0"/>
            <c:spPr>
              <a:solidFill>
                <a:schemeClr val="bg1">
                  <a:lumMod val="95000"/>
                </a:schemeClr>
              </a:solidFill>
              <a:ln>
                <a:noFill/>
              </a:ln>
              <a:effectLst/>
            </c:spPr>
          </c:dPt>
          <c:dPt>
            <c:idx val="5"/>
            <c:invertIfNegative val="0"/>
            <c:bubble3D val="0"/>
            <c:spPr>
              <a:solidFill>
                <a:schemeClr val="bg1">
                  <a:lumMod val="95000"/>
                </a:schemeClr>
              </a:solidFill>
              <a:ln>
                <a:noFill/>
              </a:ln>
              <a:effectLst/>
            </c:spPr>
          </c:dPt>
          <c:dPt>
            <c:idx val="6"/>
            <c:invertIfNegative val="0"/>
            <c:bubble3D val="0"/>
            <c:spPr>
              <a:solidFill>
                <a:schemeClr val="bg1">
                  <a:lumMod val="95000"/>
                </a:schemeClr>
              </a:solidFill>
              <a:ln>
                <a:noFill/>
              </a:ln>
              <a:effectLst/>
            </c:spPr>
          </c:dPt>
          <c:dPt>
            <c:idx val="7"/>
            <c:invertIfNegative val="0"/>
            <c:bubble3D val="0"/>
            <c:spPr>
              <a:solidFill>
                <a:schemeClr val="bg1">
                  <a:lumMod val="95000"/>
                </a:schemeClr>
              </a:solidFill>
              <a:ln>
                <a:noFill/>
              </a:ln>
              <a:effectLst/>
            </c:spPr>
          </c:dPt>
          <c:dPt>
            <c:idx val="8"/>
            <c:invertIfNegative val="0"/>
            <c:bubble3D val="0"/>
            <c:spPr>
              <a:solidFill>
                <a:schemeClr val="bg1">
                  <a:lumMod val="95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Book Antiqua" panose="0204060205030503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 Charts'!$C$8:$K$8</c:f>
              <c:numCache>
                <c:formatCode>yyyy"A"</c:formatCode>
                <c:ptCount val="9"/>
                <c:pt idx="0">
                  <c:v>40909</c:v>
                </c:pt>
                <c:pt idx="1">
                  <c:v>41305</c:v>
                </c:pt>
                <c:pt idx="2">
                  <c:v>41670</c:v>
                </c:pt>
                <c:pt idx="3" formatCode="yyyy&quot;E&quot;">
                  <c:v>42035</c:v>
                </c:pt>
                <c:pt idx="4" formatCode="yyyy&quot;E&quot;">
                  <c:v>42400</c:v>
                </c:pt>
                <c:pt idx="5" formatCode="yyyy&quot;E&quot;">
                  <c:v>42766</c:v>
                </c:pt>
                <c:pt idx="6" formatCode="yyyy&quot;E&quot;">
                  <c:v>43131</c:v>
                </c:pt>
                <c:pt idx="7" formatCode="yyyy&quot;E&quot;">
                  <c:v>43496</c:v>
                </c:pt>
                <c:pt idx="8" formatCode="yyyy&quot;E&quot;">
                  <c:v>43861</c:v>
                </c:pt>
              </c:numCache>
            </c:numRef>
          </c:cat>
          <c:val>
            <c:numRef>
              <c:f>'Summary Charts'!$C$11:$K$11</c:f>
              <c:numCache>
                <c:formatCode>_("$"* #,##0.0_);_("$"* \(#,##0.0\);_("$"* "-"??_);_(@_)</c:formatCode>
                <c:ptCount val="9"/>
                <c:pt idx="0">
                  <c:v>2.7315169999999998</c:v>
                </c:pt>
                <c:pt idx="1">
                  <c:v>3.208699999999999</c:v>
                </c:pt>
                <c:pt idx="2">
                  <c:v>5.336403999999999</c:v>
                </c:pt>
                <c:pt idx="3">
                  <c:v>6.0328920856135611</c:v>
                </c:pt>
                <c:pt idx="4">
                  <c:v>6.3300662625000026</c:v>
                </c:pt>
                <c:pt idx="5">
                  <c:v>7.1328935756249976</c:v>
                </c:pt>
                <c:pt idx="6">
                  <c:v>8.021416654406254</c:v>
                </c:pt>
                <c:pt idx="7">
                  <c:v>8.7456036151265728</c:v>
                </c:pt>
                <c:pt idx="8">
                  <c:v>9.5318492141228983</c:v>
                </c:pt>
              </c:numCache>
            </c:numRef>
          </c:val>
        </c:ser>
        <c:dLbls>
          <c:showLegendKey val="0"/>
          <c:showVal val="0"/>
          <c:showCatName val="0"/>
          <c:showSerName val="0"/>
          <c:showPercent val="0"/>
          <c:showBubbleSize val="0"/>
        </c:dLbls>
        <c:gapWidth val="70"/>
        <c:overlap val="-20"/>
        <c:axId val="797299952"/>
        <c:axId val="797299560"/>
        <c:extLst>
          <c:ext xmlns:c15="http://schemas.microsoft.com/office/drawing/2012/chart" uri="{02D57815-91ED-43cb-92C2-25804820EDAC}">
            <c15:filteredBarSeries>
              <c15:ser>
                <c:idx val="1"/>
                <c:order val="1"/>
                <c:tx>
                  <c:strRef>
                    <c:extLst>
                      <c:ext uri="{02D57815-91ED-43cb-92C2-25804820EDAC}">
                        <c15:formulaRef>
                          <c15:sqref>'Summary Charts'!$B$10</c15:sqref>
                        </c15:formulaRef>
                      </c:ext>
                    </c:extLst>
                    <c:strCache>
                      <c:ptCount val="1"/>
                      <c:pt idx="0">
                        <c:v>Gross Profit</c:v>
                      </c:pt>
                    </c:strCache>
                  </c:strRef>
                </c:tx>
                <c:spPr>
                  <a:solidFill>
                    <a:schemeClr val="accent2"/>
                  </a:solidFill>
                  <a:ln>
                    <a:noFill/>
                  </a:ln>
                  <a:effectLst/>
                </c:spPr>
                <c:invertIfNegative val="0"/>
                <c:cat>
                  <c:numRef>
                    <c:extLst>
                      <c:ext uri="{02D57815-91ED-43cb-92C2-25804820EDAC}">
                        <c15:formulaRef>
                          <c15:sqref>'Summary Charts'!$C$8:$K$8</c15:sqref>
                        </c15:formulaRef>
                      </c:ext>
                    </c:extLst>
                    <c:numCache>
                      <c:formatCode>yyyy"A"</c:formatCode>
                      <c:ptCount val="9"/>
                      <c:pt idx="0">
                        <c:v>40909</c:v>
                      </c:pt>
                      <c:pt idx="1">
                        <c:v>41305</c:v>
                      </c:pt>
                      <c:pt idx="2">
                        <c:v>41670</c:v>
                      </c:pt>
                      <c:pt idx="3" formatCode="yyyy&quot;E&quot;">
                        <c:v>42035</c:v>
                      </c:pt>
                      <c:pt idx="4" formatCode="yyyy&quot;E&quot;">
                        <c:v>42400</c:v>
                      </c:pt>
                      <c:pt idx="5" formatCode="yyyy&quot;E&quot;">
                        <c:v>42766</c:v>
                      </c:pt>
                      <c:pt idx="6" formatCode="yyyy&quot;E&quot;">
                        <c:v>43131</c:v>
                      </c:pt>
                      <c:pt idx="7" formatCode="yyyy&quot;E&quot;">
                        <c:v>43496</c:v>
                      </c:pt>
                      <c:pt idx="8" formatCode="yyyy&quot;E&quot;">
                        <c:v>43861</c:v>
                      </c:pt>
                    </c:numCache>
                  </c:numRef>
                </c:cat>
                <c:val>
                  <c:numRef>
                    <c:extLst>
                      <c:ext uri="{02D57815-91ED-43cb-92C2-25804820EDAC}">
                        <c15:formulaRef>
                          <c15:sqref>'Summary Charts'!$C$10:$K$10</c15:sqref>
                        </c15:formulaRef>
                      </c:ext>
                    </c:extLst>
                    <c:numCache>
                      <c:formatCode>_("$"* #,##0.0_);_("$"* \(#,##0.0\);_("$"* "-"??_);_(@_)</c:formatCode>
                      <c:ptCount val="9"/>
                      <c:pt idx="0">
                        <c:v>8.5069280000000003</c:v>
                      </c:pt>
                      <c:pt idx="1">
                        <c:v>9.978764</c:v>
                      </c:pt>
                      <c:pt idx="2">
                        <c:v>13.916262</c:v>
                      </c:pt>
                      <c:pt idx="3">
                        <c:v>15.866335456613561</c:v>
                      </c:pt>
                      <c:pt idx="4">
                        <c:v>17.236800000000002</c:v>
                      </c:pt>
                      <c:pt idx="5">
                        <c:v>18.615743999999999</c:v>
                      </c:pt>
                      <c:pt idx="6">
                        <c:v>20.105003520000004</c:v>
                      </c:pt>
                      <c:pt idx="7">
                        <c:v>21.713403801600013</c:v>
                      </c:pt>
                      <c:pt idx="8">
                        <c:v>23.450476105728011</c:v>
                      </c:pt>
                    </c:numCache>
                  </c:numRef>
                </c:val>
              </c15:ser>
            </c15:filteredBarSeries>
          </c:ext>
        </c:extLst>
      </c:barChart>
      <c:dateAx>
        <c:axId val="797299952"/>
        <c:scaling>
          <c:orientation val="minMax"/>
        </c:scaling>
        <c:delete val="0"/>
        <c:axPos val="b"/>
        <c:numFmt formatCode="yyyy" sourceLinked="0"/>
        <c:majorTickMark val="out"/>
        <c:minorTickMark val="none"/>
        <c:tickLblPos val="nextTo"/>
        <c:spPr>
          <a:noFill/>
          <a:ln w="9525" cap="flat" cmpd="sng" algn="ctr">
            <a:solidFill>
              <a:schemeClr val="bg1">
                <a:lumMod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Book Antiqua" panose="02040602050305030304" pitchFamily="18" charset="0"/>
                <a:ea typeface="+mn-ea"/>
                <a:cs typeface="+mn-cs"/>
              </a:defRPr>
            </a:pPr>
            <a:endParaRPr lang="en-US"/>
          </a:p>
        </c:txPr>
        <c:crossAx val="797299560"/>
        <c:crosses val="autoZero"/>
        <c:auto val="1"/>
        <c:lblOffset val="100"/>
        <c:baseTimeUnit val="years"/>
      </c:dateAx>
      <c:valAx>
        <c:axId val="797299560"/>
        <c:scaling>
          <c:orientation val="minMax"/>
        </c:scaling>
        <c:delete val="0"/>
        <c:axPos val="l"/>
        <c:majorGridlines>
          <c:spPr>
            <a:ln w="9525" cap="flat" cmpd="sng" algn="ctr">
              <a:noFill/>
              <a:round/>
            </a:ln>
            <a:effectLst/>
          </c:spPr>
        </c:majorGridlines>
        <c:numFmt formatCode="_(&quot;$&quot;* #,##0.0_);_(&quot;$&quot;* \(#,##0.0\);_(&quot;$&quot;* &quot;-&quot;??_);_(@_)" sourceLinked="1"/>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Book Antiqua" panose="02040602050305030304" pitchFamily="18" charset="0"/>
                <a:ea typeface="+mn-ea"/>
                <a:cs typeface="+mn-cs"/>
              </a:defRPr>
            </a:pPr>
            <a:endParaRPr lang="en-US"/>
          </a:p>
        </c:txPr>
        <c:crossAx val="797299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Book Antiqua" panose="02040602050305030304" pitchFamily="18"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000">
          <a:latin typeface="Book Antiqua" panose="02040602050305030304" pitchFamily="18"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Book Antiqua" panose="02040602050305030304" pitchFamily="18" charset="0"/>
                <a:ea typeface="+mn-ea"/>
                <a:cs typeface="+mn-cs"/>
              </a:defRPr>
            </a:pPr>
            <a:r>
              <a:rPr lang="en-US" sz="1000"/>
              <a:t>$ in Millions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Book Antiqua" panose="02040602050305030304" pitchFamily="18" charset="0"/>
              <a:ea typeface="+mn-ea"/>
              <a:cs typeface="+mn-cs"/>
            </a:defRPr>
          </a:pPr>
          <a:endParaRPr lang="en-US"/>
        </a:p>
      </c:txPr>
    </c:title>
    <c:autoTitleDeleted val="0"/>
    <c:plotArea>
      <c:layout/>
      <c:barChart>
        <c:barDir val="col"/>
        <c:grouping val="clustered"/>
        <c:varyColors val="0"/>
        <c:ser>
          <c:idx val="0"/>
          <c:order val="0"/>
          <c:tx>
            <c:strRef>
              <c:f>'Summary Charts'!$B$9</c:f>
              <c:strCache>
                <c:ptCount val="1"/>
                <c:pt idx="0">
                  <c:v>Revenue</c:v>
                </c:pt>
              </c:strCache>
            </c:strRef>
          </c:tx>
          <c:spPr>
            <a:solidFill>
              <a:schemeClr val="accent5">
                <a:lumMod val="50000"/>
              </a:schemeClr>
            </a:solidFill>
            <a:ln w="0">
              <a:noFill/>
            </a:ln>
            <a:effectLst/>
          </c:spPr>
          <c:invertIfNegative val="0"/>
          <c:dPt>
            <c:idx val="0"/>
            <c:invertIfNegative val="0"/>
            <c:bubble3D val="0"/>
            <c:spPr>
              <a:solidFill>
                <a:schemeClr val="accent5">
                  <a:lumMod val="50000"/>
                </a:schemeClr>
              </a:solidFill>
              <a:ln w="0">
                <a:noFill/>
              </a:ln>
              <a:effectLst/>
            </c:spPr>
          </c:dPt>
          <c:dPt>
            <c:idx val="1"/>
            <c:invertIfNegative val="0"/>
            <c:bubble3D val="0"/>
            <c:spPr>
              <a:solidFill>
                <a:schemeClr val="accent5">
                  <a:lumMod val="50000"/>
                </a:schemeClr>
              </a:solidFill>
              <a:ln w="0">
                <a:noFill/>
              </a:ln>
              <a:effectLst/>
            </c:spPr>
          </c:dPt>
          <c:dPt>
            <c:idx val="2"/>
            <c:invertIfNegative val="0"/>
            <c:bubble3D val="0"/>
            <c:spPr>
              <a:solidFill>
                <a:schemeClr val="accent5">
                  <a:lumMod val="50000"/>
                </a:schemeClr>
              </a:solidFill>
              <a:ln w="0">
                <a:noFill/>
              </a:ln>
              <a:effectLst/>
            </c:spPr>
          </c:dPt>
          <c:dPt>
            <c:idx val="3"/>
            <c:invertIfNegative val="0"/>
            <c:bubble3D val="0"/>
            <c:spPr>
              <a:solidFill>
                <a:srgbClr val="E6F0FF"/>
              </a:solidFill>
              <a:ln w="0">
                <a:noFill/>
              </a:ln>
              <a:effectLst/>
            </c:spPr>
          </c:dPt>
          <c:dPt>
            <c:idx val="4"/>
            <c:invertIfNegative val="0"/>
            <c:bubble3D val="0"/>
            <c:spPr>
              <a:solidFill>
                <a:srgbClr val="E6F0FF"/>
              </a:solidFill>
              <a:ln w="0">
                <a:noFill/>
              </a:ln>
              <a:effectLst/>
            </c:spPr>
          </c:dPt>
          <c:dPt>
            <c:idx val="5"/>
            <c:invertIfNegative val="0"/>
            <c:bubble3D val="0"/>
            <c:spPr>
              <a:solidFill>
                <a:srgbClr val="E6F0FF"/>
              </a:solidFill>
              <a:ln w="0">
                <a:noFill/>
              </a:ln>
              <a:effectLst/>
            </c:spPr>
          </c:dPt>
          <c:dPt>
            <c:idx val="6"/>
            <c:invertIfNegative val="0"/>
            <c:bubble3D val="0"/>
            <c:spPr>
              <a:solidFill>
                <a:srgbClr val="E6F0FF"/>
              </a:solidFill>
              <a:ln w="0">
                <a:noFill/>
              </a:ln>
              <a:effectLst/>
            </c:spPr>
          </c:dPt>
          <c:dPt>
            <c:idx val="7"/>
            <c:invertIfNegative val="0"/>
            <c:bubble3D val="0"/>
            <c:spPr>
              <a:solidFill>
                <a:srgbClr val="E6F0FF"/>
              </a:solidFill>
              <a:ln w="0">
                <a:noFill/>
              </a:ln>
              <a:effectLst/>
            </c:spPr>
          </c:dPt>
          <c:dPt>
            <c:idx val="8"/>
            <c:invertIfNegative val="0"/>
            <c:bubble3D val="0"/>
            <c:spPr>
              <a:solidFill>
                <a:srgbClr val="E6F0FF"/>
              </a:solidFill>
              <a:ln w="0">
                <a:noFill/>
              </a:ln>
              <a:effectLst/>
            </c:spPr>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Book Antiqua" panose="02040602050305030304" pitchFamily="18" charset="0"/>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 Charts'!$C$8:$K$8</c:f>
              <c:numCache>
                <c:formatCode>yyyy"A"</c:formatCode>
                <c:ptCount val="9"/>
                <c:pt idx="0">
                  <c:v>40909</c:v>
                </c:pt>
                <c:pt idx="1">
                  <c:v>41305</c:v>
                </c:pt>
                <c:pt idx="2">
                  <c:v>41670</c:v>
                </c:pt>
                <c:pt idx="3" formatCode="yyyy&quot;E&quot;">
                  <c:v>42035</c:v>
                </c:pt>
                <c:pt idx="4" formatCode="yyyy&quot;E&quot;">
                  <c:v>42400</c:v>
                </c:pt>
                <c:pt idx="5" formatCode="yyyy&quot;E&quot;">
                  <c:v>42766</c:v>
                </c:pt>
                <c:pt idx="6" formatCode="yyyy&quot;E&quot;">
                  <c:v>43131</c:v>
                </c:pt>
                <c:pt idx="7" formatCode="yyyy&quot;E&quot;">
                  <c:v>43496</c:v>
                </c:pt>
                <c:pt idx="8" formatCode="yyyy&quot;E&quot;">
                  <c:v>43861</c:v>
                </c:pt>
              </c:numCache>
            </c:numRef>
          </c:cat>
          <c:val>
            <c:numRef>
              <c:f>'Summary Charts'!$C$9:$K$9</c:f>
              <c:numCache>
                <c:formatCode>_("$"* #,##0.0_);_("$"* \(#,##0.0\);_("$"* "-"??_);_(@_)</c:formatCode>
                <c:ptCount val="9"/>
                <c:pt idx="0">
                  <c:v>20.894092000000001</c:v>
                </c:pt>
                <c:pt idx="1">
                  <c:v>25.799011999999998</c:v>
                </c:pt>
                <c:pt idx="2">
                  <c:v>35.229434999999995</c:v>
                </c:pt>
                <c:pt idx="3">
                  <c:v>38</c:v>
                </c:pt>
                <c:pt idx="4">
                  <c:v>41.04</c:v>
                </c:pt>
                <c:pt idx="5">
                  <c:v>44.3232</c:v>
                </c:pt>
                <c:pt idx="6">
                  <c:v>47.869056000000015</c:v>
                </c:pt>
                <c:pt idx="7">
                  <c:v>51.698580480000018</c:v>
                </c:pt>
                <c:pt idx="8">
                  <c:v>55.834466918400025</c:v>
                </c:pt>
              </c:numCache>
            </c:numRef>
          </c:val>
        </c:ser>
        <c:dLbls>
          <c:showLegendKey val="0"/>
          <c:showVal val="0"/>
          <c:showCatName val="0"/>
          <c:showSerName val="0"/>
          <c:showPercent val="0"/>
          <c:showBubbleSize val="0"/>
        </c:dLbls>
        <c:gapWidth val="70"/>
        <c:axId val="784598728"/>
        <c:axId val="784596376"/>
        <c:extLst>
          <c:ext xmlns:c15="http://schemas.microsoft.com/office/drawing/2012/chart" uri="{02D57815-91ED-43cb-92C2-25804820EDAC}">
            <c15:filteredBarSeries>
              <c15:ser>
                <c:idx val="1"/>
                <c:order val="1"/>
                <c:tx>
                  <c:strRef>
                    <c:extLst>
                      <c:ext uri="{02D57815-91ED-43cb-92C2-25804820EDAC}">
                        <c15:formulaRef>
                          <c15:sqref>'Summary Charts'!$B$10</c15:sqref>
                        </c15:formulaRef>
                      </c:ext>
                    </c:extLst>
                    <c:strCache>
                      <c:ptCount val="1"/>
                      <c:pt idx="0">
                        <c:v>Gross Profit</c:v>
                      </c:pt>
                    </c:strCache>
                  </c:strRef>
                </c:tx>
                <c:spPr>
                  <a:solidFill>
                    <a:schemeClr val="accent2"/>
                  </a:solidFill>
                  <a:ln>
                    <a:noFill/>
                  </a:ln>
                  <a:effectLst/>
                </c:spPr>
                <c:invertIfNegative val="0"/>
                <c:cat>
                  <c:numRef>
                    <c:extLst>
                      <c:ext uri="{02D57815-91ED-43cb-92C2-25804820EDAC}">
                        <c15:formulaRef>
                          <c15:sqref>'Summary Charts'!$C$8:$K$8</c15:sqref>
                        </c15:formulaRef>
                      </c:ext>
                    </c:extLst>
                    <c:numCache>
                      <c:formatCode>yyyy"A"</c:formatCode>
                      <c:ptCount val="9"/>
                      <c:pt idx="0">
                        <c:v>40909</c:v>
                      </c:pt>
                      <c:pt idx="1">
                        <c:v>41305</c:v>
                      </c:pt>
                      <c:pt idx="2">
                        <c:v>41670</c:v>
                      </c:pt>
                      <c:pt idx="3" formatCode="yyyy&quot;E&quot;">
                        <c:v>42035</c:v>
                      </c:pt>
                      <c:pt idx="4" formatCode="yyyy&quot;E&quot;">
                        <c:v>42400</c:v>
                      </c:pt>
                      <c:pt idx="5" formatCode="yyyy&quot;E&quot;">
                        <c:v>42766</c:v>
                      </c:pt>
                      <c:pt idx="6" formatCode="yyyy&quot;E&quot;">
                        <c:v>43131</c:v>
                      </c:pt>
                      <c:pt idx="7" formatCode="yyyy&quot;E&quot;">
                        <c:v>43496</c:v>
                      </c:pt>
                      <c:pt idx="8" formatCode="yyyy&quot;E&quot;">
                        <c:v>43861</c:v>
                      </c:pt>
                    </c:numCache>
                  </c:numRef>
                </c:cat>
                <c:val>
                  <c:numRef>
                    <c:extLst>
                      <c:ext uri="{02D57815-91ED-43cb-92C2-25804820EDAC}">
                        <c15:formulaRef>
                          <c15:sqref>'Summary Charts'!$C$10:$K$10</c15:sqref>
                        </c15:formulaRef>
                      </c:ext>
                    </c:extLst>
                    <c:numCache>
                      <c:formatCode>_("$"* #,##0.0_);_("$"* \(#,##0.0\);_("$"* "-"??_);_(@_)</c:formatCode>
                      <c:ptCount val="9"/>
                      <c:pt idx="0">
                        <c:v>8.5069280000000003</c:v>
                      </c:pt>
                      <c:pt idx="1">
                        <c:v>9.978764</c:v>
                      </c:pt>
                      <c:pt idx="2">
                        <c:v>13.916262</c:v>
                      </c:pt>
                      <c:pt idx="3">
                        <c:v>15.866335456613561</c:v>
                      </c:pt>
                      <c:pt idx="4">
                        <c:v>17.236800000000002</c:v>
                      </c:pt>
                      <c:pt idx="5">
                        <c:v>18.615743999999999</c:v>
                      </c:pt>
                      <c:pt idx="6">
                        <c:v>20.105003520000004</c:v>
                      </c:pt>
                      <c:pt idx="7">
                        <c:v>21.713403801600013</c:v>
                      </c:pt>
                      <c:pt idx="8">
                        <c:v>23.450476105728011</c:v>
                      </c:pt>
                    </c:numCache>
                  </c:numRef>
                </c:val>
              </c15:ser>
            </c15:filteredBarSeries>
            <c15:filteredBarSeries>
              <c15:ser>
                <c:idx val="3"/>
                <c:order val="3"/>
                <c:tx>
                  <c:strRef>
                    <c:extLst xmlns:c15="http://schemas.microsoft.com/office/drawing/2012/chart">
                      <c:ext xmlns:c15="http://schemas.microsoft.com/office/drawing/2012/chart" uri="{02D57815-91ED-43cb-92C2-25804820EDAC}">
                        <c15:formulaRef>
                          <c15:sqref>'Summary Charts'!$B$12</c15:sqref>
                        </c15:formulaRef>
                      </c:ext>
                    </c:extLst>
                    <c:strCache>
                      <c:ptCount val="1"/>
                    </c:strCache>
                  </c:strRef>
                </c:tx>
                <c:spPr>
                  <a:solidFill>
                    <a:schemeClr val="accent4"/>
                  </a:solidFill>
                  <a:ln>
                    <a:noFill/>
                  </a:ln>
                  <a:effectLst/>
                </c:spPr>
                <c:invertIfNegative val="0"/>
                <c:cat>
                  <c:numRef>
                    <c:extLst xmlns:c15="http://schemas.microsoft.com/office/drawing/2012/chart">
                      <c:ext xmlns:c15="http://schemas.microsoft.com/office/drawing/2012/chart" uri="{02D57815-91ED-43cb-92C2-25804820EDAC}">
                        <c15:formulaRef>
                          <c15:sqref>'Summary Charts'!$C$8:$K$8</c15:sqref>
                        </c15:formulaRef>
                      </c:ext>
                    </c:extLst>
                    <c:numCache>
                      <c:formatCode>yyyy"A"</c:formatCode>
                      <c:ptCount val="9"/>
                      <c:pt idx="0">
                        <c:v>40909</c:v>
                      </c:pt>
                      <c:pt idx="1">
                        <c:v>41305</c:v>
                      </c:pt>
                      <c:pt idx="2">
                        <c:v>41670</c:v>
                      </c:pt>
                      <c:pt idx="3" formatCode="yyyy&quot;E&quot;">
                        <c:v>42035</c:v>
                      </c:pt>
                      <c:pt idx="4" formatCode="yyyy&quot;E&quot;">
                        <c:v>42400</c:v>
                      </c:pt>
                      <c:pt idx="5" formatCode="yyyy&quot;E&quot;">
                        <c:v>42766</c:v>
                      </c:pt>
                      <c:pt idx="6" formatCode="yyyy&quot;E&quot;">
                        <c:v>43131</c:v>
                      </c:pt>
                      <c:pt idx="7" formatCode="yyyy&quot;E&quot;">
                        <c:v>43496</c:v>
                      </c:pt>
                      <c:pt idx="8" formatCode="yyyy&quot;E&quot;">
                        <c:v>43861</c:v>
                      </c:pt>
                    </c:numCache>
                  </c:numRef>
                </c:cat>
                <c:val>
                  <c:numRef>
                    <c:extLst xmlns:c15="http://schemas.microsoft.com/office/drawing/2012/chart">
                      <c:ext xmlns:c15="http://schemas.microsoft.com/office/drawing/2012/chart" uri="{02D57815-91ED-43cb-92C2-25804820EDAC}">
                        <c15:formulaRef>
                          <c15:sqref>'Summary Charts'!$C$12:$K$12</c15:sqref>
                        </c15:formulaRef>
                      </c:ext>
                    </c:extLst>
                    <c:numCache>
                      <c:formatCode>General</c:formatCode>
                      <c:ptCount val="9"/>
                    </c:numCache>
                  </c:numRef>
                </c:val>
              </c15:ser>
            </c15:filteredBarSeries>
          </c:ext>
        </c:extLst>
      </c:barChart>
      <c:lineChart>
        <c:grouping val="standard"/>
        <c:varyColors val="0"/>
        <c:ser>
          <c:idx val="2"/>
          <c:order val="2"/>
          <c:tx>
            <c:strRef>
              <c:f>'Summary Charts'!$B$11</c:f>
              <c:strCache>
                <c:ptCount val="1"/>
                <c:pt idx="0">
                  <c:v>Adjusted EBITDA</c:v>
                </c:pt>
              </c:strCache>
            </c:strRef>
          </c:tx>
          <c:spPr>
            <a:ln w="28575" cap="rnd">
              <a:solidFill>
                <a:schemeClr val="accent3"/>
              </a:solidFill>
              <a:round/>
            </a:ln>
            <a:effectLst/>
          </c:spPr>
          <c:marker>
            <c:symbol val="none"/>
          </c:marker>
          <c:dPt>
            <c:idx val="0"/>
            <c:marker>
              <c:symbol val="none"/>
            </c:marker>
            <c:bubble3D val="0"/>
            <c:spPr>
              <a:ln w="28575" cap="rnd">
                <a:solidFill>
                  <a:schemeClr val="accent3"/>
                </a:solidFill>
                <a:round/>
              </a:ln>
              <a:effectLst/>
            </c:spPr>
          </c:dPt>
          <c:dPt>
            <c:idx val="1"/>
            <c:marker>
              <c:symbol val="none"/>
            </c:marker>
            <c:bubble3D val="0"/>
            <c:spPr>
              <a:ln w="28575" cap="rnd">
                <a:solidFill>
                  <a:schemeClr val="accent3"/>
                </a:solidFill>
                <a:round/>
              </a:ln>
              <a:effectLst/>
            </c:spPr>
          </c:dPt>
          <c:dPt>
            <c:idx val="2"/>
            <c:marker>
              <c:symbol val="none"/>
            </c:marker>
            <c:bubble3D val="0"/>
            <c:spPr>
              <a:ln w="28575" cap="rnd">
                <a:solidFill>
                  <a:schemeClr val="accent3"/>
                </a:solidFill>
                <a:round/>
              </a:ln>
              <a:effectLst/>
            </c:spPr>
          </c:dPt>
          <c:dPt>
            <c:idx val="3"/>
            <c:marker>
              <c:symbol val="none"/>
            </c:marker>
            <c:bubble3D val="0"/>
            <c:spPr>
              <a:ln w="28575" cap="rnd">
                <a:solidFill>
                  <a:schemeClr val="accent3"/>
                </a:solidFill>
                <a:round/>
              </a:ln>
              <a:effectLst/>
            </c:spPr>
          </c:dPt>
          <c:dPt>
            <c:idx val="4"/>
            <c:marker>
              <c:symbol val="none"/>
            </c:marker>
            <c:bubble3D val="0"/>
            <c:spPr>
              <a:ln w="28575" cap="rnd">
                <a:solidFill>
                  <a:schemeClr val="accent3"/>
                </a:solidFill>
                <a:round/>
              </a:ln>
              <a:effectLst/>
            </c:spPr>
          </c:dPt>
          <c:dPt>
            <c:idx val="5"/>
            <c:marker>
              <c:symbol val="none"/>
            </c:marker>
            <c:bubble3D val="0"/>
            <c:spPr>
              <a:ln w="28575" cap="rnd">
                <a:solidFill>
                  <a:schemeClr val="accent3"/>
                </a:solidFill>
                <a:round/>
              </a:ln>
              <a:effectLst/>
            </c:spPr>
          </c:dPt>
          <c:dPt>
            <c:idx val="6"/>
            <c:marker>
              <c:symbol val="none"/>
            </c:marker>
            <c:bubble3D val="0"/>
            <c:spPr>
              <a:ln w="28575" cap="rnd">
                <a:solidFill>
                  <a:schemeClr val="accent3"/>
                </a:solidFill>
                <a:round/>
              </a:ln>
              <a:effectLst/>
            </c:spPr>
          </c:dPt>
          <c:dPt>
            <c:idx val="7"/>
            <c:marker>
              <c:symbol val="none"/>
            </c:marker>
            <c:bubble3D val="0"/>
            <c:spPr>
              <a:ln w="28575" cap="rnd">
                <a:solidFill>
                  <a:schemeClr val="accent3"/>
                </a:solidFill>
                <a:round/>
              </a:ln>
              <a:effectLst/>
            </c:spPr>
          </c:dPt>
          <c:dPt>
            <c:idx val="8"/>
            <c:marker>
              <c:symbol val="none"/>
            </c:marker>
            <c:bubble3D val="0"/>
            <c:spPr>
              <a:ln w="28575" cap="rnd">
                <a:solidFill>
                  <a:schemeClr val="accent3"/>
                </a:solidFill>
                <a:round/>
              </a:ln>
              <a:effectLst/>
            </c:spPr>
          </c:dPt>
          <c:dLbls>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Book Antiqua" panose="02040602050305030304" pitchFamily="18" charset="0"/>
                      <a:ea typeface="+mn-ea"/>
                      <a:cs typeface="+mn-cs"/>
                    </a:defRPr>
                  </a:pPr>
                  <a:endParaRPr lang="en-US"/>
                </a:p>
              </c:txPr>
              <c:dLblPos val="t"/>
              <c:showLegendKey val="0"/>
              <c:showVal val="1"/>
              <c:showCatName val="0"/>
              <c:showSerName val="0"/>
              <c:showPercent val="0"/>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Book Antiqua" panose="02040602050305030304" pitchFamily="18" charset="0"/>
                      <a:ea typeface="+mn-ea"/>
                      <a:cs typeface="+mn-cs"/>
                    </a:defRPr>
                  </a:pPr>
                  <a:endParaRPr lang="en-US"/>
                </a:p>
              </c:txPr>
              <c:dLblPos val="t"/>
              <c:showLegendKey val="0"/>
              <c:showVal val="1"/>
              <c:showCatName val="0"/>
              <c:showSerName val="0"/>
              <c:showPercent val="0"/>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Book Antiqua" panose="02040602050305030304" pitchFamily="18" charset="0"/>
                      <a:ea typeface="+mn-ea"/>
                      <a:cs typeface="+mn-cs"/>
                    </a:defRPr>
                  </a:pPr>
                  <a:endParaRPr lang="en-US"/>
                </a:p>
              </c:txPr>
              <c:dLblPos val="t"/>
              <c:showLegendKey val="0"/>
              <c:showVal val="1"/>
              <c:showCatName val="0"/>
              <c:showSerName val="0"/>
              <c:showPercent val="0"/>
              <c:showBubbleSize val="0"/>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Book Antiqua" panose="02040602050305030304"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 Charts'!$C$8:$K$8</c:f>
              <c:numCache>
                <c:formatCode>yyyy"A"</c:formatCode>
                <c:ptCount val="9"/>
                <c:pt idx="0">
                  <c:v>40909</c:v>
                </c:pt>
                <c:pt idx="1">
                  <c:v>41305</c:v>
                </c:pt>
                <c:pt idx="2">
                  <c:v>41670</c:v>
                </c:pt>
                <c:pt idx="3" formatCode="yyyy&quot;E&quot;">
                  <c:v>42035</c:v>
                </c:pt>
                <c:pt idx="4" formatCode="yyyy&quot;E&quot;">
                  <c:v>42400</c:v>
                </c:pt>
                <c:pt idx="5" formatCode="yyyy&quot;E&quot;">
                  <c:v>42766</c:v>
                </c:pt>
                <c:pt idx="6" formatCode="yyyy&quot;E&quot;">
                  <c:v>43131</c:v>
                </c:pt>
                <c:pt idx="7" formatCode="yyyy&quot;E&quot;">
                  <c:v>43496</c:v>
                </c:pt>
                <c:pt idx="8" formatCode="yyyy&quot;E&quot;">
                  <c:v>43861</c:v>
                </c:pt>
              </c:numCache>
            </c:numRef>
          </c:cat>
          <c:val>
            <c:numRef>
              <c:f>'Summary Charts'!$C$11:$K$11</c:f>
              <c:numCache>
                <c:formatCode>_("$"* #,##0.0_);_("$"* \(#,##0.0\);_("$"* "-"??_);_(@_)</c:formatCode>
                <c:ptCount val="9"/>
                <c:pt idx="0">
                  <c:v>2.7315169999999998</c:v>
                </c:pt>
                <c:pt idx="1">
                  <c:v>3.208699999999999</c:v>
                </c:pt>
                <c:pt idx="2">
                  <c:v>5.336403999999999</c:v>
                </c:pt>
                <c:pt idx="3">
                  <c:v>6.0328920856135611</c:v>
                </c:pt>
                <c:pt idx="4">
                  <c:v>6.3300662625000026</c:v>
                </c:pt>
                <c:pt idx="5">
                  <c:v>7.1328935756249976</c:v>
                </c:pt>
                <c:pt idx="6">
                  <c:v>8.021416654406254</c:v>
                </c:pt>
                <c:pt idx="7">
                  <c:v>8.7456036151265728</c:v>
                </c:pt>
                <c:pt idx="8">
                  <c:v>9.5318492141228983</c:v>
                </c:pt>
              </c:numCache>
            </c:numRef>
          </c:val>
          <c:smooth val="0"/>
        </c:ser>
        <c:dLbls>
          <c:showLegendKey val="0"/>
          <c:showVal val="0"/>
          <c:showCatName val="0"/>
          <c:showSerName val="0"/>
          <c:showPercent val="0"/>
          <c:showBubbleSize val="0"/>
        </c:dLbls>
        <c:marker val="1"/>
        <c:smooth val="0"/>
        <c:axId val="784598728"/>
        <c:axId val="784596376"/>
      </c:lineChart>
      <c:lineChart>
        <c:grouping val="standard"/>
        <c:varyColors val="0"/>
        <c:dLbls>
          <c:showLegendKey val="0"/>
          <c:showVal val="0"/>
          <c:showCatName val="0"/>
          <c:showSerName val="0"/>
          <c:showPercent val="0"/>
          <c:showBubbleSize val="0"/>
        </c:dLbls>
        <c:marker val="1"/>
        <c:smooth val="0"/>
        <c:axId val="784599512"/>
        <c:axId val="784596768"/>
        <c:extLst>
          <c:ext xmlns:c15="http://schemas.microsoft.com/office/drawing/2012/chart" uri="{02D57815-91ED-43cb-92C2-25804820EDAC}">
            <c15:filteredLineSeries>
              <c15:ser>
                <c:idx val="4"/>
                <c:order val="4"/>
                <c:tx>
                  <c:strRef>
                    <c:extLst>
                      <c:ext uri="{02D57815-91ED-43cb-92C2-25804820EDAC}">
                        <c15:formulaRef>
                          <c15:sqref>'Summary Charts'!$B$13</c15:sqref>
                        </c15:formulaRef>
                      </c:ext>
                    </c:extLst>
                    <c:strCache>
                      <c:ptCount val="1"/>
                      <c:pt idx="0">
                        <c:v>Adjusted EBITDA Margin</c:v>
                      </c:pt>
                    </c:strCache>
                  </c:strRef>
                </c:tx>
                <c:spPr>
                  <a:ln w="28575" cap="rnd">
                    <a:solidFill>
                      <a:schemeClr val="accent5"/>
                    </a:solidFill>
                    <a:round/>
                  </a:ln>
                  <a:effectLst/>
                </c:spPr>
                <c:marker>
                  <c:symbol val="none"/>
                </c:marker>
                <c:cat>
                  <c:numRef>
                    <c:extLst>
                      <c:ext uri="{02D57815-91ED-43cb-92C2-25804820EDAC}">
                        <c15:formulaRef>
                          <c15:sqref>'Summary Charts'!$C$8:$K$8</c15:sqref>
                        </c15:formulaRef>
                      </c:ext>
                    </c:extLst>
                    <c:numCache>
                      <c:formatCode>yyyy"A"</c:formatCode>
                      <c:ptCount val="9"/>
                      <c:pt idx="0">
                        <c:v>40909</c:v>
                      </c:pt>
                      <c:pt idx="1">
                        <c:v>41305</c:v>
                      </c:pt>
                      <c:pt idx="2">
                        <c:v>41670</c:v>
                      </c:pt>
                      <c:pt idx="3" formatCode="yyyy&quot;E&quot;">
                        <c:v>42035</c:v>
                      </c:pt>
                      <c:pt idx="4" formatCode="yyyy&quot;E&quot;">
                        <c:v>42400</c:v>
                      </c:pt>
                      <c:pt idx="5" formatCode="yyyy&quot;E&quot;">
                        <c:v>42766</c:v>
                      </c:pt>
                      <c:pt idx="6" formatCode="yyyy&quot;E&quot;">
                        <c:v>43131</c:v>
                      </c:pt>
                      <c:pt idx="7" formatCode="yyyy&quot;E&quot;">
                        <c:v>43496</c:v>
                      </c:pt>
                      <c:pt idx="8" formatCode="yyyy&quot;E&quot;">
                        <c:v>43861</c:v>
                      </c:pt>
                    </c:numCache>
                  </c:numRef>
                </c:cat>
                <c:val>
                  <c:numRef>
                    <c:extLst>
                      <c:ext uri="{02D57815-91ED-43cb-92C2-25804820EDAC}">
                        <c15:formulaRef>
                          <c15:sqref>'Summary Charts'!$C$13:$K$13</c15:sqref>
                        </c15:formulaRef>
                      </c:ext>
                    </c:extLst>
                    <c:numCache>
                      <c:formatCode>0.0%</c:formatCode>
                      <c:ptCount val="9"/>
                      <c:pt idx="0">
                        <c:v>0.13073154842048171</c:v>
                      </c:pt>
                      <c:pt idx="1">
                        <c:v>0.12437297986450022</c:v>
                      </c:pt>
                      <c:pt idx="2">
                        <c:v>0.15147571909682911</c:v>
                      </c:pt>
                      <c:pt idx="3">
                        <c:v>0.15876031804246213</c:v>
                      </c:pt>
                      <c:pt idx="4">
                        <c:v>0.15424138066520474</c:v>
                      </c:pt>
                      <c:pt idx="5">
                        <c:v>0.16092912009117116</c:v>
                      </c:pt>
                      <c:pt idx="6">
                        <c:v>0.1675699778664165</c:v>
                      </c:pt>
                      <c:pt idx="7">
                        <c:v>0.16916525625901613</c:v>
                      </c:pt>
                      <c:pt idx="8">
                        <c:v>0.1707162213629323</c:v>
                      </c:pt>
                    </c:numCache>
                  </c:numRef>
                </c:val>
                <c:smooth val="0"/>
              </c15:ser>
            </c15:filteredLineSeries>
          </c:ext>
        </c:extLst>
      </c:lineChart>
      <c:dateAx>
        <c:axId val="784598728"/>
        <c:scaling>
          <c:orientation val="minMax"/>
        </c:scaling>
        <c:delete val="0"/>
        <c:axPos val="b"/>
        <c:numFmt formatCode="yyyy" sourceLinked="0"/>
        <c:majorTickMark val="out"/>
        <c:minorTickMark val="none"/>
        <c:tickLblPos val="nextTo"/>
        <c:spPr>
          <a:noFill/>
          <a:ln w="9525" cap="flat" cmpd="sng" algn="ctr">
            <a:solidFill>
              <a:schemeClr val="bg1">
                <a:lumMod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Book Antiqua" panose="02040602050305030304" pitchFamily="18" charset="0"/>
                <a:ea typeface="+mn-ea"/>
                <a:cs typeface="+mn-cs"/>
              </a:defRPr>
            </a:pPr>
            <a:endParaRPr lang="en-US"/>
          </a:p>
        </c:txPr>
        <c:crossAx val="784596376"/>
        <c:crosses val="autoZero"/>
        <c:auto val="1"/>
        <c:lblOffset val="100"/>
        <c:baseTimeUnit val="years"/>
      </c:dateAx>
      <c:valAx>
        <c:axId val="784596376"/>
        <c:scaling>
          <c:orientation val="minMax"/>
        </c:scaling>
        <c:delete val="0"/>
        <c:axPos val="l"/>
        <c:majorGridlines>
          <c:spPr>
            <a:ln w="9525" cap="flat" cmpd="sng" algn="ctr">
              <a:noFill/>
              <a:round/>
            </a:ln>
            <a:effectLst/>
          </c:spPr>
        </c:majorGridlines>
        <c:numFmt formatCode="_(&quot;$&quot;* #,##0.0_);_(&quot;$&quot;* \(#,##0.0\);_(&quot;$&quot;* &quot;-&quot;??_);_(@_)" sourceLinked="1"/>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Book Antiqua" panose="02040602050305030304" pitchFamily="18" charset="0"/>
                <a:ea typeface="+mn-ea"/>
                <a:cs typeface="+mn-cs"/>
              </a:defRPr>
            </a:pPr>
            <a:endParaRPr lang="en-US"/>
          </a:p>
        </c:txPr>
        <c:crossAx val="784598728"/>
        <c:crosses val="autoZero"/>
        <c:crossBetween val="between"/>
      </c:valAx>
      <c:valAx>
        <c:axId val="784596768"/>
        <c:scaling>
          <c:orientation val="minMax"/>
          <c:max val="0.60000000000000009"/>
          <c:min val="0"/>
        </c:scaling>
        <c:delete val="1"/>
        <c:axPos val="r"/>
        <c:numFmt formatCode="0.0%" sourceLinked="1"/>
        <c:majorTickMark val="out"/>
        <c:minorTickMark val="none"/>
        <c:tickLblPos val="nextTo"/>
        <c:crossAx val="784599512"/>
        <c:crosses val="max"/>
        <c:crossBetween val="between"/>
        <c:majorUnit val="0.1"/>
      </c:valAx>
      <c:catAx>
        <c:axId val="784599512"/>
        <c:scaling>
          <c:orientation val="minMax"/>
        </c:scaling>
        <c:delete val="1"/>
        <c:axPos val="b"/>
        <c:numFmt formatCode="yyyy&quot;A&quot;" sourceLinked="1"/>
        <c:majorTickMark val="out"/>
        <c:minorTickMark val="none"/>
        <c:tickLblPos val="nextTo"/>
        <c:crossAx val="784596768"/>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Book Antiqua" panose="02040602050305030304" pitchFamily="18"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000">
          <a:latin typeface="Book Antiqua" panose="0204060205030503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208711</xdr:colOff>
          <xdr:row>22</xdr:row>
          <xdr:rowOff>153589</xdr:rowOff>
        </xdr:from>
        <xdr:to>
          <xdr:col>8</xdr:col>
          <xdr:colOff>488156</xdr:colOff>
          <xdr:row>30</xdr:row>
          <xdr:rowOff>23931</xdr:rowOff>
        </xdr:to>
        <xdr:pic>
          <xdr:nvPicPr>
            <xdr:cNvPr id="4" name="Picture 3"/>
            <xdr:cNvPicPr>
              <a:picLocks noChangeAspect="1" noChangeArrowheads="1"/>
              <a:extLst>
                <a:ext uri="{84589F7E-364E-4C9E-8A38-B11213B215E9}">
                  <a14:cameraTool cellRange="$AP$3:$AU$8" spid="_x0000_s114802"/>
                </a:ext>
              </a:extLst>
            </xdr:cNvPicPr>
          </xdr:nvPicPr>
          <xdr:blipFill>
            <a:blip xmlns:r="http://schemas.openxmlformats.org/officeDocument/2006/relationships" r:embed="rId1"/>
            <a:srcRect/>
            <a:stretch>
              <a:fillRect/>
            </a:stretch>
          </xdr:blipFill>
          <xdr:spPr bwMode="auto">
            <a:xfrm>
              <a:off x="4363992" y="3856433"/>
              <a:ext cx="3327445" cy="1227654"/>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212911</xdr:colOff>
          <xdr:row>34</xdr:row>
          <xdr:rowOff>179292</xdr:rowOff>
        </xdr:from>
        <xdr:to>
          <xdr:col>11</xdr:col>
          <xdr:colOff>715463</xdr:colOff>
          <xdr:row>49</xdr:row>
          <xdr:rowOff>112059</xdr:rowOff>
        </xdr:to>
        <xdr:pic>
          <xdr:nvPicPr>
            <xdr:cNvPr id="8" name="Picture 7"/>
            <xdr:cNvPicPr>
              <a:picLocks noChangeAspect="1" noChangeArrowheads="1"/>
              <a:extLst>
                <a:ext uri="{84589F7E-364E-4C9E-8A38-B11213B215E9}">
                  <a14:cameraTool cellRange="$V$6:$AD$22" spid="_x0000_s114803"/>
                </a:ext>
              </a:extLst>
            </xdr:cNvPicPr>
          </xdr:nvPicPr>
          <xdr:blipFill>
            <a:blip xmlns:r="http://schemas.openxmlformats.org/officeDocument/2006/relationships" r:embed="rId2"/>
            <a:srcRect/>
            <a:stretch>
              <a:fillRect/>
            </a:stretch>
          </xdr:blipFill>
          <xdr:spPr bwMode="auto">
            <a:xfrm>
              <a:off x="4560793" y="5098674"/>
              <a:ext cx="6300196" cy="2790267"/>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607219</xdr:colOff>
          <xdr:row>22</xdr:row>
          <xdr:rowOff>142873</xdr:rowOff>
        </xdr:from>
        <xdr:to>
          <xdr:col>11</xdr:col>
          <xdr:colOff>759619</xdr:colOff>
          <xdr:row>34</xdr:row>
          <xdr:rowOff>114299</xdr:rowOff>
        </xdr:to>
        <xdr:pic>
          <xdr:nvPicPr>
            <xdr:cNvPr id="5" name="Picture 4"/>
            <xdr:cNvPicPr>
              <a:picLocks noChangeAspect="1" noChangeArrowheads="1"/>
              <a:extLst>
                <a:ext uri="{84589F7E-364E-4C9E-8A38-B11213B215E9}">
                  <a14:cameraTool cellRange="$S$6:$T$17" spid="_x0000_s114804"/>
                </a:ext>
              </a:extLst>
            </xdr:cNvPicPr>
          </xdr:nvPicPr>
          <xdr:blipFill>
            <a:blip xmlns:r="http://schemas.openxmlformats.org/officeDocument/2006/relationships" r:embed="rId3"/>
            <a:srcRect/>
            <a:stretch>
              <a:fillRect/>
            </a:stretch>
          </xdr:blipFill>
          <xdr:spPr bwMode="auto">
            <a:xfrm>
              <a:off x="7810500" y="3845717"/>
              <a:ext cx="2890838" cy="204311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265579</xdr:colOff>
      <xdr:row>14</xdr:row>
      <xdr:rowOff>19050</xdr:rowOff>
    </xdr:from>
    <xdr:to>
      <xdr:col>6</xdr:col>
      <xdr:colOff>533400</xdr:colOff>
      <xdr:row>27</xdr:row>
      <xdr:rowOff>101132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781050</xdr:colOff>
      <xdr:row>16</xdr:row>
      <xdr:rowOff>66675</xdr:rowOff>
    </xdr:from>
    <xdr:to>
      <xdr:col>4</xdr:col>
      <xdr:colOff>857250</xdr:colOff>
      <xdr:row>35</xdr:row>
      <xdr:rowOff>161925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83344</xdr:colOff>
      <xdr:row>16</xdr:row>
      <xdr:rowOff>90488</xdr:rowOff>
    </xdr:from>
    <xdr:to>
      <xdr:col>11</xdr:col>
      <xdr:colOff>809624</xdr:colOff>
      <xdr:row>35</xdr:row>
      <xdr:rowOff>119062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971549</xdr:colOff>
      <xdr:row>16</xdr:row>
      <xdr:rowOff>47625</xdr:rowOff>
    </xdr:from>
    <xdr:to>
      <xdr:col>7</xdr:col>
      <xdr:colOff>476249</xdr:colOff>
      <xdr:row>34</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371475</xdr:colOff>
      <xdr:row>16</xdr:row>
      <xdr:rowOff>76200</xdr:rowOff>
    </xdr:from>
    <xdr:to>
      <xdr:col>17</xdr:col>
      <xdr:colOff>381000</xdr:colOff>
      <xdr:row>34</xdr:row>
      <xdr:rowOff>57150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alaxy\users\DOKUME~1\KMartin\LOKALE~1\Temp\EUROPE\exchange%20rate%20char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gnyte/Shared/Potential%20Deals%20Under%20Consideration/3.%20Declined%20or%20Passed/Vulcan%20Machine,%20Inc/5.%20Model/Vulcan_Model_9.6.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reppertcapital-my.sharepoint.com/Users/acapetillo.MAINSTREET/AppData/Local/Microsoft/Windows/Temporary%20Internet%20Files/Content.Outlook/8579R3YB/2013%20Budge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fofs3003\vol1\TAX\E\EEI66759\ElronDCF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reppertcapital-my.sharepoint.com/Users/michaelfoster/Library/Containers/com.apple.mail/Data/Library/Mail%20Downloads/Key_SimpleIRR_11-18-0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13chi02\fvg\tax\F\Feacher\Matthew%20Clark\IP&amp;RD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fofs3003\vol1\JOBS\NXTREND\GOREDCF.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rmany"/>
      <sheetName val="france"/>
      <sheetName val="italy"/>
      <sheetName val="uk"/>
      <sheetName val="netherlands"/>
      <sheetName val="exchange rate chart"/>
    </sheetNames>
    <sheetDataSet>
      <sheetData sheetId="0" refreshError="1"/>
      <sheetData sheetId="1" refreshError="1">
        <row r="41">
          <cell r="B41">
            <v>5.7736720554272516</v>
          </cell>
          <cell r="C41">
            <v>5.9488399762046402</v>
          </cell>
          <cell r="D41">
            <v>6.0827250608272507</v>
          </cell>
          <cell r="E41">
            <v>6.1996280223186613</v>
          </cell>
        </row>
        <row r="43">
          <cell r="B43">
            <v>6.0389999999999997</v>
          </cell>
          <cell r="C43">
            <v>6.0389999999999997</v>
          </cell>
          <cell r="D43">
            <v>6.0389999999999997</v>
          </cell>
          <cell r="E43">
            <v>6.0389999999999997</v>
          </cell>
          <cell r="F43">
            <v>6.0389999999999997</v>
          </cell>
          <cell r="G43">
            <v>6.0389999999999997</v>
          </cell>
          <cell r="H43">
            <v>6.0389999999999997</v>
          </cell>
          <cell r="I43">
            <v>6.0389999999999997</v>
          </cell>
          <cell r="J43">
            <v>6.0389999999999997</v>
          </cell>
          <cell r="K43">
            <v>6.0389999999999997</v>
          </cell>
          <cell r="L43">
            <v>6.0389999999999997</v>
          </cell>
          <cell r="M43">
            <v>6.0389999999999997</v>
          </cell>
        </row>
        <row r="45">
          <cell r="B45">
            <v>6.1349693251533743</v>
          </cell>
          <cell r="C45">
            <v>6.0901339829476244</v>
          </cell>
          <cell r="D45">
            <v>5.9772863120143453</v>
          </cell>
          <cell r="E45">
            <v>5.9772863120143453</v>
          </cell>
          <cell r="F45">
            <v>5.9916117435590177</v>
          </cell>
          <cell r="G45">
            <v>6.1050061050061046</v>
          </cell>
          <cell r="H45">
            <v>5.9559261465157833</v>
          </cell>
          <cell r="I45">
            <v>5.8962264150943398</v>
          </cell>
          <cell r="J45">
            <v>5.5248618784530388</v>
          </cell>
          <cell r="K45">
            <v>5.5463117027176931</v>
          </cell>
          <cell r="L45">
            <v>5.7438253877082133</v>
          </cell>
          <cell r="M45">
            <v>5.5991041433370654</v>
          </cell>
        </row>
      </sheetData>
      <sheetData sheetId="2" refreshError="1">
        <row r="41">
          <cell r="B41">
            <v>1704.4486108743822</v>
          </cell>
          <cell r="C41">
            <v>1756.2346329469619</v>
          </cell>
          <cell r="D41">
            <v>1795.6545160711078</v>
          </cell>
          <cell r="E41">
            <v>1830.1610541727671</v>
          </cell>
        </row>
        <row r="43">
          <cell r="B43">
            <v>1777</v>
          </cell>
          <cell r="C43">
            <v>1777</v>
          </cell>
          <cell r="D43">
            <v>1777</v>
          </cell>
          <cell r="E43">
            <v>1777</v>
          </cell>
          <cell r="F43">
            <v>1777</v>
          </cell>
          <cell r="G43">
            <v>1777</v>
          </cell>
          <cell r="H43">
            <v>1777</v>
          </cell>
          <cell r="I43">
            <v>1777</v>
          </cell>
          <cell r="J43">
            <v>1777</v>
          </cell>
          <cell r="K43">
            <v>1777</v>
          </cell>
          <cell r="L43">
            <v>1777</v>
          </cell>
          <cell r="M43">
            <v>1777</v>
          </cell>
        </row>
        <row r="45">
          <cell r="B45">
            <v>1806.0321473722233</v>
          </cell>
          <cell r="C45">
            <v>1788.9087656529516</v>
          </cell>
          <cell r="D45">
            <v>1821.4936247723133</v>
          </cell>
          <cell r="E45">
            <v>1759.9436818021823</v>
          </cell>
          <cell r="F45">
            <v>1760.8733932030289</v>
          </cell>
          <cell r="G45">
            <v>1793.0787161556393</v>
          </cell>
          <cell r="H45">
            <v>1752.8483786152497</v>
          </cell>
          <cell r="I45">
            <v>1781.8959372772631</v>
          </cell>
          <cell r="J45">
            <v>1627.8691193228065</v>
          </cell>
          <cell r="K45">
            <v>1636.9291209690618</v>
          </cell>
          <cell r="L45">
            <v>1694.9152542372881</v>
          </cell>
          <cell r="M45">
            <v>1652.0733520568313</v>
          </cell>
        </row>
      </sheetData>
      <sheetData sheetId="3" refreshError="1">
        <row r="41">
          <cell r="B41">
            <v>0.60782883539995136</v>
          </cell>
          <cell r="C41">
            <v>0.62383031815346224</v>
          </cell>
          <cell r="D41">
            <v>0.62359690695934156</v>
          </cell>
          <cell r="E41">
            <v>0.62150403977625857</v>
          </cell>
        </row>
        <row r="43">
          <cell r="B43">
            <v>0.61799999999999999</v>
          </cell>
          <cell r="C43">
            <v>0.61799999999999999</v>
          </cell>
          <cell r="D43">
            <v>0.61799999999999999</v>
          </cell>
          <cell r="E43">
            <v>0.61799999999999999</v>
          </cell>
          <cell r="F43">
            <v>0.61799999999999999</v>
          </cell>
          <cell r="G43">
            <v>0.61799999999999999</v>
          </cell>
          <cell r="H43">
            <v>0.61799999999999999</v>
          </cell>
          <cell r="I43">
            <v>0.61799999999999999</v>
          </cell>
          <cell r="J43">
            <v>0.61799999999999999</v>
          </cell>
          <cell r="K43">
            <v>0.61799999999999999</v>
          </cell>
          <cell r="L43">
            <v>0.61799999999999999</v>
          </cell>
          <cell r="M43">
            <v>0.61799999999999999</v>
          </cell>
        </row>
        <row r="45">
          <cell r="B45">
            <v>0.61218243036424858</v>
          </cell>
          <cell r="C45">
            <v>0.60816152770175758</v>
          </cell>
          <cell r="D45">
            <v>0.60320907226444687</v>
          </cell>
          <cell r="E45">
            <v>0.60024009603841544</v>
          </cell>
          <cell r="F45">
            <v>0.61263248177418361</v>
          </cell>
          <cell r="G45">
            <v>0.60266377388055203</v>
          </cell>
          <cell r="H45">
            <v>0.61236987140232702</v>
          </cell>
          <cell r="I45">
            <v>0.59488399762046396</v>
          </cell>
          <cell r="J45">
            <v>0.58823529411764708</v>
          </cell>
          <cell r="K45">
            <v>0.60452182323781889</v>
          </cell>
          <cell r="L45">
            <v>0.6044852807834129</v>
          </cell>
          <cell r="M45">
            <v>0.6025911419102139</v>
          </cell>
        </row>
      </sheetData>
      <sheetData sheetId="4" refreshError="1">
        <row r="41">
          <cell r="B41">
            <v>1.9398642095053349</v>
          </cell>
          <cell r="C41">
            <v>1.9988007195682591</v>
          </cell>
          <cell r="D41">
            <v>2.0437359493153484</v>
          </cell>
          <cell r="E41">
            <v>2.0828993959591751</v>
          </cell>
        </row>
        <row r="43">
          <cell r="B43">
            <v>2.032</v>
          </cell>
          <cell r="C43">
            <v>2.032</v>
          </cell>
          <cell r="D43">
            <v>2.032</v>
          </cell>
          <cell r="E43">
            <v>2.032</v>
          </cell>
          <cell r="F43">
            <v>2.032</v>
          </cell>
          <cell r="G43">
            <v>2.032</v>
          </cell>
          <cell r="H43">
            <v>2.032</v>
          </cell>
          <cell r="I43">
            <v>2.032</v>
          </cell>
          <cell r="J43">
            <v>2.032</v>
          </cell>
          <cell r="K43">
            <v>2.032</v>
          </cell>
          <cell r="L43">
            <v>2.032</v>
          </cell>
          <cell r="M43">
            <v>2.032</v>
          </cell>
        </row>
        <row r="45">
          <cell r="B45">
            <v>2.0627062706270625</v>
          </cell>
          <cell r="C45">
            <v>2.0466639377814162</v>
          </cell>
          <cell r="D45">
            <v>2.0815986677768525</v>
          </cell>
          <cell r="E45">
            <v>2.0048115477145148</v>
          </cell>
          <cell r="F45">
            <v>2.0140986908358509</v>
          </cell>
          <cell r="G45">
            <v>2.0521239482864764</v>
          </cell>
          <cell r="H45">
            <v>2.0024028834601522</v>
          </cell>
          <cell r="I45">
            <v>1.9996000799840032</v>
          </cell>
          <cell r="J45">
            <v>1.8556318426424196</v>
          </cell>
          <cell r="K45">
            <v>1.8649757553151809</v>
          </cell>
          <cell r="L45">
            <v>1.9312475859405174</v>
          </cell>
          <cell r="M45">
            <v>1.880759826970096</v>
          </cell>
        </row>
      </sheetData>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Histroical Financials&gt;&gt;"/>
      <sheetName val="Balance Sheet"/>
      <sheetName val="Income Statement"/>
      <sheetName val="Financial Model&gt;&gt;"/>
      <sheetName val="Model"/>
      <sheetName val="LBO Returns&gt;&gt;"/>
      <sheetName val="Returns Analysis - 5 Year"/>
      <sheetName val="Returns Analysis"/>
      <sheetName val="Equity Return"/>
      <sheetName val="Sources &amp; Uses"/>
      <sheetName val="DCF Outputs&gt;&gt;"/>
      <sheetName val="DCF Output"/>
      <sheetName val="Outputs&gt;&gt;"/>
      <sheetName val="Summary Charts"/>
      <sheetName val="IS Summary"/>
      <sheetName val="NWC Summary"/>
    </sheetNames>
    <sheetDataSet>
      <sheetData sheetId="0">
        <row r="17">
          <cell r="B17" t="str">
            <v>Project Vulcan</v>
          </cell>
        </row>
      </sheetData>
      <sheetData sheetId="1"/>
      <sheetData sheetId="2"/>
      <sheetData sheetId="3">
        <row r="7">
          <cell r="C7">
            <v>41274</v>
          </cell>
        </row>
      </sheetData>
      <sheetData sheetId="4"/>
      <sheetData sheetId="5">
        <row r="5">
          <cell r="D5">
            <v>1</v>
          </cell>
        </row>
        <row r="9">
          <cell r="R9" t="str">
            <v>Asset</v>
          </cell>
        </row>
        <row r="13">
          <cell r="R13">
            <v>0.5</v>
          </cell>
        </row>
        <row r="377">
          <cell r="D377" t="str">
            <v>Yes</v>
          </cell>
        </row>
      </sheetData>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
      <sheetName val="Consol Summary Inc Stmt"/>
      <sheetName val="Balance Sheet"/>
      <sheetName val="Balance Sheet Assumptions"/>
      <sheetName val="Cash Flow"/>
      <sheetName val="Consol Detailed Inc Stmt"/>
      <sheetName val="Comp Detailed Inc Stmt by Div"/>
      <sheetName val="Divisional P&amp;L - Div 05"/>
      <sheetName val="P&amp;L Projections - Div 05"/>
      <sheetName val="TBU--&gt;"/>
      <sheetName val="Corporate Tax Estimate"/>
      <sheetName val="Loan Amort, Int Exp &amp; Other"/>
      <sheetName val="Bank Cov Comp"/>
      <sheetName val="Headcount - Div 05"/>
      <sheetName val="Capex &amp; Disposals - Div 05"/>
      <sheetName val="Equip Oper Leases - Div 05"/>
      <sheetName val="Divisional P&amp;L - Div 10"/>
      <sheetName val="Capex &amp; Disposals - Div 10"/>
      <sheetName val="Equip Oper Leases - Div 10"/>
      <sheetName val="Headcount - Div 10"/>
      <sheetName val="Divisional P&amp;L - Div 20"/>
      <sheetName val="Capex &amp; Disposals - Div 20"/>
      <sheetName val="Equip Oper Leases - Div 20"/>
      <sheetName val="Headcount - Div 20"/>
      <sheetName val="Divisional P&amp;L - Div 30"/>
      <sheetName val="Capex &amp; Disposals - Div 30"/>
      <sheetName val="Equip Oper Leases - Div 30"/>
      <sheetName val="Headcount - Div 30"/>
      <sheetName val="Divisional P&amp;L - Div 50"/>
      <sheetName val="Capex &amp; Disposals - Div 50"/>
      <sheetName val="Equip Oper Leases - Div 50"/>
      <sheetName val="Headcount - Div 50"/>
      <sheetName val="Divisional P&amp;L - Div 70"/>
      <sheetName val="Headcount - Div 70"/>
      <sheetName val="Capex &amp; Disposals - Div 70"/>
      <sheetName val="Equip Oper Leases - Div 70"/>
    </sheetNames>
    <sheetDataSet>
      <sheetData sheetId="0" refreshError="1">
        <row r="21">
          <cell r="B21">
            <v>360</v>
          </cell>
        </row>
        <row r="22">
          <cell r="B22">
            <v>30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V"/>
      <sheetName val="Margin Monitor"/>
      <sheetName val="Plasma Targets"/>
    </sheetNames>
    <sheetDataSet>
      <sheetData sheetId="0"/>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
      <sheetName val="Downside Case"/>
      <sheetName val="MSMF Base Case"/>
      <sheetName val="Rodeo Base Case"/>
      <sheetName val="IS"/>
      <sheetName val="COGS"/>
      <sheetName val="Operating Expenses"/>
    </sheetNames>
    <sheetDataSet>
      <sheetData sheetId="0"/>
      <sheetData sheetId="1"/>
      <sheetData sheetId="2"/>
      <sheetData sheetId="3"/>
      <sheetData sheetId="4"/>
      <sheetData sheetId="5"/>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All"/>
      <sheetName val="Sum"/>
      <sheetName val="PP"/>
      <sheetName val="Hf"/>
      <sheetName val="wf"/>
      <sheetName val="Process Development"/>
      <sheetName val="RAM Synth (DT)"/>
      <sheetName val="Process Dev"/>
      <sheetName val="Other Discovery Products"/>
      <sheetName val="Productivity"/>
      <sheetName val="Technology (DT)"/>
      <sheetName val="Service (DT)"/>
      <sheetName val="Dev-7"/>
      <sheetName val="Develop-8"/>
      <sheetName val="Develop-9"/>
      <sheetName val="Develop-10"/>
      <sheetName val="VALUE MATRI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V"/>
      <sheetName val="ASSUMP"/>
    </sheet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http://www.irs.gov/pub/irs-pdf/p946.pdf" TargetMode="External"/><Relationship Id="rId4" Type="http://schemas.openxmlformats.org/officeDocument/2006/relationships/comments" Target="../comments3.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4"/>
  <sheetViews>
    <sheetView showGridLines="0" zoomScale="80" zoomScaleNormal="80" workbookViewId="0">
      <selection activeCell="E8" sqref="E8"/>
    </sheetView>
  </sheetViews>
  <sheetFormatPr defaultColWidth="9.140625" defaultRowHeight="13.5" x14ac:dyDescent="0.25"/>
  <cols>
    <col min="1" max="1" width="9.140625" style="1"/>
    <col min="2" max="2" width="35.85546875" style="1" bestFit="1" customWidth="1"/>
    <col min="3" max="7" width="10.7109375" style="1" customWidth="1"/>
    <col min="8" max="16384" width="9.140625" style="1"/>
  </cols>
  <sheetData>
    <row r="1" spans="1:7" ht="15" x14ac:dyDescent="0.3">
      <c r="A1" s="9" t="s">
        <v>250</v>
      </c>
    </row>
    <row r="3" spans="1:7" x14ac:dyDescent="0.25">
      <c r="C3" s="33">
        <f ca="1">C9</f>
        <v>0</v>
      </c>
      <c r="D3" s="33">
        <f ca="1">SUM($C$9:D$9)</f>
        <v>0</v>
      </c>
      <c r="E3" s="33">
        <f ca="1">SUM($C$9:E$9)</f>
        <v>0</v>
      </c>
      <c r="F3" s="33">
        <f ca="1">SUM($C$9:F$9)</f>
        <v>0</v>
      </c>
      <c r="G3" s="33">
        <f ca="1">SUM($C$9:G$9)</f>
        <v>0</v>
      </c>
    </row>
    <row r="4" spans="1:7" x14ac:dyDescent="0.25">
      <c r="C4" s="33">
        <v>2015</v>
      </c>
      <c r="D4" s="33">
        <v>2016</v>
      </c>
      <c r="E4" s="33">
        <v>2017</v>
      </c>
      <c r="F4" s="33">
        <v>2018</v>
      </c>
      <c r="G4" s="33">
        <v>2019</v>
      </c>
    </row>
    <row r="5" spans="1:7" ht="15" x14ac:dyDescent="0.3">
      <c r="A5" s="9" t="s">
        <v>249</v>
      </c>
      <c r="C5" s="31" t="s">
        <v>35</v>
      </c>
      <c r="D5" s="31" t="s">
        <v>36</v>
      </c>
      <c r="E5" s="31" t="s">
        <v>37</v>
      </c>
      <c r="F5" s="31" t="s">
        <v>38</v>
      </c>
      <c r="G5" s="31" t="s">
        <v>203</v>
      </c>
    </row>
    <row r="6" spans="1:7" x14ac:dyDescent="0.25">
      <c r="B6" s="1" t="s">
        <v>244</v>
      </c>
      <c r="C6" s="4">
        <f>Economics!C8</f>
        <v>0</v>
      </c>
    </row>
    <row r="7" spans="1:7" x14ac:dyDescent="0.25">
      <c r="B7" s="1" t="s">
        <v>245</v>
      </c>
      <c r="C7" s="4">
        <f>SUMIF(Economics!$D$4:$W$4,'Debt Equity Comparison'!C$4,Economics!$D$9:$W$9)</f>
        <v>0</v>
      </c>
      <c r="D7" s="4">
        <f>SUMIF(Economics!$D$4:$W$4,'Debt Equity Comparison'!D$4,Economics!$D$9:$W$9)</f>
        <v>0</v>
      </c>
      <c r="E7" s="4">
        <f>SUMIF(Economics!$D$4:$W$4,'Debt Equity Comparison'!E$4,Economics!$D$9:$W$9)</f>
        <v>0</v>
      </c>
      <c r="F7" s="4">
        <f>SUMIF(Economics!$D$4:$W$4,'Debt Equity Comparison'!F$4,Economics!$D$9:$W$9)</f>
        <v>0</v>
      </c>
      <c r="G7" s="4">
        <f>SUMIF(Economics!$D$4:$W$4,'Debt Equity Comparison'!G$4,Economics!$D$9:$W$9)</f>
        <v>0</v>
      </c>
    </row>
    <row r="8" spans="1:7" x14ac:dyDescent="0.25">
      <c r="B8" s="1" t="s">
        <v>246</v>
      </c>
      <c r="C8" s="32">
        <f ca="1">SUMIF(Economics!$D$4:$W$4,'Debt Equity Comparison'!C$4,Economics!$D$10:$W$10)</f>
        <v>0</v>
      </c>
      <c r="D8" s="32">
        <f ca="1">SUMIF(Economics!$D$4:$W$4,'Debt Equity Comparison'!D$4,Economics!$D$10:$W$10)</f>
        <v>0</v>
      </c>
      <c r="E8" s="32">
        <f ca="1">SUMIF(Economics!$D$4:$W$4,'Debt Equity Comparison'!E$4,Economics!$D$10:$W$10)</f>
        <v>0</v>
      </c>
      <c r="F8" s="32">
        <f ca="1">SUMIF(Economics!$D$4:$W$4,'Debt Equity Comparison'!F$4,Economics!$D$10:$W$10)</f>
        <v>0</v>
      </c>
      <c r="G8" s="32">
        <f ca="1">SUMIF(Economics!$D$4:$W$4,'Debt Equity Comparison'!G$4,Economics!$D$10:$W$10)</f>
        <v>0</v>
      </c>
    </row>
    <row r="9" spans="1:7" ht="14.25" thickBot="1" x14ac:dyDescent="0.3">
      <c r="B9" s="1" t="s">
        <v>247</v>
      </c>
      <c r="C9" s="7">
        <f ca="1">SUM(C6:C8)</f>
        <v>0</v>
      </c>
      <c r="D9" s="7">
        <f ca="1">SUM(D6:D8)</f>
        <v>0</v>
      </c>
      <c r="E9" s="7">
        <f ca="1">SUM(E6:E8)</f>
        <v>0</v>
      </c>
      <c r="F9" s="7">
        <f ca="1">SUM(F6:F8)</f>
        <v>0</v>
      </c>
      <c r="G9" s="7">
        <f ca="1">SUM(G6:G8)</f>
        <v>0</v>
      </c>
    </row>
    <row r="10" spans="1:7" ht="15" x14ac:dyDescent="0.3">
      <c r="B10" s="34" t="s">
        <v>248</v>
      </c>
      <c r="C10" s="35"/>
      <c r="D10" s="35"/>
      <c r="E10" s="35"/>
      <c r="F10" s="35"/>
      <c r="G10" s="36" t="e">
        <f ca="1">SUM($C$7:$G$8)/-C6</f>
        <v>#DIV/0!</v>
      </c>
    </row>
    <row r="11" spans="1:7" x14ac:dyDescent="0.25">
      <c r="B11" s="3" t="s">
        <v>253</v>
      </c>
      <c r="C11" s="2"/>
      <c r="D11" s="2"/>
      <c r="E11" s="2"/>
      <c r="F11" s="2"/>
      <c r="G11" s="6">
        <f>Economics!W11</f>
        <v>0</v>
      </c>
    </row>
    <row r="12" spans="1:7" ht="14.25" thickBot="1" x14ac:dyDescent="0.3">
      <c r="B12" s="37" t="s">
        <v>251</v>
      </c>
      <c r="C12" s="38"/>
      <c r="D12" s="38"/>
      <c r="E12" s="38"/>
      <c r="F12" s="38"/>
      <c r="G12" s="39" t="e">
        <f>G11/-C6</f>
        <v>#DIV/0!</v>
      </c>
    </row>
    <row r="15" spans="1:7" ht="15" x14ac:dyDescent="0.3">
      <c r="A15" s="9" t="s">
        <v>243</v>
      </c>
      <c r="C15" s="31" t="s">
        <v>35</v>
      </c>
      <c r="D15" s="31" t="s">
        <v>36</v>
      </c>
      <c r="E15" s="31" t="s">
        <v>37</v>
      </c>
      <c r="F15" s="31" t="s">
        <v>38</v>
      </c>
      <c r="G15" s="31" t="s">
        <v>203</v>
      </c>
    </row>
    <row r="16" spans="1:7" x14ac:dyDescent="0.25">
      <c r="B16" s="1" t="s">
        <v>244</v>
      </c>
      <c r="C16" s="4">
        <v>-2000</v>
      </c>
    </row>
    <row r="17" spans="2:7" x14ac:dyDescent="0.25">
      <c r="B17" s="1" t="s">
        <v>245</v>
      </c>
      <c r="C17" s="4">
        <v>200</v>
      </c>
      <c r="D17" s="4">
        <v>200</v>
      </c>
      <c r="E17" s="4">
        <v>200</v>
      </c>
      <c r="F17" s="4">
        <v>200</v>
      </c>
      <c r="G17" s="4">
        <v>200</v>
      </c>
    </row>
    <row r="18" spans="2:7" x14ac:dyDescent="0.25">
      <c r="B18" s="1" t="s">
        <v>246</v>
      </c>
      <c r="C18" s="32">
        <v>0</v>
      </c>
      <c r="D18" s="32">
        <v>746.4115710157339</v>
      </c>
      <c r="E18" s="32">
        <v>1342.0295984287618</v>
      </c>
      <c r="F18" s="32">
        <v>1621.4469190825753</v>
      </c>
      <c r="G18" s="32">
        <v>1818.1492868935688</v>
      </c>
    </row>
    <row r="19" spans="2:7" ht="14.25" thickBot="1" x14ac:dyDescent="0.3">
      <c r="B19" s="1" t="s">
        <v>247</v>
      </c>
      <c r="C19" s="7">
        <f>SUM(C16:C18)</f>
        <v>-1800</v>
      </c>
      <c r="D19" s="7">
        <f>SUM(D16:D18)</f>
        <v>946.4115710157339</v>
      </c>
      <c r="E19" s="7">
        <f>SUM(E16:E18)</f>
        <v>1542.0295984287618</v>
      </c>
      <c r="F19" s="7">
        <f>SUM(F16:F18)</f>
        <v>1821.4469190825753</v>
      </c>
      <c r="G19" s="7">
        <f>SUM(G16:G18)</f>
        <v>2018.1492868935688</v>
      </c>
    </row>
    <row r="20" spans="2:7" ht="15" x14ac:dyDescent="0.3">
      <c r="B20" s="34" t="s">
        <v>248</v>
      </c>
      <c r="C20" s="35"/>
      <c r="D20" s="35"/>
      <c r="E20" s="35"/>
      <c r="F20" s="35"/>
      <c r="G20" s="36">
        <f>SUM($C$17:$G$18)/-C16</f>
        <v>3.2640186877103199</v>
      </c>
    </row>
    <row r="21" spans="2:7" x14ac:dyDescent="0.25">
      <c r="B21" s="3" t="s">
        <v>252</v>
      </c>
      <c r="C21" s="5">
        <v>-6282.975852016938</v>
      </c>
      <c r="D21" s="5">
        <v>-1017.024147983062</v>
      </c>
      <c r="E21" s="5">
        <v>0</v>
      </c>
      <c r="F21" s="5">
        <v>0</v>
      </c>
      <c r="G21" s="6">
        <v>0</v>
      </c>
    </row>
    <row r="22" spans="2:7" x14ac:dyDescent="0.25">
      <c r="B22" s="3" t="s">
        <v>253</v>
      </c>
      <c r="C22" s="2"/>
      <c r="D22" s="2"/>
      <c r="E22" s="2"/>
      <c r="F22" s="2"/>
      <c r="G22" s="6">
        <v>14014.516920880818</v>
      </c>
    </row>
    <row r="23" spans="2:7" ht="14.25" thickBot="1" x14ac:dyDescent="0.3">
      <c r="B23" s="37" t="s">
        <v>251</v>
      </c>
      <c r="C23" s="38"/>
      <c r="D23" s="38"/>
      <c r="E23" s="38"/>
      <c r="F23" s="38"/>
      <c r="G23" s="39">
        <v>7.0072584604404096</v>
      </c>
    </row>
    <row r="29" spans="2:7" x14ac:dyDescent="0.25">
      <c r="B29" s="1" t="s">
        <v>125</v>
      </c>
    </row>
    <row r="30" spans="2:7" x14ac:dyDescent="0.25">
      <c r="B30" s="1199" t="s">
        <v>254</v>
      </c>
      <c r="C30" s="1199"/>
      <c r="D30" s="1199"/>
      <c r="E30" s="1199"/>
      <c r="F30" s="1199"/>
      <c r="G30" s="1199"/>
    </row>
    <row r="31" spans="2:7" x14ac:dyDescent="0.25">
      <c r="B31" s="1199"/>
      <c r="C31" s="1199"/>
      <c r="D31" s="1199"/>
      <c r="E31" s="1199"/>
      <c r="F31" s="1199"/>
      <c r="G31" s="1199"/>
    </row>
    <row r="33" spans="2:7" x14ac:dyDescent="0.25">
      <c r="B33" s="1199" t="s">
        <v>255</v>
      </c>
      <c r="C33" s="1199"/>
      <c r="D33" s="1199"/>
      <c r="E33" s="1199"/>
      <c r="F33" s="1199"/>
      <c r="G33" s="1199"/>
    </row>
    <row r="34" spans="2:7" x14ac:dyDescent="0.25">
      <c r="B34" s="1199"/>
      <c r="C34" s="1199"/>
      <c r="D34" s="1199"/>
      <c r="E34" s="1199"/>
      <c r="F34" s="1199"/>
      <c r="G34" s="1199"/>
    </row>
  </sheetData>
  <mergeCells count="2">
    <mergeCell ref="B30:G31"/>
    <mergeCell ref="B33:G34"/>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H74"/>
  <sheetViews>
    <sheetView showGridLines="0" view="pageBreakPreview" zoomScale="80" zoomScaleNormal="85" zoomScaleSheetLayoutView="80" zoomScalePageLayoutView="75" workbookViewId="0">
      <selection activeCell="B32" sqref="B32"/>
    </sheetView>
  </sheetViews>
  <sheetFormatPr defaultColWidth="8.85546875" defaultRowHeight="12.75" outlineLevelRow="1" outlineLevelCol="1" x14ac:dyDescent="0.2"/>
  <cols>
    <col min="1" max="1" width="1.140625" style="106" customWidth="1"/>
    <col min="2" max="2" width="38.7109375" style="106" bestFit="1" customWidth="1"/>
    <col min="3" max="4" width="11.28515625" style="106" customWidth="1"/>
    <col min="5" max="5" width="12.42578125" style="106" customWidth="1"/>
    <col min="6" max="7" width="1.28515625" style="106" customWidth="1"/>
    <col min="8" max="8" width="30.7109375" style="106" customWidth="1"/>
    <col min="9" max="9" width="11.5703125" style="106" bestFit="1" customWidth="1"/>
    <col min="10" max="10" width="2.140625" style="106" customWidth="1"/>
    <col min="11" max="11" width="27.28515625" style="106" bestFit="1" customWidth="1"/>
    <col min="12" max="12" width="11.5703125" style="106" bestFit="1" customWidth="1"/>
    <col min="13" max="13" width="1.140625" style="106" customWidth="1"/>
    <col min="14" max="14" width="1.28515625" style="106" customWidth="1"/>
    <col min="15" max="15" width="11.5703125" style="106" bestFit="1" customWidth="1"/>
    <col min="16" max="17" width="8.85546875" style="106"/>
    <col min="18" max="18" width="13.42578125" style="106" bestFit="1" customWidth="1"/>
    <col min="19" max="19" width="36.5703125" style="106" bestFit="1" customWidth="1" outlineLevel="1"/>
    <col min="20" max="20" width="10.28515625" style="106" customWidth="1" outlineLevel="1"/>
    <col min="21" max="21" width="5.140625" style="106" customWidth="1" outlineLevel="1"/>
    <col min="22" max="22" width="24.7109375" style="106" customWidth="1" outlineLevel="1"/>
    <col min="23" max="30" width="10.5703125" style="106" bestFit="1" customWidth="1" outlineLevel="1"/>
    <col min="31" max="38" width="8.85546875" style="106" customWidth="1" outlineLevel="1"/>
    <col min="39" max="39" width="11.5703125" style="106" customWidth="1" outlineLevel="1"/>
    <col min="40" max="41" width="8.140625" style="106" customWidth="1" outlineLevel="1"/>
    <col min="42" max="42" width="10" style="106" customWidth="1" outlineLevel="1"/>
    <col min="43" max="44" width="10.42578125" style="106" customWidth="1" outlineLevel="1"/>
    <col min="45" max="45" width="1.5703125" style="106" customWidth="1" outlineLevel="1"/>
    <col min="46" max="47" width="10.42578125" style="106" customWidth="1" outlineLevel="1"/>
    <col min="48" max="53" width="8.85546875" style="106" customWidth="1" outlineLevel="1"/>
    <col min="54" max="54" width="30.7109375" style="106" customWidth="1" outlineLevel="1"/>
    <col min="55" max="55" width="11.5703125" style="106" bestFit="1" customWidth="1" outlineLevel="1"/>
    <col min="56" max="56" width="2.140625" style="106" customWidth="1" outlineLevel="1"/>
    <col min="57" max="57" width="27.28515625" style="106" bestFit="1" customWidth="1" outlineLevel="1"/>
    <col min="58" max="58" width="11.5703125" style="106" bestFit="1" customWidth="1" outlineLevel="1"/>
    <col min="59" max="59" width="6.42578125" style="106" customWidth="1" outlineLevel="1"/>
    <col min="60" max="60" width="8.140625" style="106" customWidth="1" outlineLevel="1"/>
    <col min="61" max="16384" width="8.85546875" style="106"/>
  </cols>
  <sheetData>
    <row r="1" spans="2:58" ht="6" customHeight="1" thickBot="1" x14ac:dyDescent="0.25"/>
    <row r="2" spans="2:58" x14ac:dyDescent="0.2">
      <c r="B2" s="107" t="s">
        <v>431</v>
      </c>
      <c r="C2" s="108"/>
      <c r="D2" s="108"/>
      <c r="E2" s="108"/>
      <c r="F2" s="108"/>
      <c r="G2" s="108"/>
      <c r="H2" s="108"/>
      <c r="I2" s="108"/>
      <c r="J2" s="108"/>
      <c r="K2" s="108"/>
      <c r="L2" s="108"/>
      <c r="M2" s="109"/>
    </row>
    <row r="3" spans="2:58" ht="15" customHeight="1" x14ac:dyDescent="0.35">
      <c r="B3" s="110" t="s">
        <v>330</v>
      </c>
      <c r="C3" s="111"/>
      <c r="D3" s="111"/>
      <c r="E3" s="111"/>
      <c r="F3" s="111"/>
      <c r="G3" s="111"/>
      <c r="H3" s="126"/>
      <c r="I3" s="112"/>
      <c r="J3" s="111"/>
      <c r="K3" s="111"/>
      <c r="L3" s="111"/>
      <c r="M3" s="113"/>
      <c r="AP3" s="114"/>
      <c r="AQ3" s="115" t="s">
        <v>314</v>
      </c>
      <c r="AR3" s="115"/>
      <c r="AS3" s="116"/>
      <c r="AT3" s="115" t="s">
        <v>315</v>
      </c>
      <c r="AU3" s="117"/>
    </row>
    <row r="4" spans="2:58" ht="15" x14ac:dyDescent="0.35">
      <c r="B4" s="118" t="s">
        <v>468</v>
      </c>
      <c r="C4" s="119"/>
      <c r="D4" s="128"/>
      <c r="E4" s="111"/>
      <c r="F4" s="111"/>
      <c r="G4" s="111"/>
      <c r="H4" s="120"/>
      <c r="I4" s="121"/>
      <c r="J4" s="111"/>
      <c r="K4" s="111"/>
      <c r="L4" s="111"/>
      <c r="M4" s="113"/>
      <c r="AP4" s="122"/>
      <c r="AQ4" s="123" t="s">
        <v>312</v>
      </c>
      <c r="AR4" s="123" t="s">
        <v>313</v>
      </c>
      <c r="AS4" s="111"/>
      <c r="AT4" s="123" t="s">
        <v>312</v>
      </c>
      <c r="AU4" s="124" t="s">
        <v>313</v>
      </c>
    </row>
    <row r="5" spans="2:58" ht="13.5" thickBot="1" x14ac:dyDescent="0.25">
      <c r="B5" s="125"/>
      <c r="C5" s="111"/>
      <c r="D5" s="126"/>
      <c r="E5" s="111"/>
      <c r="F5" s="111"/>
      <c r="G5" s="111"/>
      <c r="H5" s="111"/>
      <c r="I5" s="111"/>
      <c r="J5" s="111"/>
      <c r="K5" s="111"/>
      <c r="L5" s="111"/>
      <c r="M5" s="113"/>
      <c r="AP5" s="122" t="s">
        <v>425</v>
      </c>
      <c r="AQ5" s="127">
        <f>D38</f>
        <v>24263.033552881352</v>
      </c>
      <c r="AR5" s="128">
        <f>AQ5/$AQ$8</f>
        <v>1</v>
      </c>
      <c r="AS5" s="111"/>
      <c r="AT5" s="127">
        <f>C8</f>
        <v>3136.1069524322029</v>
      </c>
      <c r="AU5" s="129">
        <f>AT5/$AT$8</f>
        <v>0.28199999999999997</v>
      </c>
    </row>
    <row r="6" spans="2:58" ht="15" customHeight="1" x14ac:dyDescent="0.35">
      <c r="B6" s="130" t="s">
        <v>62</v>
      </c>
      <c r="C6" s="131" t="s">
        <v>101</v>
      </c>
      <c r="D6" s="131" t="s">
        <v>109</v>
      </c>
      <c r="E6" s="131" t="s">
        <v>353</v>
      </c>
      <c r="F6" s="111"/>
      <c r="G6" s="111"/>
      <c r="H6" s="132" t="s">
        <v>63</v>
      </c>
      <c r="I6" s="108"/>
      <c r="J6" s="108"/>
      <c r="K6" s="133" t="s">
        <v>64</v>
      </c>
      <c r="L6" s="109"/>
      <c r="M6" s="113"/>
      <c r="S6" s="571" t="s">
        <v>452</v>
      </c>
      <c r="T6" s="572"/>
      <c r="V6" s="134"/>
      <c r="W6" s="135" t="s">
        <v>8</v>
      </c>
      <c r="X6" s="135" t="s">
        <v>34</v>
      </c>
      <c r="Y6" s="135" t="s">
        <v>35</v>
      </c>
      <c r="Z6" s="135" t="s">
        <v>36</v>
      </c>
      <c r="AA6" s="135" t="s">
        <v>37</v>
      </c>
      <c r="AB6" s="135" t="s">
        <v>38</v>
      </c>
      <c r="AC6" s="135" t="s">
        <v>203</v>
      </c>
      <c r="AD6" s="136" t="s">
        <v>311</v>
      </c>
      <c r="AF6" s="114"/>
      <c r="AG6" s="137">
        <v>42004</v>
      </c>
      <c r="AH6" s="137">
        <v>42369</v>
      </c>
      <c r="AI6" s="137">
        <v>42735</v>
      </c>
      <c r="AJ6" s="137">
        <v>43100</v>
      </c>
      <c r="AK6" s="137">
        <v>43465</v>
      </c>
      <c r="AL6" s="138">
        <v>43830</v>
      </c>
      <c r="AP6" s="122" t="s">
        <v>354</v>
      </c>
      <c r="AQ6" s="174">
        <v>0</v>
      </c>
      <c r="AR6" s="128">
        <v>0</v>
      </c>
      <c r="AS6" s="111"/>
      <c r="AT6" s="174">
        <f>I8</f>
        <v>7984.8396873983047</v>
      </c>
      <c r="AU6" s="129">
        <f>AT6/$AT$8</f>
        <v>0.71799999999999997</v>
      </c>
      <c r="BB6" s="132" t="s">
        <v>63</v>
      </c>
      <c r="BC6" s="108"/>
      <c r="BD6" s="108"/>
      <c r="BE6" s="133" t="s">
        <v>64</v>
      </c>
      <c r="BF6" s="109"/>
    </row>
    <row r="7" spans="2:58" ht="12.75" customHeight="1" x14ac:dyDescent="0.2">
      <c r="B7" s="125" t="s">
        <v>342</v>
      </c>
      <c r="C7" s="151">
        <f>($D$36+$C$22-SUM($I$17,$I$9:$I$12))*D7</f>
        <v>7984.8396873983047</v>
      </c>
      <c r="D7" s="170">
        <v>0.71799999999999997</v>
      </c>
      <c r="E7" s="141">
        <f t="shared" ref="E7:E9" si="0">C7/$D$34</f>
        <v>1.3958483240889865</v>
      </c>
      <c r="F7" s="111"/>
      <c r="G7" s="111"/>
      <c r="H7" s="125" t="s">
        <v>65</v>
      </c>
      <c r="I7" s="111"/>
      <c r="J7" s="111"/>
      <c r="K7" s="111" t="s">
        <v>66</v>
      </c>
      <c r="L7" s="113"/>
      <c r="M7" s="113"/>
      <c r="Q7" s="142"/>
      <c r="R7" s="142"/>
      <c r="S7" s="573" t="s">
        <v>453</v>
      </c>
      <c r="T7" s="574"/>
      <c r="V7" s="110" t="s">
        <v>26</v>
      </c>
      <c r="W7" s="143">
        <f>'Summary Income Statement'!F19</f>
        <v>25799.011999999999</v>
      </c>
      <c r="X7" s="143">
        <f>'Summary Income Statement'!AG19</f>
        <v>35229.434999999998</v>
      </c>
      <c r="Y7" s="143">
        <f ca="1">'Summary Income Statement'!AH19</f>
        <v>38000</v>
      </c>
      <c r="Z7" s="143">
        <f ca="1">'Summary Income Statement'!AI19</f>
        <v>41040</v>
      </c>
      <c r="AA7" s="143">
        <f ca="1">'Summary Income Statement'!AJ19</f>
        <v>44323.199999999997</v>
      </c>
      <c r="AB7" s="143">
        <f ca="1">'Summary Income Statement'!AK19</f>
        <v>47869.056000000011</v>
      </c>
      <c r="AC7" s="143">
        <f ca="1">'Summary Income Statement'!AL19</f>
        <v>51698.580480000019</v>
      </c>
      <c r="AD7" s="144">
        <f ca="1">'Summary Income Statement'!AM19</f>
        <v>55834.466918400023</v>
      </c>
      <c r="AF7" s="122" t="s">
        <v>259</v>
      </c>
      <c r="AG7" s="145" t="s">
        <v>33</v>
      </c>
      <c r="AH7" s="141" t="e">
        <f>SUM(#REF!)/SUM('Summary Income Statement'!AH46,'Summary Income Statement'!#REF!)</f>
        <v>#REF!</v>
      </c>
      <c r="AI7" s="141" t="e">
        <f>SUM(#REF!)/SUM('Summary Income Statement'!AI46,'Summary Income Statement'!#REF!)</f>
        <v>#REF!</v>
      </c>
      <c r="AJ7" s="141" t="e">
        <f>SUM(#REF!)/SUM('Summary Income Statement'!AJ46,'Summary Income Statement'!#REF!)</f>
        <v>#REF!</v>
      </c>
      <c r="AK7" s="141" t="e">
        <f>SUM(#REF!)/SUM('Summary Income Statement'!AK46,'Summary Income Statement'!#REF!)</f>
        <v>#REF!</v>
      </c>
      <c r="AL7" s="146" t="e">
        <f>SUM(#REF!)/SUM('Summary Income Statement'!AL46,'Summary Income Statement'!#REF!)</f>
        <v>#REF!</v>
      </c>
      <c r="AP7" s="122" t="s">
        <v>428</v>
      </c>
      <c r="AQ7" s="147">
        <v>0</v>
      </c>
      <c r="AR7" s="148">
        <f>AQ7/$AQ$8</f>
        <v>0</v>
      </c>
      <c r="AS7" s="111"/>
      <c r="AT7" s="147">
        <v>0</v>
      </c>
      <c r="AU7" s="149">
        <f>AT7/$AT$8</f>
        <v>0</v>
      </c>
      <c r="BB7" s="125" t="s">
        <v>65</v>
      </c>
      <c r="BC7" s="111"/>
      <c r="BD7" s="111"/>
      <c r="BE7" s="111" t="s">
        <v>66</v>
      </c>
      <c r="BF7" s="113"/>
    </row>
    <row r="8" spans="2:58" ht="12.75" customHeight="1" x14ac:dyDescent="0.2">
      <c r="B8" s="125" t="s">
        <v>348</v>
      </c>
      <c r="C8" s="151">
        <f>($D$36+$C$22-SUM($I$17,$I$9:$I$12))*D8</f>
        <v>3136.1069524322029</v>
      </c>
      <c r="D8" s="170">
        <v>0.28199999999999997</v>
      </c>
      <c r="E8" s="141">
        <f t="shared" si="0"/>
        <v>0.54823012171740138</v>
      </c>
      <c r="F8" s="111"/>
      <c r="G8" s="111"/>
      <c r="H8" s="150" t="s">
        <v>342</v>
      </c>
      <c r="I8" s="151">
        <f>C7</f>
        <v>7984.8396873983047</v>
      </c>
      <c r="J8" s="111"/>
      <c r="K8" s="152" t="s">
        <v>445</v>
      </c>
      <c r="L8" s="164">
        <f>I19-SUM(L9:L11,L16,L17)</f>
        <v>18126.926600449147</v>
      </c>
      <c r="M8" s="113"/>
      <c r="Q8" s="142"/>
      <c r="R8" s="142"/>
      <c r="S8" s="122" t="s">
        <v>436</v>
      </c>
      <c r="T8" s="570">
        <f>D36</f>
        <v>34322.524372881351</v>
      </c>
      <c r="U8" s="163"/>
      <c r="V8" s="562" t="s">
        <v>403</v>
      </c>
      <c r="W8" s="111"/>
      <c r="X8" s="168">
        <f>X7/W7-1</f>
        <v>0.3655342692968242</v>
      </c>
      <c r="Y8" s="168">
        <f t="shared" ref="Y8:AD8" ca="1" si="1">Y7/X7-1</f>
        <v>7.8643469587292625E-2</v>
      </c>
      <c r="Z8" s="168">
        <f t="shared" ca="1" si="1"/>
        <v>8.0000000000000071E-2</v>
      </c>
      <c r="AA8" s="168">
        <f t="shared" ca="1" si="1"/>
        <v>7.9999999999999849E-2</v>
      </c>
      <c r="AB8" s="168">
        <f t="shared" ca="1" si="1"/>
        <v>8.0000000000000293E-2</v>
      </c>
      <c r="AC8" s="168">
        <f t="shared" ca="1" si="1"/>
        <v>8.0000000000000071E-2</v>
      </c>
      <c r="AD8" s="169">
        <f t="shared" ca="1" si="1"/>
        <v>8.0000000000000071E-2</v>
      </c>
      <c r="AF8" s="154" t="s">
        <v>260</v>
      </c>
      <c r="AG8" s="155" t="s">
        <v>33</v>
      </c>
      <c r="AH8" s="156" t="e">
        <f>SUM(#REF!,Y13,Y14,SOCF!AD27,SOCF!AD35)/Y14</f>
        <v>#REF!</v>
      </c>
      <c r="AI8" s="156" t="e">
        <f ca="1">SUM(#REF!,Z13,Z14,SOCF!AE27,SOCF!AE35)/Z14</f>
        <v>#REF!</v>
      </c>
      <c r="AJ8" s="156" t="e">
        <f ca="1">SUM(#REF!,AA13,AA14,SOCF!AF27,SOCF!AF35)/AA14</f>
        <v>#REF!</v>
      </c>
      <c r="AK8" s="156" t="e">
        <f ca="1">SUM(#REF!,AB13,AB14,SOCF!AG27,SOCF!AG35)/AB14</f>
        <v>#REF!</v>
      </c>
      <c r="AL8" s="157" t="e">
        <f ca="1">SUM(#REF!,AC13,AC14,SOCF!AH27,SOCF!AH35)/AC14</f>
        <v>#REF!</v>
      </c>
      <c r="AP8" s="158" t="s">
        <v>43</v>
      </c>
      <c r="AQ8" s="159">
        <f>SUM(AQ5:AQ7)</f>
        <v>24263.033552881352</v>
      </c>
      <c r="AR8" s="160">
        <f>AQ8/$AQ$8</f>
        <v>1</v>
      </c>
      <c r="AS8" s="161"/>
      <c r="AT8" s="159">
        <f>SUM(AT5:AT7)</f>
        <v>11120.946639830509</v>
      </c>
      <c r="AU8" s="162">
        <f>AT8/$AT$8</f>
        <v>1</v>
      </c>
      <c r="BB8" s="150" t="s">
        <v>342</v>
      </c>
      <c r="BC8" s="151">
        <f>C11+C7</f>
        <v>15135.36559841525</v>
      </c>
      <c r="BE8" s="152" t="s">
        <v>445</v>
      </c>
      <c r="BF8" s="164">
        <v>22440.509180000001</v>
      </c>
    </row>
    <row r="9" spans="2:58" ht="12.75" customHeight="1" x14ac:dyDescent="0.2">
      <c r="B9" s="125" t="s">
        <v>454</v>
      </c>
      <c r="C9" s="139">
        <v>10000</v>
      </c>
      <c r="D9" s="140"/>
      <c r="E9" s="141">
        <f t="shared" si="0"/>
        <v>1.7481231668206414</v>
      </c>
      <c r="F9" s="111"/>
      <c r="G9" s="111"/>
      <c r="H9" s="150" t="s">
        <v>464</v>
      </c>
      <c r="I9" s="120">
        <f>C9</f>
        <v>10000</v>
      </c>
      <c r="J9" s="111"/>
      <c r="K9" s="152" t="s">
        <v>446</v>
      </c>
      <c r="L9" s="164">
        <f>D37</f>
        <v>10059.490820000001</v>
      </c>
      <c r="M9" s="113"/>
      <c r="Q9" s="142"/>
      <c r="R9" s="142"/>
      <c r="S9" s="122" t="s">
        <v>437</v>
      </c>
      <c r="T9" s="547">
        <v>-12000</v>
      </c>
      <c r="V9" s="125" t="s">
        <v>201</v>
      </c>
      <c r="W9" s="147">
        <f>'Summary Income Statement'!F29</f>
        <v>15820.248</v>
      </c>
      <c r="X9" s="147">
        <f>'Summary Income Statement'!AG29</f>
        <v>21313.172999999999</v>
      </c>
      <c r="Y9" s="147">
        <f ca="1">'Summary Income Statement'!AH29</f>
        <v>22133.66454338644</v>
      </c>
      <c r="Z9" s="147">
        <f ca="1">'Summary Income Statement'!AI29</f>
        <v>23803.199999999997</v>
      </c>
      <c r="AA9" s="147">
        <f ca="1">'Summary Income Statement'!AJ29</f>
        <v>25707.455999999998</v>
      </c>
      <c r="AB9" s="147">
        <f ca="1">'Summary Income Statement'!AK29</f>
        <v>27764.052480000006</v>
      </c>
      <c r="AC9" s="147">
        <f ca="1">'Summary Income Statement'!AL29</f>
        <v>29985.176678400006</v>
      </c>
      <c r="AD9" s="153">
        <f ca="1">'Summary Income Statement'!AM29</f>
        <v>32383.990812672011</v>
      </c>
      <c r="AF9" s="111"/>
      <c r="AG9" s="145"/>
      <c r="AH9" s="141"/>
      <c r="AI9" s="141"/>
      <c r="AJ9" s="141"/>
      <c r="AK9" s="141"/>
      <c r="AL9" s="141"/>
      <c r="BB9" s="150" t="s">
        <v>349</v>
      </c>
      <c r="BC9" s="163">
        <v>18847.47221281601</v>
      </c>
      <c r="BE9" s="152" t="s">
        <v>446</v>
      </c>
      <c r="BF9" s="164">
        <v>10059.490820000001</v>
      </c>
    </row>
    <row r="10" spans="2:58" ht="12.75" customHeight="1" x14ac:dyDescent="0.2">
      <c r="B10" s="125" t="s">
        <v>882</v>
      </c>
      <c r="C10" s="139">
        <v>2000</v>
      </c>
      <c r="E10" s="141">
        <f>C10/$D$34</f>
        <v>0.3496246333641283</v>
      </c>
      <c r="F10" s="112"/>
      <c r="G10" s="111"/>
      <c r="H10" s="150" t="s">
        <v>465</v>
      </c>
      <c r="I10" s="127">
        <f>C11</f>
        <v>7150.5259110169463</v>
      </c>
      <c r="J10" s="111"/>
      <c r="K10" s="152" t="s">
        <v>450</v>
      </c>
      <c r="L10" s="164">
        <v>1000</v>
      </c>
      <c r="M10" s="113"/>
      <c r="S10" s="154" t="s">
        <v>438</v>
      </c>
      <c r="T10" s="561">
        <v>-1000</v>
      </c>
      <c r="V10" s="110" t="s">
        <v>200</v>
      </c>
      <c r="W10" s="165">
        <f t="shared" ref="W10:AD10" si="2">W7-W9</f>
        <v>9978.7639999999992</v>
      </c>
      <c r="X10" s="165">
        <f t="shared" si="2"/>
        <v>13916.261999999999</v>
      </c>
      <c r="Y10" s="165">
        <f t="shared" ca="1" si="2"/>
        <v>15866.33545661356</v>
      </c>
      <c r="Z10" s="165">
        <f t="shared" ca="1" si="2"/>
        <v>17236.800000000003</v>
      </c>
      <c r="AA10" s="165">
        <f t="shared" ca="1" si="2"/>
        <v>18615.743999999999</v>
      </c>
      <c r="AB10" s="165">
        <f t="shared" ca="1" si="2"/>
        <v>20105.003520000006</v>
      </c>
      <c r="AC10" s="165">
        <f t="shared" ca="1" si="2"/>
        <v>21713.403801600012</v>
      </c>
      <c r="AD10" s="166">
        <f t="shared" ca="1" si="2"/>
        <v>23450.476105728012</v>
      </c>
      <c r="BB10" s="150"/>
      <c r="BC10" s="167"/>
      <c r="BE10" s="152" t="s">
        <v>450</v>
      </c>
      <c r="BF10" s="164">
        <v>1000</v>
      </c>
    </row>
    <row r="11" spans="2:58" ht="12.75" customHeight="1" x14ac:dyDescent="0.2">
      <c r="B11" s="125" t="s">
        <v>455</v>
      </c>
      <c r="C11" s="1123">
        <f>C25*D34-C9-I11</f>
        <v>7150.5259110169463</v>
      </c>
      <c r="D11" s="170"/>
      <c r="E11" s="141">
        <f t="shared" ref="E11" si="3">C11/$D$34</f>
        <v>1.2499999999999998</v>
      </c>
      <c r="F11" s="111"/>
      <c r="G11" s="111"/>
      <c r="H11" s="150" t="s">
        <v>466</v>
      </c>
      <c r="I11" s="174">
        <f>$C$24*$D$34-I9</f>
        <v>4301.0518220338963</v>
      </c>
      <c r="J11" s="111"/>
      <c r="K11" s="152" t="s">
        <v>451</v>
      </c>
      <c r="L11" s="578">
        <f>C22</f>
        <v>1250</v>
      </c>
      <c r="M11" s="113"/>
      <c r="S11" s="122" t="s">
        <v>439</v>
      </c>
      <c r="T11" s="547">
        <f>SUM(T8:T10)</f>
        <v>21322.524372881351</v>
      </c>
      <c r="V11" s="125" t="s">
        <v>258</v>
      </c>
      <c r="W11" s="168">
        <f t="shared" ref="W11:AD11" si="4">W10/W7</f>
        <v>0.38678861035453604</v>
      </c>
      <c r="X11" s="168">
        <f t="shared" si="4"/>
        <v>0.39501802966752092</v>
      </c>
      <c r="Y11" s="168">
        <f t="shared" ca="1" si="4"/>
        <v>0.41753514359509369</v>
      </c>
      <c r="Z11" s="168">
        <f t="shared" ca="1" si="4"/>
        <v>0.4200000000000001</v>
      </c>
      <c r="AA11" s="168">
        <f t="shared" ca="1" si="4"/>
        <v>0.42</v>
      </c>
      <c r="AB11" s="168">
        <f t="shared" ca="1" si="4"/>
        <v>0.42000000000000004</v>
      </c>
      <c r="AC11" s="168">
        <f t="shared" ca="1" si="4"/>
        <v>0.4200000000000001</v>
      </c>
      <c r="AD11" s="169">
        <f t="shared" ca="1" si="4"/>
        <v>0.42000000000000004</v>
      </c>
      <c r="BB11" s="171"/>
      <c r="BC11" s="147"/>
      <c r="BD11" s="111"/>
      <c r="BE11" s="172" t="s">
        <v>451</v>
      </c>
      <c r="BF11" s="173">
        <v>1250</v>
      </c>
    </row>
    <row r="12" spans="2:58" x14ac:dyDescent="0.2">
      <c r="B12" s="125" t="s">
        <v>105</v>
      </c>
      <c r="C12" s="141">
        <f>'Data Tables'!$B$8</f>
        <v>7</v>
      </c>
      <c r="D12" s="567" t="s">
        <v>449</v>
      </c>
      <c r="E12" s="141"/>
      <c r="F12" s="111"/>
      <c r="G12" s="111"/>
      <c r="H12" s="171" t="s">
        <v>617</v>
      </c>
      <c r="I12" s="579">
        <f>C23</f>
        <v>1000</v>
      </c>
      <c r="J12" s="111"/>
      <c r="K12" s="580"/>
      <c r="L12" s="581"/>
      <c r="M12" s="113"/>
      <c r="Q12" s="167"/>
      <c r="R12" s="167"/>
      <c r="S12" s="154" t="s">
        <v>440</v>
      </c>
      <c r="T12" s="561">
        <f>-T11*0.28</f>
        <v>-5970.306824406779</v>
      </c>
      <c r="V12" s="125" t="str">
        <f>'Summary Income Statement'!A35</f>
        <v>Selling</v>
      </c>
      <c r="W12" s="174">
        <f>'Summary Income Statement'!F35</f>
        <v>3905.4010000000003</v>
      </c>
      <c r="X12" s="174">
        <f>'Summary Income Statement'!AG35</f>
        <v>5570.7</v>
      </c>
      <c r="Y12" s="174">
        <f ca="1">'Summary Income Statement'!AH35</f>
        <v>5751.7752314999998</v>
      </c>
      <c r="Z12" s="174">
        <f ca="1">'Summary Income Statement'!AI35</f>
        <v>6156</v>
      </c>
      <c r="AA12" s="174">
        <f ca="1">'Summary Income Statement'!AJ35</f>
        <v>6648.4800000000005</v>
      </c>
      <c r="AB12" s="174">
        <f ca="1">'Summary Income Statement'!AK35</f>
        <v>6941.0131200000014</v>
      </c>
      <c r="AC12" s="174">
        <f ca="1">'Summary Income Statement'!AL35</f>
        <v>7496.2941696000016</v>
      </c>
      <c r="AD12" s="164">
        <f ca="1">'Summary Income Statement'!AM35</f>
        <v>8095.9977031680028</v>
      </c>
      <c r="BB12" s="125"/>
      <c r="BC12" s="111"/>
      <c r="BD12" s="111"/>
      <c r="BE12" s="111"/>
      <c r="BF12" s="113"/>
    </row>
    <row r="13" spans="2:58" ht="12.75" customHeight="1" x14ac:dyDescent="0.2">
      <c r="B13" s="125" t="s">
        <v>356</v>
      </c>
      <c r="C13" s="175">
        <f>'Data Tables'!B9</f>
        <v>2</v>
      </c>
      <c r="D13" s="567" t="s">
        <v>449</v>
      </c>
      <c r="E13" s="111"/>
      <c r="F13" s="111"/>
      <c r="G13" s="111"/>
      <c r="H13" s="125"/>
      <c r="I13" s="111"/>
      <c r="J13" s="111"/>
      <c r="K13" s="111"/>
      <c r="L13" s="113"/>
      <c r="M13" s="113"/>
      <c r="Q13" s="163"/>
      <c r="R13" s="163"/>
      <c r="S13" s="122" t="s">
        <v>444</v>
      </c>
      <c r="T13" s="547">
        <f>SUM(T11:T12)</f>
        <v>15352.217548474571</v>
      </c>
      <c r="V13" s="125" t="str">
        <f>'Summary Income Statement'!A36</f>
        <v>Operating Expenses</v>
      </c>
      <c r="W13" s="174">
        <f>'Summary Income Statement'!F36</f>
        <v>1352.606</v>
      </c>
      <c r="X13" s="174">
        <f>'Summary Income Statement'!AG36</f>
        <v>1560.7729999999999</v>
      </c>
      <c r="Y13" s="174">
        <f ca="1">'Summary Income Statement'!AH36</f>
        <v>2086.8411495</v>
      </c>
      <c r="Z13" s="174">
        <f ca="1">'Summary Income Statement'!AI36</f>
        <v>2257.1999999999998</v>
      </c>
      <c r="AA13" s="174">
        <f ca="1">'Summary Income Statement'!AJ36</f>
        <v>2216.1600000000003</v>
      </c>
      <c r="AB13" s="174">
        <f ca="1">'Summary Income Statement'!AK36</f>
        <v>2393.4528000000005</v>
      </c>
      <c r="AC13" s="174">
        <f ca="1">'Summary Income Statement'!AL36</f>
        <v>2584.9290240000009</v>
      </c>
      <c r="AD13" s="164">
        <f ca="1">'Summary Income Statement'!AM36</f>
        <v>2791.7233459200015</v>
      </c>
      <c r="BB13" s="125" t="s">
        <v>65</v>
      </c>
      <c r="BC13" s="174">
        <f>SUM(BC8:BC11)</f>
        <v>33982.837811231264</v>
      </c>
      <c r="BD13" s="111"/>
      <c r="BE13" s="111" t="s">
        <v>66</v>
      </c>
      <c r="BF13" s="176">
        <f>SUM(BF8:BF11)</f>
        <v>34750</v>
      </c>
    </row>
    <row r="14" spans="2:58" x14ac:dyDescent="0.2">
      <c r="B14" s="125" t="s">
        <v>427</v>
      </c>
      <c r="C14" s="170">
        <v>0.01</v>
      </c>
      <c r="E14" s="111"/>
      <c r="F14" s="111"/>
      <c r="G14" s="111"/>
      <c r="H14" s="125" t="s">
        <v>65</v>
      </c>
      <c r="I14" s="174">
        <f>SUM(I8:I13)</f>
        <v>30436.417420449146</v>
      </c>
      <c r="J14" s="111"/>
      <c r="K14" s="111" t="s">
        <v>66</v>
      </c>
      <c r="L14" s="176">
        <f>SUM(L8:L13)</f>
        <v>30436.41742044915</v>
      </c>
      <c r="M14" s="113"/>
      <c r="S14" s="122" t="s">
        <v>441</v>
      </c>
      <c r="T14" s="547">
        <v>-7200</v>
      </c>
      <c r="V14" s="125" t="str">
        <f>'Summary Income Statement'!A37</f>
        <v>G&amp;A</v>
      </c>
      <c r="W14" s="174">
        <f>'Summary Income Statement'!F37</f>
        <v>1512.057</v>
      </c>
      <c r="X14" s="174">
        <f>'Summary Income Statement'!AG37</f>
        <v>1448.385</v>
      </c>
      <c r="Y14" s="174">
        <f>'Summary Income Statement'!AH37</f>
        <v>1994.8269899999998</v>
      </c>
      <c r="Z14" s="174">
        <f ca="1">'Summary Income Statement'!AI37</f>
        <v>2493.5337374999999</v>
      </c>
      <c r="AA14" s="174">
        <f ca="1">'Summary Income Statement'!AJ37</f>
        <v>2618.210424375</v>
      </c>
      <c r="AB14" s="174">
        <f ca="1">'Summary Income Statement'!AK37</f>
        <v>2749.1209455937501</v>
      </c>
      <c r="AC14" s="174">
        <f ca="1">'Summary Income Statement'!AL37</f>
        <v>2886.5769928734376</v>
      </c>
      <c r="AD14" s="164">
        <f ca="1">'Summary Income Statement'!AM37</f>
        <v>3030.9058425171097</v>
      </c>
      <c r="BB14" s="125"/>
      <c r="BC14" s="111"/>
      <c r="BD14" s="111"/>
      <c r="BE14" s="111"/>
      <c r="BF14" s="113"/>
    </row>
    <row r="15" spans="2:58" x14ac:dyDescent="0.2">
      <c r="B15" s="125" t="s">
        <v>456</v>
      </c>
      <c r="C15" s="170">
        <v>0.12</v>
      </c>
      <c r="D15" s="111"/>
      <c r="E15" s="111"/>
      <c r="F15" s="111"/>
      <c r="G15" s="111"/>
      <c r="H15" s="125"/>
      <c r="I15" s="111"/>
      <c r="J15" s="111"/>
      <c r="K15" s="111"/>
      <c r="L15" s="113"/>
      <c r="M15" s="113"/>
      <c r="S15" s="122" t="s">
        <v>442</v>
      </c>
      <c r="T15" s="547">
        <f>-I16</f>
        <v>-3136.1069524322029</v>
      </c>
      <c r="V15" s="125" t="str">
        <f>'Summary Income Statement'!A38</f>
        <v>Management Fees</v>
      </c>
      <c r="W15" s="174">
        <f>'Summary Income Statement'!F38</f>
        <v>0</v>
      </c>
      <c r="X15" s="174">
        <f>'Summary Income Statement'!AG38</f>
        <v>0</v>
      </c>
      <c r="Y15" s="174">
        <f>'Summary Income Statement'!AH38</f>
        <v>82.518356999999995</v>
      </c>
      <c r="Z15" s="174">
        <f ca="1">'Summary Income Statement'!AI38</f>
        <v>406.80641400377971</v>
      </c>
      <c r="AA15" s="174">
        <f ca="1">'Summary Income Statement'!AJ38</f>
        <v>429.71850864830242</v>
      </c>
      <c r="AB15" s="174">
        <f ca="1">'Summary Income Statement'!AK38</f>
        <v>464.09598934016662</v>
      </c>
      <c r="AC15" s="174">
        <f ca="1">'Summary Income Statement'!AL38</f>
        <v>501.22366848738011</v>
      </c>
      <c r="AD15" s="164">
        <f ca="1">'Summary Income Statement'!AM38</f>
        <v>541.3215619663705</v>
      </c>
      <c r="BB15" s="125" t="s">
        <v>426</v>
      </c>
      <c r="BC15" s="174">
        <v>5000</v>
      </c>
      <c r="BD15" s="111"/>
      <c r="BE15" s="111" t="s">
        <v>426</v>
      </c>
      <c r="BF15" s="164">
        <f>BC15</f>
        <v>5000</v>
      </c>
    </row>
    <row r="16" spans="2:58" ht="13.5" thickBot="1" x14ac:dyDescent="0.25">
      <c r="B16" s="125" t="s">
        <v>380</v>
      </c>
      <c r="C16" s="170">
        <v>3.7499999999999999E-2</v>
      </c>
      <c r="D16" s="111"/>
      <c r="E16" s="111"/>
      <c r="F16" s="111"/>
      <c r="G16" s="111"/>
      <c r="H16" s="125" t="s">
        <v>426</v>
      </c>
      <c r="I16" s="174">
        <f>C8</f>
        <v>3136.1069524322029</v>
      </c>
      <c r="J16" s="111"/>
      <c r="K16" s="111" t="s">
        <v>426</v>
      </c>
      <c r="L16" s="164">
        <f>I16</f>
        <v>3136.1069524322029</v>
      </c>
      <c r="M16" s="113"/>
      <c r="S16" s="154" t="s">
        <v>404</v>
      </c>
      <c r="T16" s="561">
        <f>-I17</f>
        <v>-2000</v>
      </c>
      <c r="V16" s="125" t="str">
        <f>'Summary Income Statement'!A39</f>
        <v>Other Expense (Income)</v>
      </c>
      <c r="W16" s="174">
        <f>'Summary Income Statement'!F39</f>
        <v>14.494</v>
      </c>
      <c r="X16" s="174">
        <f>'Summary Income Statement'!AG39</f>
        <v>97.302480000000003</v>
      </c>
      <c r="Y16" s="174">
        <f>'Summary Income Statement'!AH39</f>
        <v>-27.679873000002303</v>
      </c>
      <c r="Z16" s="174">
        <f>'Summary Income Statement'!AI39</f>
        <v>0</v>
      </c>
      <c r="AA16" s="174">
        <f>'Summary Income Statement'!AJ39</f>
        <v>0</v>
      </c>
      <c r="AB16" s="174">
        <f>'Summary Income Statement'!AK39</f>
        <v>0</v>
      </c>
      <c r="AC16" s="174">
        <f>'Summary Income Statement'!AL39</f>
        <v>0</v>
      </c>
      <c r="AD16" s="164">
        <f>'Summary Income Statement'!AM39</f>
        <v>0</v>
      </c>
      <c r="BB16" s="125" t="s">
        <v>404</v>
      </c>
      <c r="BC16" s="163">
        <f>I17</f>
        <v>2000</v>
      </c>
      <c r="BD16" s="111"/>
      <c r="BE16" s="111" t="s">
        <v>404</v>
      </c>
      <c r="BF16" s="176">
        <f>BC16</f>
        <v>2000</v>
      </c>
    </row>
    <row r="17" spans="1:58" ht="15" x14ac:dyDescent="0.35">
      <c r="B17" s="125" t="s">
        <v>459</v>
      </c>
      <c r="C17" s="170">
        <v>3.7499999999999999E-2</v>
      </c>
      <c r="D17" s="111"/>
      <c r="E17" s="111"/>
      <c r="F17" s="111"/>
      <c r="G17" s="111"/>
      <c r="H17" s="125" t="str">
        <f>B10</f>
        <v>Seller Preferred</v>
      </c>
      <c r="I17" s="120">
        <f>C10</f>
        <v>2000</v>
      </c>
      <c r="J17" s="111"/>
      <c r="K17" s="111" t="str">
        <f>H17</f>
        <v>Seller Preferred</v>
      </c>
      <c r="L17" s="176">
        <f>I17</f>
        <v>2000</v>
      </c>
      <c r="M17" s="113"/>
      <c r="S17" s="154" t="s">
        <v>443</v>
      </c>
      <c r="T17" s="569">
        <f>SUM(T13:T16)</f>
        <v>3016.1105960423683</v>
      </c>
      <c r="V17" s="125" t="str">
        <f>'Summary Income Statement'!A40</f>
        <v>Depreciation</v>
      </c>
      <c r="W17" s="174">
        <f>'Summary Income Statement'!F40</f>
        <v>860.60599999999999</v>
      </c>
      <c r="X17" s="174">
        <f>'Summary Income Statement'!AG40</f>
        <v>1228.4580000000001</v>
      </c>
      <c r="Y17" s="174">
        <f ca="1">'Summary Income Statement'!AH40</f>
        <v>957.03669237500003</v>
      </c>
      <c r="Z17" s="174">
        <f ca="1">'Summary Income Statement'!AI40</f>
        <v>1635.8967695000001</v>
      </c>
      <c r="AA17" s="174">
        <f ca="1">'Summary Income Statement'!AJ40</f>
        <v>1785.8967694999999</v>
      </c>
      <c r="AB17" s="174">
        <f ca="1">'Summary Income Statement'!AK40</f>
        <v>1935.8967694999999</v>
      </c>
      <c r="AC17" s="174">
        <f ca="1">'Summary Income Statement'!AL40</f>
        <v>2085.8967695000001</v>
      </c>
      <c r="AD17" s="164">
        <f ca="1">'Summary Income Statement'!AM40</f>
        <v>2235.8967695000001</v>
      </c>
      <c r="AM17" s="178" t="s">
        <v>401</v>
      </c>
      <c r="AN17" s="179"/>
      <c r="AO17" s="180"/>
      <c r="AV17" s="576">
        <f>40.5*0.15</f>
        <v>6.0750000000000002</v>
      </c>
      <c r="BB17" s="171"/>
      <c r="BC17" s="177"/>
      <c r="BD17" s="111"/>
      <c r="BE17" s="172"/>
      <c r="BF17" s="153"/>
    </row>
    <row r="18" spans="1:58" ht="15.75" thickBot="1" x14ac:dyDescent="0.4">
      <c r="B18" s="125" t="s">
        <v>88</v>
      </c>
      <c r="C18" s="181">
        <v>100</v>
      </c>
      <c r="D18" s="111">
        <v>0</v>
      </c>
      <c r="E18" s="111"/>
      <c r="F18" s="111"/>
      <c r="G18" s="111"/>
      <c r="H18" s="171"/>
      <c r="I18" s="177"/>
      <c r="J18" s="111"/>
      <c r="K18" s="172"/>
      <c r="L18" s="153"/>
      <c r="M18" s="113"/>
      <c r="V18" s="125" t="str">
        <f>'Summary Income Statement'!A41</f>
        <v>Income Tax Expense</v>
      </c>
      <c r="W18" s="174">
        <f>'Summary Income Statement'!F41</f>
        <v>518.14499999999998</v>
      </c>
      <c r="X18" s="174">
        <f>'Summary Income Statement'!AG41</f>
        <v>907.28099999999995</v>
      </c>
      <c r="Y18" s="174">
        <f ca="1">'Summary Income Statement'!AH41</f>
        <v>626.92685317381756</v>
      </c>
      <c r="Z18" s="174">
        <f>'Summary Income Statement'!AI41</f>
        <v>0</v>
      </c>
      <c r="AA18" s="174">
        <f>'Summary Income Statement'!AJ41</f>
        <v>0</v>
      </c>
      <c r="AB18" s="174">
        <f>'Summary Income Statement'!AK41</f>
        <v>0</v>
      </c>
      <c r="AC18" s="174">
        <f>'Summary Income Statement'!AL41</f>
        <v>0</v>
      </c>
      <c r="AD18" s="164">
        <f>'Summary Income Statement'!AM41</f>
        <v>0</v>
      </c>
      <c r="AM18" s="189" t="s">
        <v>403</v>
      </c>
      <c r="AN18" s="131" t="s">
        <v>96</v>
      </c>
      <c r="AO18" s="190" t="s">
        <v>402</v>
      </c>
      <c r="BB18" s="182" t="s">
        <v>63</v>
      </c>
      <c r="BC18" s="183">
        <f>SUM(BC15:BC16,BC13)</f>
        <v>40982.837811231264</v>
      </c>
      <c r="BD18" s="184"/>
      <c r="BE18" s="185" t="s">
        <v>64</v>
      </c>
      <c r="BF18" s="186">
        <f>SUM(BF15:BF16,BF13)</f>
        <v>41750</v>
      </c>
    </row>
    <row r="19" spans="1:58" ht="13.5" thickBot="1" x14ac:dyDescent="0.25">
      <c r="B19" s="125" t="s">
        <v>388</v>
      </c>
      <c r="C19" s="170">
        <v>0</v>
      </c>
      <c r="F19" s="111"/>
      <c r="G19" s="111"/>
      <c r="H19" s="182" t="s">
        <v>63</v>
      </c>
      <c r="I19" s="183">
        <f>SUM(I14:I18)</f>
        <v>35572.524372881351</v>
      </c>
      <c r="J19" s="184"/>
      <c r="K19" s="185" t="s">
        <v>64</v>
      </c>
      <c r="L19" s="186">
        <f>SUM(L14:L18)</f>
        <v>35572.524372881351</v>
      </c>
      <c r="M19" s="113"/>
      <c r="V19" s="125" t="s">
        <v>50</v>
      </c>
      <c r="W19" s="147">
        <f>SUM('Summary Income Statement'!F42:F45)</f>
        <v>469.71900000000005</v>
      </c>
      <c r="X19" s="147">
        <f>SUM('Summary Income Statement'!AG42:AG45)</f>
        <v>661.19199999999989</v>
      </c>
      <c r="Y19" s="147">
        <f ca="1">SUM('Summary Income Statement'!AH42:AH45)</f>
        <v>734.38925333333327</v>
      </c>
      <c r="Z19" s="147">
        <f ca="1">SUM('Summary Income Statement'!AI42:AI45)</f>
        <v>1439.7232941306406</v>
      </c>
      <c r="AA19" s="147">
        <f ca="1">SUM('Summary Income Statement'!AJ42:AJ45)</f>
        <v>1362.5133061482791</v>
      </c>
      <c r="AB19" s="147">
        <f ca="1">SUM('Summary Income Statement'!AK42:AK45)</f>
        <v>1280.9354103357009</v>
      </c>
      <c r="AC19" s="147">
        <f ca="1">SUM('Summary Income Statement'!AL42:AL45)</f>
        <v>1186.6552332438985</v>
      </c>
      <c r="AD19" s="153">
        <f ca="1">SUM('Summary Income Statement'!AM42:AM45)</f>
        <v>926.03847584475955</v>
      </c>
      <c r="AM19" s="191">
        <v>-0.1</v>
      </c>
      <c r="AN19" s="128">
        <f>'Data Tables'!$F$8</f>
        <v>0.39914878010749821</v>
      </c>
      <c r="AO19" s="192">
        <f>'Data Tables'!$F$16</f>
        <v>4.3580514917218345</v>
      </c>
    </row>
    <row r="20" spans="1:58" x14ac:dyDescent="0.2">
      <c r="B20" s="125" t="s">
        <v>389</v>
      </c>
      <c r="C20" s="170">
        <v>0.2</v>
      </c>
      <c r="F20" s="111"/>
      <c r="G20" s="111"/>
      <c r="K20" s="111"/>
      <c r="L20" s="174"/>
      <c r="M20" s="113"/>
      <c r="V20" s="110" t="str">
        <f>'Summary Income Statement'!A46</f>
        <v>Net Income</v>
      </c>
      <c r="W20" s="187">
        <f t="shared" ref="W20:AD20" si="5">W10-SUM(W12:W19)</f>
        <v>1345.7360000000008</v>
      </c>
      <c r="X20" s="187">
        <f t="shared" si="5"/>
        <v>2442.1705199999997</v>
      </c>
      <c r="Y20" s="187">
        <f t="shared" ca="1" si="5"/>
        <v>3659.7008027314114</v>
      </c>
      <c r="Z20" s="187">
        <f t="shared" ca="1" si="5"/>
        <v>2847.6397848655815</v>
      </c>
      <c r="AA20" s="187">
        <f t="shared" ca="1" si="5"/>
        <v>3554.7649913284167</v>
      </c>
      <c r="AB20" s="187">
        <f t="shared" ca="1" si="5"/>
        <v>4340.4884852303876</v>
      </c>
      <c r="AC20" s="187">
        <f t="shared" ca="1" si="5"/>
        <v>4971.8279438952923</v>
      </c>
      <c r="AD20" s="188">
        <f t="shared" ca="1" si="5"/>
        <v>5828.5924068117711</v>
      </c>
      <c r="AM20" s="191">
        <v>-0.05</v>
      </c>
      <c r="AN20" s="128">
        <f>'Data Tables'!$F$10</f>
        <v>0.1999399244785309</v>
      </c>
      <c r="AO20" s="192">
        <f>'Data Tables'!$F$18</f>
        <v>2.3380069037837647</v>
      </c>
    </row>
    <row r="21" spans="1:58" x14ac:dyDescent="0.2">
      <c r="B21" s="125" t="s">
        <v>399</v>
      </c>
      <c r="C21" s="170">
        <v>0.45</v>
      </c>
      <c r="F21" s="111"/>
      <c r="G21" s="111"/>
      <c r="K21" s="111"/>
      <c r="L21" s="174"/>
      <c r="M21" s="113"/>
      <c r="V21" s="110" t="s">
        <v>406</v>
      </c>
      <c r="W21" s="165">
        <f>W20+SUM(W17:W19)</f>
        <v>3194.206000000001</v>
      </c>
      <c r="X21" s="165">
        <f>X20+SUM(X17:X19)+'Summary Income Statement'!G59</f>
        <v>5239.1015200000002</v>
      </c>
      <c r="Y21" s="165">
        <f t="shared" ref="Y21:AC21" ca="1" si="6">Y20+SUM(Y17:Y19)</f>
        <v>5978.053601613562</v>
      </c>
      <c r="Z21" s="165">
        <f t="shared" ca="1" si="6"/>
        <v>5923.2598484962218</v>
      </c>
      <c r="AA21" s="165">
        <f t="shared" ca="1" si="6"/>
        <v>6703.1750669766952</v>
      </c>
      <c r="AB21" s="165">
        <f t="shared" ca="1" si="6"/>
        <v>7557.3206650660886</v>
      </c>
      <c r="AC21" s="165">
        <f t="shared" ca="1" si="6"/>
        <v>8244.3799466391902</v>
      </c>
      <c r="AD21" s="166">
        <f ca="1">AD20+SUM(AD15:AD19)</f>
        <v>9531.8492141229017</v>
      </c>
      <c r="AM21" s="191">
        <v>0</v>
      </c>
      <c r="AN21" s="128" t="e">
        <f>'Data Tables'!#REF!</f>
        <v>#REF!</v>
      </c>
      <c r="AO21" s="192" t="e">
        <f>'Data Tables'!#REF!</f>
        <v>#REF!</v>
      </c>
    </row>
    <row r="22" spans="1:58" ht="13.5" thickBot="1" x14ac:dyDescent="0.25">
      <c r="B22" s="125" t="s">
        <v>448</v>
      </c>
      <c r="C22" s="181">
        <v>1250</v>
      </c>
      <c r="F22" s="111"/>
      <c r="G22" s="111"/>
      <c r="K22" s="111"/>
      <c r="L22" s="174"/>
      <c r="M22" s="113"/>
      <c r="V22" s="193" t="s">
        <v>115</v>
      </c>
      <c r="W22" s="194">
        <f t="shared" ref="W22:AD22" si="7">W21/W7</f>
        <v>0.12381117540470159</v>
      </c>
      <c r="X22" s="194">
        <f t="shared" si="7"/>
        <v>0.14871375371191733</v>
      </c>
      <c r="Y22" s="194">
        <f t="shared" ca="1" si="7"/>
        <v>0.15731720004246216</v>
      </c>
      <c r="Z22" s="194">
        <f t="shared" ca="1" si="7"/>
        <v>0.14432894367680851</v>
      </c>
      <c r="AA22" s="194">
        <f t="shared" ca="1" si="7"/>
        <v>0.15123400537363493</v>
      </c>
      <c r="AB22" s="194">
        <f t="shared" ca="1" si="7"/>
        <v>0.1578748631488803</v>
      </c>
      <c r="AC22" s="194">
        <f t="shared" ca="1" si="7"/>
        <v>0.15947014154147984</v>
      </c>
      <c r="AD22" s="195">
        <f t="shared" ca="1" si="7"/>
        <v>0.17071622136293235</v>
      </c>
      <c r="AM22" s="191">
        <v>0.05</v>
      </c>
      <c r="AN22" s="128" t="e">
        <f>'Data Tables'!#REF!</f>
        <v>#REF!</v>
      </c>
      <c r="AO22" s="192" t="e">
        <f>'Data Tables'!#REF!</f>
        <v>#REF!</v>
      </c>
    </row>
    <row r="23" spans="1:58" ht="13.5" thickBot="1" x14ac:dyDescent="0.25">
      <c r="B23" s="125" t="s">
        <v>617</v>
      </c>
      <c r="C23" s="181">
        <v>1000</v>
      </c>
      <c r="D23" s="128"/>
      <c r="F23" s="111"/>
      <c r="G23" s="111"/>
      <c r="K23" s="111"/>
      <c r="L23" s="174"/>
      <c r="M23" s="113"/>
      <c r="AA23" s="187"/>
      <c r="AB23" s="187"/>
      <c r="AC23" s="187"/>
      <c r="AD23" s="187"/>
      <c r="AM23" s="197">
        <v>0.1</v>
      </c>
      <c r="AN23" s="198" t="e">
        <f>'Data Tables'!#REF!</f>
        <v>#REF!</v>
      </c>
      <c r="AO23" s="199" t="e">
        <f>'Data Tables'!#REF!</f>
        <v>#REF!</v>
      </c>
    </row>
    <row r="24" spans="1:58" x14ac:dyDescent="0.2">
      <c r="B24" s="125" t="s">
        <v>469</v>
      </c>
      <c r="C24" s="582">
        <v>2.5</v>
      </c>
      <c r="F24" s="111"/>
      <c r="G24" s="111"/>
      <c r="K24" s="111"/>
      <c r="L24" s="174"/>
      <c r="M24" s="113"/>
      <c r="R24" s="229"/>
      <c r="AA24" s="187"/>
      <c r="AB24" s="187"/>
      <c r="AC24" s="187"/>
      <c r="AD24" s="187"/>
      <c r="AM24" s="551"/>
      <c r="AN24" s="128"/>
      <c r="AO24" s="141"/>
    </row>
    <row r="25" spans="1:58" x14ac:dyDescent="0.2">
      <c r="B25" s="125" t="s">
        <v>883</v>
      </c>
      <c r="C25" s="1124">
        <v>3.75</v>
      </c>
      <c r="F25" s="111"/>
      <c r="G25" s="111"/>
      <c r="K25" s="111"/>
      <c r="L25" s="174"/>
      <c r="M25" s="113"/>
      <c r="R25" s="229"/>
      <c r="AA25" s="187"/>
      <c r="AB25" s="187"/>
      <c r="AC25" s="187"/>
      <c r="AD25" s="187"/>
      <c r="AM25" s="551"/>
      <c r="AN25" s="128"/>
      <c r="AO25" s="141"/>
    </row>
    <row r="26" spans="1:58" x14ac:dyDescent="0.2">
      <c r="B26" s="125" t="s">
        <v>595</v>
      </c>
      <c r="C26" s="821">
        <f>'Data Tables'!$B$9</f>
        <v>2</v>
      </c>
      <c r="F26" s="111"/>
      <c r="G26" s="111"/>
      <c r="K26" s="111"/>
      <c r="L26" s="174"/>
      <c r="M26" s="113"/>
      <c r="R26" s="229"/>
      <c r="AA26" s="187"/>
      <c r="AB26" s="187"/>
      <c r="AC26" s="187"/>
      <c r="AD26" s="187"/>
      <c r="AM26" s="551"/>
      <c r="AN26" s="128"/>
      <c r="AO26" s="141"/>
    </row>
    <row r="27" spans="1:58" ht="15" x14ac:dyDescent="0.35">
      <c r="B27" s="125"/>
      <c r="C27" s="131" t="s">
        <v>101</v>
      </c>
      <c r="D27" s="131" t="s">
        <v>353</v>
      </c>
      <c r="F27" s="111"/>
      <c r="G27" s="111"/>
      <c r="K27" s="111"/>
      <c r="L27" s="174"/>
      <c r="M27" s="113"/>
      <c r="R27" s="229"/>
      <c r="AA27" s="187"/>
      <c r="AB27" s="187"/>
      <c r="AC27" s="187"/>
      <c r="AD27" s="187"/>
      <c r="AM27" s="551"/>
      <c r="AN27" s="128"/>
      <c r="AO27" s="141"/>
    </row>
    <row r="28" spans="1:58" x14ac:dyDescent="0.2">
      <c r="B28" s="125" t="s">
        <v>470</v>
      </c>
      <c r="C28" s="163">
        <f>I9+I11</f>
        <v>14301.051822033896</v>
      </c>
      <c r="D28" s="583">
        <f>C28/$D$34</f>
        <v>2.5</v>
      </c>
      <c r="F28" s="111"/>
      <c r="G28" s="111"/>
      <c r="K28" s="111"/>
      <c r="L28" s="174"/>
      <c r="M28" s="113"/>
      <c r="R28" s="229"/>
      <c r="S28" s="844"/>
      <c r="AA28" s="187"/>
      <c r="AB28" s="187"/>
      <c r="AC28" s="187"/>
      <c r="AD28" s="187"/>
      <c r="AM28" s="551"/>
      <c r="AN28" s="128"/>
      <c r="AO28" s="141"/>
    </row>
    <row r="29" spans="1:58" x14ac:dyDescent="0.2">
      <c r="B29" s="125" t="s">
        <v>471</v>
      </c>
      <c r="C29" s="167">
        <f>I10</f>
        <v>7150.5259110169463</v>
      </c>
      <c r="D29" s="583">
        <f>C29/$D$34</f>
        <v>1.2499999999999998</v>
      </c>
      <c r="F29" s="111"/>
      <c r="G29" s="111"/>
      <c r="K29" s="111"/>
      <c r="L29" s="174"/>
      <c r="M29" s="113"/>
      <c r="S29" s="577">
        <v>42310</v>
      </c>
      <c r="AA29" s="187"/>
      <c r="AB29" s="187"/>
      <c r="AC29" s="187"/>
      <c r="AD29" s="187"/>
      <c r="AM29" s="551"/>
      <c r="AN29" s="128"/>
      <c r="AO29" s="141"/>
    </row>
    <row r="30" spans="1:58" x14ac:dyDescent="0.2">
      <c r="B30" s="125"/>
      <c r="C30" s="584">
        <f>C29*0.1</f>
        <v>715.0525911016947</v>
      </c>
      <c r="D30" s="585">
        <f>C30/12</f>
        <v>59.587715925141225</v>
      </c>
      <c r="F30" s="111"/>
      <c r="G30" s="111"/>
      <c r="K30" s="111"/>
      <c r="L30" s="174"/>
      <c r="M30" s="113"/>
      <c r="S30" s="577">
        <v>42407</v>
      </c>
      <c r="AA30" s="187"/>
      <c r="AB30" s="187"/>
      <c r="AC30" s="187"/>
      <c r="AD30" s="187"/>
      <c r="AM30" s="551"/>
      <c r="AN30" s="128"/>
      <c r="AO30" s="141"/>
    </row>
    <row r="31" spans="1:58" x14ac:dyDescent="0.2">
      <c r="B31" s="125"/>
      <c r="F31" s="111"/>
      <c r="G31" s="111"/>
      <c r="K31" s="111"/>
      <c r="L31" s="174"/>
      <c r="M31" s="113"/>
      <c r="S31" s="229">
        <f>S30-S29</f>
        <v>97</v>
      </c>
      <c r="AA31" s="187"/>
      <c r="AB31" s="187"/>
      <c r="AC31" s="187"/>
      <c r="AD31" s="187"/>
      <c r="AM31" s="551"/>
      <c r="AN31" s="128"/>
      <c r="AO31" s="141"/>
    </row>
    <row r="32" spans="1:58" ht="15" outlineLevel="1" x14ac:dyDescent="0.35">
      <c r="A32" s="111"/>
      <c r="B32" s="125"/>
      <c r="C32" s="200" t="s">
        <v>352</v>
      </c>
      <c r="D32" s="200"/>
      <c r="F32" s="174"/>
      <c r="G32" s="111"/>
      <c r="J32" s="111"/>
      <c r="K32" s="111"/>
      <c r="L32" s="174"/>
      <c r="M32" s="113"/>
      <c r="AA32" s="111"/>
      <c r="AB32" s="111"/>
      <c r="AC32" s="111"/>
      <c r="AD32" s="111"/>
    </row>
    <row r="33" spans="1:60" outlineLevel="1" x14ac:dyDescent="0.2">
      <c r="A33" s="111"/>
      <c r="B33" s="125"/>
      <c r="C33" s="201" t="s">
        <v>114</v>
      </c>
      <c r="D33" s="201" t="s">
        <v>422</v>
      </c>
      <c r="F33" s="174"/>
      <c r="G33" s="111"/>
      <c r="J33" s="111"/>
      <c r="K33" s="111"/>
      <c r="L33" s="174"/>
      <c r="M33" s="113"/>
    </row>
    <row r="34" spans="1:60" ht="15" customHeight="1" outlineLevel="1" thickBot="1" x14ac:dyDescent="0.25">
      <c r="A34" s="111"/>
      <c r="B34" s="110" t="s">
        <v>316</v>
      </c>
      <c r="C34" s="202">
        <f>AVERAGE(D34,'Summary Income Statement'!F71:G71)</f>
        <v>4717.9094162711872</v>
      </c>
      <c r="D34" s="174">
        <f>'CL - Aug15 LTM QE'!Y39</f>
        <v>5720.4207288135585</v>
      </c>
      <c r="F34" s="174"/>
      <c r="G34" s="111"/>
      <c r="J34" s="111"/>
      <c r="K34" s="111"/>
      <c r="L34" s="174"/>
      <c r="M34" s="113"/>
    </row>
    <row r="35" spans="1:60" ht="15" customHeight="1" outlineLevel="1" thickBot="1" x14ac:dyDescent="0.4">
      <c r="A35" s="111"/>
      <c r="B35" s="203" t="s">
        <v>59</v>
      </c>
      <c r="C35" s="156">
        <f>C36/C34</f>
        <v>7.2749434854576442</v>
      </c>
      <c r="D35" s="568">
        <f>D36/D34</f>
        <v>6</v>
      </c>
      <c r="F35" s="174"/>
      <c r="G35" s="111"/>
      <c r="J35" s="111"/>
      <c r="K35" s="111"/>
      <c r="L35" s="174"/>
      <c r="M35" s="113"/>
      <c r="V35" s="134"/>
      <c r="W35" s="135" t="s">
        <v>8</v>
      </c>
      <c r="X35" s="136" t="s">
        <v>34</v>
      </c>
      <c r="AU35" s="134"/>
      <c r="AV35" s="204" t="s">
        <v>352</v>
      </c>
      <c r="AW35" s="205"/>
    </row>
    <row r="36" spans="1:60" ht="15" customHeight="1" outlineLevel="1" x14ac:dyDescent="0.2">
      <c r="A36" s="111"/>
      <c r="B36" s="110" t="s">
        <v>60</v>
      </c>
      <c r="C36" s="120">
        <f>D36</f>
        <v>34322.524372881351</v>
      </c>
      <c r="D36" s="844">
        <f>'Data Tables'!$B$20</f>
        <v>34322.524372881351</v>
      </c>
      <c r="F36" s="174"/>
      <c r="G36" s="111"/>
      <c r="J36" s="111"/>
      <c r="K36" s="111"/>
      <c r="L36" s="174"/>
      <c r="M36" s="113"/>
      <c r="V36" s="110" t="s">
        <v>26</v>
      </c>
      <c r="W36" s="143">
        <v>13596.628000000001</v>
      </c>
      <c r="X36" s="144">
        <v>13201.674000000001</v>
      </c>
      <c r="AU36" s="125"/>
      <c r="AV36" s="201" t="s">
        <v>343</v>
      </c>
      <c r="AW36" s="206" t="s">
        <v>34</v>
      </c>
      <c r="BF36" s="207" t="s">
        <v>400</v>
      </c>
      <c r="BG36" s="208">
        <v>3</v>
      </c>
      <c r="BH36" s="209"/>
    </row>
    <row r="37" spans="1:60" ht="15" customHeight="1" outlineLevel="1" x14ac:dyDescent="0.2">
      <c r="A37" s="111"/>
      <c r="B37" s="203" t="s">
        <v>423</v>
      </c>
      <c r="C37" s="147">
        <f>'Summary Balance Sheet'!F37-('Summary Balance Sheet'!F6-'Valuation &amp; Sources &amp; Uses'!F14)</f>
        <v>10059.490820000001</v>
      </c>
      <c r="D37" s="147">
        <f>C37</f>
        <v>10059.490820000001</v>
      </c>
      <c r="F37" s="174"/>
      <c r="G37" s="111"/>
      <c r="H37" s="111"/>
      <c r="I37" s="111"/>
      <c r="J37" s="111"/>
      <c r="L37" s="163">
        <f>SUM(L33:L36)</f>
        <v>0</v>
      </c>
      <c r="M37" s="113"/>
      <c r="V37" s="125" t="s">
        <v>201</v>
      </c>
      <c r="W37" s="147">
        <v>8822.5010000000002</v>
      </c>
      <c r="X37" s="153">
        <v>8571.3410000000003</v>
      </c>
      <c r="AU37" s="110" t="s">
        <v>316</v>
      </c>
      <c r="AV37" s="202">
        <v>3203.701</v>
      </c>
      <c r="AW37" s="164">
        <v>3044.9389999999999</v>
      </c>
      <c r="BF37" s="125"/>
      <c r="BG37" s="210" t="s">
        <v>96</v>
      </c>
      <c r="BH37" s="211" t="s">
        <v>97</v>
      </c>
    </row>
    <row r="38" spans="1:60" ht="15" customHeight="1" outlineLevel="1" x14ac:dyDescent="0.2">
      <c r="A38" s="111"/>
      <c r="B38" s="110" t="s">
        <v>61</v>
      </c>
      <c r="C38" s="212">
        <f>C36-C37</f>
        <v>24263.033552881352</v>
      </c>
      <c r="D38" s="212">
        <f>D36-D37</f>
        <v>24263.033552881352</v>
      </c>
      <c r="F38" s="174"/>
      <c r="G38" s="111"/>
      <c r="H38" s="111"/>
      <c r="I38" s="111"/>
      <c r="J38" s="111"/>
      <c r="K38" s="111"/>
      <c r="L38" s="111"/>
      <c r="M38" s="113"/>
      <c r="V38" s="110" t="s">
        <v>200</v>
      </c>
      <c r="W38" s="165">
        <v>4774.1270000000004</v>
      </c>
      <c r="X38" s="166">
        <v>4630.3330000000005</v>
      </c>
      <c r="AU38" s="203" t="s">
        <v>59</v>
      </c>
      <c r="AV38" s="156">
        <v>2.851332568176618</v>
      </c>
      <c r="AW38" s="213">
        <v>3</v>
      </c>
      <c r="BF38" s="110" t="s">
        <v>42</v>
      </c>
      <c r="BG38" s="214">
        <v>0.52611892819404593</v>
      </c>
      <c r="BH38" s="215">
        <v>5.4649724261731327</v>
      </c>
    </row>
    <row r="39" spans="1:60" ht="15" customHeight="1" outlineLevel="1" thickBot="1" x14ac:dyDescent="0.25">
      <c r="A39" s="111"/>
      <c r="B39" s="216"/>
      <c r="C39" s="174"/>
      <c r="D39" s="111"/>
      <c r="E39" s="111"/>
      <c r="F39" s="174"/>
      <c r="G39" s="111"/>
      <c r="H39" s="111"/>
      <c r="I39" s="111"/>
      <c r="J39" s="111"/>
      <c r="K39" s="111"/>
      <c r="L39" s="111"/>
      <c r="M39" s="113"/>
      <c r="V39" s="125" t="s">
        <v>258</v>
      </c>
      <c r="W39" s="168">
        <v>0.35112580854606013</v>
      </c>
      <c r="X39" s="169">
        <v>0.35073832303388192</v>
      </c>
      <c r="AU39" s="110" t="s">
        <v>60</v>
      </c>
      <c r="AV39" s="120">
        <v>9134.8169999999991</v>
      </c>
      <c r="AW39" s="176">
        <v>9134.8169999999991</v>
      </c>
      <c r="BF39" s="110" t="s">
        <v>41</v>
      </c>
      <c r="BG39" s="217" t="s">
        <v>106</v>
      </c>
      <c r="BH39" s="218" t="s">
        <v>106</v>
      </c>
    </row>
    <row r="40" spans="1:60" ht="15" customHeight="1" outlineLevel="1" x14ac:dyDescent="0.2">
      <c r="A40" s="111"/>
      <c r="B40" s="207" t="s">
        <v>400</v>
      </c>
      <c r="C40" s="208">
        <v>6.5</v>
      </c>
      <c r="D40" s="209"/>
      <c r="E40" s="111"/>
      <c r="F40" s="174"/>
      <c r="G40" s="111"/>
      <c r="H40" s="111"/>
      <c r="I40" s="111"/>
      <c r="J40" s="111"/>
      <c r="K40" s="111"/>
      <c r="L40" s="111"/>
      <c r="M40" s="113"/>
      <c r="V40" s="125" t="s">
        <v>331</v>
      </c>
      <c r="W40" s="174">
        <v>631.66999999999996</v>
      </c>
      <c r="X40" s="164">
        <v>746.83100000000002</v>
      </c>
      <c r="AU40" s="203" t="s">
        <v>379</v>
      </c>
      <c r="AV40" s="147">
        <v>-400.85799999999978</v>
      </c>
      <c r="AW40" s="153">
        <v>-400.85799999999978</v>
      </c>
      <c r="BF40" s="110" t="s">
        <v>95</v>
      </c>
      <c r="BG40" s="214">
        <v>0.52611892819404593</v>
      </c>
      <c r="BH40" s="215">
        <v>5.4649724261731327</v>
      </c>
    </row>
    <row r="41" spans="1:60" ht="15" customHeight="1" outlineLevel="1" thickBot="1" x14ac:dyDescent="0.25">
      <c r="A41" s="111"/>
      <c r="B41" s="125"/>
      <c r="C41" s="210" t="s">
        <v>96</v>
      </c>
      <c r="D41" s="211" t="s">
        <v>97</v>
      </c>
      <c r="E41" s="111"/>
      <c r="F41" s="174"/>
      <c r="G41" s="111"/>
      <c r="H41" s="111"/>
      <c r="I41" s="111"/>
      <c r="J41" s="111"/>
      <c r="K41" s="111"/>
      <c r="L41" s="111"/>
      <c r="M41" s="113"/>
      <c r="V41" s="125" t="s">
        <v>395</v>
      </c>
      <c r="W41" s="174">
        <v>780.89400000000001</v>
      </c>
      <c r="X41" s="164">
        <v>838.5630000000001</v>
      </c>
      <c r="AU41" s="182" t="s">
        <v>61</v>
      </c>
      <c r="AV41" s="219">
        <v>9535.6749999999993</v>
      </c>
      <c r="AW41" s="220">
        <v>9535.6749999999993</v>
      </c>
      <c r="BF41" s="110"/>
      <c r="BG41" s="214"/>
      <c r="BH41" s="215"/>
    </row>
    <row r="42" spans="1:60" ht="15" customHeight="1" outlineLevel="1" x14ac:dyDescent="0.2">
      <c r="A42" s="111"/>
      <c r="B42" s="110" t="s">
        <v>42</v>
      </c>
      <c r="C42" s="214">
        <f>INDEX('Data Tables'!$F$8:$K$10,MATCH('Data Tables'!$B$9,'Data Tables'!$E$8:$E$10),MATCH('Valuation &amp; Sources &amp; Uses'!$C$40,'Data Tables'!$F$7:$K$7))</f>
        <v>0.39638577103614803</v>
      </c>
      <c r="D42" s="215">
        <f>INDEX('Data Tables'!$F$16:$K$18,MATCH('Data Tables'!$B$9,'Data Tables'!$E$16:$E$18),MATCH('Valuation &amp; Sources &amp; Uses'!$C$40,'Data Tables'!$F$15:$K$15))</f>
        <v>4.6890171437612418</v>
      </c>
      <c r="E42" s="111"/>
      <c r="F42" s="174"/>
      <c r="G42" s="111"/>
      <c r="H42" s="111"/>
      <c r="I42" s="111"/>
      <c r="J42" s="111"/>
      <c r="K42" s="111"/>
      <c r="L42" s="111"/>
      <c r="M42" s="113"/>
      <c r="S42" s="221"/>
      <c r="T42" s="221"/>
      <c r="U42" s="221"/>
      <c r="V42" s="125" t="s">
        <v>188</v>
      </c>
      <c r="W42" s="174">
        <v>0</v>
      </c>
      <c r="X42" s="164">
        <v>0</v>
      </c>
      <c r="BF42" s="125"/>
      <c r="BG42" s="208">
        <v>4</v>
      </c>
      <c r="BH42" s="209"/>
    </row>
    <row r="43" spans="1:60" ht="15" customHeight="1" outlineLevel="1" x14ac:dyDescent="0.2">
      <c r="A43" s="111"/>
      <c r="B43" s="110" t="s">
        <v>41</v>
      </c>
      <c r="C43" s="217" t="str">
        <f>IFERROR(XIRR(Economics!C19:H19,Economics!C6:H6),"N/A")</f>
        <v>N/A</v>
      </c>
      <c r="D43" s="218" t="str">
        <f>IFERROR(SUM(Economics!D19:H19)/-Economics!C19,"N/A")</f>
        <v>N/A</v>
      </c>
      <c r="E43" s="111"/>
      <c r="F43" s="174"/>
      <c r="G43" s="111"/>
      <c r="H43" s="111"/>
      <c r="I43" s="111"/>
      <c r="J43" s="111"/>
      <c r="K43" s="111"/>
      <c r="L43" s="111"/>
      <c r="M43" s="113"/>
      <c r="V43" s="125" t="s">
        <v>332</v>
      </c>
      <c r="W43" s="174">
        <v>-0.9</v>
      </c>
      <c r="X43" s="164">
        <v>0</v>
      </c>
      <c r="BF43" s="125"/>
      <c r="BG43" s="210" t="s">
        <v>96</v>
      </c>
      <c r="BH43" s="211" t="s">
        <v>97</v>
      </c>
    </row>
    <row r="44" spans="1:60" ht="15" customHeight="1" outlineLevel="1" x14ac:dyDescent="0.2">
      <c r="A44" s="111"/>
      <c r="B44" s="110" t="s">
        <v>95</v>
      </c>
      <c r="C44" s="214">
        <f>C42</f>
        <v>0.39638577103614803</v>
      </c>
      <c r="D44" s="215">
        <f>D42</f>
        <v>4.6890171437612418</v>
      </c>
      <c r="E44" s="111"/>
      <c r="F44" s="174"/>
      <c r="G44" s="111"/>
      <c r="H44" s="111"/>
      <c r="I44" s="111"/>
      <c r="J44" s="111"/>
      <c r="K44" s="111"/>
      <c r="L44" s="111"/>
      <c r="M44" s="113"/>
      <c r="V44" s="125" t="s">
        <v>29</v>
      </c>
      <c r="W44" s="174">
        <v>55.838000000000001</v>
      </c>
      <c r="X44" s="164">
        <v>37.56</v>
      </c>
      <c r="BF44" s="110" t="s">
        <v>42</v>
      </c>
      <c r="BG44" s="214">
        <v>0.55787684321403508</v>
      </c>
      <c r="BH44" s="215">
        <v>6.2462264884134404</v>
      </c>
    </row>
    <row r="45" spans="1:60" ht="15" customHeight="1" outlineLevel="1" thickBot="1" x14ac:dyDescent="0.25">
      <c r="A45" s="111"/>
      <c r="B45" s="110"/>
      <c r="C45" s="214"/>
      <c r="D45" s="215"/>
      <c r="E45" s="111"/>
      <c r="F45" s="174"/>
      <c r="G45" s="111"/>
      <c r="H45" s="111"/>
      <c r="I45" s="111"/>
      <c r="J45" s="111"/>
      <c r="K45" s="111"/>
      <c r="L45" s="111"/>
      <c r="M45" s="113"/>
      <c r="V45" s="125" t="s">
        <v>333</v>
      </c>
      <c r="W45" s="174">
        <v>6.1230000000000002</v>
      </c>
      <c r="X45" s="164">
        <v>20.727</v>
      </c>
      <c r="BF45" s="110" t="s">
        <v>41</v>
      </c>
      <c r="BG45" s="217" t="s">
        <v>106</v>
      </c>
      <c r="BH45" s="218" t="s">
        <v>106</v>
      </c>
    </row>
    <row r="46" spans="1:60" ht="15" customHeight="1" outlineLevel="1" thickBot="1" x14ac:dyDescent="0.25">
      <c r="A46" s="111"/>
      <c r="B46" s="125"/>
      <c r="C46" s="208">
        <v>7</v>
      </c>
      <c r="D46" s="209"/>
      <c r="E46" s="111"/>
      <c r="F46" s="174"/>
      <c r="G46" s="111"/>
      <c r="H46" s="111"/>
      <c r="I46" s="111"/>
      <c r="J46" s="111"/>
      <c r="K46" s="111"/>
      <c r="L46" s="111"/>
      <c r="M46" s="113"/>
      <c r="V46" s="125" t="s">
        <v>405</v>
      </c>
      <c r="W46" s="147">
        <v>0</v>
      </c>
      <c r="X46" s="153">
        <v>0</v>
      </c>
      <c r="BF46" s="182" t="s">
        <v>95</v>
      </c>
      <c r="BG46" s="222">
        <v>0.55787684321403508</v>
      </c>
      <c r="BH46" s="223">
        <v>6.2462264884134404</v>
      </c>
    </row>
    <row r="47" spans="1:60" ht="15" customHeight="1" outlineLevel="1" x14ac:dyDescent="0.2">
      <c r="A47" s="111"/>
      <c r="B47" s="125"/>
      <c r="C47" s="210" t="s">
        <v>96</v>
      </c>
      <c r="D47" s="211" t="s">
        <v>97</v>
      </c>
      <c r="E47" s="111"/>
      <c r="F47" s="174"/>
      <c r="G47" s="111"/>
      <c r="H47" s="111"/>
      <c r="I47" s="111"/>
      <c r="J47" s="111"/>
      <c r="K47" s="111"/>
      <c r="L47" s="111"/>
      <c r="M47" s="113"/>
      <c r="V47" s="110" t="s">
        <v>5</v>
      </c>
      <c r="W47" s="187">
        <v>3300.5020000000004</v>
      </c>
      <c r="X47" s="188">
        <v>2986.652</v>
      </c>
    </row>
    <row r="48" spans="1:60" ht="15" customHeight="1" outlineLevel="1" x14ac:dyDescent="0.35">
      <c r="A48" s="111"/>
      <c r="B48" s="110" t="s">
        <v>42</v>
      </c>
      <c r="C48" s="214">
        <f>INDEX('Data Tables'!$F$8:$K$10,MATCH('Data Tables'!$B$9,'Data Tables'!$E$8:$E$10),MATCH('Valuation &amp; Sources &amp; Uses'!$C$46,'Data Tables'!$F$7:$K$7))</f>
        <v>0.41613995432853701</v>
      </c>
      <c r="D48" s="215">
        <f>INDEX('Data Tables'!$F$16:$K$18,MATCH('Data Tables'!$B$9,'Data Tables'!$E$16:$E$18),MATCH('Valuation &amp; Sources &amp; Uses'!$C$46,'Data Tables'!$F$15:$K$15))</f>
        <v>5.0353484574192136</v>
      </c>
      <c r="E48" s="111"/>
      <c r="F48" s="174"/>
      <c r="G48" s="111"/>
      <c r="H48" s="111"/>
      <c r="I48" s="111"/>
      <c r="J48" s="111"/>
      <c r="K48" s="111"/>
      <c r="L48" s="111"/>
      <c r="M48" s="113"/>
      <c r="V48" s="110" t="s">
        <v>406</v>
      </c>
      <c r="W48" s="165">
        <v>3362.4630000000002</v>
      </c>
      <c r="X48" s="166">
        <v>3044.9389999999999</v>
      </c>
      <c r="BB48" s="115" t="s">
        <v>315</v>
      </c>
      <c r="BC48" s="117"/>
    </row>
    <row r="49" spans="1:55" ht="15" customHeight="1" outlineLevel="1" thickBot="1" x14ac:dyDescent="0.4">
      <c r="A49" s="111"/>
      <c r="B49" s="110" t="s">
        <v>41</v>
      </c>
      <c r="C49" s="217" t="s">
        <v>106</v>
      </c>
      <c r="D49" s="218" t="s">
        <v>106</v>
      </c>
      <c r="E49" s="111"/>
      <c r="F49" s="174"/>
      <c r="G49" s="111"/>
      <c r="H49" s="111"/>
      <c r="I49" s="111"/>
      <c r="J49" s="111"/>
      <c r="K49" s="111"/>
      <c r="L49" s="111"/>
      <c r="M49" s="113"/>
      <c r="V49" s="193" t="s">
        <v>115</v>
      </c>
      <c r="W49" s="194">
        <v>0.24730124263162898</v>
      </c>
      <c r="X49" s="195">
        <v>0.23064794661646695</v>
      </c>
      <c r="BB49" s="123" t="s">
        <v>312</v>
      </c>
      <c r="BC49" s="124" t="s">
        <v>313</v>
      </c>
    </row>
    <row r="50" spans="1:55" ht="15" customHeight="1" outlineLevel="1" thickBot="1" x14ac:dyDescent="0.25">
      <c r="A50" s="111"/>
      <c r="B50" s="182" t="s">
        <v>95</v>
      </c>
      <c r="C50" s="222">
        <f>C48</f>
        <v>0.41613995432853701</v>
      </c>
      <c r="D50" s="223">
        <f>D48</f>
        <v>5.0353484574192136</v>
      </c>
      <c r="E50" s="184"/>
      <c r="F50" s="184"/>
      <c r="G50" s="184"/>
      <c r="H50" s="184"/>
      <c r="I50" s="184"/>
      <c r="J50" s="184"/>
      <c r="K50" s="184"/>
      <c r="L50" s="184"/>
      <c r="M50" s="224"/>
      <c r="N50" s="111"/>
      <c r="BB50" s="127">
        <f>K53</f>
        <v>0</v>
      </c>
      <c r="BC50" s="129">
        <f>BB50/$AT$8</f>
        <v>0</v>
      </c>
    </row>
    <row r="51" spans="1:55" ht="6.75" customHeight="1" x14ac:dyDescent="0.2">
      <c r="BB51" s="174">
        <f>Q53</f>
        <v>0</v>
      </c>
      <c r="BC51" s="129">
        <f>BB51/$AT$8</f>
        <v>0</v>
      </c>
    </row>
    <row r="52" spans="1:55" ht="6.75" hidden="1" customHeight="1" outlineLevel="1" x14ac:dyDescent="0.2">
      <c r="BB52" s="147">
        <f>Q55</f>
        <v>0</v>
      </c>
      <c r="BC52" s="149">
        <f>BB52/$AT$8</f>
        <v>0</v>
      </c>
    </row>
    <row r="53" spans="1:55" hidden="1" outlineLevel="1" x14ac:dyDescent="0.2">
      <c r="BB53" s="159">
        <f>SUM(BB50:BB52)</f>
        <v>0</v>
      </c>
      <c r="BC53" s="162">
        <f>BB53/$AT$8</f>
        <v>0</v>
      </c>
    </row>
    <row r="54" spans="1:55" hidden="1" outlineLevel="1" x14ac:dyDescent="0.2">
      <c r="B54" s="225" t="s">
        <v>261</v>
      </c>
      <c r="C54" s="106">
        <v>1</v>
      </c>
    </row>
    <row r="55" spans="1:55" hidden="1" outlineLevel="1" x14ac:dyDescent="0.2">
      <c r="B55" s="225" t="s">
        <v>308</v>
      </c>
      <c r="C55" s="106">
        <v>2</v>
      </c>
    </row>
    <row r="56" spans="1:55" hidden="1" outlineLevel="1" x14ac:dyDescent="0.2">
      <c r="B56" s="225"/>
    </row>
    <row r="57" spans="1:55" collapsed="1" x14ac:dyDescent="0.2"/>
    <row r="59" spans="1:55" x14ac:dyDescent="0.2">
      <c r="L59" s="577"/>
      <c r="O59" s="577"/>
    </row>
    <row r="60" spans="1:55" x14ac:dyDescent="0.2">
      <c r="L60" s="577"/>
    </row>
    <row r="61" spans="1:55" x14ac:dyDescent="0.2">
      <c r="O61" s="226"/>
    </row>
    <row r="71" spans="11:12" x14ac:dyDescent="0.2">
      <c r="K71" s="106">
        <v>150</v>
      </c>
      <c r="L71" s="106">
        <f>1/3</f>
        <v>0.33333333333333331</v>
      </c>
    </row>
    <row r="72" spans="11:12" x14ac:dyDescent="0.2">
      <c r="L72" s="106">
        <f>2/3</f>
        <v>0.66666666666666663</v>
      </c>
    </row>
    <row r="73" spans="11:12" x14ac:dyDescent="0.2">
      <c r="L73" s="106">
        <f>1/2</f>
        <v>0.5</v>
      </c>
    </row>
    <row r="74" spans="11:12" x14ac:dyDescent="0.2">
      <c r="L74" s="106">
        <f>SUM(L71:L73)*K71</f>
        <v>225</v>
      </c>
    </row>
  </sheetData>
  <pageMargins left="0.25" right="0.25" top="0.75" bottom="0.75" header="0.3" footer="0.3"/>
  <pageSetup scale="74" orientation="landscape" r:id="rId1"/>
  <rowBreaks count="1" manualBreakCount="1">
    <brk id="62" max="16383" man="1"/>
  </rowBreak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tabSelected="1" zoomScale="130" zoomScaleNormal="130" zoomScalePageLayoutView="80" workbookViewId="0">
      <selection activeCell="B20" sqref="B20"/>
    </sheetView>
  </sheetViews>
  <sheetFormatPr defaultColWidth="8.85546875" defaultRowHeight="14.25" x14ac:dyDescent="0.2"/>
  <cols>
    <col min="1" max="1" width="31.42578125" style="539" bestFit="1" customWidth="1"/>
    <col min="2" max="2" width="8.85546875" style="539"/>
    <col min="3" max="3" width="0" style="539" hidden="1" customWidth="1"/>
    <col min="4" max="4" width="13.140625" style="539" bestFit="1" customWidth="1"/>
    <col min="5" max="5" width="8.85546875" style="539"/>
    <col min="6" max="6" width="10.85546875" style="539" bestFit="1" customWidth="1"/>
    <col min="7" max="16384" width="8.85546875" style="539"/>
  </cols>
  <sheetData>
    <row r="1" spans="1:12" x14ac:dyDescent="0.2">
      <c r="A1" s="227" t="str">
        <f>'Valuation &amp; Sources &amp; Uses'!B2</f>
        <v>Colorado Timberline</v>
      </c>
      <c r="B1" s="106"/>
      <c r="C1" s="106"/>
      <c r="D1" s="106"/>
      <c r="E1" s="106"/>
      <c r="F1" s="106"/>
      <c r="G1" s="106"/>
      <c r="H1" s="106"/>
      <c r="I1" s="106"/>
      <c r="J1" s="106"/>
      <c r="K1" s="106"/>
      <c r="L1" s="106"/>
    </row>
    <row r="2" spans="1:12" ht="15" customHeight="1" x14ac:dyDescent="0.2">
      <c r="A2" s="230" t="str">
        <f ca="1">REPLACE(CELL("filename",B2),1,FIND("]",CELL("filename",B2)),"")</f>
        <v>Data Tables</v>
      </c>
      <c r="B2" s="106"/>
      <c r="C2" s="1200" t="s">
        <v>117</v>
      </c>
      <c r="D2" s="1200"/>
      <c r="E2" s="1200"/>
      <c r="F2" s="1200"/>
      <c r="G2" s="1200"/>
      <c r="H2" s="1200"/>
      <c r="I2" s="1200"/>
      <c r="J2" s="1200"/>
      <c r="K2" s="1200"/>
      <c r="L2" s="106"/>
    </row>
    <row r="3" spans="1:12" ht="15" customHeight="1" x14ac:dyDescent="0.2">
      <c r="A3" s="230"/>
      <c r="B3" s="106"/>
      <c r="C3" s="1200"/>
      <c r="D3" s="1200"/>
      <c r="E3" s="1200"/>
      <c r="F3" s="1200"/>
      <c r="G3" s="1200"/>
      <c r="H3" s="1200"/>
      <c r="I3" s="1200"/>
      <c r="J3" s="1200"/>
      <c r="K3" s="1200"/>
      <c r="L3" s="106"/>
    </row>
    <row r="4" spans="1:12" ht="22.5" x14ac:dyDescent="0.3">
      <c r="A4" s="106"/>
      <c r="B4" s="106"/>
      <c r="C4" s="1200"/>
      <c r="D4" s="1200"/>
      <c r="E4" s="1200"/>
      <c r="F4" s="1200"/>
      <c r="G4" s="1200"/>
      <c r="H4" s="1200"/>
      <c r="I4" s="1200"/>
      <c r="J4" s="1200"/>
      <c r="K4" s="1200"/>
      <c r="L4" s="540"/>
    </row>
    <row r="5" spans="1:12" ht="15.75" x14ac:dyDescent="0.25">
      <c r="A5" s="106"/>
      <c r="B5" s="106"/>
      <c r="C5" s="106"/>
      <c r="D5" s="106"/>
      <c r="E5" s="106"/>
      <c r="F5" s="541"/>
      <c r="G5" s="541"/>
      <c r="H5" s="541"/>
      <c r="I5" s="541"/>
      <c r="J5" s="541"/>
      <c r="K5" s="541"/>
      <c r="L5" s="541"/>
    </row>
    <row r="6" spans="1:12" ht="15.75" x14ac:dyDescent="0.25">
      <c r="A6" s="106"/>
      <c r="B6" s="106"/>
      <c r="C6" s="106"/>
      <c r="D6" s="106"/>
      <c r="E6" s="106"/>
      <c r="F6" s="549" t="s">
        <v>111</v>
      </c>
      <c r="G6" s="549"/>
      <c r="H6" s="549"/>
      <c r="I6" s="549"/>
      <c r="J6" s="549"/>
      <c r="K6" s="549"/>
      <c r="L6" s="542"/>
    </row>
    <row r="7" spans="1:12" x14ac:dyDescent="0.2">
      <c r="A7" s="529"/>
      <c r="B7" s="106"/>
      <c r="C7" s="106"/>
      <c r="D7" s="106"/>
      <c r="E7" s="543">
        <f ca="1">XIRR(Economics!D22:X22,Economics!D6:X6)</f>
        <v>0.41613995432853701</v>
      </c>
      <c r="F7" s="156">
        <v>5</v>
      </c>
      <c r="G7" s="156">
        <v>5.5</v>
      </c>
      <c r="H7" s="156">
        <f>G7+0.5</f>
        <v>6</v>
      </c>
      <c r="I7" s="156">
        <f>H7+0.5</f>
        <v>6.5</v>
      </c>
      <c r="J7" s="156">
        <f>I7+0.5</f>
        <v>7</v>
      </c>
      <c r="K7" s="156">
        <f>J7+0.5</f>
        <v>7.5</v>
      </c>
      <c r="L7" s="141"/>
    </row>
    <row r="8" spans="1:12" ht="15" customHeight="1" x14ac:dyDescent="0.2">
      <c r="A8" s="544" t="s">
        <v>105</v>
      </c>
      <c r="B8" s="141">
        <v>7</v>
      </c>
      <c r="C8" s="1201" t="s">
        <v>110</v>
      </c>
      <c r="D8" s="548" t="s">
        <v>432</v>
      </c>
      <c r="E8" s="547">
        <v>1</v>
      </c>
      <c r="F8" s="527">
        <f t="dataTable" ref="F8:K10" dt2D="1" dtr="1" r1="B8" r2="B9" ca="1"/>
        <v>0.39914878010749821</v>
      </c>
      <c r="G8" s="527">
        <v>0.42313494086265568</v>
      </c>
      <c r="H8" s="527">
        <v>0.44545331597328186</v>
      </c>
      <c r="I8" s="527">
        <v>0.46634789109230046</v>
      </c>
      <c r="J8" s="527">
        <v>0.48601089119911201</v>
      </c>
      <c r="K8" s="527">
        <v>0.50459669232368465</v>
      </c>
      <c r="L8" s="527"/>
    </row>
    <row r="9" spans="1:12" x14ac:dyDescent="0.2">
      <c r="A9" s="545" t="s">
        <v>435</v>
      </c>
      <c r="B9" s="174">
        <v>2</v>
      </c>
      <c r="C9" s="1201"/>
      <c r="D9" s="548" t="s">
        <v>433</v>
      </c>
      <c r="E9" s="547">
        <v>2</v>
      </c>
      <c r="F9" s="527">
        <v>0.3283180296421051</v>
      </c>
      <c r="G9" s="527">
        <v>0.35273093581199655</v>
      </c>
      <c r="H9" s="527">
        <v>0.37532353997230528</v>
      </c>
      <c r="I9" s="527">
        <v>0.39638577103614803</v>
      </c>
      <c r="J9" s="527">
        <v>0.41613995432853701</v>
      </c>
      <c r="K9" s="527">
        <v>0.43476089835166931</v>
      </c>
      <c r="L9" s="527"/>
    </row>
    <row r="10" spans="1:12" x14ac:dyDescent="0.2">
      <c r="B10" s="106"/>
      <c r="C10" s="1201"/>
      <c r="D10" s="548" t="s">
        <v>434</v>
      </c>
      <c r="E10" s="547">
        <v>3</v>
      </c>
      <c r="F10" s="527">
        <v>0.1999399244785309</v>
      </c>
      <c r="G10" s="527">
        <v>0.22467002272605896</v>
      </c>
      <c r="H10" s="527">
        <v>0.24718415141105654</v>
      </c>
      <c r="I10" s="527">
        <v>0.26791257262229928</v>
      </c>
      <c r="J10" s="527">
        <v>0.28716474175453188</v>
      </c>
      <c r="K10" s="527">
        <v>0.30517172217369082</v>
      </c>
      <c r="L10" s="527"/>
    </row>
    <row r="11" spans="1:12" ht="22.5" x14ac:dyDescent="0.3">
      <c r="A11" s="106"/>
      <c r="B11" s="106"/>
      <c r="C11" s="540" t="s">
        <v>112</v>
      </c>
      <c r="D11" s="540"/>
      <c r="E11" s="540"/>
      <c r="F11" s="540"/>
      <c r="G11" s="540"/>
      <c r="H11" s="540"/>
      <c r="I11" s="540"/>
      <c r="J11" s="540"/>
      <c r="K11" s="540"/>
      <c r="L11" s="540"/>
    </row>
    <row r="12" spans="1:12" ht="22.5" x14ac:dyDescent="0.3">
      <c r="A12" s="106"/>
      <c r="B12" s="106"/>
      <c r="C12" s="540"/>
      <c r="D12" s="540"/>
      <c r="E12" s="540"/>
      <c r="F12" s="540"/>
      <c r="G12" s="540"/>
      <c r="H12" s="540"/>
      <c r="I12" s="540"/>
      <c r="J12" s="540"/>
      <c r="K12" s="540"/>
      <c r="L12" s="540"/>
    </row>
    <row r="13" spans="1:12" ht="15.75" customHeight="1" x14ac:dyDescent="0.25">
      <c r="A13" s="106"/>
      <c r="B13" s="106"/>
      <c r="C13" s="106"/>
      <c r="D13" s="106"/>
      <c r="E13" s="106"/>
      <c r="F13" s="541"/>
      <c r="G13" s="541"/>
      <c r="H13" s="541"/>
      <c r="I13" s="541"/>
      <c r="J13" s="541"/>
      <c r="K13" s="541"/>
      <c r="L13" s="541"/>
    </row>
    <row r="14" spans="1:12" ht="15.75" x14ac:dyDescent="0.25">
      <c r="A14" s="106"/>
      <c r="B14" s="106"/>
      <c r="C14" s="106"/>
      <c r="D14" s="106"/>
      <c r="E14" s="106"/>
      <c r="F14" s="549" t="s">
        <v>111</v>
      </c>
      <c r="G14" s="549"/>
      <c r="H14" s="549"/>
      <c r="I14" s="549"/>
      <c r="J14" s="549"/>
      <c r="K14" s="549"/>
      <c r="L14" s="542"/>
    </row>
    <row r="15" spans="1:12" x14ac:dyDescent="0.2">
      <c r="A15" s="106"/>
      <c r="B15" s="106"/>
      <c r="C15" s="106"/>
      <c r="D15" s="106"/>
      <c r="E15" s="546">
        <f ca="1">SUM(Economics!$E$22:$X$22)/-Economics!$D$22</f>
        <v>5.0353484398608064</v>
      </c>
      <c r="F15" s="156">
        <v>5</v>
      </c>
      <c r="G15" s="156">
        <v>5.5</v>
      </c>
      <c r="H15" s="156">
        <f>G15+0.5</f>
        <v>6</v>
      </c>
      <c r="I15" s="156">
        <f>H15+0.5</f>
        <v>6.5</v>
      </c>
      <c r="J15" s="156">
        <f>I15+0.5</f>
        <v>7</v>
      </c>
      <c r="K15" s="156">
        <f>J15+0.5</f>
        <v>7.5</v>
      </c>
      <c r="L15" s="141"/>
    </row>
    <row r="16" spans="1:12" x14ac:dyDescent="0.2">
      <c r="A16" s="106"/>
      <c r="B16" s="106"/>
      <c r="C16" s="1201" t="s">
        <v>110</v>
      </c>
      <c r="D16" s="548" t="s">
        <v>432</v>
      </c>
      <c r="E16" s="547">
        <v>1</v>
      </c>
      <c r="F16" s="141">
        <f t="dataTable" ref="F16:K18" dt2D="1" dtr="1" r1="B8" r2="B9" ca="1"/>
        <v>4.3580514917218345</v>
      </c>
      <c r="G16" s="141">
        <v>4.7533865530938275</v>
      </c>
      <c r="H16" s="141">
        <v>5.1486614189461255</v>
      </c>
      <c r="I16" s="141">
        <v>5.5438912330181607</v>
      </c>
      <c r="J16" s="141">
        <v>5.9390865046596053</v>
      </c>
      <c r="K16" s="141">
        <v>6.3342547089845098</v>
      </c>
      <c r="L16" s="141"/>
    </row>
    <row r="17" spans="1:12" ht="15" customHeight="1" x14ac:dyDescent="0.2">
      <c r="A17" s="106"/>
      <c r="B17" s="106"/>
      <c r="C17" s="1201"/>
      <c r="D17" s="548" t="s">
        <v>433</v>
      </c>
      <c r="E17" s="547">
        <v>2</v>
      </c>
      <c r="F17" s="141">
        <v>3.6457498458141768</v>
      </c>
      <c r="G17" s="141">
        <v>3.9944188503560372</v>
      </c>
      <c r="H17" s="141">
        <v>4.342095925267385</v>
      </c>
      <c r="I17" s="141">
        <v>4.6890171437612418</v>
      </c>
      <c r="J17" s="141">
        <v>5.0353484574192136</v>
      </c>
      <c r="K17" s="141">
        <v>5.3812101946857345</v>
      </c>
      <c r="L17" s="141"/>
    </row>
    <row r="18" spans="1:12" x14ac:dyDescent="0.2">
      <c r="A18" s="106"/>
      <c r="B18" s="106"/>
      <c r="C18" s="1201"/>
      <c r="D18" s="548" t="s">
        <v>434</v>
      </c>
      <c r="E18" s="547">
        <v>3</v>
      </c>
      <c r="F18" s="141">
        <v>2.3380069037837647</v>
      </c>
      <c r="G18" s="141">
        <v>2.5836622846090629</v>
      </c>
      <c r="H18" s="141">
        <v>2.8262058561491306</v>
      </c>
      <c r="I18" s="141">
        <v>3.0663605648453478</v>
      </c>
      <c r="J18" s="141">
        <v>3.3046333483984749</v>
      </c>
      <c r="K18" s="141">
        <v>3.5413924152916971</v>
      </c>
      <c r="L18" s="141"/>
    </row>
    <row r="20" spans="1:12" x14ac:dyDescent="0.2">
      <c r="A20" s="544" t="s">
        <v>60</v>
      </c>
      <c r="B20" s="539">
        <f>'Valuation &amp; Sources &amp; Uses'!D34*6</f>
        <v>34322.524372881351</v>
      </c>
      <c r="E20" s="546">
        <f ca="1">XIRR(Economics!D22:X22,Economics!D6:X6)</f>
        <v>0.41613995432853701</v>
      </c>
      <c r="F20" s="147">
        <v>30000</v>
      </c>
      <c r="G20" s="147">
        <f>F20+2000</f>
        <v>32000</v>
      </c>
      <c r="H20" s="147">
        <f t="shared" ref="H20:L20" si="0">G20+2000</f>
        <v>34000</v>
      </c>
      <c r="I20" s="147">
        <f t="shared" si="0"/>
        <v>36000</v>
      </c>
      <c r="J20" s="147">
        <f t="shared" si="0"/>
        <v>38000</v>
      </c>
      <c r="K20" s="147">
        <f t="shared" si="0"/>
        <v>40000</v>
      </c>
      <c r="L20" s="147">
        <f t="shared" si="0"/>
        <v>42000</v>
      </c>
    </row>
    <row r="21" spans="1:12" x14ac:dyDescent="0.2">
      <c r="A21" s="545"/>
      <c r="D21" s="548" t="s">
        <v>432</v>
      </c>
      <c r="E21" s="547">
        <v>1</v>
      </c>
      <c r="F21" s="128">
        <f t="dataTable" ref="F21:L23" dt2D="1" dtr="1" r1="B20" r2="B9" ca="1"/>
        <v>0.64651724696159374</v>
      </c>
      <c r="G21" s="128">
        <v>0.5581488430500029</v>
      </c>
      <c r="H21" s="128">
        <v>0.49469055533409112</v>
      </c>
      <c r="I21" s="128">
        <v>0.44597586989402782</v>
      </c>
      <c r="J21" s="128">
        <v>0.4068765103816987</v>
      </c>
      <c r="K21" s="128">
        <v>0.37448082566261287</v>
      </c>
      <c r="L21" s="1198">
        <v>0.34699167609214787</v>
      </c>
    </row>
    <row r="22" spans="1:12" x14ac:dyDescent="0.2">
      <c r="D22" s="548" t="s">
        <v>433</v>
      </c>
      <c r="E22" s="547">
        <v>2</v>
      </c>
      <c r="F22" s="128">
        <v>0.5560069024562837</v>
      </c>
      <c r="G22" s="128">
        <v>0.47947034239768982</v>
      </c>
      <c r="H22" s="128">
        <v>0.42380174994468689</v>
      </c>
      <c r="I22" s="128">
        <v>0.38065651059150685</v>
      </c>
      <c r="J22" s="128">
        <v>0.34578045010566716</v>
      </c>
      <c r="K22" s="128">
        <v>0.3167231619358063</v>
      </c>
      <c r="L22" s="1198">
        <v>0.29195584654808049</v>
      </c>
    </row>
    <row r="23" spans="1:12" x14ac:dyDescent="0.2">
      <c r="D23" s="548" t="s">
        <v>434</v>
      </c>
      <c r="E23" s="547">
        <v>3</v>
      </c>
      <c r="F23" s="128">
        <v>0.4019404113292695</v>
      </c>
      <c r="G23" s="128">
        <v>0.33939422965049748</v>
      </c>
      <c r="H23" s="128">
        <v>0.29350462555885326</v>
      </c>
      <c r="I23" s="128">
        <v>0.25772596001625059</v>
      </c>
      <c r="J23" s="128">
        <v>0.22866445183753972</v>
      </c>
      <c r="K23" s="128">
        <v>0.20435283780097963</v>
      </c>
      <c r="L23" s="1198">
        <v>0.18355756402015685</v>
      </c>
    </row>
  </sheetData>
  <mergeCells count="3">
    <mergeCell ref="C2:K4"/>
    <mergeCell ref="C8:C10"/>
    <mergeCell ref="C16:C18"/>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zoomScaleNormal="100" workbookViewId="0">
      <selection activeCell="J10" sqref="J10"/>
    </sheetView>
  </sheetViews>
  <sheetFormatPr defaultColWidth="9.140625" defaultRowHeight="16.5" x14ac:dyDescent="0.3"/>
  <cols>
    <col min="1" max="1" width="2.7109375" style="588" customWidth="1"/>
    <col min="2" max="2" width="27.28515625" style="588" customWidth="1"/>
    <col min="3" max="8" width="10.7109375" style="588" customWidth="1"/>
    <col min="9" max="9" width="9.85546875" style="588" bestFit="1" customWidth="1"/>
    <col min="10" max="10" width="10.7109375" style="588" customWidth="1"/>
    <col min="11" max="16384" width="9.140625" style="588"/>
  </cols>
  <sheetData>
    <row r="1" spans="1:10" ht="34.5" thickBot="1" x14ac:dyDescent="0.55000000000000004">
      <c r="B1" s="828" t="s">
        <v>598</v>
      </c>
      <c r="C1" s="828"/>
      <c r="D1" s="828"/>
      <c r="E1" s="828"/>
      <c r="F1" s="828"/>
      <c r="G1" s="828"/>
      <c r="H1" s="828"/>
      <c r="I1" s="828"/>
      <c r="J1" s="828"/>
    </row>
    <row r="2" spans="1:10" ht="18.75" x14ac:dyDescent="0.3">
      <c r="B2" s="829" t="s">
        <v>599</v>
      </c>
      <c r="C2" s="829"/>
      <c r="D2" s="829"/>
      <c r="E2" s="829"/>
      <c r="F2" s="829"/>
      <c r="G2" s="829"/>
      <c r="H2" s="829"/>
      <c r="I2" s="829"/>
      <c r="J2" s="829"/>
    </row>
    <row r="3" spans="1:10" ht="18.75" x14ac:dyDescent="0.3">
      <c r="B3" s="830" t="s">
        <v>600</v>
      </c>
      <c r="C3" s="830"/>
      <c r="D3" s="830"/>
      <c r="E3" s="830"/>
      <c r="F3" s="830"/>
      <c r="G3" s="830"/>
      <c r="H3" s="830"/>
      <c r="I3" s="830"/>
      <c r="J3" s="830"/>
    </row>
    <row r="4" spans="1:10" ht="18.75" x14ac:dyDescent="0.3">
      <c r="B4" s="831" t="s">
        <v>601</v>
      </c>
      <c r="C4" s="831"/>
      <c r="D4" s="831"/>
      <c r="E4" s="831"/>
      <c r="F4" s="831"/>
      <c r="G4" s="831"/>
      <c r="H4" s="831"/>
      <c r="I4" s="831"/>
      <c r="J4" s="831"/>
    </row>
    <row r="6" spans="1:10" x14ac:dyDescent="0.3">
      <c r="A6" s="588" t="s">
        <v>602</v>
      </c>
      <c r="B6" s="832" t="s">
        <v>603</v>
      </c>
      <c r="C6" s="832"/>
      <c r="D6" s="832"/>
      <c r="E6" s="832"/>
      <c r="F6" s="832"/>
      <c r="G6" s="832"/>
      <c r="H6" s="832"/>
      <c r="I6" s="832"/>
      <c r="J6" s="832"/>
    </row>
    <row r="7" spans="1:10" x14ac:dyDescent="0.3">
      <c r="B7" s="833" t="s">
        <v>569</v>
      </c>
      <c r="C7" s="834" t="s">
        <v>604</v>
      </c>
      <c r="D7" s="834"/>
      <c r="E7" s="834" t="s">
        <v>605</v>
      </c>
      <c r="F7" s="834"/>
      <c r="G7" s="834"/>
      <c r="H7" s="835"/>
      <c r="I7" s="835"/>
      <c r="J7" s="835"/>
    </row>
    <row r="8" spans="1:10" ht="17.25" thickBot="1" x14ac:dyDescent="0.35">
      <c r="C8" s="836" t="s">
        <v>606</v>
      </c>
      <c r="D8" s="836" t="s">
        <v>607</v>
      </c>
      <c r="E8" s="836" t="s">
        <v>608</v>
      </c>
      <c r="F8" s="836" t="s">
        <v>609</v>
      </c>
      <c r="G8" s="836" t="s">
        <v>610</v>
      </c>
      <c r="H8" s="836" t="s">
        <v>611</v>
      </c>
      <c r="I8" s="836" t="s">
        <v>612</v>
      </c>
      <c r="J8" s="836" t="s">
        <v>613</v>
      </c>
    </row>
    <row r="9" spans="1:10" x14ac:dyDescent="0.3">
      <c r="B9" s="588" t="s">
        <v>118</v>
      </c>
      <c r="C9" s="837">
        <f>'Summary Income Statement'!F19</f>
        <v>25799.011999999999</v>
      </c>
      <c r="D9" s="837">
        <f>'Summary Income Statement'!G19</f>
        <v>35229.434999999998</v>
      </c>
      <c r="E9" s="837">
        <f ca="1">'Summary Income Statement'!AH19</f>
        <v>38000</v>
      </c>
      <c r="F9" s="837">
        <f ca="1">'Summary Income Statement'!AI19</f>
        <v>41040</v>
      </c>
      <c r="G9" s="837">
        <f ca="1">'Summary Income Statement'!AJ19</f>
        <v>44323.199999999997</v>
      </c>
      <c r="H9" s="837">
        <f ca="1">'Summary Income Statement'!AK19</f>
        <v>47869.056000000011</v>
      </c>
      <c r="I9" s="837">
        <f ca="1">'Summary Income Statement'!AL19</f>
        <v>51698.580480000019</v>
      </c>
      <c r="J9" s="837">
        <f ca="1">'Summary Income Statement'!AM19</f>
        <v>55834.466918400023</v>
      </c>
    </row>
    <row r="10" spans="1:10" x14ac:dyDescent="0.3">
      <c r="B10" s="588" t="s">
        <v>9</v>
      </c>
      <c r="C10" s="837">
        <f>'Summary Income Statement'!F71</f>
        <v>3194.206000000001</v>
      </c>
      <c r="D10" s="837">
        <f>'Summary Income Statement'!G71</f>
        <v>5239.1015200000002</v>
      </c>
      <c r="E10" s="837">
        <f ca="1">'Summary Income Statement'!AH71</f>
        <v>6060.5719586135619</v>
      </c>
      <c r="F10" s="837">
        <f ca="1">'Summary Income Statement'!AI71</f>
        <v>6330.0662625000077</v>
      </c>
      <c r="G10" s="837">
        <f ca="1">'Summary Income Statement'!AJ71</f>
        <v>7132.8935756249994</v>
      </c>
      <c r="H10" s="837">
        <f ca="1">'Summary Income Statement'!AK71</f>
        <v>8021.4166544062537</v>
      </c>
      <c r="I10" s="837">
        <f ca="1">'Summary Income Statement'!AL71</f>
        <v>8745.6036151265671</v>
      </c>
      <c r="J10" s="837">
        <f ca="1">'Summary Income Statement'!AM71</f>
        <v>9531.849214122898</v>
      </c>
    </row>
    <row r="12" spans="1:10" x14ac:dyDescent="0.3">
      <c r="B12" s="838" t="s">
        <v>614</v>
      </c>
      <c r="C12" s="838"/>
      <c r="D12" s="838"/>
      <c r="E12" s="838"/>
      <c r="F12" s="838"/>
      <c r="G12" s="838"/>
      <c r="H12" s="838"/>
      <c r="I12" s="838"/>
      <c r="J12" s="838"/>
    </row>
    <row r="14" spans="1:10" x14ac:dyDescent="0.3">
      <c r="B14" s="839"/>
      <c r="C14" s="840"/>
      <c r="D14" s="840"/>
      <c r="E14" s="840"/>
      <c r="F14" s="840"/>
      <c r="G14" s="840"/>
      <c r="H14" s="840"/>
      <c r="I14" s="840"/>
    </row>
    <row r="28" spans="2:9" x14ac:dyDescent="0.3">
      <c r="B28" s="841"/>
      <c r="C28" s="2"/>
      <c r="D28" s="2"/>
      <c r="E28" s="2"/>
      <c r="F28" s="2"/>
      <c r="G28" s="2"/>
      <c r="H28" s="2"/>
      <c r="I28"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4"/>
  <sheetViews>
    <sheetView showGridLines="0" view="pageBreakPreview" zoomScale="115" zoomScaleNormal="80" zoomScaleSheetLayoutView="115" zoomScalePageLayoutView="80" workbookViewId="0">
      <pane xSplit="2" ySplit="6" topLeftCell="H7" activePane="bottomRight" state="frozen"/>
      <selection activeCell="AJ9" sqref="AJ9"/>
      <selection pane="topRight" activeCell="AJ9" sqref="AJ9"/>
      <selection pane="bottomLeft" activeCell="AJ9" sqref="AJ9"/>
      <selection pane="bottomRight" activeCell="X27" sqref="X27"/>
    </sheetView>
  </sheetViews>
  <sheetFormatPr defaultColWidth="8.85546875" defaultRowHeight="12.75" outlineLevelRow="1" x14ac:dyDescent="0.2"/>
  <cols>
    <col min="1" max="1" width="2" style="106" customWidth="1"/>
    <col min="2" max="2" width="35.7109375" style="106" bestFit="1" customWidth="1"/>
    <col min="3" max="3" width="9.5703125" style="106" bestFit="1" customWidth="1"/>
    <col min="4" max="4" width="9.28515625" style="106" bestFit="1" customWidth="1"/>
    <col min="5" max="22" width="8.5703125" style="106" customWidth="1"/>
    <col min="23" max="23" width="10.140625" style="106" bestFit="1" customWidth="1"/>
    <col min="24" max="24" width="10.28515625" style="106" bestFit="1" customWidth="1"/>
    <col min="25" max="25" width="8.85546875" style="106"/>
    <col min="26" max="26" width="10.42578125" style="106" bestFit="1" customWidth="1"/>
    <col min="27" max="16384" width="8.85546875" style="106"/>
  </cols>
  <sheetData>
    <row r="1" spans="1:25" x14ac:dyDescent="0.2">
      <c r="A1" s="227" t="str">
        <f>'Valuation &amp; Sources &amp; Uses'!B2</f>
        <v>Colorado Timberline</v>
      </c>
    </row>
    <row r="2" spans="1:25" x14ac:dyDescent="0.2">
      <c r="A2" s="230" t="str">
        <f ca="1">REPLACE(CELL("filename",B2),1,FIND("]",CELL("filename",B2)),"")</f>
        <v>Economics</v>
      </c>
    </row>
    <row r="3" spans="1:25" x14ac:dyDescent="0.2">
      <c r="A3" s="230" t="str">
        <f>'Valuation &amp; Sources &amp; Uses'!B4</f>
        <v>Financial Model_v12 - Term + Mezzanine</v>
      </c>
    </row>
    <row r="4" spans="1:25" x14ac:dyDescent="0.2">
      <c r="D4" s="529">
        <f>YEAR(D6)</f>
        <v>2015</v>
      </c>
      <c r="E4" s="529">
        <f t="shared" ref="E4:W4" si="0">YEAR(E6)</f>
        <v>2016</v>
      </c>
      <c r="F4" s="529">
        <f t="shared" si="0"/>
        <v>2016</v>
      </c>
      <c r="G4" s="529">
        <f t="shared" si="0"/>
        <v>2016</v>
      </c>
      <c r="H4" s="529">
        <f t="shared" si="0"/>
        <v>2016</v>
      </c>
      <c r="I4" s="529">
        <f t="shared" si="0"/>
        <v>2017</v>
      </c>
      <c r="J4" s="529">
        <f t="shared" si="0"/>
        <v>2017</v>
      </c>
      <c r="K4" s="529">
        <f t="shared" si="0"/>
        <v>2017</v>
      </c>
      <c r="L4" s="529">
        <f t="shared" si="0"/>
        <v>2017</v>
      </c>
      <c r="M4" s="529">
        <f t="shared" si="0"/>
        <v>2018</v>
      </c>
      <c r="N4" s="529">
        <f t="shared" si="0"/>
        <v>2018</v>
      </c>
      <c r="O4" s="529">
        <f t="shared" si="0"/>
        <v>2018</v>
      </c>
      <c r="P4" s="529">
        <f t="shared" si="0"/>
        <v>2018</v>
      </c>
      <c r="Q4" s="529">
        <f t="shared" si="0"/>
        <v>2019</v>
      </c>
      <c r="R4" s="529">
        <f t="shared" si="0"/>
        <v>2019</v>
      </c>
      <c r="S4" s="529">
        <f t="shared" si="0"/>
        <v>2019</v>
      </c>
      <c r="T4" s="529">
        <f t="shared" si="0"/>
        <v>2019</v>
      </c>
      <c r="U4" s="529">
        <f t="shared" si="0"/>
        <v>2020</v>
      </c>
      <c r="V4" s="529">
        <f t="shared" si="0"/>
        <v>2020</v>
      </c>
      <c r="W4" s="529">
        <f t="shared" si="0"/>
        <v>2020</v>
      </c>
      <c r="X4" s="529">
        <f>YEAR(X6)</f>
        <v>2020</v>
      </c>
    </row>
    <row r="5" spans="1:25" ht="13.5" outlineLevel="1" thickBot="1" x14ac:dyDescent="0.25">
      <c r="C5" s="530">
        <v>0</v>
      </c>
      <c r="D5" s="530">
        <f>(D6-$C$6)/365</f>
        <v>0.25205479452054796</v>
      </c>
      <c r="E5" s="530">
        <f>(E6-$C$6)/365</f>
        <v>0.50136986301369868</v>
      </c>
      <c r="F5" s="530">
        <f>(F6-$C$6)/365</f>
        <v>0.75068493150684934</v>
      </c>
      <c r="G5" s="530">
        <f>(G6-$C$6)/365</f>
        <v>1.0027397260273974</v>
      </c>
      <c r="H5" s="530">
        <f>(H6-$C$6)/365</f>
        <v>1.2547945205479452</v>
      </c>
    </row>
    <row r="6" spans="1:25" x14ac:dyDescent="0.2">
      <c r="B6" s="531"/>
      <c r="C6" s="532">
        <f>'Summary Balance Sheet'!K5</f>
        <v>42277</v>
      </c>
      <c r="D6" s="532">
        <f>EOMONTH(C6,3)</f>
        <v>42369</v>
      </c>
      <c r="E6" s="532">
        <f t="shared" ref="E6:W6" si="1">EOMONTH(D6,3)</f>
        <v>42460</v>
      </c>
      <c r="F6" s="532">
        <f t="shared" si="1"/>
        <v>42551</v>
      </c>
      <c r="G6" s="532">
        <f t="shared" si="1"/>
        <v>42643</v>
      </c>
      <c r="H6" s="532">
        <f t="shared" si="1"/>
        <v>42735</v>
      </c>
      <c r="I6" s="532">
        <f t="shared" si="1"/>
        <v>42825</v>
      </c>
      <c r="J6" s="532">
        <f t="shared" si="1"/>
        <v>42916</v>
      </c>
      <c r="K6" s="532">
        <f t="shared" si="1"/>
        <v>43008</v>
      </c>
      <c r="L6" s="532">
        <f t="shared" si="1"/>
        <v>43100</v>
      </c>
      <c r="M6" s="532">
        <f t="shared" si="1"/>
        <v>43190</v>
      </c>
      <c r="N6" s="532">
        <f t="shared" si="1"/>
        <v>43281</v>
      </c>
      <c r="O6" s="532">
        <f t="shared" si="1"/>
        <v>43373</v>
      </c>
      <c r="P6" s="532">
        <f t="shared" si="1"/>
        <v>43465</v>
      </c>
      <c r="Q6" s="532">
        <f t="shared" si="1"/>
        <v>43555</v>
      </c>
      <c r="R6" s="532">
        <f t="shared" si="1"/>
        <v>43646</v>
      </c>
      <c r="S6" s="532">
        <f t="shared" si="1"/>
        <v>43738</v>
      </c>
      <c r="T6" s="532">
        <f t="shared" si="1"/>
        <v>43830</v>
      </c>
      <c r="U6" s="532">
        <f t="shared" si="1"/>
        <v>43921</v>
      </c>
      <c r="V6" s="532">
        <f t="shared" si="1"/>
        <v>44012</v>
      </c>
      <c r="W6" s="532">
        <f t="shared" si="1"/>
        <v>44104</v>
      </c>
      <c r="X6" s="560">
        <f>EOMONTH(W6,3)</f>
        <v>44196</v>
      </c>
    </row>
    <row r="7" spans="1:25" x14ac:dyDescent="0.2">
      <c r="B7" s="110" t="s">
        <v>92</v>
      </c>
      <c r="C7" s="174">
        <v>0</v>
      </c>
      <c r="D7" s="174"/>
      <c r="E7" s="174"/>
      <c r="F7" s="174"/>
      <c r="G7" s="174"/>
      <c r="H7" s="174"/>
      <c r="I7" s="174"/>
      <c r="J7" s="174"/>
      <c r="K7" s="174"/>
      <c r="L7" s="174"/>
      <c r="M7" s="174"/>
      <c r="N7" s="174"/>
      <c r="O7" s="174"/>
      <c r="P7" s="174"/>
      <c r="Q7" s="174"/>
      <c r="R7" s="174"/>
      <c r="S7" s="174"/>
      <c r="T7" s="174"/>
      <c r="U7" s="174"/>
      <c r="V7" s="174"/>
      <c r="W7" s="174"/>
      <c r="X7" s="164"/>
    </row>
    <row r="8" spans="1:25" x14ac:dyDescent="0.2">
      <c r="B8" s="533" t="s">
        <v>40</v>
      </c>
      <c r="C8" s="174">
        <v>0</v>
      </c>
      <c r="D8" s="174">
        <f>-'Valuation &amp; Sources &amp; Uses'!I8</f>
        <v>-7984.8396873983047</v>
      </c>
      <c r="E8" s="174">
        <f>-SOCF!G38*'Valuation &amp; Sources &amp; Uses'!$D$9</f>
        <v>0</v>
      </c>
      <c r="F8" s="174">
        <f>-SOCF!H38*'Valuation &amp; Sources &amp; Uses'!$D$9</f>
        <v>0</v>
      </c>
      <c r="G8" s="174">
        <f>-SOCF!I38*'Valuation &amp; Sources &amp; Uses'!$D$9</f>
        <v>0</v>
      </c>
      <c r="H8" s="174">
        <f>-SOCF!J38*'Valuation &amp; Sources &amp; Uses'!$D$9</f>
        <v>0</v>
      </c>
      <c r="I8" s="174">
        <f>-SOCF!K38*'Valuation &amp; Sources &amp; Uses'!$D$9</f>
        <v>0</v>
      </c>
      <c r="J8" s="174">
        <f>-SOCF!L38*'Valuation &amp; Sources &amp; Uses'!$D$9</f>
        <v>0</v>
      </c>
      <c r="K8" s="174">
        <f>-SOCF!M38*'Valuation &amp; Sources &amp; Uses'!$D$9</f>
        <v>0</v>
      </c>
      <c r="L8" s="174">
        <f>-SOCF!N38*'Valuation &amp; Sources &amp; Uses'!$D$9</f>
        <v>0</v>
      </c>
      <c r="M8" s="174">
        <f>-SOCF!O38*'Valuation &amp; Sources &amp; Uses'!$D$9</f>
        <v>0</v>
      </c>
      <c r="N8" s="174">
        <f>-SOCF!P38*'Valuation &amp; Sources &amp; Uses'!$D$9</f>
        <v>0</v>
      </c>
      <c r="O8" s="174">
        <f>-SOCF!Q38*'Valuation &amp; Sources &amp; Uses'!$D$9</f>
        <v>0</v>
      </c>
      <c r="P8" s="174">
        <f>-SOCF!R38*'Valuation &amp; Sources &amp; Uses'!$D$9</f>
        <v>0</v>
      </c>
      <c r="Q8" s="174">
        <f>-SOCF!S38*'Valuation &amp; Sources &amp; Uses'!$D$9</f>
        <v>0</v>
      </c>
      <c r="R8" s="174">
        <f>-SOCF!T38*'Valuation &amp; Sources &amp; Uses'!$D$9</f>
        <v>0</v>
      </c>
      <c r="S8" s="174">
        <f>-SOCF!U38*'Valuation &amp; Sources &amp; Uses'!$D$9</f>
        <v>0</v>
      </c>
      <c r="T8" s="174">
        <f>-SOCF!V38*'Valuation &amp; Sources &amp; Uses'!$D$9</f>
        <v>0</v>
      </c>
      <c r="U8" s="174">
        <f>-SOCF!W38*'Valuation &amp; Sources &amp; Uses'!$D$9</f>
        <v>0</v>
      </c>
      <c r="V8" s="174">
        <f>-SOCF!X38*'Valuation &amp; Sources &amp; Uses'!$D$9</f>
        <v>0</v>
      </c>
      <c r="W8" s="174">
        <f>-SOCF!Y38*'Valuation &amp; Sources &amp; Uses'!$D$9</f>
        <v>0</v>
      </c>
      <c r="X8" s="164">
        <f>-SOCF!Z38*'Valuation &amp; Sources &amp; Uses'!$D$9</f>
        <v>0</v>
      </c>
    </row>
    <row r="9" spans="1:25" x14ac:dyDescent="0.2">
      <c r="B9" s="533" t="s">
        <v>447</v>
      </c>
      <c r="C9" s="174">
        <v>0</v>
      </c>
      <c r="D9" s="174">
        <v>0</v>
      </c>
      <c r="E9" s="174">
        <v>0</v>
      </c>
      <c r="F9" s="174">
        <v>0</v>
      </c>
      <c r="G9" s="174">
        <v>0</v>
      </c>
      <c r="H9" s="174">
        <v>0</v>
      </c>
      <c r="I9" s="174">
        <v>0</v>
      </c>
      <c r="J9" s="174">
        <v>0</v>
      </c>
      <c r="K9" s="174">
        <v>0</v>
      </c>
      <c r="L9" s="174">
        <v>0</v>
      </c>
      <c r="M9" s="174">
        <v>0</v>
      </c>
      <c r="N9" s="174">
        <v>0</v>
      </c>
      <c r="O9" s="174">
        <v>0</v>
      </c>
      <c r="P9" s="174">
        <v>0</v>
      </c>
      <c r="Q9" s="174">
        <v>0</v>
      </c>
      <c r="R9" s="174">
        <v>0</v>
      </c>
      <c r="S9" s="174">
        <v>0</v>
      </c>
      <c r="T9" s="174">
        <v>0</v>
      </c>
      <c r="U9" s="174">
        <v>0</v>
      </c>
      <c r="V9" s="174">
        <v>0</v>
      </c>
      <c r="W9" s="174">
        <v>0</v>
      </c>
      <c r="X9" s="164">
        <v>0</v>
      </c>
    </row>
    <row r="10" spans="1:25" x14ac:dyDescent="0.2">
      <c r="B10" s="533" t="s">
        <v>93</v>
      </c>
      <c r="C10" s="174">
        <f ca="1">-SOCF!G36*'Valuation &amp; Sources &amp; Uses'!$D$7*Economics!C29</f>
        <v>0</v>
      </c>
      <c r="D10" s="174">
        <f ca="1">-SOCF!H36*'Valuation &amp; Sources &amp; Uses'!$D$7*Economics!D29</f>
        <v>0</v>
      </c>
      <c r="E10" s="174">
        <f ca="1">-SOCF!I36*'Valuation &amp; Sources &amp; Uses'!$D$7*Economics!E29</f>
        <v>0</v>
      </c>
      <c r="F10" s="174">
        <f ca="1">-SOCF!J36*'Valuation &amp; Sources &amp; Uses'!$D$7*Economics!F29</f>
        <v>0</v>
      </c>
      <c r="G10" s="174">
        <f ca="1">-SOCF!K36*'Valuation &amp; Sources &amp; Uses'!$D$7*Economics!G29</f>
        <v>0</v>
      </c>
      <c r="H10" s="174">
        <f ca="1">-SOCF!L36*'Valuation &amp; Sources &amp; Uses'!$D$7*Economics!H29</f>
        <v>0</v>
      </c>
      <c r="I10" s="174">
        <f ca="1">-SOCF!M36*'Valuation &amp; Sources &amp; Uses'!$D$7*Economics!I29</f>
        <v>0</v>
      </c>
      <c r="J10" s="174">
        <f ca="1">-SOCF!N36*'Valuation &amp; Sources &amp; Uses'!$D$7*Economics!J29</f>
        <v>0</v>
      </c>
      <c r="K10" s="174">
        <f ca="1">-SOCF!O36*'Valuation &amp; Sources &amp; Uses'!$D$7*Economics!K29</f>
        <v>0</v>
      </c>
      <c r="L10" s="174">
        <f ca="1">-SOCF!P36*'Valuation &amp; Sources &amp; Uses'!$D$7*Economics!L29</f>
        <v>0</v>
      </c>
      <c r="M10" s="174">
        <f ca="1">-SOCF!Q36*'Valuation &amp; Sources &amp; Uses'!$D$7*Economics!M29</f>
        <v>0</v>
      </c>
      <c r="N10" s="174">
        <f ca="1">-SOCF!R36*'Valuation &amp; Sources &amp; Uses'!$D$7*Economics!N29</f>
        <v>0</v>
      </c>
      <c r="O10" s="174">
        <f ca="1">-SOCF!S36*'Valuation &amp; Sources &amp; Uses'!$D$7*Economics!O29</f>
        <v>0</v>
      </c>
      <c r="P10" s="174">
        <f ca="1">-SOCF!T36*'Valuation &amp; Sources &amp; Uses'!$D$7*Economics!P29</f>
        <v>0</v>
      </c>
      <c r="Q10" s="174">
        <f ca="1">-SOCF!U36*'Valuation &amp; Sources &amp; Uses'!$D$7*Economics!Q29</f>
        <v>0</v>
      </c>
      <c r="R10" s="174">
        <f ca="1">-SOCF!V36*'Valuation &amp; Sources &amp; Uses'!$D$7*Economics!R29</f>
        <v>0</v>
      </c>
      <c r="S10" s="174">
        <f ca="1">-SOCF!W36*'Valuation &amp; Sources &amp; Uses'!$D$7*Economics!S29</f>
        <v>0</v>
      </c>
      <c r="T10" s="174">
        <f ca="1">-SOCF!X36*'Valuation &amp; Sources &amp; Uses'!$D$7*Economics!T29</f>
        <v>0</v>
      </c>
      <c r="U10" s="174">
        <f ca="1">-SOCF!Y36*'Valuation &amp; Sources &amp; Uses'!$D$7*Economics!U29</f>
        <v>0</v>
      </c>
      <c r="V10" s="174">
        <f ca="1">-SOCF!Z36*'Valuation &amp; Sources &amp; Uses'!$D$7*Economics!V29</f>
        <v>0</v>
      </c>
      <c r="W10" s="174">
        <f ca="1">-SOCF!AA36*'Valuation &amp; Sources &amp; Uses'!$D$7*Economics!W29</f>
        <v>0</v>
      </c>
      <c r="X10" s="164">
        <f ca="1">-SOCF!AB36*'Valuation &amp; Sources &amp; Uses'!$D$7*Economics!X29</f>
        <v>0</v>
      </c>
    </row>
    <row r="11" spans="1:25" x14ac:dyDescent="0.2">
      <c r="B11" s="534" t="s">
        <v>44</v>
      </c>
      <c r="C11" s="147">
        <v>0</v>
      </c>
      <c r="D11" s="147">
        <v>0</v>
      </c>
      <c r="E11" s="147">
        <v>0</v>
      </c>
      <c r="F11" s="147">
        <v>0</v>
      </c>
      <c r="G11" s="147">
        <v>0</v>
      </c>
      <c r="H11" s="147">
        <v>0</v>
      </c>
      <c r="I11" s="147">
        <v>0</v>
      </c>
      <c r="J11" s="147">
        <v>0</v>
      </c>
      <c r="K11" s="147">
        <v>0</v>
      </c>
      <c r="L11" s="147">
        <v>0</v>
      </c>
      <c r="M11" s="147">
        <v>0</v>
      </c>
      <c r="N11" s="147">
        <v>0</v>
      </c>
      <c r="O11" s="147">
        <v>0</v>
      </c>
      <c r="P11" s="147">
        <v>0</v>
      </c>
      <c r="Q11" s="147">
        <v>0</v>
      </c>
      <c r="R11" s="147">
        <v>0</v>
      </c>
      <c r="S11" s="147">
        <v>0</v>
      </c>
      <c r="T11" s="147">
        <v>0</v>
      </c>
      <c r="U11" s="147">
        <v>0</v>
      </c>
      <c r="V11" s="147">
        <v>0</v>
      </c>
      <c r="W11" s="147">
        <v>0</v>
      </c>
      <c r="X11" s="153">
        <f ca="1">('Summary Income Statement'!$AM$71*'Valuation &amp; Sources &amp; Uses'!$C$12+'Summary Balance Sheet'!$AF$6-SUM('Summary Balance Sheet'!$AF$37:$AF$41))*'Valuation &amp; Sources &amp; Uses'!$D$7*X29+('Summary Income Statement'!$AM$71*'Valuation &amp; Sources &amp; Uses'!$C$12+'Summary Balance Sheet'!$AF$6-SUM('Summary Balance Sheet'!$AF$37:$AF$41))*'Valuation &amp; Sources &amp; Uses'!$D$7*AA27</f>
        <v>34748.169213054447</v>
      </c>
      <c r="Y11" s="550"/>
    </row>
    <row r="12" spans="1:25" x14ac:dyDescent="0.2">
      <c r="B12" s="533" t="s">
        <v>43</v>
      </c>
      <c r="C12" s="174">
        <f ca="1">SUM(C7:C11)</f>
        <v>0</v>
      </c>
      <c r="D12" s="174">
        <f t="shared" ref="D12:W12" ca="1" si="2">SUM(D8:D11)</f>
        <v>-7984.8396873983047</v>
      </c>
      <c r="E12" s="174">
        <f t="shared" ca="1" si="2"/>
        <v>0</v>
      </c>
      <c r="F12" s="174">
        <f t="shared" ca="1" si="2"/>
        <v>0</v>
      </c>
      <c r="G12" s="174">
        <f t="shared" ca="1" si="2"/>
        <v>0</v>
      </c>
      <c r="H12" s="174">
        <f t="shared" ca="1" si="2"/>
        <v>0</v>
      </c>
      <c r="I12" s="174">
        <f t="shared" ca="1" si="2"/>
        <v>0</v>
      </c>
      <c r="J12" s="174">
        <f t="shared" ca="1" si="2"/>
        <v>0</v>
      </c>
      <c r="K12" s="174">
        <f t="shared" ca="1" si="2"/>
        <v>0</v>
      </c>
      <c r="L12" s="174">
        <f t="shared" ca="1" si="2"/>
        <v>0</v>
      </c>
      <c r="M12" s="174">
        <f t="shared" ca="1" si="2"/>
        <v>0</v>
      </c>
      <c r="N12" s="174">
        <f t="shared" ca="1" si="2"/>
        <v>0</v>
      </c>
      <c r="O12" s="174">
        <f t="shared" ca="1" si="2"/>
        <v>0</v>
      </c>
      <c r="P12" s="174">
        <f t="shared" ca="1" si="2"/>
        <v>0</v>
      </c>
      <c r="Q12" s="174">
        <f t="shared" ca="1" si="2"/>
        <v>0</v>
      </c>
      <c r="R12" s="174">
        <f t="shared" ca="1" si="2"/>
        <v>0</v>
      </c>
      <c r="S12" s="174">
        <f t="shared" ca="1" si="2"/>
        <v>0</v>
      </c>
      <c r="T12" s="174">
        <f t="shared" ca="1" si="2"/>
        <v>0</v>
      </c>
      <c r="U12" s="174">
        <f t="shared" ca="1" si="2"/>
        <v>0</v>
      </c>
      <c r="V12" s="174">
        <f t="shared" ca="1" si="2"/>
        <v>0</v>
      </c>
      <c r="W12" s="174">
        <f t="shared" ca="1" si="2"/>
        <v>0</v>
      </c>
      <c r="X12" s="164">
        <f ca="1">SUM(X8:X11)</f>
        <v>34748.169213054447</v>
      </c>
    </row>
    <row r="13" spans="1:25" x14ac:dyDescent="0.2">
      <c r="B13" s="110" t="s">
        <v>94</v>
      </c>
      <c r="C13" s="174"/>
      <c r="D13" s="174"/>
      <c r="E13" s="174"/>
      <c r="F13" s="174"/>
      <c r="G13" s="174"/>
      <c r="H13" s="174"/>
      <c r="I13" s="174"/>
      <c r="J13" s="174"/>
      <c r="K13" s="174"/>
      <c r="L13" s="174"/>
      <c r="M13" s="174"/>
      <c r="N13" s="174"/>
      <c r="O13" s="174"/>
      <c r="P13" s="174"/>
      <c r="Q13" s="174"/>
      <c r="R13" s="174"/>
      <c r="S13" s="174"/>
      <c r="T13" s="174"/>
      <c r="U13" s="174"/>
      <c r="V13" s="174"/>
      <c r="W13" s="174"/>
      <c r="X13" s="164"/>
    </row>
    <row r="14" spans="1:25" x14ac:dyDescent="0.2">
      <c r="B14" s="533" t="s">
        <v>40</v>
      </c>
      <c r="C14" s="174">
        <v>0</v>
      </c>
      <c r="D14" s="174"/>
      <c r="E14" s="174"/>
      <c r="F14" s="174"/>
      <c r="G14" s="174"/>
      <c r="H14" s="174"/>
      <c r="I14" s="174"/>
      <c r="J14" s="174"/>
      <c r="K14" s="174"/>
      <c r="L14" s="174"/>
      <c r="M14" s="174"/>
      <c r="N14" s="174"/>
      <c r="O14" s="174"/>
      <c r="P14" s="174"/>
      <c r="Q14" s="174"/>
      <c r="R14" s="174"/>
      <c r="S14" s="174"/>
      <c r="T14" s="174"/>
      <c r="U14" s="174"/>
      <c r="V14" s="174"/>
      <c r="W14" s="174"/>
      <c r="X14" s="164"/>
    </row>
    <row r="15" spans="1:25" x14ac:dyDescent="0.2">
      <c r="B15" s="533" t="s">
        <v>67</v>
      </c>
      <c r="C15" s="174">
        <v>0</v>
      </c>
      <c r="D15" s="174">
        <v>0</v>
      </c>
      <c r="E15" s="174">
        <v>0</v>
      </c>
      <c r="F15" s="174">
        <v>0</v>
      </c>
      <c r="G15" s="174">
        <v>0</v>
      </c>
      <c r="H15" s="174">
        <v>0</v>
      </c>
      <c r="I15" s="174">
        <v>0</v>
      </c>
      <c r="J15" s="174">
        <v>0</v>
      </c>
      <c r="K15" s="174">
        <v>0</v>
      </c>
      <c r="L15" s="174">
        <v>0</v>
      </c>
      <c r="M15" s="174">
        <v>0</v>
      </c>
      <c r="N15" s="174">
        <v>0</v>
      </c>
      <c r="O15" s="174">
        <v>0</v>
      </c>
      <c r="P15" s="174">
        <v>0</v>
      </c>
      <c r="Q15" s="174">
        <v>0</v>
      </c>
      <c r="R15" s="174">
        <v>0</v>
      </c>
      <c r="S15" s="174">
        <v>0</v>
      </c>
      <c r="T15" s="174">
        <v>0</v>
      </c>
      <c r="U15" s="174">
        <v>0</v>
      </c>
      <c r="V15" s="174">
        <v>0</v>
      </c>
      <c r="W15" s="174">
        <v>0</v>
      </c>
      <c r="X15" s="164">
        <v>0</v>
      </c>
    </row>
    <row r="16" spans="1:25" x14ac:dyDescent="0.2">
      <c r="B16" s="533" t="s">
        <v>89</v>
      </c>
      <c r="C16" s="174">
        <v>0</v>
      </c>
      <c r="D16" s="174">
        <v>0</v>
      </c>
      <c r="E16" s="174">
        <v>0</v>
      </c>
      <c r="F16" s="174">
        <v>0</v>
      </c>
      <c r="G16" s="174">
        <v>0</v>
      </c>
      <c r="H16" s="174">
        <v>0</v>
      </c>
      <c r="I16" s="174">
        <v>0</v>
      </c>
      <c r="J16" s="174">
        <v>0</v>
      </c>
      <c r="K16" s="174">
        <v>0</v>
      </c>
      <c r="L16" s="174">
        <v>0</v>
      </c>
      <c r="M16" s="174">
        <v>0</v>
      </c>
      <c r="N16" s="174">
        <v>0</v>
      </c>
      <c r="O16" s="174">
        <v>0</v>
      </c>
      <c r="P16" s="174">
        <v>0</v>
      </c>
      <c r="Q16" s="174">
        <v>0</v>
      </c>
      <c r="R16" s="174">
        <v>0</v>
      </c>
      <c r="S16" s="174">
        <v>0</v>
      </c>
      <c r="T16" s="174">
        <v>0</v>
      </c>
      <c r="U16" s="174">
        <v>0</v>
      </c>
      <c r="V16" s="174">
        <v>0</v>
      </c>
      <c r="W16" s="174">
        <v>0</v>
      </c>
      <c r="X16" s="164">
        <v>0</v>
      </c>
    </row>
    <row r="17" spans="2:27" x14ac:dyDescent="0.2">
      <c r="B17" s="533" t="s">
        <v>90</v>
      </c>
      <c r="C17" s="174">
        <v>0</v>
      </c>
      <c r="D17" s="174">
        <v>0</v>
      </c>
      <c r="E17" s="174">
        <v>0</v>
      </c>
      <c r="F17" s="174">
        <v>0</v>
      </c>
      <c r="G17" s="174">
        <v>0</v>
      </c>
      <c r="H17" s="174">
        <v>0</v>
      </c>
      <c r="I17" s="174">
        <v>0</v>
      </c>
      <c r="J17" s="174">
        <v>0</v>
      </c>
      <c r="K17" s="174">
        <v>0</v>
      </c>
      <c r="L17" s="174">
        <v>0</v>
      </c>
      <c r="M17" s="174">
        <v>0</v>
      </c>
      <c r="N17" s="174">
        <v>0</v>
      </c>
      <c r="O17" s="174">
        <v>0</v>
      </c>
      <c r="P17" s="174">
        <v>0</v>
      </c>
      <c r="Q17" s="174">
        <v>0</v>
      </c>
      <c r="R17" s="174">
        <v>0</v>
      </c>
      <c r="S17" s="174">
        <v>0</v>
      </c>
      <c r="T17" s="174">
        <v>0</v>
      </c>
      <c r="U17" s="174">
        <v>0</v>
      </c>
      <c r="V17" s="174">
        <v>0</v>
      </c>
      <c r="W17" s="174">
        <v>0</v>
      </c>
      <c r="X17" s="164">
        <v>0</v>
      </c>
    </row>
    <row r="18" spans="2:27" x14ac:dyDescent="0.2">
      <c r="B18" s="534" t="s">
        <v>91</v>
      </c>
      <c r="C18" s="147">
        <v>0</v>
      </c>
      <c r="D18" s="147">
        <v>0</v>
      </c>
      <c r="E18" s="147">
        <v>0</v>
      </c>
      <c r="F18" s="147">
        <v>0</v>
      </c>
      <c r="G18" s="147">
        <v>0</v>
      </c>
      <c r="H18" s="147">
        <v>0</v>
      </c>
      <c r="I18" s="147">
        <v>0</v>
      </c>
      <c r="J18" s="147">
        <v>0</v>
      </c>
      <c r="K18" s="147">
        <v>0</v>
      </c>
      <c r="L18" s="147">
        <v>0</v>
      </c>
      <c r="M18" s="147">
        <v>0</v>
      </c>
      <c r="N18" s="147">
        <v>0</v>
      </c>
      <c r="O18" s="147">
        <v>0</v>
      </c>
      <c r="P18" s="147">
        <v>0</v>
      </c>
      <c r="Q18" s="147">
        <v>0</v>
      </c>
      <c r="R18" s="147">
        <v>0</v>
      </c>
      <c r="S18" s="147">
        <v>0</v>
      </c>
      <c r="T18" s="147">
        <v>0</v>
      </c>
      <c r="U18" s="147">
        <v>0</v>
      </c>
      <c r="V18" s="147">
        <v>0</v>
      </c>
      <c r="W18" s="147">
        <v>0</v>
      </c>
      <c r="X18" s="153">
        <v>0</v>
      </c>
    </row>
    <row r="19" spans="2:27" x14ac:dyDescent="0.2">
      <c r="B19" s="533" t="s">
        <v>43</v>
      </c>
      <c r="C19" s="174">
        <f t="shared" ref="C19:W19" si="3">SUM(C14:C18)</f>
        <v>0</v>
      </c>
      <c r="D19" s="174">
        <f t="shared" si="3"/>
        <v>0</v>
      </c>
      <c r="E19" s="174">
        <f t="shared" si="3"/>
        <v>0</v>
      </c>
      <c r="F19" s="174">
        <f t="shared" si="3"/>
        <v>0</v>
      </c>
      <c r="G19" s="174">
        <f t="shared" si="3"/>
        <v>0</v>
      </c>
      <c r="H19" s="174">
        <f t="shared" si="3"/>
        <v>0</v>
      </c>
      <c r="I19" s="174">
        <f t="shared" si="3"/>
        <v>0</v>
      </c>
      <c r="J19" s="174">
        <f t="shared" si="3"/>
        <v>0</v>
      </c>
      <c r="K19" s="174">
        <f t="shared" si="3"/>
        <v>0</v>
      </c>
      <c r="L19" s="174">
        <f t="shared" si="3"/>
        <v>0</v>
      </c>
      <c r="M19" s="174">
        <f t="shared" si="3"/>
        <v>0</v>
      </c>
      <c r="N19" s="174">
        <f t="shared" si="3"/>
        <v>0</v>
      </c>
      <c r="O19" s="174">
        <f t="shared" si="3"/>
        <v>0</v>
      </c>
      <c r="P19" s="174">
        <f t="shared" si="3"/>
        <v>0</v>
      </c>
      <c r="Q19" s="174">
        <f t="shared" si="3"/>
        <v>0</v>
      </c>
      <c r="R19" s="174">
        <f t="shared" si="3"/>
        <v>0</v>
      </c>
      <c r="S19" s="174">
        <f t="shared" si="3"/>
        <v>0</v>
      </c>
      <c r="T19" s="174">
        <f t="shared" si="3"/>
        <v>0</v>
      </c>
      <c r="U19" s="174">
        <f t="shared" si="3"/>
        <v>0</v>
      </c>
      <c r="V19" s="174">
        <f t="shared" si="3"/>
        <v>0</v>
      </c>
      <c r="W19" s="174">
        <f t="shared" si="3"/>
        <v>0</v>
      </c>
      <c r="X19" s="164">
        <f>SUM(X14:X18)</f>
        <v>0</v>
      </c>
    </row>
    <row r="20" spans="2:27" x14ac:dyDescent="0.2">
      <c r="B20" s="533" t="s">
        <v>191</v>
      </c>
      <c r="C20" s="165">
        <f ca="1">C19+C12</f>
        <v>0</v>
      </c>
      <c r="D20" s="165">
        <f t="shared" ref="D20:W20" ca="1" si="4">D19+D12</f>
        <v>-7984.8396873983047</v>
      </c>
      <c r="E20" s="165">
        <f t="shared" ca="1" si="4"/>
        <v>0</v>
      </c>
      <c r="F20" s="165">
        <f t="shared" ca="1" si="4"/>
        <v>0</v>
      </c>
      <c r="G20" s="165">
        <f t="shared" ca="1" si="4"/>
        <v>0</v>
      </c>
      <c r="H20" s="165">
        <f t="shared" ca="1" si="4"/>
        <v>0</v>
      </c>
      <c r="I20" s="165">
        <f t="shared" ca="1" si="4"/>
        <v>0</v>
      </c>
      <c r="J20" s="165">
        <f t="shared" ca="1" si="4"/>
        <v>0</v>
      </c>
      <c r="K20" s="165">
        <f t="shared" ca="1" si="4"/>
        <v>0</v>
      </c>
      <c r="L20" s="165">
        <f t="shared" ca="1" si="4"/>
        <v>0</v>
      </c>
      <c r="M20" s="165">
        <f t="shared" ca="1" si="4"/>
        <v>0</v>
      </c>
      <c r="N20" s="165">
        <f t="shared" ca="1" si="4"/>
        <v>0</v>
      </c>
      <c r="O20" s="165">
        <f t="shared" ca="1" si="4"/>
        <v>0</v>
      </c>
      <c r="P20" s="165">
        <f t="shared" ca="1" si="4"/>
        <v>0</v>
      </c>
      <c r="Q20" s="165">
        <f t="shared" ca="1" si="4"/>
        <v>0</v>
      </c>
      <c r="R20" s="165">
        <f t="shared" ca="1" si="4"/>
        <v>0</v>
      </c>
      <c r="S20" s="165">
        <f t="shared" ca="1" si="4"/>
        <v>0</v>
      </c>
      <c r="T20" s="165">
        <f t="shared" ca="1" si="4"/>
        <v>0</v>
      </c>
      <c r="U20" s="165">
        <f t="shared" ca="1" si="4"/>
        <v>0</v>
      </c>
      <c r="V20" s="165">
        <f t="shared" ca="1" si="4"/>
        <v>0</v>
      </c>
      <c r="W20" s="165">
        <f t="shared" ca="1" si="4"/>
        <v>0</v>
      </c>
      <c r="X20" s="166">
        <f ca="1">X19+X12</f>
        <v>34748.169213054447</v>
      </c>
    </row>
    <row r="21" spans="2:27" x14ac:dyDescent="0.2">
      <c r="B21" s="534" t="s">
        <v>126</v>
      </c>
      <c r="C21" s="147">
        <f>-SOCF!G35*'Valuation &amp; Sources &amp; Uses'!$D$7*Economics!C29</f>
        <v>0</v>
      </c>
      <c r="D21" s="147">
        <f>-SOCF!H35*'Valuation &amp; Sources &amp; Uses'!$D$7*Economics!D29</f>
        <v>0</v>
      </c>
      <c r="E21" s="147">
        <f ca="1">-SOCF!I35*'Valuation &amp; Sources &amp; Uses'!$D$7*Economics!E29</f>
        <v>0</v>
      </c>
      <c r="F21" s="147">
        <f ca="1">-SOCF!J35*'Valuation &amp; Sources &amp; Uses'!$D$7*Economics!F29</f>
        <v>0</v>
      </c>
      <c r="G21" s="147">
        <f ca="1">-SOCF!K35*'Valuation &amp; Sources &amp; Uses'!$D$7*Economics!G29</f>
        <v>0</v>
      </c>
      <c r="H21" s="147">
        <f ca="1">-SOCF!L35*'Valuation &amp; Sources &amp; Uses'!$D$7*Economics!H29</f>
        <v>9.9191889565473943</v>
      </c>
      <c r="I21" s="147">
        <f ca="1">-SOCF!M35*'Valuation &amp; Sources &amp; Uses'!$D$7*Economics!I29</f>
        <v>622.21823506513385</v>
      </c>
      <c r="J21" s="147">
        <f ca="1">-SOCF!N35*'Valuation &amp; Sources &amp; Uses'!$D$7*Economics!J29</f>
        <v>16.925251748932361</v>
      </c>
      <c r="K21" s="147">
        <f ca="1">-SOCF!O35*'Valuation &amp; Sources &amp; Uses'!$D$7*Economics!K29</f>
        <v>85.667365383074781</v>
      </c>
      <c r="L21" s="147">
        <f ca="1">-SOCF!P35*'Valuation &amp; Sources &amp; Uses'!$D$7*Economics!L29</f>
        <v>166.98536169705383</v>
      </c>
      <c r="M21" s="147">
        <f ca="1">-SOCF!Q35*'Valuation &amp; Sources &amp; Uses'!$D$7*Economics!M29</f>
        <v>772.23389407829688</v>
      </c>
      <c r="N21" s="147">
        <f ca="1">-SOCF!R35*'Valuation &amp; Sources &amp; Uses'!$D$7*Economics!N29</f>
        <v>49.657006837968069</v>
      </c>
      <c r="O21" s="147">
        <f ca="1">-SOCF!S35*'Valuation &amp; Sources &amp; Uses'!$D$7*Economics!O29</f>
        <v>125.13311071110495</v>
      </c>
      <c r="P21" s="147">
        <f ca="1">-SOCF!T35*'Valuation &amp; Sources &amp; Uses'!$D$7*Economics!P29</f>
        <v>215.54380426963584</v>
      </c>
      <c r="Q21" s="147">
        <f ca="1">-SOCF!U35*'Valuation &amp; Sources &amp; Uses'!$D$7*Economics!Q29</f>
        <v>884.56810877489613</v>
      </c>
      <c r="R21" s="147">
        <f ca="1">-SOCF!V35*'Valuation &amp; Sources &amp; Uses'!$D$7*Economics!R29</f>
        <v>123.8337260574903</v>
      </c>
      <c r="S21" s="147">
        <f ca="1">-SOCF!W35*'Valuation &amp; Sources &amp; Uses'!$D$7*Economics!S29</f>
        <v>205.53238652557252</v>
      </c>
      <c r="T21" s="147">
        <f ca="1">-SOCF!X35*'Valuation &amp; Sources &amp; Uses'!$D$7*Economics!T29</f>
        <v>303.36271045468908</v>
      </c>
      <c r="U21" s="147">
        <f ca="1">-SOCF!Y35*'Valuation &amp; Sources &amp; Uses'!$D$7*Economics!U29</f>
        <v>1024.897906650483</v>
      </c>
      <c r="V21" s="147">
        <f ca="1">-SOCF!Z35*'Valuation &amp; Sources &amp; Uses'!$D$7*Economics!V29</f>
        <v>207.17082006439344</v>
      </c>
      <c r="W21" s="147">
        <f ca="1">-SOCF!AA35*'Valuation &amp; Sources &amp; Uses'!$D$7*Economics!W29</f>
        <v>311.05687600480962</v>
      </c>
      <c r="X21" s="147">
        <f ca="1">-SOCF!AB35*'Valuation &amp; Sources &amp; Uses'!$D$7*Economics!X29</f>
        <v>333.5750687156854</v>
      </c>
    </row>
    <row r="22" spans="2:27" x14ac:dyDescent="0.2">
      <c r="B22" s="533" t="s">
        <v>189</v>
      </c>
      <c r="C22" s="165">
        <f ca="1">SUM(C20:C21)</f>
        <v>0</v>
      </c>
      <c r="D22" s="165">
        <f t="shared" ref="D22:W22" ca="1" si="5">SUM(D20:D21)</f>
        <v>-7984.8396873983047</v>
      </c>
      <c r="E22" s="165">
        <f t="shared" ca="1" si="5"/>
        <v>0</v>
      </c>
      <c r="F22" s="165">
        <f t="shared" ca="1" si="5"/>
        <v>0</v>
      </c>
      <c r="G22" s="165">
        <f t="shared" ca="1" si="5"/>
        <v>0</v>
      </c>
      <c r="H22" s="165">
        <f t="shared" ca="1" si="5"/>
        <v>9.9191889565473943</v>
      </c>
      <c r="I22" s="165">
        <f t="shared" ca="1" si="5"/>
        <v>622.21823506513385</v>
      </c>
      <c r="J22" s="165">
        <f t="shared" ca="1" si="5"/>
        <v>16.925251748932361</v>
      </c>
      <c r="K22" s="165">
        <f t="shared" ca="1" si="5"/>
        <v>85.667365383074781</v>
      </c>
      <c r="L22" s="165">
        <f t="shared" ca="1" si="5"/>
        <v>166.98536169705383</v>
      </c>
      <c r="M22" s="165">
        <f t="shared" ca="1" si="5"/>
        <v>772.23389407829688</v>
      </c>
      <c r="N22" s="165">
        <f t="shared" ca="1" si="5"/>
        <v>49.657006837968069</v>
      </c>
      <c r="O22" s="165">
        <f t="shared" ca="1" si="5"/>
        <v>125.13311071110495</v>
      </c>
      <c r="P22" s="165">
        <f t="shared" ca="1" si="5"/>
        <v>215.54380426963584</v>
      </c>
      <c r="Q22" s="165">
        <f t="shared" ca="1" si="5"/>
        <v>884.56810877489613</v>
      </c>
      <c r="R22" s="165">
        <f t="shared" ca="1" si="5"/>
        <v>123.8337260574903</v>
      </c>
      <c r="S22" s="165">
        <f t="shared" ca="1" si="5"/>
        <v>205.53238652557252</v>
      </c>
      <c r="T22" s="165">
        <f t="shared" ca="1" si="5"/>
        <v>303.36271045468908</v>
      </c>
      <c r="U22" s="165">
        <f t="shared" ca="1" si="5"/>
        <v>1024.897906650483</v>
      </c>
      <c r="V22" s="165">
        <f t="shared" ca="1" si="5"/>
        <v>207.17082006439344</v>
      </c>
      <c r="W22" s="165">
        <f t="shared" ca="1" si="5"/>
        <v>311.05687600480962</v>
      </c>
      <c r="X22" s="166">
        <f ca="1">SUM(X20:X21)</f>
        <v>35081.74428177013</v>
      </c>
    </row>
    <row r="23" spans="2:27" ht="13.5" outlineLevel="1" thickBot="1" x14ac:dyDescent="0.25">
      <c r="B23" s="535" t="s">
        <v>190</v>
      </c>
      <c r="C23" s="536">
        <f ca="1">XIRR(D22:X22,D6:X6)</f>
        <v>0.41613995432853701</v>
      </c>
      <c r="D23" s="523"/>
      <c r="E23" s="523"/>
      <c r="F23" s="523"/>
      <c r="G23" s="523"/>
      <c r="H23" s="523"/>
      <c r="I23" s="523"/>
      <c r="J23" s="523"/>
      <c r="K23" s="523"/>
      <c r="L23" s="184"/>
      <c r="M23" s="184"/>
      <c r="N23" s="184"/>
      <c r="O23" s="184"/>
      <c r="P23" s="184"/>
      <c r="Q23" s="184"/>
      <c r="R23" s="184"/>
      <c r="S23" s="184"/>
      <c r="T23" s="184"/>
      <c r="U23" s="184"/>
      <c r="V23" s="184"/>
      <c r="W23" s="184"/>
      <c r="X23" s="224"/>
    </row>
    <row r="24" spans="2:27" outlineLevel="1" x14ac:dyDescent="0.2">
      <c r="C24" s="229"/>
      <c r="D24" s="529"/>
      <c r="E24" s="529"/>
      <c r="F24" s="529"/>
      <c r="G24" s="529"/>
      <c r="H24" s="529"/>
      <c r="I24" s="229"/>
      <c r="J24" s="229"/>
      <c r="K24" s="229"/>
    </row>
    <row r="25" spans="2:27" outlineLevel="1" x14ac:dyDescent="0.2">
      <c r="B25" s="225"/>
      <c r="C25" s="537"/>
      <c r="D25" s="529"/>
      <c r="E25" s="529"/>
      <c r="F25" s="529"/>
      <c r="G25" s="529"/>
      <c r="H25" s="529"/>
      <c r="I25" s="229"/>
      <c r="J25" s="229"/>
      <c r="K25" s="229"/>
      <c r="Q25" s="538" t="s">
        <v>394</v>
      </c>
    </row>
    <row r="26" spans="2:27" x14ac:dyDescent="0.2">
      <c r="B26" s="106" t="s">
        <v>40</v>
      </c>
      <c r="C26" s="163">
        <f>-C8</f>
        <v>0</v>
      </c>
      <c r="Q26" s="538"/>
    </row>
    <row r="27" spans="2:27" x14ac:dyDescent="0.2">
      <c r="B27" s="106" t="s">
        <v>391</v>
      </c>
      <c r="C27" s="163">
        <f>-C26</f>
        <v>0</v>
      </c>
      <c r="D27" s="163">
        <f ca="1">C27+D22</f>
        <v>-7984.8396873983047</v>
      </c>
      <c r="E27" s="163">
        <f t="shared" ref="E27:X27" ca="1" si="6">D27+E22</f>
        <v>-7984.8396873983047</v>
      </c>
      <c r="F27" s="163">
        <f t="shared" ca="1" si="6"/>
        <v>-7984.8396873983047</v>
      </c>
      <c r="G27" s="163">
        <f t="shared" ca="1" si="6"/>
        <v>-7984.8396873983047</v>
      </c>
      <c r="H27" s="163">
        <f t="shared" ca="1" si="6"/>
        <v>-7974.9204984417574</v>
      </c>
      <c r="I27" s="163">
        <f t="shared" ca="1" si="6"/>
        <v>-7352.7022633766237</v>
      </c>
      <c r="J27" s="163">
        <f t="shared" ca="1" si="6"/>
        <v>-7335.7770116276915</v>
      </c>
      <c r="K27" s="163">
        <f t="shared" ca="1" si="6"/>
        <v>-7250.1096462446167</v>
      </c>
      <c r="L27" s="163">
        <f t="shared" ca="1" si="6"/>
        <v>-7083.1242845475626</v>
      </c>
      <c r="M27" s="163">
        <f t="shared" ca="1" si="6"/>
        <v>-6310.8903904692661</v>
      </c>
      <c r="N27" s="163">
        <f t="shared" ca="1" si="6"/>
        <v>-6261.2333836312982</v>
      </c>
      <c r="O27" s="163">
        <f t="shared" ca="1" si="6"/>
        <v>-6136.1002729201937</v>
      </c>
      <c r="P27" s="163">
        <f t="shared" ca="1" si="6"/>
        <v>-5920.5564686505577</v>
      </c>
      <c r="Q27" s="163">
        <f t="shared" ca="1" si="6"/>
        <v>-5035.9883598756614</v>
      </c>
      <c r="R27" s="163">
        <f t="shared" ca="1" si="6"/>
        <v>-4912.1546338181715</v>
      </c>
      <c r="S27" s="163">
        <f t="shared" ca="1" si="6"/>
        <v>-4706.6222472925992</v>
      </c>
      <c r="T27" s="163">
        <f t="shared" ca="1" si="6"/>
        <v>-4403.2595368379098</v>
      </c>
      <c r="U27" s="163">
        <f t="shared" ca="1" si="6"/>
        <v>-3378.3616301874267</v>
      </c>
      <c r="V27" s="163">
        <f t="shared" ca="1" si="6"/>
        <v>-3171.1908101230333</v>
      </c>
      <c r="W27" s="163">
        <f t="shared" ca="1" si="6"/>
        <v>-2860.1339341182238</v>
      </c>
      <c r="X27" s="163">
        <f t="shared" ca="1" si="6"/>
        <v>32221.610347651906</v>
      </c>
      <c r="Z27" s="106" t="s">
        <v>467</v>
      </c>
      <c r="AA27" s="527">
        <f ca="1">(-W27/(X27-W27))</f>
        <v>8.1527700308917164E-2</v>
      </c>
    </row>
    <row r="28" spans="2:27" x14ac:dyDescent="0.2">
      <c r="B28" s="106" t="s">
        <v>392</v>
      </c>
      <c r="C28" s="106">
        <f>IF(C27&lt;0,0,1)</f>
        <v>1</v>
      </c>
      <c r="D28" s="106">
        <f t="shared" ref="D28:W28" ca="1" si="7">IF(D27&lt;0,0,1)</f>
        <v>0</v>
      </c>
      <c r="E28" s="106">
        <f t="shared" ca="1" si="7"/>
        <v>0</v>
      </c>
      <c r="F28" s="106">
        <f t="shared" ca="1" si="7"/>
        <v>0</v>
      </c>
      <c r="G28" s="106">
        <f t="shared" ca="1" si="7"/>
        <v>0</v>
      </c>
      <c r="H28" s="106">
        <f t="shared" ca="1" si="7"/>
        <v>0</v>
      </c>
      <c r="I28" s="106">
        <f t="shared" ca="1" si="7"/>
        <v>0</v>
      </c>
      <c r="J28" s="106">
        <f t="shared" ca="1" si="7"/>
        <v>0</v>
      </c>
      <c r="K28" s="106">
        <f t="shared" ca="1" si="7"/>
        <v>0</v>
      </c>
      <c r="L28" s="106">
        <f t="shared" ca="1" si="7"/>
        <v>0</v>
      </c>
      <c r="M28" s="106">
        <f t="shared" ca="1" si="7"/>
        <v>0</v>
      </c>
      <c r="N28" s="106">
        <f t="shared" ca="1" si="7"/>
        <v>0</v>
      </c>
      <c r="O28" s="106">
        <f t="shared" ca="1" si="7"/>
        <v>0</v>
      </c>
      <c r="P28" s="106">
        <f t="shared" ca="1" si="7"/>
        <v>0</v>
      </c>
      <c r="Q28" s="106">
        <f t="shared" ca="1" si="7"/>
        <v>0</v>
      </c>
      <c r="R28" s="106">
        <f t="shared" ca="1" si="7"/>
        <v>0</v>
      </c>
      <c r="S28" s="106">
        <f t="shared" ca="1" si="7"/>
        <v>0</v>
      </c>
      <c r="T28" s="106">
        <f t="shared" ca="1" si="7"/>
        <v>0</v>
      </c>
      <c r="U28" s="106">
        <f t="shared" ca="1" si="7"/>
        <v>0</v>
      </c>
      <c r="V28" s="106">
        <f t="shared" ca="1" si="7"/>
        <v>0</v>
      </c>
      <c r="W28" s="106">
        <f t="shared" ca="1" si="7"/>
        <v>0</v>
      </c>
      <c r="X28" s="106">
        <f ca="1">IF(X27&lt;0,0,1)</f>
        <v>1</v>
      </c>
    </row>
    <row r="29" spans="2:27" x14ac:dyDescent="0.2">
      <c r="B29" s="106" t="s">
        <v>393</v>
      </c>
      <c r="E29" s="528">
        <f ca="1">IF(E28=1,(1-'Valuation &amp; Sources &amp; Uses'!$C$20),1)</f>
        <v>1</v>
      </c>
      <c r="F29" s="528">
        <f ca="1">IF(F28=1,(1-'Valuation &amp; Sources &amp; Uses'!$C$20),1)</f>
        <v>1</v>
      </c>
      <c r="G29" s="528">
        <f ca="1">IF(G28=1,(1-'Valuation &amp; Sources &amp; Uses'!$C$20),1)</f>
        <v>1</v>
      </c>
      <c r="H29" s="528">
        <f ca="1">IF(H28=1,(1-'Valuation &amp; Sources &amp; Uses'!$C$20),1)</f>
        <v>1</v>
      </c>
      <c r="I29" s="528">
        <f ca="1">IF(I28=1,(1-'Valuation &amp; Sources &amp; Uses'!$C$20),1)</f>
        <v>1</v>
      </c>
      <c r="J29" s="528">
        <f ca="1">IF(J28=1,(1-'Valuation &amp; Sources &amp; Uses'!$C$20),1)</f>
        <v>1</v>
      </c>
      <c r="K29" s="528">
        <f ca="1">IF(K28=1,(1-'Valuation &amp; Sources &amp; Uses'!$C$20),1)</f>
        <v>1</v>
      </c>
      <c r="L29" s="528">
        <f ca="1">IF(L28=1,(1-'Valuation &amp; Sources &amp; Uses'!$C$20),1)</f>
        <v>1</v>
      </c>
      <c r="M29" s="528">
        <f ca="1">IF(M28=1,(1-'Valuation &amp; Sources &amp; Uses'!$C$20),1)</f>
        <v>1</v>
      </c>
      <c r="N29" s="528">
        <f ca="1">IF(N28=1,(1-'Valuation &amp; Sources &amp; Uses'!$C$20),1)</f>
        <v>1</v>
      </c>
      <c r="O29" s="528">
        <f ca="1">IF(O28=1,(1-'Valuation &amp; Sources &amp; Uses'!$C$20),1)</f>
        <v>1</v>
      </c>
      <c r="P29" s="528">
        <f ca="1">IF(P28=1,(1-'Valuation &amp; Sources &amp; Uses'!$C$20),1)</f>
        <v>1</v>
      </c>
      <c r="Q29" s="528">
        <f ca="1">IF(Q28=1,(1-'Valuation &amp; Sources &amp; Uses'!$C$20),1)</f>
        <v>1</v>
      </c>
      <c r="R29" s="528">
        <f ca="1">IF(R28=1,(1-'Valuation &amp; Sources &amp; Uses'!$C$20),1)</f>
        <v>1</v>
      </c>
      <c r="S29" s="528">
        <f ca="1">IF(S28=1,(1-'Valuation &amp; Sources &amp; Uses'!$C$20),1)</f>
        <v>1</v>
      </c>
      <c r="T29" s="528">
        <f ca="1">IF(T28=1,(1-'Valuation &amp; Sources &amp; Uses'!$C$20),1)</f>
        <v>1</v>
      </c>
      <c r="U29" s="528">
        <f ca="1">IF(U28=1,(1-'Valuation &amp; Sources &amp; Uses'!$C$20),1)</f>
        <v>1</v>
      </c>
      <c r="V29" s="528">
        <f ca="1">IF(V28=1,(1-'Valuation &amp; Sources &amp; Uses'!$C$20),1)</f>
        <v>1</v>
      </c>
      <c r="W29" s="528">
        <f ca="1">IF(W28=1,(1-'Valuation &amp; Sources &amp; Uses'!$C$20),1)</f>
        <v>1</v>
      </c>
      <c r="X29" s="528">
        <f ca="1">IF(X28=1,(1-'Valuation &amp; Sources &amp; Uses'!$C$20),1)</f>
        <v>0.8</v>
      </c>
    </row>
    <row r="33" spans="23:24" x14ac:dyDescent="0.2">
      <c r="W33" s="106" t="s">
        <v>496</v>
      </c>
      <c r="X33" s="822">
        <f ca="1">'Valuation &amp; Sources &amp; Uses'!C12*'Valuation &amp; Sources &amp; Uses'!AD21+'Summary Balance Sheet'!AN6-'Summary Balance Sheet'!AN38-'Summary Balance Sheet'!AN39-'Summary Balance Sheet'!AN40</f>
        <v>54997.346385620673</v>
      </c>
    </row>
    <row r="34" spans="23:24" x14ac:dyDescent="0.2">
      <c r="X34" s="822">
        <f ca="1">X33*'Valuation &amp; Sources &amp; Uses'!D4</f>
        <v>0</v>
      </c>
    </row>
  </sheetData>
  <pageMargins left="0.25" right="0.25" top="0.75" bottom="0.75" header="0.3" footer="0.3"/>
  <pageSetup scale="57"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54"/>
  <sheetViews>
    <sheetView showGridLines="0" topLeftCell="A4" zoomScale="85" zoomScaleNormal="85" workbookViewId="0">
      <pane xSplit="4" ySplit="7" topLeftCell="E32" activePane="bottomRight" state="frozen"/>
      <selection pane="topRight"/>
      <selection pane="bottomLeft"/>
      <selection pane="bottomRight" activeCell="E42" sqref="E42"/>
    </sheetView>
  </sheetViews>
  <sheetFormatPr defaultColWidth="9.140625" defaultRowHeight="15" outlineLevelRow="1" x14ac:dyDescent="0.25"/>
  <cols>
    <col min="1" max="1" width="2.85546875" style="13" customWidth="1"/>
    <col min="2" max="2" width="9.140625" style="13"/>
    <col min="3" max="3" width="35.85546875" style="13" customWidth="1"/>
    <col min="4" max="4" width="8.28515625" style="13" bestFit="1" customWidth="1"/>
    <col min="5" max="24" width="12.140625" style="13" customWidth="1"/>
    <col min="25" max="16384" width="9.140625" style="13"/>
  </cols>
  <sheetData>
    <row r="1" spans="1:24" x14ac:dyDescent="0.25">
      <c r="A1" s="13" t="e">
        <f>#REF!</f>
        <v>#REF!</v>
      </c>
    </row>
    <row r="2" spans="1:24" x14ac:dyDescent="0.25">
      <c r="A2" s="13" t="str">
        <f ca="1">REPLACE(CELL("filename",B2),1,FIND("]",CELL("filename",B2)),"")</f>
        <v>Covenants</v>
      </c>
    </row>
    <row r="3" spans="1:24" x14ac:dyDescent="0.25">
      <c r="A3" s="13" t="e">
        <f>#REF!</f>
        <v>#REF!</v>
      </c>
    </row>
    <row r="4" spans="1:24" ht="15.75" customHeight="1" x14ac:dyDescent="0.25"/>
    <row r="5" spans="1:24" x14ac:dyDescent="0.25">
      <c r="E5" s="10">
        <f>YEAR(E10)</f>
        <v>2015</v>
      </c>
      <c r="F5" s="10">
        <f t="shared" ref="F5:X5" si="0">YEAR(F10)</f>
        <v>2015</v>
      </c>
      <c r="G5" s="10">
        <f t="shared" si="0"/>
        <v>2015</v>
      </c>
      <c r="H5" s="10">
        <f t="shared" si="0"/>
        <v>2015</v>
      </c>
      <c r="I5" s="10">
        <f t="shared" si="0"/>
        <v>2016</v>
      </c>
      <c r="J5" s="10">
        <f t="shared" si="0"/>
        <v>2016</v>
      </c>
      <c r="K5" s="10">
        <f t="shared" si="0"/>
        <v>2016</v>
      </c>
      <c r="L5" s="10">
        <f t="shared" si="0"/>
        <v>2016</v>
      </c>
      <c r="M5" s="10">
        <f t="shared" si="0"/>
        <v>2017</v>
      </c>
      <c r="N5" s="10">
        <f t="shared" si="0"/>
        <v>2017</v>
      </c>
      <c r="O5" s="10">
        <f t="shared" si="0"/>
        <v>2017</v>
      </c>
      <c r="P5" s="10">
        <f t="shared" si="0"/>
        <v>2017</v>
      </c>
      <c r="Q5" s="10">
        <f t="shared" si="0"/>
        <v>2018</v>
      </c>
      <c r="R5" s="10">
        <f t="shared" si="0"/>
        <v>2018</v>
      </c>
      <c r="S5" s="10">
        <f t="shared" si="0"/>
        <v>2018</v>
      </c>
      <c r="T5" s="10">
        <f t="shared" si="0"/>
        <v>2018</v>
      </c>
      <c r="U5" s="10">
        <f t="shared" si="0"/>
        <v>2019</v>
      </c>
      <c r="V5" s="10">
        <f t="shared" si="0"/>
        <v>2019</v>
      </c>
      <c r="W5" s="10">
        <f t="shared" si="0"/>
        <v>2019</v>
      </c>
      <c r="X5" s="10">
        <f t="shared" si="0"/>
        <v>2019</v>
      </c>
    </row>
    <row r="6" spans="1:24" x14ac:dyDescent="0.25">
      <c r="E6" s="10">
        <f>ROUNDUP(MONTH(E8)/3,0)</f>
        <v>1</v>
      </c>
      <c r="F6" s="10">
        <f t="shared" ref="F6:X6" si="1">ROUNDUP(MONTH(F8)/3,0)</f>
        <v>2</v>
      </c>
      <c r="G6" s="10">
        <f t="shared" si="1"/>
        <v>3</v>
      </c>
      <c r="H6" s="10">
        <f t="shared" si="1"/>
        <v>4</v>
      </c>
      <c r="I6" s="10">
        <f>ROUNDUP(MONTH(I8)/3,0)</f>
        <v>1</v>
      </c>
      <c r="J6" s="10">
        <f t="shared" si="1"/>
        <v>2</v>
      </c>
      <c r="K6" s="10">
        <f t="shared" si="1"/>
        <v>3</v>
      </c>
      <c r="L6" s="10">
        <f t="shared" si="1"/>
        <v>4</v>
      </c>
      <c r="M6" s="10">
        <f>ROUNDUP(MONTH(M8)/3,0)</f>
        <v>1</v>
      </c>
      <c r="N6" s="10">
        <f t="shared" si="1"/>
        <v>2</v>
      </c>
      <c r="O6" s="10">
        <f t="shared" si="1"/>
        <v>3</v>
      </c>
      <c r="P6" s="10">
        <f t="shared" si="1"/>
        <v>4</v>
      </c>
      <c r="Q6" s="10">
        <f>ROUNDUP(MONTH(Q8)/3,0)</f>
        <v>1</v>
      </c>
      <c r="R6" s="10">
        <f t="shared" si="1"/>
        <v>2</v>
      </c>
      <c r="S6" s="10">
        <f t="shared" si="1"/>
        <v>3</v>
      </c>
      <c r="T6" s="10">
        <f t="shared" si="1"/>
        <v>4</v>
      </c>
      <c r="U6" s="10">
        <f>ROUNDUP(MONTH(U8)/3,0)</f>
        <v>1</v>
      </c>
      <c r="V6" s="10">
        <f t="shared" si="1"/>
        <v>2</v>
      </c>
      <c r="W6" s="10">
        <f t="shared" si="1"/>
        <v>3</v>
      </c>
      <c r="X6" s="10">
        <f t="shared" si="1"/>
        <v>4</v>
      </c>
    </row>
    <row r="7" spans="1:24" x14ac:dyDescent="0.25">
      <c r="E7" s="10">
        <f t="shared" ref="E7:X7" si="2">YEAR(E8)</f>
        <v>2015</v>
      </c>
      <c r="F7" s="10">
        <f t="shared" si="2"/>
        <v>2015</v>
      </c>
      <c r="G7" s="10">
        <f t="shared" si="2"/>
        <v>2015</v>
      </c>
      <c r="H7" s="10">
        <f t="shared" si="2"/>
        <v>2015</v>
      </c>
      <c r="I7" s="10">
        <f t="shared" si="2"/>
        <v>2016</v>
      </c>
      <c r="J7" s="10">
        <f t="shared" si="2"/>
        <v>2016</v>
      </c>
      <c r="K7" s="10">
        <f t="shared" si="2"/>
        <v>2016</v>
      </c>
      <c r="L7" s="10">
        <f t="shared" si="2"/>
        <v>2016</v>
      </c>
      <c r="M7" s="10">
        <f t="shared" si="2"/>
        <v>2017</v>
      </c>
      <c r="N7" s="10">
        <f t="shared" si="2"/>
        <v>2017</v>
      </c>
      <c r="O7" s="10">
        <f t="shared" si="2"/>
        <v>2017</v>
      </c>
      <c r="P7" s="10">
        <f t="shared" si="2"/>
        <v>2017</v>
      </c>
      <c r="Q7" s="10">
        <f t="shared" si="2"/>
        <v>2018</v>
      </c>
      <c r="R7" s="10">
        <f t="shared" si="2"/>
        <v>2018</v>
      </c>
      <c r="S7" s="10">
        <f t="shared" si="2"/>
        <v>2018</v>
      </c>
      <c r="T7" s="10">
        <f t="shared" si="2"/>
        <v>2018</v>
      </c>
      <c r="U7" s="10">
        <f t="shared" si="2"/>
        <v>2019</v>
      </c>
      <c r="V7" s="10">
        <f t="shared" si="2"/>
        <v>2019</v>
      </c>
      <c r="W7" s="10">
        <f t="shared" si="2"/>
        <v>2019</v>
      </c>
      <c r="X7" s="10">
        <f t="shared" si="2"/>
        <v>2019</v>
      </c>
    </row>
    <row r="8" spans="1:24" x14ac:dyDescent="0.25">
      <c r="E8" s="12">
        <f>E10</f>
        <v>42094</v>
      </c>
      <c r="F8" s="12">
        <f>F10</f>
        <v>42185</v>
      </c>
      <c r="G8" s="12">
        <f t="shared" ref="G8:X8" si="3">G10</f>
        <v>42277</v>
      </c>
      <c r="H8" s="12">
        <f t="shared" si="3"/>
        <v>42369</v>
      </c>
      <c r="I8" s="12">
        <f t="shared" si="3"/>
        <v>42460</v>
      </c>
      <c r="J8" s="12">
        <f t="shared" si="3"/>
        <v>42551</v>
      </c>
      <c r="K8" s="12">
        <f t="shared" si="3"/>
        <v>42643</v>
      </c>
      <c r="L8" s="12">
        <f t="shared" si="3"/>
        <v>42735</v>
      </c>
      <c r="M8" s="12">
        <f t="shared" si="3"/>
        <v>42825</v>
      </c>
      <c r="N8" s="12">
        <f t="shared" si="3"/>
        <v>42916</v>
      </c>
      <c r="O8" s="12">
        <f t="shared" si="3"/>
        <v>43008</v>
      </c>
      <c r="P8" s="12">
        <f t="shared" si="3"/>
        <v>43100</v>
      </c>
      <c r="Q8" s="12">
        <f t="shared" si="3"/>
        <v>43190</v>
      </c>
      <c r="R8" s="12">
        <f t="shared" si="3"/>
        <v>43281</v>
      </c>
      <c r="S8" s="12">
        <f t="shared" si="3"/>
        <v>43373</v>
      </c>
      <c r="T8" s="12">
        <f t="shared" si="3"/>
        <v>43465</v>
      </c>
      <c r="U8" s="12">
        <f t="shared" si="3"/>
        <v>43555</v>
      </c>
      <c r="V8" s="12">
        <f t="shared" si="3"/>
        <v>43646</v>
      </c>
      <c r="W8" s="12">
        <f t="shared" si="3"/>
        <v>43738</v>
      </c>
      <c r="X8" s="12">
        <f t="shared" si="3"/>
        <v>43830</v>
      </c>
    </row>
    <row r="9" spans="1:24" ht="18" x14ac:dyDescent="0.45">
      <c r="E9" s="11"/>
      <c r="F9" s="11"/>
      <c r="G9" s="11"/>
      <c r="H9" s="11"/>
      <c r="I9" s="11"/>
      <c r="J9" s="11"/>
      <c r="K9" s="11"/>
      <c r="L9" s="11"/>
      <c r="M9" s="11"/>
      <c r="N9" s="11"/>
      <c r="O9" s="11"/>
      <c r="P9" s="11"/>
      <c r="Q9" s="11"/>
      <c r="R9" s="11"/>
      <c r="S9" s="11"/>
      <c r="T9" s="11"/>
      <c r="U9" s="11"/>
      <c r="V9" s="11"/>
      <c r="W9" s="11"/>
      <c r="X9" s="11"/>
    </row>
    <row r="10" spans="1:24" ht="15.75" x14ac:dyDescent="0.3">
      <c r="E10" s="8">
        <v>42094</v>
      </c>
      <c r="F10" s="8">
        <f>EOMONTH(E10,3)</f>
        <v>42185</v>
      </c>
      <c r="G10" s="8">
        <f t="shared" ref="G10:X10" si="4">EOMONTH(F10,3)</f>
        <v>42277</v>
      </c>
      <c r="H10" s="8">
        <f t="shared" si="4"/>
        <v>42369</v>
      </c>
      <c r="I10" s="8">
        <f t="shared" si="4"/>
        <v>42460</v>
      </c>
      <c r="J10" s="8">
        <f t="shared" si="4"/>
        <v>42551</v>
      </c>
      <c r="K10" s="8">
        <f t="shared" si="4"/>
        <v>42643</v>
      </c>
      <c r="L10" s="8">
        <f t="shared" si="4"/>
        <v>42735</v>
      </c>
      <c r="M10" s="8">
        <f t="shared" si="4"/>
        <v>42825</v>
      </c>
      <c r="N10" s="8">
        <f t="shared" si="4"/>
        <v>42916</v>
      </c>
      <c r="O10" s="8">
        <f t="shared" si="4"/>
        <v>43008</v>
      </c>
      <c r="P10" s="8">
        <f t="shared" si="4"/>
        <v>43100</v>
      </c>
      <c r="Q10" s="8">
        <f t="shared" si="4"/>
        <v>43190</v>
      </c>
      <c r="R10" s="8">
        <f t="shared" si="4"/>
        <v>43281</v>
      </c>
      <c r="S10" s="8">
        <f t="shared" si="4"/>
        <v>43373</v>
      </c>
      <c r="T10" s="8">
        <f t="shared" si="4"/>
        <v>43465</v>
      </c>
      <c r="U10" s="8">
        <f t="shared" si="4"/>
        <v>43555</v>
      </c>
      <c r="V10" s="8">
        <f t="shared" si="4"/>
        <v>43646</v>
      </c>
      <c r="W10" s="8">
        <f t="shared" si="4"/>
        <v>43738</v>
      </c>
      <c r="X10" s="8">
        <f t="shared" si="4"/>
        <v>43830</v>
      </c>
    </row>
    <row r="11" spans="1:24" x14ac:dyDescent="0.25">
      <c r="B11" s="13" t="s">
        <v>228</v>
      </c>
    </row>
    <row r="12" spans="1:24" ht="15.75" thickBot="1" x14ac:dyDescent="0.3">
      <c r="B12" s="40" t="s">
        <v>257</v>
      </c>
    </row>
    <row r="13" spans="1:24" ht="15.75" thickBot="1" x14ac:dyDescent="0.3">
      <c r="C13" s="13" t="s">
        <v>238</v>
      </c>
      <c r="D13" s="23" t="e">
        <f>'Valuation &amp; Sources &amp; Uses'!#REF!</f>
        <v>#REF!</v>
      </c>
    </row>
    <row r="14" spans="1:24" ht="48.75" customHeight="1" x14ac:dyDescent="0.25">
      <c r="A14" s="13">
        <v>1</v>
      </c>
      <c r="C14" s="22" t="s">
        <v>235</v>
      </c>
      <c r="D14" s="22"/>
      <c r="E14" s="17" t="e">
        <f>SUM(SOCF!#REF!,SOCF!#REF!,SOCF!#REF!)+SUM('Debt and Spec. Dist'!#REF!)</f>
        <v>#REF!</v>
      </c>
      <c r="F14" s="17" t="e">
        <f>#REF!</f>
        <v>#REF!</v>
      </c>
      <c r="G14" s="17" t="e">
        <f>#REF!</f>
        <v>#REF!</v>
      </c>
      <c r="H14" s="17" t="e">
        <f>#REF!</f>
        <v>#REF!</v>
      </c>
      <c r="I14" s="17" t="e">
        <f>#REF!</f>
        <v>#REF!</v>
      </c>
      <c r="J14" s="17" t="e">
        <f>#REF!</f>
        <v>#REF!</v>
      </c>
      <c r="K14" s="17" t="e">
        <f>#REF!</f>
        <v>#REF!</v>
      </c>
      <c r="L14" s="17" t="e">
        <f>#REF!</f>
        <v>#REF!</v>
      </c>
      <c r="M14" s="17" t="e">
        <f>#REF!</f>
        <v>#REF!</v>
      </c>
      <c r="N14" s="17" t="e">
        <f>#REF!</f>
        <v>#REF!</v>
      </c>
      <c r="O14" s="17" t="e">
        <f>#REF!</f>
        <v>#REF!</v>
      </c>
      <c r="P14" s="17" t="e">
        <f>#REF!</f>
        <v>#REF!</v>
      </c>
      <c r="Q14" s="17" t="e">
        <f>#REF!</f>
        <v>#REF!</v>
      </c>
      <c r="R14" s="17" t="e">
        <f>#REF!</f>
        <v>#REF!</v>
      </c>
      <c r="S14" s="17" t="e">
        <f>#REF!</f>
        <v>#REF!</v>
      </c>
      <c r="T14" s="17" t="e">
        <f>#REF!</f>
        <v>#REF!</v>
      </c>
      <c r="U14" s="17" t="e">
        <f>#REF!</f>
        <v>#REF!</v>
      </c>
      <c r="V14" s="17" t="e">
        <f>#REF!</f>
        <v>#REF!</v>
      </c>
      <c r="W14" s="17" t="e">
        <f>#REF!</f>
        <v>#REF!</v>
      </c>
      <c r="X14" s="17" t="e">
        <f>#REF!</f>
        <v>#REF!</v>
      </c>
    </row>
    <row r="15" spans="1:24" x14ac:dyDescent="0.25">
      <c r="A15" s="13">
        <v>2</v>
      </c>
      <c r="B15" s="14" t="s">
        <v>229</v>
      </c>
      <c r="C15" s="13" t="s">
        <v>230</v>
      </c>
      <c r="E15" s="17" t="e">
        <f>#REF!</f>
        <v>#REF!</v>
      </c>
      <c r="F15" s="17" t="e">
        <f>#REF!</f>
        <v>#REF!</v>
      </c>
      <c r="G15" s="17" t="e">
        <f>#REF!</f>
        <v>#REF!</v>
      </c>
      <c r="H15" s="17" t="e">
        <f>#REF!</f>
        <v>#REF!</v>
      </c>
      <c r="I15" s="17" t="e">
        <f>#REF!</f>
        <v>#REF!</v>
      </c>
      <c r="J15" s="17" t="e">
        <f>#REF!</f>
        <v>#REF!</v>
      </c>
      <c r="K15" s="17" t="e">
        <f>#REF!</f>
        <v>#REF!</v>
      </c>
      <c r="L15" s="17" t="e">
        <f>#REF!</f>
        <v>#REF!</v>
      </c>
      <c r="M15" s="17" t="e">
        <f>#REF!</f>
        <v>#REF!</v>
      </c>
      <c r="N15" s="17" t="e">
        <f>#REF!</f>
        <v>#REF!</v>
      </c>
      <c r="O15" s="17" t="e">
        <f>#REF!</f>
        <v>#REF!</v>
      </c>
      <c r="P15" s="17" t="e">
        <f>#REF!</f>
        <v>#REF!</v>
      </c>
      <c r="Q15" s="17" t="e">
        <f>#REF!</f>
        <v>#REF!</v>
      </c>
      <c r="R15" s="17" t="e">
        <f>#REF!</f>
        <v>#REF!</v>
      </c>
      <c r="S15" s="17" t="e">
        <f>#REF!</f>
        <v>#REF!</v>
      </c>
      <c r="T15" s="17" t="e">
        <f>#REF!</f>
        <v>#REF!</v>
      </c>
      <c r="U15" s="17" t="e">
        <f>#REF!</f>
        <v>#REF!</v>
      </c>
      <c r="V15" s="17" t="e">
        <f>#REF!</f>
        <v>#REF!</v>
      </c>
      <c r="W15" s="17" t="e">
        <f>#REF!</f>
        <v>#REF!</v>
      </c>
      <c r="X15" s="17" t="e">
        <f>#REF!</f>
        <v>#REF!</v>
      </c>
    </row>
    <row r="16" spans="1:24" x14ac:dyDescent="0.25">
      <c r="A16" s="13">
        <v>3</v>
      </c>
      <c r="B16" s="14" t="s">
        <v>229</v>
      </c>
      <c r="C16" s="13" t="s">
        <v>234</v>
      </c>
      <c r="E16" s="17" t="e">
        <f>SUM(#REF!)</f>
        <v>#REF!</v>
      </c>
      <c r="F16" s="17" t="e">
        <f>SUM(#REF!)</f>
        <v>#REF!</v>
      </c>
      <c r="G16" s="17" t="e">
        <f>SUM(#REF!)</f>
        <v>#REF!</v>
      </c>
      <c r="H16" s="17" t="e">
        <f>SUM(#REF!)</f>
        <v>#REF!</v>
      </c>
      <c r="I16" s="17" t="e">
        <f>SUM(#REF!)</f>
        <v>#REF!</v>
      </c>
      <c r="J16" s="17" t="e">
        <f>SUM(#REF!)</f>
        <v>#REF!</v>
      </c>
      <c r="K16" s="17" t="e">
        <f>SUM(#REF!)</f>
        <v>#REF!</v>
      </c>
      <c r="L16" s="17" t="e">
        <f>SUM(#REF!)</f>
        <v>#REF!</v>
      </c>
      <c r="M16" s="17" t="e">
        <f>SUM(#REF!)</f>
        <v>#REF!</v>
      </c>
      <c r="N16" s="17" t="e">
        <f>SUM(#REF!)</f>
        <v>#REF!</v>
      </c>
      <c r="O16" s="17" t="e">
        <f>SUM(#REF!)</f>
        <v>#REF!</v>
      </c>
      <c r="P16" s="17" t="e">
        <f>SUM(#REF!)</f>
        <v>#REF!</v>
      </c>
      <c r="Q16" s="17" t="e">
        <f>SUM(#REF!)</f>
        <v>#REF!</v>
      </c>
      <c r="R16" s="17" t="e">
        <f>SUM(#REF!)</f>
        <v>#REF!</v>
      </c>
      <c r="S16" s="17" t="e">
        <f>SUM(#REF!)</f>
        <v>#REF!</v>
      </c>
      <c r="T16" s="17" t="e">
        <f>SUM(#REF!)</f>
        <v>#REF!</v>
      </c>
      <c r="U16" s="17" t="e">
        <f>SUM(#REF!)</f>
        <v>#REF!</v>
      </c>
      <c r="V16" s="17" t="e">
        <f>SUM(#REF!)</f>
        <v>#REF!</v>
      </c>
      <c r="W16" s="17" t="e">
        <f>SUM(#REF!)</f>
        <v>#REF!</v>
      </c>
      <c r="X16" s="17" t="e">
        <f>SUM(#REF!)</f>
        <v>#REF!</v>
      </c>
    </row>
    <row r="17" spans="1:24" x14ac:dyDescent="0.25">
      <c r="A17" s="13">
        <v>4</v>
      </c>
      <c r="B17" s="14" t="s">
        <v>231</v>
      </c>
      <c r="C17" s="13" t="s">
        <v>232</v>
      </c>
      <c r="E17" s="19" t="e">
        <f>-SUM('Debt and Spec. Dist'!#REF!,'Debt and Spec. Dist'!#REF!,'Debt and Spec. Dist'!#REF!)</f>
        <v>#REF!</v>
      </c>
      <c r="F17" s="19" t="e">
        <f>-SUM(#REF!)</f>
        <v>#REF!</v>
      </c>
      <c r="G17" s="19" t="e">
        <f>-SUM(#REF!)</f>
        <v>#REF!</v>
      </c>
      <c r="H17" s="19" t="e">
        <f>-SUM(#REF!)</f>
        <v>#REF!</v>
      </c>
      <c r="I17" s="19" t="e">
        <f>-SUM(#REF!)</f>
        <v>#REF!</v>
      </c>
      <c r="J17" s="19" t="e">
        <f>-SUM(#REF!)</f>
        <v>#REF!</v>
      </c>
      <c r="K17" s="19" t="e">
        <f>-SUM(#REF!)</f>
        <v>#REF!</v>
      </c>
      <c r="L17" s="19" t="e">
        <f>-SUM(#REF!)</f>
        <v>#REF!</v>
      </c>
      <c r="M17" s="19" t="e">
        <f>-SUM(#REF!)</f>
        <v>#REF!</v>
      </c>
      <c r="N17" s="19" t="e">
        <f>-SUM(#REF!)</f>
        <v>#REF!</v>
      </c>
      <c r="O17" s="19" t="e">
        <f>-SUM(#REF!)</f>
        <v>#REF!</v>
      </c>
      <c r="P17" s="19" t="e">
        <f>-SUM(#REF!)</f>
        <v>#REF!</v>
      </c>
      <c r="Q17" s="19" t="e">
        <f>-SUM(#REF!)</f>
        <v>#REF!</v>
      </c>
      <c r="R17" s="19" t="e">
        <f>-SUM(#REF!)</f>
        <v>#REF!</v>
      </c>
      <c r="S17" s="19" t="e">
        <f>-SUM(#REF!)</f>
        <v>#REF!</v>
      </c>
      <c r="T17" s="19" t="e">
        <f>-SUM(#REF!)</f>
        <v>#REF!</v>
      </c>
      <c r="U17" s="19" t="e">
        <f>-SUM(#REF!)</f>
        <v>#REF!</v>
      </c>
      <c r="V17" s="19" t="e">
        <f>-SUM(#REF!)</f>
        <v>#REF!</v>
      </c>
      <c r="W17" s="19" t="e">
        <f>-SUM(#REF!)</f>
        <v>#REF!</v>
      </c>
      <c r="X17" s="19" t="e">
        <f>-SUM(#REF!)</f>
        <v>#REF!</v>
      </c>
    </row>
    <row r="18" spans="1:24" x14ac:dyDescent="0.25">
      <c r="C18" s="13" t="s">
        <v>43</v>
      </c>
      <c r="E18" s="17" t="e">
        <f>SUM(E14:E17)</f>
        <v>#REF!</v>
      </c>
      <c r="F18" s="17" t="e">
        <f t="shared" ref="F18:X18" si="5">SUM(F14:F17)</f>
        <v>#REF!</v>
      </c>
      <c r="G18" s="17" t="e">
        <f t="shared" si="5"/>
        <v>#REF!</v>
      </c>
      <c r="H18" s="17" t="e">
        <f t="shared" si="5"/>
        <v>#REF!</v>
      </c>
      <c r="I18" s="17" t="e">
        <f t="shared" si="5"/>
        <v>#REF!</v>
      </c>
      <c r="J18" s="17" t="e">
        <f t="shared" si="5"/>
        <v>#REF!</v>
      </c>
      <c r="K18" s="17" t="e">
        <f t="shared" si="5"/>
        <v>#REF!</v>
      </c>
      <c r="L18" s="17" t="e">
        <f t="shared" si="5"/>
        <v>#REF!</v>
      </c>
      <c r="M18" s="17" t="e">
        <f t="shared" si="5"/>
        <v>#REF!</v>
      </c>
      <c r="N18" s="17" t="e">
        <f t="shared" si="5"/>
        <v>#REF!</v>
      </c>
      <c r="O18" s="17" t="e">
        <f t="shared" si="5"/>
        <v>#REF!</v>
      </c>
      <c r="P18" s="17" t="e">
        <f t="shared" si="5"/>
        <v>#REF!</v>
      </c>
      <c r="Q18" s="17" t="e">
        <f t="shared" si="5"/>
        <v>#REF!</v>
      </c>
      <c r="R18" s="17" t="e">
        <f t="shared" si="5"/>
        <v>#REF!</v>
      </c>
      <c r="S18" s="17" t="e">
        <f t="shared" si="5"/>
        <v>#REF!</v>
      </c>
      <c r="T18" s="17" t="e">
        <f t="shared" si="5"/>
        <v>#REF!</v>
      </c>
      <c r="U18" s="17" t="e">
        <f t="shared" si="5"/>
        <v>#REF!</v>
      </c>
      <c r="V18" s="17" t="e">
        <f t="shared" si="5"/>
        <v>#REF!</v>
      </c>
      <c r="W18" s="17" t="e">
        <f t="shared" si="5"/>
        <v>#REF!</v>
      </c>
      <c r="X18" s="17" t="e">
        <f t="shared" si="5"/>
        <v>#REF!</v>
      </c>
    </row>
    <row r="20" spans="1:24" x14ac:dyDescent="0.25">
      <c r="C20" s="16" t="s">
        <v>233</v>
      </c>
      <c r="D20" s="16"/>
    </row>
    <row r="22" spans="1:24" x14ac:dyDescent="0.25">
      <c r="A22" s="13">
        <v>1</v>
      </c>
      <c r="C22" s="13" t="s">
        <v>99</v>
      </c>
      <c r="E22" s="18" t="e">
        <f>E14</f>
        <v>#REF!</v>
      </c>
      <c r="F22" s="18" t="e">
        <f t="shared" ref="F22:X22" si="6">F14</f>
        <v>#REF!</v>
      </c>
      <c r="G22" s="18" t="e">
        <f t="shared" si="6"/>
        <v>#REF!</v>
      </c>
      <c r="H22" s="18" t="e">
        <f t="shared" si="6"/>
        <v>#REF!</v>
      </c>
      <c r="I22" s="18" t="e">
        <f t="shared" si="6"/>
        <v>#REF!</v>
      </c>
      <c r="J22" s="18" t="e">
        <f t="shared" si="6"/>
        <v>#REF!</v>
      </c>
      <c r="K22" s="18" t="e">
        <f t="shared" si="6"/>
        <v>#REF!</v>
      </c>
      <c r="L22" s="18" t="e">
        <f t="shared" si="6"/>
        <v>#REF!</v>
      </c>
      <c r="M22" s="18" t="e">
        <f t="shared" si="6"/>
        <v>#REF!</v>
      </c>
      <c r="N22" s="18" t="e">
        <f t="shared" si="6"/>
        <v>#REF!</v>
      </c>
      <c r="O22" s="18" t="e">
        <f t="shared" si="6"/>
        <v>#REF!</v>
      </c>
      <c r="P22" s="18" t="e">
        <f t="shared" si="6"/>
        <v>#REF!</v>
      </c>
      <c r="Q22" s="18" t="e">
        <f t="shared" si="6"/>
        <v>#REF!</v>
      </c>
      <c r="R22" s="18" t="e">
        <f t="shared" si="6"/>
        <v>#REF!</v>
      </c>
      <c r="S22" s="18" t="e">
        <f t="shared" si="6"/>
        <v>#REF!</v>
      </c>
      <c r="T22" s="18" t="e">
        <f t="shared" si="6"/>
        <v>#REF!</v>
      </c>
      <c r="U22" s="18" t="e">
        <f t="shared" si="6"/>
        <v>#REF!</v>
      </c>
      <c r="V22" s="18" t="e">
        <f t="shared" si="6"/>
        <v>#REF!</v>
      </c>
      <c r="W22" s="18" t="e">
        <f t="shared" si="6"/>
        <v>#REF!</v>
      </c>
      <c r="X22" s="18" t="e">
        <f t="shared" si="6"/>
        <v>#REF!</v>
      </c>
    </row>
    <row r="23" spans="1:24" x14ac:dyDescent="0.25">
      <c r="A23" s="13">
        <v>2</v>
      </c>
      <c r="B23" s="14" t="s">
        <v>229</v>
      </c>
      <c r="C23" s="13" t="s">
        <v>230</v>
      </c>
      <c r="E23" s="18" t="e">
        <f t="shared" ref="E23:X23" si="7">E15</f>
        <v>#REF!</v>
      </c>
      <c r="F23" s="18" t="e">
        <f t="shared" si="7"/>
        <v>#REF!</v>
      </c>
      <c r="G23" s="18" t="e">
        <f t="shared" si="7"/>
        <v>#REF!</v>
      </c>
      <c r="H23" s="18" t="e">
        <f t="shared" si="7"/>
        <v>#REF!</v>
      </c>
      <c r="I23" s="18" t="e">
        <f t="shared" si="7"/>
        <v>#REF!</v>
      </c>
      <c r="J23" s="18" t="e">
        <f t="shared" si="7"/>
        <v>#REF!</v>
      </c>
      <c r="K23" s="18" t="e">
        <f t="shared" si="7"/>
        <v>#REF!</v>
      </c>
      <c r="L23" s="18" t="e">
        <f t="shared" si="7"/>
        <v>#REF!</v>
      </c>
      <c r="M23" s="18" t="e">
        <f t="shared" si="7"/>
        <v>#REF!</v>
      </c>
      <c r="N23" s="18" t="e">
        <f t="shared" si="7"/>
        <v>#REF!</v>
      </c>
      <c r="O23" s="18" t="e">
        <f t="shared" si="7"/>
        <v>#REF!</v>
      </c>
      <c r="P23" s="18" t="e">
        <f t="shared" si="7"/>
        <v>#REF!</v>
      </c>
      <c r="Q23" s="18" t="e">
        <f t="shared" si="7"/>
        <v>#REF!</v>
      </c>
      <c r="R23" s="18" t="e">
        <f t="shared" si="7"/>
        <v>#REF!</v>
      </c>
      <c r="S23" s="18" t="e">
        <f t="shared" si="7"/>
        <v>#REF!</v>
      </c>
      <c r="T23" s="18" t="e">
        <f t="shared" si="7"/>
        <v>#REF!</v>
      </c>
      <c r="U23" s="18" t="e">
        <f t="shared" si="7"/>
        <v>#REF!</v>
      </c>
      <c r="V23" s="18" t="e">
        <f t="shared" si="7"/>
        <v>#REF!</v>
      </c>
      <c r="W23" s="18" t="e">
        <f t="shared" si="7"/>
        <v>#REF!</v>
      </c>
      <c r="X23" s="18" t="e">
        <f t="shared" si="7"/>
        <v>#REF!</v>
      </c>
    </row>
    <row r="24" spans="1:24" x14ac:dyDescent="0.25">
      <c r="A24" s="13">
        <v>3</v>
      </c>
      <c r="B24" s="14" t="s">
        <v>229</v>
      </c>
      <c r="C24" s="13" t="s">
        <v>234</v>
      </c>
      <c r="E24" s="19" t="e">
        <f t="shared" ref="E24:X24" si="8">E16</f>
        <v>#REF!</v>
      </c>
      <c r="F24" s="19" t="e">
        <f t="shared" si="8"/>
        <v>#REF!</v>
      </c>
      <c r="G24" s="19" t="e">
        <f t="shared" si="8"/>
        <v>#REF!</v>
      </c>
      <c r="H24" s="19" t="e">
        <f t="shared" si="8"/>
        <v>#REF!</v>
      </c>
      <c r="I24" s="19" t="e">
        <f t="shared" si="8"/>
        <v>#REF!</v>
      </c>
      <c r="J24" s="19" t="e">
        <f t="shared" si="8"/>
        <v>#REF!</v>
      </c>
      <c r="K24" s="19" t="e">
        <f t="shared" si="8"/>
        <v>#REF!</v>
      </c>
      <c r="L24" s="19" t="e">
        <f t="shared" si="8"/>
        <v>#REF!</v>
      </c>
      <c r="M24" s="19" t="e">
        <f t="shared" si="8"/>
        <v>#REF!</v>
      </c>
      <c r="N24" s="19" t="e">
        <f t="shared" si="8"/>
        <v>#REF!</v>
      </c>
      <c r="O24" s="19" t="e">
        <f t="shared" si="8"/>
        <v>#REF!</v>
      </c>
      <c r="P24" s="19" t="e">
        <f t="shared" si="8"/>
        <v>#REF!</v>
      </c>
      <c r="Q24" s="19" t="e">
        <f t="shared" si="8"/>
        <v>#REF!</v>
      </c>
      <c r="R24" s="19" t="e">
        <f t="shared" si="8"/>
        <v>#REF!</v>
      </c>
      <c r="S24" s="19" t="e">
        <f t="shared" si="8"/>
        <v>#REF!</v>
      </c>
      <c r="T24" s="19" t="e">
        <f t="shared" si="8"/>
        <v>#REF!</v>
      </c>
      <c r="U24" s="19" t="e">
        <f t="shared" si="8"/>
        <v>#REF!</v>
      </c>
      <c r="V24" s="19" t="e">
        <f t="shared" si="8"/>
        <v>#REF!</v>
      </c>
      <c r="W24" s="19" t="e">
        <f t="shared" si="8"/>
        <v>#REF!</v>
      </c>
      <c r="X24" s="19" t="e">
        <f t="shared" si="8"/>
        <v>#REF!</v>
      </c>
    </row>
    <row r="25" spans="1:24" x14ac:dyDescent="0.25">
      <c r="C25" s="13" t="s">
        <v>43</v>
      </c>
      <c r="E25" s="21" t="e">
        <f>SUM(E22:E24)</f>
        <v>#REF!</v>
      </c>
      <c r="F25" s="21" t="e">
        <f t="shared" ref="F25:X25" si="9">SUM(F22:F24)</f>
        <v>#REF!</v>
      </c>
      <c r="G25" s="21" t="e">
        <f t="shared" si="9"/>
        <v>#REF!</v>
      </c>
      <c r="H25" s="21" t="e">
        <f t="shared" si="9"/>
        <v>#REF!</v>
      </c>
      <c r="I25" s="21" t="e">
        <f t="shared" si="9"/>
        <v>#REF!</v>
      </c>
      <c r="J25" s="21" t="e">
        <f t="shared" si="9"/>
        <v>#REF!</v>
      </c>
      <c r="K25" s="21" t="e">
        <f t="shared" si="9"/>
        <v>#REF!</v>
      </c>
      <c r="L25" s="21" t="e">
        <f t="shared" si="9"/>
        <v>#REF!</v>
      </c>
      <c r="M25" s="21" t="e">
        <f t="shared" si="9"/>
        <v>#REF!</v>
      </c>
      <c r="N25" s="21" t="e">
        <f t="shared" si="9"/>
        <v>#REF!</v>
      </c>
      <c r="O25" s="21" t="e">
        <f t="shared" si="9"/>
        <v>#REF!</v>
      </c>
      <c r="P25" s="21" t="e">
        <f t="shared" si="9"/>
        <v>#REF!</v>
      </c>
      <c r="Q25" s="21" t="e">
        <f t="shared" si="9"/>
        <v>#REF!</v>
      </c>
      <c r="R25" s="21" t="e">
        <f t="shared" si="9"/>
        <v>#REF!</v>
      </c>
      <c r="S25" s="21" t="e">
        <f t="shared" si="9"/>
        <v>#REF!</v>
      </c>
      <c r="T25" s="21" t="e">
        <f t="shared" si="9"/>
        <v>#REF!</v>
      </c>
      <c r="U25" s="21" t="e">
        <f t="shared" si="9"/>
        <v>#REF!</v>
      </c>
      <c r="V25" s="21" t="e">
        <f t="shared" si="9"/>
        <v>#REF!</v>
      </c>
      <c r="W25" s="21" t="e">
        <f t="shared" si="9"/>
        <v>#REF!</v>
      </c>
      <c r="X25" s="21" t="e">
        <f t="shared" si="9"/>
        <v>#REF!</v>
      </c>
    </row>
    <row r="26" spans="1:24" ht="15.75" thickBot="1" x14ac:dyDescent="0.3"/>
    <row r="27" spans="1:24" ht="15.75" thickBot="1" x14ac:dyDescent="0.3">
      <c r="C27" s="16" t="s">
        <v>236</v>
      </c>
      <c r="D27" s="16"/>
      <c r="E27" s="24" t="e">
        <f>E18/E25</f>
        <v>#REF!</v>
      </c>
      <c r="F27" s="25" t="e">
        <f t="shared" ref="F27:X27" si="10">F18/F25</f>
        <v>#REF!</v>
      </c>
      <c r="G27" s="25" t="e">
        <f t="shared" si="10"/>
        <v>#REF!</v>
      </c>
      <c r="H27" s="25" t="e">
        <f t="shared" si="10"/>
        <v>#REF!</v>
      </c>
      <c r="I27" s="25" t="e">
        <f t="shared" si="10"/>
        <v>#REF!</v>
      </c>
      <c r="J27" s="25" t="e">
        <f t="shared" si="10"/>
        <v>#REF!</v>
      </c>
      <c r="K27" s="25" t="e">
        <f t="shared" si="10"/>
        <v>#REF!</v>
      </c>
      <c r="L27" s="25" t="e">
        <f t="shared" si="10"/>
        <v>#REF!</v>
      </c>
      <c r="M27" s="25" t="e">
        <f t="shared" si="10"/>
        <v>#REF!</v>
      </c>
      <c r="N27" s="25" t="e">
        <f t="shared" si="10"/>
        <v>#REF!</v>
      </c>
      <c r="O27" s="25" t="e">
        <f t="shared" si="10"/>
        <v>#REF!</v>
      </c>
      <c r="P27" s="25" t="e">
        <f t="shared" si="10"/>
        <v>#REF!</v>
      </c>
      <c r="Q27" s="25" t="e">
        <f t="shared" si="10"/>
        <v>#REF!</v>
      </c>
      <c r="R27" s="25" t="e">
        <f t="shared" si="10"/>
        <v>#REF!</v>
      </c>
      <c r="S27" s="25" t="e">
        <f t="shared" si="10"/>
        <v>#REF!</v>
      </c>
      <c r="T27" s="25" t="e">
        <f t="shared" si="10"/>
        <v>#REF!</v>
      </c>
      <c r="U27" s="25" t="e">
        <f t="shared" si="10"/>
        <v>#REF!</v>
      </c>
      <c r="V27" s="25" t="e">
        <f t="shared" si="10"/>
        <v>#REF!</v>
      </c>
      <c r="W27" s="25" t="e">
        <f t="shared" si="10"/>
        <v>#REF!</v>
      </c>
      <c r="X27" s="26" t="e">
        <f t="shared" si="10"/>
        <v>#REF!</v>
      </c>
    </row>
    <row r="28" spans="1:24" x14ac:dyDescent="0.25">
      <c r="C28" s="13" t="s">
        <v>237</v>
      </c>
      <c r="E28" s="27" t="e">
        <f t="shared" ref="E28:X28" si="11">IF(E27&gt;=$D$13,"YES","NO")</f>
        <v>#REF!</v>
      </c>
      <c r="F28" s="27" t="e">
        <f t="shared" si="11"/>
        <v>#REF!</v>
      </c>
      <c r="G28" s="27" t="e">
        <f t="shared" si="11"/>
        <v>#REF!</v>
      </c>
      <c r="H28" s="27" t="e">
        <f t="shared" si="11"/>
        <v>#REF!</v>
      </c>
      <c r="I28" s="27" t="e">
        <f t="shared" si="11"/>
        <v>#REF!</v>
      </c>
      <c r="J28" s="27" t="e">
        <f t="shared" si="11"/>
        <v>#REF!</v>
      </c>
      <c r="K28" s="27" t="e">
        <f t="shared" si="11"/>
        <v>#REF!</v>
      </c>
      <c r="L28" s="27" t="e">
        <f t="shared" si="11"/>
        <v>#REF!</v>
      </c>
      <c r="M28" s="27" t="e">
        <f t="shared" si="11"/>
        <v>#REF!</v>
      </c>
      <c r="N28" s="27" t="e">
        <f t="shared" si="11"/>
        <v>#REF!</v>
      </c>
      <c r="O28" s="27" t="e">
        <f t="shared" si="11"/>
        <v>#REF!</v>
      </c>
      <c r="P28" s="27" t="e">
        <f t="shared" si="11"/>
        <v>#REF!</v>
      </c>
      <c r="Q28" s="27" t="e">
        <f t="shared" si="11"/>
        <v>#REF!</v>
      </c>
      <c r="R28" s="27" t="e">
        <f t="shared" si="11"/>
        <v>#REF!</v>
      </c>
      <c r="S28" s="27" t="e">
        <f t="shared" si="11"/>
        <v>#REF!</v>
      </c>
      <c r="T28" s="27" t="e">
        <f t="shared" si="11"/>
        <v>#REF!</v>
      </c>
      <c r="U28" s="27" t="e">
        <f t="shared" si="11"/>
        <v>#REF!</v>
      </c>
      <c r="V28" s="27" t="e">
        <f t="shared" si="11"/>
        <v>#REF!</v>
      </c>
      <c r="W28" s="27" t="e">
        <f t="shared" si="11"/>
        <v>#REF!</v>
      </c>
      <c r="X28" s="27" t="e">
        <f t="shared" si="11"/>
        <v>#REF!</v>
      </c>
    </row>
    <row r="30" spans="1:24" x14ac:dyDescent="0.25">
      <c r="C30" s="13" t="s">
        <v>240</v>
      </c>
      <c r="E30" s="18" t="e">
        <f t="shared" ref="E30:X30" si="12">(E18-E25*$D$13)/($D$13-1)</f>
        <v>#REF!</v>
      </c>
      <c r="F30" s="18" t="e">
        <f t="shared" si="12"/>
        <v>#REF!</v>
      </c>
      <c r="G30" s="18" t="e">
        <f t="shared" si="12"/>
        <v>#REF!</v>
      </c>
      <c r="H30" s="18" t="e">
        <f t="shared" si="12"/>
        <v>#REF!</v>
      </c>
      <c r="I30" s="18" t="e">
        <f t="shared" si="12"/>
        <v>#REF!</v>
      </c>
      <c r="J30" s="18" t="e">
        <f t="shared" si="12"/>
        <v>#REF!</v>
      </c>
      <c r="K30" s="18" t="e">
        <f t="shared" si="12"/>
        <v>#REF!</v>
      </c>
      <c r="L30" s="18" t="e">
        <f t="shared" si="12"/>
        <v>#REF!</v>
      </c>
      <c r="M30" s="18" t="e">
        <f t="shared" si="12"/>
        <v>#REF!</v>
      </c>
      <c r="N30" s="18" t="e">
        <f t="shared" si="12"/>
        <v>#REF!</v>
      </c>
      <c r="O30" s="18" t="e">
        <f t="shared" si="12"/>
        <v>#REF!</v>
      </c>
      <c r="P30" s="18" t="e">
        <f t="shared" si="12"/>
        <v>#REF!</v>
      </c>
      <c r="Q30" s="18" t="e">
        <f t="shared" si="12"/>
        <v>#REF!</v>
      </c>
      <c r="R30" s="18" t="e">
        <f t="shared" si="12"/>
        <v>#REF!</v>
      </c>
      <c r="S30" s="18" t="e">
        <f t="shared" si="12"/>
        <v>#REF!</v>
      </c>
      <c r="T30" s="18" t="e">
        <f t="shared" si="12"/>
        <v>#REF!</v>
      </c>
      <c r="U30" s="18" t="e">
        <f t="shared" si="12"/>
        <v>#REF!</v>
      </c>
      <c r="V30" s="18" t="e">
        <f t="shared" si="12"/>
        <v>#REF!</v>
      </c>
      <c r="W30" s="18" t="e">
        <f t="shared" si="12"/>
        <v>#REF!</v>
      </c>
      <c r="X30" s="18" t="e">
        <f t="shared" si="12"/>
        <v>#REF!</v>
      </c>
    </row>
    <row r="32" spans="1:24" outlineLevel="1" x14ac:dyDescent="0.25">
      <c r="B32" s="13" t="s">
        <v>241</v>
      </c>
    </row>
    <row r="33" spans="1:24" outlineLevel="1" x14ac:dyDescent="0.25">
      <c r="B33" s="40" t="s">
        <v>257</v>
      </c>
    </row>
    <row r="34" spans="1:24" outlineLevel="1" x14ac:dyDescent="0.25">
      <c r="D34" s="28"/>
    </row>
    <row r="35" spans="1:24" outlineLevel="1" x14ac:dyDescent="0.25">
      <c r="C35" s="13" t="s">
        <v>240</v>
      </c>
      <c r="E35" s="18"/>
    </row>
    <row r="36" spans="1:24" outlineLevel="1" x14ac:dyDescent="0.25">
      <c r="E36" s="18"/>
    </row>
    <row r="37" spans="1:24" ht="48.75" customHeight="1" outlineLevel="1" x14ac:dyDescent="0.25">
      <c r="A37" s="13">
        <v>1</v>
      </c>
      <c r="C37" s="22" t="s">
        <v>235</v>
      </c>
      <c r="D37" s="22"/>
      <c r="E37" s="17" t="e">
        <f>SUM(SOCF!#REF!,SOCF!#REF!,SOCF!#REF!)+SUM('Debt and Spec. Dist'!#REF!)</f>
        <v>#REF!</v>
      </c>
      <c r="F37" s="17" t="e">
        <f>F14</f>
        <v>#REF!</v>
      </c>
      <c r="G37" s="17" t="e">
        <f t="shared" ref="G37:X37" si="13">G14</f>
        <v>#REF!</v>
      </c>
      <c r="H37" s="17" t="e">
        <f t="shared" si="13"/>
        <v>#REF!</v>
      </c>
      <c r="I37" s="17" t="e">
        <f t="shared" si="13"/>
        <v>#REF!</v>
      </c>
      <c r="J37" s="17" t="e">
        <f t="shared" si="13"/>
        <v>#REF!</v>
      </c>
      <c r="K37" s="17" t="e">
        <f t="shared" si="13"/>
        <v>#REF!</v>
      </c>
      <c r="L37" s="17" t="e">
        <f t="shared" si="13"/>
        <v>#REF!</v>
      </c>
      <c r="M37" s="17" t="e">
        <f t="shared" si="13"/>
        <v>#REF!</v>
      </c>
      <c r="N37" s="17" t="e">
        <f t="shared" si="13"/>
        <v>#REF!</v>
      </c>
      <c r="O37" s="17" t="e">
        <f t="shared" si="13"/>
        <v>#REF!</v>
      </c>
      <c r="P37" s="17" t="e">
        <f t="shared" si="13"/>
        <v>#REF!</v>
      </c>
      <c r="Q37" s="17" t="e">
        <f t="shared" si="13"/>
        <v>#REF!</v>
      </c>
      <c r="R37" s="17" t="e">
        <f t="shared" si="13"/>
        <v>#REF!</v>
      </c>
      <c r="S37" s="17" t="e">
        <f t="shared" si="13"/>
        <v>#REF!</v>
      </c>
      <c r="T37" s="17" t="e">
        <f t="shared" si="13"/>
        <v>#REF!</v>
      </c>
      <c r="U37" s="17" t="e">
        <f t="shared" si="13"/>
        <v>#REF!</v>
      </c>
      <c r="V37" s="17" t="e">
        <f t="shared" si="13"/>
        <v>#REF!</v>
      </c>
      <c r="W37" s="17" t="e">
        <f t="shared" si="13"/>
        <v>#REF!</v>
      </c>
      <c r="X37" s="17" t="e">
        <f t="shared" si="13"/>
        <v>#REF!</v>
      </c>
    </row>
    <row r="38" spans="1:24" outlineLevel="1" x14ac:dyDescent="0.25">
      <c r="A38" s="13">
        <v>2</v>
      </c>
      <c r="B38" s="14" t="s">
        <v>229</v>
      </c>
      <c r="C38" s="13" t="s">
        <v>230</v>
      </c>
      <c r="E38" s="17" t="e">
        <f>E15</f>
        <v>#REF!</v>
      </c>
      <c r="F38" s="17" t="e">
        <f t="shared" ref="F38:X38" si="14">F15</f>
        <v>#REF!</v>
      </c>
      <c r="G38" s="17" t="e">
        <f t="shared" si="14"/>
        <v>#REF!</v>
      </c>
      <c r="H38" s="17" t="e">
        <f t="shared" si="14"/>
        <v>#REF!</v>
      </c>
      <c r="I38" s="17" t="e">
        <f t="shared" si="14"/>
        <v>#REF!</v>
      </c>
      <c r="J38" s="17" t="e">
        <f t="shared" si="14"/>
        <v>#REF!</v>
      </c>
      <c r="K38" s="17" t="e">
        <f t="shared" si="14"/>
        <v>#REF!</v>
      </c>
      <c r="L38" s="17" t="e">
        <f t="shared" si="14"/>
        <v>#REF!</v>
      </c>
      <c r="M38" s="17" t="e">
        <f t="shared" si="14"/>
        <v>#REF!</v>
      </c>
      <c r="N38" s="17" t="e">
        <f t="shared" si="14"/>
        <v>#REF!</v>
      </c>
      <c r="O38" s="17" t="e">
        <f t="shared" si="14"/>
        <v>#REF!</v>
      </c>
      <c r="P38" s="17" t="e">
        <f t="shared" si="14"/>
        <v>#REF!</v>
      </c>
      <c r="Q38" s="17" t="e">
        <f t="shared" si="14"/>
        <v>#REF!</v>
      </c>
      <c r="R38" s="17" t="e">
        <f t="shared" si="14"/>
        <v>#REF!</v>
      </c>
      <c r="S38" s="17" t="e">
        <f t="shared" si="14"/>
        <v>#REF!</v>
      </c>
      <c r="T38" s="17" t="e">
        <f t="shared" si="14"/>
        <v>#REF!</v>
      </c>
      <c r="U38" s="17" t="e">
        <f t="shared" si="14"/>
        <v>#REF!</v>
      </c>
      <c r="V38" s="17" t="e">
        <f t="shared" si="14"/>
        <v>#REF!</v>
      </c>
      <c r="W38" s="17" t="e">
        <f t="shared" si="14"/>
        <v>#REF!</v>
      </c>
      <c r="X38" s="17" t="e">
        <f t="shared" si="14"/>
        <v>#REF!</v>
      </c>
    </row>
    <row r="39" spans="1:24" outlineLevel="1" x14ac:dyDescent="0.25">
      <c r="A39" s="13">
        <v>3</v>
      </c>
      <c r="B39" s="14" t="s">
        <v>229</v>
      </c>
      <c r="C39" s="13" t="s">
        <v>234</v>
      </c>
      <c r="E39" s="17" t="e">
        <f>E16</f>
        <v>#REF!</v>
      </c>
      <c r="F39" s="17" t="e">
        <f t="shared" ref="F39:X39" si="15">F16</f>
        <v>#REF!</v>
      </c>
      <c r="G39" s="17" t="e">
        <f t="shared" si="15"/>
        <v>#REF!</v>
      </c>
      <c r="H39" s="17" t="e">
        <f t="shared" si="15"/>
        <v>#REF!</v>
      </c>
      <c r="I39" s="17" t="e">
        <f t="shared" si="15"/>
        <v>#REF!</v>
      </c>
      <c r="J39" s="17" t="e">
        <f t="shared" si="15"/>
        <v>#REF!</v>
      </c>
      <c r="K39" s="17" t="e">
        <f t="shared" si="15"/>
        <v>#REF!</v>
      </c>
      <c r="L39" s="17" t="e">
        <f t="shared" si="15"/>
        <v>#REF!</v>
      </c>
      <c r="M39" s="17" t="e">
        <f t="shared" si="15"/>
        <v>#REF!</v>
      </c>
      <c r="N39" s="17" t="e">
        <f t="shared" si="15"/>
        <v>#REF!</v>
      </c>
      <c r="O39" s="17" t="e">
        <f t="shared" si="15"/>
        <v>#REF!</v>
      </c>
      <c r="P39" s="17" t="e">
        <f t="shared" si="15"/>
        <v>#REF!</v>
      </c>
      <c r="Q39" s="17" t="e">
        <f t="shared" si="15"/>
        <v>#REF!</v>
      </c>
      <c r="R39" s="17" t="e">
        <f t="shared" si="15"/>
        <v>#REF!</v>
      </c>
      <c r="S39" s="17" t="e">
        <f t="shared" si="15"/>
        <v>#REF!</v>
      </c>
      <c r="T39" s="17" t="e">
        <f t="shared" si="15"/>
        <v>#REF!</v>
      </c>
      <c r="U39" s="17" t="e">
        <f t="shared" si="15"/>
        <v>#REF!</v>
      </c>
      <c r="V39" s="17" t="e">
        <f t="shared" si="15"/>
        <v>#REF!</v>
      </c>
      <c r="W39" s="17" t="e">
        <f t="shared" si="15"/>
        <v>#REF!</v>
      </c>
      <c r="X39" s="17" t="e">
        <f t="shared" si="15"/>
        <v>#REF!</v>
      </c>
    </row>
    <row r="40" spans="1:24" outlineLevel="1" x14ac:dyDescent="0.25">
      <c r="A40" s="15">
        <v>4</v>
      </c>
      <c r="B40" s="29" t="s">
        <v>231</v>
      </c>
      <c r="C40" s="15" t="s">
        <v>232</v>
      </c>
      <c r="D40" s="15"/>
      <c r="E40" s="19" t="e">
        <f>-SUM(#REF!)</f>
        <v>#REF!</v>
      </c>
      <c r="F40" s="19" t="e">
        <f t="shared" ref="F40:X40" si="16">F17</f>
        <v>#REF!</v>
      </c>
      <c r="G40" s="19" t="e">
        <f t="shared" si="16"/>
        <v>#REF!</v>
      </c>
      <c r="H40" s="19" t="e">
        <f t="shared" si="16"/>
        <v>#REF!</v>
      </c>
      <c r="I40" s="19" t="e">
        <f t="shared" si="16"/>
        <v>#REF!</v>
      </c>
      <c r="J40" s="19" t="e">
        <f t="shared" si="16"/>
        <v>#REF!</v>
      </c>
      <c r="K40" s="19" t="e">
        <f t="shared" si="16"/>
        <v>#REF!</v>
      </c>
      <c r="L40" s="19" t="e">
        <f t="shared" si="16"/>
        <v>#REF!</v>
      </c>
      <c r="M40" s="19" t="e">
        <f t="shared" si="16"/>
        <v>#REF!</v>
      </c>
      <c r="N40" s="19" t="e">
        <f t="shared" si="16"/>
        <v>#REF!</v>
      </c>
      <c r="O40" s="19" t="e">
        <f t="shared" si="16"/>
        <v>#REF!</v>
      </c>
      <c r="P40" s="19" t="e">
        <f t="shared" si="16"/>
        <v>#REF!</v>
      </c>
      <c r="Q40" s="19" t="e">
        <f t="shared" si="16"/>
        <v>#REF!</v>
      </c>
      <c r="R40" s="19" t="e">
        <f t="shared" si="16"/>
        <v>#REF!</v>
      </c>
      <c r="S40" s="19" t="e">
        <f t="shared" si="16"/>
        <v>#REF!</v>
      </c>
      <c r="T40" s="19" t="e">
        <f t="shared" si="16"/>
        <v>#REF!</v>
      </c>
      <c r="U40" s="19" t="e">
        <f t="shared" si="16"/>
        <v>#REF!</v>
      </c>
      <c r="V40" s="19" t="e">
        <f t="shared" si="16"/>
        <v>#REF!</v>
      </c>
      <c r="W40" s="19" t="e">
        <f t="shared" si="16"/>
        <v>#REF!</v>
      </c>
      <c r="X40" s="19" t="e">
        <f t="shared" si="16"/>
        <v>#REF!</v>
      </c>
    </row>
    <row r="41" spans="1:24" outlineLevel="1" x14ac:dyDescent="0.25">
      <c r="C41" s="13" t="s">
        <v>43</v>
      </c>
      <c r="E41" s="17" t="e">
        <f t="shared" ref="E41:X41" si="17">SUM(E37:E40)</f>
        <v>#REF!</v>
      </c>
      <c r="F41" s="17" t="e">
        <f t="shared" si="17"/>
        <v>#REF!</v>
      </c>
      <c r="G41" s="17" t="e">
        <f t="shared" si="17"/>
        <v>#REF!</v>
      </c>
      <c r="H41" s="17" t="e">
        <f t="shared" si="17"/>
        <v>#REF!</v>
      </c>
      <c r="I41" s="17" t="e">
        <f t="shared" si="17"/>
        <v>#REF!</v>
      </c>
      <c r="J41" s="17" t="e">
        <f t="shared" si="17"/>
        <v>#REF!</v>
      </c>
      <c r="K41" s="17" t="e">
        <f t="shared" si="17"/>
        <v>#REF!</v>
      </c>
      <c r="L41" s="17" t="e">
        <f t="shared" si="17"/>
        <v>#REF!</v>
      </c>
      <c r="M41" s="17" t="e">
        <f t="shared" si="17"/>
        <v>#REF!</v>
      </c>
      <c r="N41" s="17" t="e">
        <f t="shared" si="17"/>
        <v>#REF!</v>
      </c>
      <c r="O41" s="17" t="e">
        <f t="shared" si="17"/>
        <v>#REF!</v>
      </c>
      <c r="P41" s="17" t="e">
        <f t="shared" si="17"/>
        <v>#REF!</v>
      </c>
      <c r="Q41" s="17" t="e">
        <f t="shared" si="17"/>
        <v>#REF!</v>
      </c>
      <c r="R41" s="17" t="e">
        <f t="shared" si="17"/>
        <v>#REF!</v>
      </c>
      <c r="S41" s="17" t="e">
        <f t="shared" si="17"/>
        <v>#REF!</v>
      </c>
      <c r="T41" s="17" t="e">
        <f t="shared" si="17"/>
        <v>#REF!</v>
      </c>
      <c r="U41" s="17" t="e">
        <f t="shared" si="17"/>
        <v>#REF!</v>
      </c>
      <c r="V41" s="17" t="e">
        <f t="shared" si="17"/>
        <v>#REF!</v>
      </c>
      <c r="W41" s="17" t="e">
        <f t="shared" si="17"/>
        <v>#REF!</v>
      </c>
      <c r="X41" s="17" t="e">
        <f t="shared" si="17"/>
        <v>#REF!</v>
      </c>
    </row>
    <row r="42" spans="1:24" outlineLevel="1" x14ac:dyDescent="0.25"/>
    <row r="43" spans="1:24" outlineLevel="1" x14ac:dyDescent="0.25">
      <c r="C43" s="16" t="s">
        <v>233</v>
      </c>
      <c r="D43" s="16"/>
    </row>
    <row r="44" spans="1:24" outlineLevel="1" x14ac:dyDescent="0.25"/>
    <row r="45" spans="1:24" outlineLevel="1" x14ac:dyDescent="0.25">
      <c r="A45" s="13">
        <v>1</v>
      </c>
      <c r="C45" s="13" t="s">
        <v>99</v>
      </c>
      <c r="E45" s="18" t="e">
        <f t="shared" ref="E45:X45" si="18">E37</f>
        <v>#REF!</v>
      </c>
      <c r="F45" s="18" t="e">
        <f t="shared" si="18"/>
        <v>#REF!</v>
      </c>
      <c r="G45" s="18" t="e">
        <f t="shared" si="18"/>
        <v>#REF!</v>
      </c>
      <c r="H45" s="18" t="e">
        <f t="shared" si="18"/>
        <v>#REF!</v>
      </c>
      <c r="I45" s="18" t="e">
        <f t="shared" si="18"/>
        <v>#REF!</v>
      </c>
      <c r="J45" s="18" t="e">
        <f t="shared" si="18"/>
        <v>#REF!</v>
      </c>
      <c r="K45" s="18" t="e">
        <f t="shared" si="18"/>
        <v>#REF!</v>
      </c>
      <c r="L45" s="18" t="e">
        <f t="shared" si="18"/>
        <v>#REF!</v>
      </c>
      <c r="M45" s="18" t="e">
        <f t="shared" si="18"/>
        <v>#REF!</v>
      </c>
      <c r="N45" s="18" t="e">
        <f t="shared" si="18"/>
        <v>#REF!</v>
      </c>
      <c r="O45" s="18" t="e">
        <f t="shared" si="18"/>
        <v>#REF!</v>
      </c>
      <c r="P45" s="18" t="e">
        <f t="shared" si="18"/>
        <v>#REF!</v>
      </c>
      <c r="Q45" s="18" t="e">
        <f t="shared" si="18"/>
        <v>#REF!</v>
      </c>
      <c r="R45" s="18" t="e">
        <f t="shared" si="18"/>
        <v>#REF!</v>
      </c>
      <c r="S45" s="18" t="e">
        <f t="shared" si="18"/>
        <v>#REF!</v>
      </c>
      <c r="T45" s="18" t="e">
        <f t="shared" si="18"/>
        <v>#REF!</v>
      </c>
      <c r="U45" s="18" t="e">
        <f t="shared" si="18"/>
        <v>#REF!</v>
      </c>
      <c r="V45" s="18" t="e">
        <f t="shared" si="18"/>
        <v>#REF!</v>
      </c>
      <c r="W45" s="18" t="e">
        <f t="shared" si="18"/>
        <v>#REF!</v>
      </c>
      <c r="X45" s="18" t="e">
        <f t="shared" si="18"/>
        <v>#REF!</v>
      </c>
    </row>
    <row r="46" spans="1:24" outlineLevel="1" x14ac:dyDescent="0.25">
      <c r="A46" s="13">
        <v>2</v>
      </c>
      <c r="B46" s="14" t="s">
        <v>229</v>
      </c>
      <c r="C46" s="13" t="s">
        <v>230</v>
      </c>
      <c r="E46" s="18" t="e">
        <f t="shared" ref="E46:X46" si="19">E38</f>
        <v>#REF!</v>
      </c>
      <c r="F46" s="18" t="e">
        <f t="shared" si="19"/>
        <v>#REF!</v>
      </c>
      <c r="G46" s="18" t="e">
        <f t="shared" si="19"/>
        <v>#REF!</v>
      </c>
      <c r="H46" s="18" t="e">
        <f t="shared" si="19"/>
        <v>#REF!</v>
      </c>
      <c r="I46" s="18" t="e">
        <f t="shared" si="19"/>
        <v>#REF!</v>
      </c>
      <c r="J46" s="18" t="e">
        <f t="shared" si="19"/>
        <v>#REF!</v>
      </c>
      <c r="K46" s="18" t="e">
        <f t="shared" si="19"/>
        <v>#REF!</v>
      </c>
      <c r="L46" s="18" t="e">
        <f t="shared" si="19"/>
        <v>#REF!</v>
      </c>
      <c r="M46" s="18" t="e">
        <f t="shared" si="19"/>
        <v>#REF!</v>
      </c>
      <c r="N46" s="18" t="e">
        <f t="shared" si="19"/>
        <v>#REF!</v>
      </c>
      <c r="O46" s="18" t="e">
        <f t="shared" si="19"/>
        <v>#REF!</v>
      </c>
      <c r="P46" s="18" t="e">
        <f t="shared" si="19"/>
        <v>#REF!</v>
      </c>
      <c r="Q46" s="18" t="e">
        <f t="shared" si="19"/>
        <v>#REF!</v>
      </c>
      <c r="R46" s="18" t="e">
        <f t="shared" si="19"/>
        <v>#REF!</v>
      </c>
      <c r="S46" s="18" t="e">
        <f t="shared" si="19"/>
        <v>#REF!</v>
      </c>
      <c r="T46" s="18" t="e">
        <f t="shared" si="19"/>
        <v>#REF!</v>
      </c>
      <c r="U46" s="18" t="e">
        <f t="shared" si="19"/>
        <v>#REF!</v>
      </c>
      <c r="V46" s="18" t="e">
        <f t="shared" si="19"/>
        <v>#REF!</v>
      </c>
      <c r="W46" s="18" t="e">
        <f t="shared" si="19"/>
        <v>#REF!</v>
      </c>
      <c r="X46" s="18" t="e">
        <f t="shared" si="19"/>
        <v>#REF!</v>
      </c>
    </row>
    <row r="47" spans="1:24" s="15" customFormat="1" outlineLevel="1" x14ac:dyDescent="0.25">
      <c r="A47" s="15">
        <v>3</v>
      </c>
      <c r="B47" s="29" t="s">
        <v>229</v>
      </c>
      <c r="C47" s="15" t="s">
        <v>234</v>
      </c>
      <c r="E47" s="20" t="e">
        <f t="shared" ref="E47:X47" si="20">E39</f>
        <v>#REF!</v>
      </c>
      <c r="F47" s="20" t="e">
        <f t="shared" si="20"/>
        <v>#REF!</v>
      </c>
      <c r="G47" s="20" t="e">
        <f t="shared" si="20"/>
        <v>#REF!</v>
      </c>
      <c r="H47" s="20" t="e">
        <f t="shared" si="20"/>
        <v>#REF!</v>
      </c>
      <c r="I47" s="20" t="e">
        <f t="shared" si="20"/>
        <v>#REF!</v>
      </c>
      <c r="J47" s="20" t="e">
        <f t="shared" si="20"/>
        <v>#REF!</v>
      </c>
      <c r="K47" s="20" t="e">
        <f t="shared" si="20"/>
        <v>#REF!</v>
      </c>
      <c r="L47" s="20" t="e">
        <f t="shared" si="20"/>
        <v>#REF!</v>
      </c>
      <c r="M47" s="20" t="e">
        <f t="shared" si="20"/>
        <v>#REF!</v>
      </c>
      <c r="N47" s="20" t="e">
        <f t="shared" si="20"/>
        <v>#REF!</v>
      </c>
      <c r="O47" s="20" t="e">
        <f t="shared" si="20"/>
        <v>#REF!</v>
      </c>
      <c r="P47" s="20" t="e">
        <f t="shared" si="20"/>
        <v>#REF!</v>
      </c>
      <c r="Q47" s="20" t="e">
        <f t="shared" si="20"/>
        <v>#REF!</v>
      </c>
      <c r="R47" s="20" t="e">
        <f t="shared" si="20"/>
        <v>#REF!</v>
      </c>
      <c r="S47" s="20" t="e">
        <f t="shared" si="20"/>
        <v>#REF!</v>
      </c>
      <c r="T47" s="20" t="e">
        <f t="shared" si="20"/>
        <v>#REF!</v>
      </c>
      <c r="U47" s="20" t="e">
        <f t="shared" si="20"/>
        <v>#REF!</v>
      </c>
      <c r="V47" s="20" t="e">
        <f t="shared" si="20"/>
        <v>#REF!</v>
      </c>
      <c r="W47" s="20" t="e">
        <f t="shared" si="20"/>
        <v>#REF!</v>
      </c>
      <c r="X47" s="20" t="e">
        <f t="shared" si="20"/>
        <v>#REF!</v>
      </c>
    </row>
    <row r="48" spans="1:24" s="15" customFormat="1" outlineLevel="1" x14ac:dyDescent="0.25">
      <c r="A48" s="15">
        <v>5</v>
      </c>
      <c r="B48" s="14" t="s">
        <v>229</v>
      </c>
      <c r="C48" s="13" t="s">
        <v>242</v>
      </c>
      <c r="E48" s="19">
        <v>9</v>
      </c>
      <c r="F48" s="19" t="e">
        <f>#REF!</f>
        <v>#REF!</v>
      </c>
      <c r="G48" s="19"/>
      <c r="H48" s="19"/>
      <c r="I48" s="19"/>
      <c r="J48" s="19"/>
      <c r="K48" s="19"/>
      <c r="L48" s="19"/>
      <c r="M48" s="19"/>
      <c r="N48" s="19"/>
      <c r="O48" s="19"/>
      <c r="P48" s="19"/>
      <c r="Q48" s="19"/>
      <c r="R48" s="19"/>
      <c r="S48" s="19"/>
      <c r="T48" s="19"/>
      <c r="U48" s="19"/>
      <c r="V48" s="19"/>
      <c r="W48" s="19"/>
      <c r="X48" s="19"/>
    </row>
    <row r="49" spans="3:24" outlineLevel="1" x14ac:dyDescent="0.25">
      <c r="C49" s="13" t="s">
        <v>43</v>
      </c>
      <c r="E49" s="21" t="e">
        <f>SUM(E45:E48)</f>
        <v>#REF!</v>
      </c>
      <c r="F49" s="21" t="e">
        <f>SUM(F45:F48)</f>
        <v>#REF!</v>
      </c>
      <c r="G49" s="21" t="e">
        <f t="shared" ref="G49:X49" si="21">SUM(G45:G47)</f>
        <v>#REF!</v>
      </c>
      <c r="H49" s="21" t="e">
        <f t="shared" si="21"/>
        <v>#REF!</v>
      </c>
      <c r="I49" s="21" t="e">
        <f t="shared" si="21"/>
        <v>#REF!</v>
      </c>
      <c r="J49" s="21" t="e">
        <f t="shared" si="21"/>
        <v>#REF!</v>
      </c>
      <c r="K49" s="21" t="e">
        <f t="shared" si="21"/>
        <v>#REF!</v>
      </c>
      <c r="L49" s="21" t="e">
        <f t="shared" si="21"/>
        <v>#REF!</v>
      </c>
      <c r="M49" s="21" t="e">
        <f t="shared" si="21"/>
        <v>#REF!</v>
      </c>
      <c r="N49" s="21" t="e">
        <f t="shared" si="21"/>
        <v>#REF!</v>
      </c>
      <c r="O49" s="21" t="e">
        <f t="shared" si="21"/>
        <v>#REF!</v>
      </c>
      <c r="P49" s="21" t="e">
        <f t="shared" si="21"/>
        <v>#REF!</v>
      </c>
      <c r="Q49" s="21" t="e">
        <f t="shared" si="21"/>
        <v>#REF!</v>
      </c>
      <c r="R49" s="21" t="e">
        <f t="shared" si="21"/>
        <v>#REF!</v>
      </c>
      <c r="S49" s="21" t="e">
        <f t="shared" si="21"/>
        <v>#REF!</v>
      </c>
      <c r="T49" s="21" t="e">
        <f t="shared" si="21"/>
        <v>#REF!</v>
      </c>
      <c r="U49" s="21" t="e">
        <f t="shared" si="21"/>
        <v>#REF!</v>
      </c>
      <c r="V49" s="21" t="e">
        <f t="shared" si="21"/>
        <v>#REF!</v>
      </c>
      <c r="W49" s="21" t="e">
        <f t="shared" si="21"/>
        <v>#REF!</v>
      </c>
      <c r="X49" s="21" t="e">
        <f t="shared" si="21"/>
        <v>#REF!</v>
      </c>
    </row>
    <row r="50" spans="3:24" ht="15.75" outlineLevel="1" thickBot="1" x14ac:dyDescent="0.3"/>
    <row r="51" spans="3:24" ht="15.75" outlineLevel="1" thickBot="1" x14ac:dyDescent="0.3">
      <c r="C51" s="16" t="s">
        <v>236</v>
      </c>
      <c r="D51" s="16"/>
      <c r="E51" s="24" t="e">
        <f>E41/E49</f>
        <v>#REF!</v>
      </c>
      <c r="F51" s="25" t="e">
        <f t="shared" ref="F51:X51" si="22">F41/F49</f>
        <v>#REF!</v>
      </c>
      <c r="G51" s="25" t="e">
        <f t="shared" si="22"/>
        <v>#REF!</v>
      </c>
      <c r="H51" s="25" t="e">
        <f t="shared" si="22"/>
        <v>#REF!</v>
      </c>
      <c r="I51" s="25" t="e">
        <f t="shared" si="22"/>
        <v>#REF!</v>
      </c>
      <c r="J51" s="25" t="e">
        <f t="shared" si="22"/>
        <v>#REF!</v>
      </c>
      <c r="K51" s="25" t="e">
        <f t="shared" si="22"/>
        <v>#REF!</v>
      </c>
      <c r="L51" s="25" t="e">
        <f t="shared" si="22"/>
        <v>#REF!</v>
      </c>
      <c r="M51" s="25" t="e">
        <f t="shared" si="22"/>
        <v>#REF!</v>
      </c>
      <c r="N51" s="25" t="e">
        <f t="shared" si="22"/>
        <v>#REF!</v>
      </c>
      <c r="O51" s="25" t="e">
        <f t="shared" si="22"/>
        <v>#REF!</v>
      </c>
      <c r="P51" s="25" t="e">
        <f t="shared" si="22"/>
        <v>#REF!</v>
      </c>
      <c r="Q51" s="25" t="e">
        <f t="shared" si="22"/>
        <v>#REF!</v>
      </c>
      <c r="R51" s="25" t="e">
        <f t="shared" si="22"/>
        <v>#REF!</v>
      </c>
      <c r="S51" s="25" t="e">
        <f t="shared" si="22"/>
        <v>#REF!</v>
      </c>
      <c r="T51" s="25" t="e">
        <f t="shared" si="22"/>
        <v>#REF!</v>
      </c>
      <c r="U51" s="25" t="e">
        <f t="shared" si="22"/>
        <v>#REF!</v>
      </c>
      <c r="V51" s="25" t="e">
        <f t="shared" si="22"/>
        <v>#REF!</v>
      </c>
      <c r="W51" s="25" t="e">
        <f t="shared" si="22"/>
        <v>#REF!</v>
      </c>
      <c r="X51" s="26" t="e">
        <f t="shared" si="22"/>
        <v>#REF!</v>
      </c>
    </row>
    <row r="52" spans="3:24" outlineLevel="1" x14ac:dyDescent="0.25">
      <c r="C52" s="13" t="s">
        <v>237</v>
      </c>
      <c r="E52" s="27" t="e">
        <f t="shared" ref="E52:X52" si="23">IF(E51&gt;=$D$13,"YES","NO")</f>
        <v>#REF!</v>
      </c>
      <c r="F52" s="27" t="e">
        <f t="shared" si="23"/>
        <v>#REF!</v>
      </c>
      <c r="G52" s="27" t="e">
        <f t="shared" si="23"/>
        <v>#REF!</v>
      </c>
      <c r="H52" s="27" t="e">
        <f t="shared" si="23"/>
        <v>#REF!</v>
      </c>
      <c r="I52" s="27" t="e">
        <f t="shared" si="23"/>
        <v>#REF!</v>
      </c>
      <c r="J52" s="27" t="e">
        <f t="shared" si="23"/>
        <v>#REF!</v>
      </c>
      <c r="K52" s="27" t="e">
        <f t="shared" si="23"/>
        <v>#REF!</v>
      </c>
      <c r="L52" s="27" t="e">
        <f t="shared" si="23"/>
        <v>#REF!</v>
      </c>
      <c r="M52" s="27" t="e">
        <f t="shared" si="23"/>
        <v>#REF!</v>
      </c>
      <c r="N52" s="27" t="e">
        <f t="shared" si="23"/>
        <v>#REF!</v>
      </c>
      <c r="O52" s="27" t="e">
        <f t="shared" si="23"/>
        <v>#REF!</v>
      </c>
      <c r="P52" s="27" t="e">
        <f t="shared" si="23"/>
        <v>#REF!</v>
      </c>
      <c r="Q52" s="27" t="e">
        <f t="shared" si="23"/>
        <v>#REF!</v>
      </c>
      <c r="R52" s="27" t="e">
        <f t="shared" si="23"/>
        <v>#REF!</v>
      </c>
      <c r="S52" s="27" t="e">
        <f t="shared" si="23"/>
        <v>#REF!</v>
      </c>
      <c r="T52" s="27" t="e">
        <f t="shared" si="23"/>
        <v>#REF!</v>
      </c>
      <c r="U52" s="27" t="e">
        <f t="shared" si="23"/>
        <v>#REF!</v>
      </c>
      <c r="V52" s="27" t="e">
        <f t="shared" si="23"/>
        <v>#REF!</v>
      </c>
      <c r="W52" s="27" t="e">
        <f t="shared" si="23"/>
        <v>#REF!</v>
      </c>
      <c r="X52" s="27" t="e">
        <f t="shared" si="23"/>
        <v>#REF!</v>
      </c>
    </row>
    <row r="54" spans="3:24" x14ac:dyDescent="0.25">
      <c r="E54" s="30"/>
    </row>
  </sheetData>
  <pageMargins left="0.25" right="0.25" top="0.75" bottom="0.75" header="0.3" footer="0.3"/>
  <pageSetup scale="4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5"/>
  <sheetViews>
    <sheetView showGridLines="0" workbookViewId="0">
      <selection activeCell="A37" sqref="A33:A37"/>
    </sheetView>
  </sheetViews>
  <sheetFormatPr defaultColWidth="9.140625" defaultRowHeight="12.75" x14ac:dyDescent="0.2"/>
  <cols>
    <col min="1" max="1" width="29.5703125" style="49" customWidth="1"/>
    <col min="2" max="5" width="10" style="49" bestFit="1" customWidth="1"/>
    <col min="6" max="6" width="9.140625" style="49"/>
    <col min="7" max="7" width="28" style="49" hidden="1" customWidth="1"/>
    <col min="8" max="8" width="0" style="49" hidden="1" customWidth="1"/>
    <col min="9" max="11" width="9.140625" style="49"/>
    <col min="12" max="12" width="33.28515625" style="49" customWidth="1"/>
    <col min="13" max="15" width="10" style="49" bestFit="1" customWidth="1"/>
    <col min="16" max="16" width="3.28515625" style="49" customWidth="1"/>
    <col min="17" max="17" width="27.5703125" style="49" bestFit="1" customWidth="1"/>
    <col min="18" max="16384" width="9.140625" style="49"/>
  </cols>
  <sheetData>
    <row r="1" spans="1:21" x14ac:dyDescent="0.2">
      <c r="A1" s="50" t="s">
        <v>280</v>
      </c>
      <c r="L1" s="58" t="s">
        <v>280</v>
      </c>
      <c r="M1" s="59"/>
      <c r="N1" s="59"/>
      <c r="O1" s="59"/>
      <c r="P1" s="59"/>
      <c r="Q1" s="59"/>
      <c r="R1" s="59"/>
      <c r="S1" s="59"/>
      <c r="T1" s="59"/>
      <c r="U1" s="60"/>
    </row>
    <row r="2" spans="1:21" x14ac:dyDescent="0.2">
      <c r="A2" s="50" t="s">
        <v>281</v>
      </c>
      <c r="L2" s="61" t="s">
        <v>281</v>
      </c>
      <c r="M2" s="62"/>
      <c r="N2" s="62"/>
      <c r="O2" s="62"/>
      <c r="P2" s="62"/>
      <c r="Q2" s="62"/>
      <c r="R2" s="62"/>
      <c r="S2" s="62"/>
      <c r="T2" s="62"/>
      <c r="U2" s="63"/>
    </row>
    <row r="3" spans="1:21" x14ac:dyDescent="0.2">
      <c r="L3" s="64"/>
      <c r="M3" s="62"/>
      <c r="N3" s="62"/>
      <c r="O3" s="62"/>
      <c r="P3" s="62"/>
      <c r="Q3" s="62"/>
      <c r="R3" s="62"/>
      <c r="S3" s="62"/>
      <c r="T3" s="62"/>
      <c r="U3" s="63"/>
    </row>
    <row r="4" spans="1:21" ht="15" x14ac:dyDescent="0.35">
      <c r="B4" s="51" t="s">
        <v>7</v>
      </c>
      <c r="C4" s="51" t="s">
        <v>8</v>
      </c>
      <c r="D4" s="51" t="s">
        <v>263</v>
      </c>
      <c r="E4" s="51" t="s">
        <v>114</v>
      </c>
      <c r="H4" s="51">
        <v>41943</v>
      </c>
      <c r="L4" s="64"/>
      <c r="M4" s="65" t="s">
        <v>263</v>
      </c>
      <c r="N4" s="65" t="s">
        <v>114</v>
      </c>
      <c r="O4" s="62"/>
      <c r="P4" s="62"/>
      <c r="Q4" s="62"/>
      <c r="R4" s="65" t="s">
        <v>7</v>
      </c>
      <c r="S4" s="65" t="s">
        <v>8</v>
      </c>
      <c r="T4" s="65" t="s">
        <v>263</v>
      </c>
      <c r="U4" s="66" t="s">
        <v>114</v>
      </c>
    </row>
    <row r="5" spans="1:21" x14ac:dyDescent="0.2">
      <c r="A5" s="49" t="s">
        <v>9</v>
      </c>
      <c r="B5" s="67">
        <f>B32</f>
        <v>366.14363999999932</v>
      </c>
      <c r="C5" s="67">
        <f>C32</f>
        <v>594.80430000000001</v>
      </c>
      <c r="D5" s="67">
        <f>D32</f>
        <v>694.23072159632011</v>
      </c>
      <c r="E5" s="67">
        <f>E32</f>
        <v>551.72622053210648</v>
      </c>
      <c r="G5" s="49" t="s">
        <v>99</v>
      </c>
      <c r="H5" s="52">
        <v>42.024999999999999</v>
      </c>
      <c r="L5" s="64" t="s">
        <v>9</v>
      </c>
      <c r="M5" s="68">
        <f>T20</f>
        <v>724.16972159632007</v>
      </c>
      <c r="N5" s="68">
        <f>U20</f>
        <v>581.66522053210656</v>
      </c>
      <c r="O5" s="62"/>
      <c r="P5" s="62"/>
      <c r="Q5" s="69" t="s">
        <v>118</v>
      </c>
      <c r="R5" s="70">
        <f t="shared" ref="R5:U16" si="0">B16</f>
        <v>6805.8566399999991</v>
      </c>
      <c r="S5" s="70">
        <f t="shared" si="0"/>
        <v>8289.1263799999997</v>
      </c>
      <c r="T5" s="70">
        <f t="shared" si="0"/>
        <v>9421.7647290496734</v>
      </c>
      <c r="U5" s="71">
        <f t="shared" si="0"/>
        <v>8172.2492496832247</v>
      </c>
    </row>
    <row r="6" spans="1:21" x14ac:dyDescent="0.2">
      <c r="A6" s="49" t="s">
        <v>282</v>
      </c>
      <c r="B6" s="72">
        <f>B7/B5</f>
        <v>9.4803056198971714</v>
      </c>
      <c r="C6" s="72">
        <f>C7/C5</f>
        <v>5.8357910458643296</v>
      </c>
      <c r="D6" s="72">
        <v>5</v>
      </c>
      <c r="E6" s="72">
        <f>E7/E5</f>
        <v>6.2914421660690394</v>
      </c>
      <c r="G6" s="49" t="s">
        <v>271</v>
      </c>
      <c r="H6" s="53">
        <v>1567.778</v>
      </c>
      <c r="L6" s="64" t="s">
        <v>282</v>
      </c>
      <c r="M6" s="72">
        <v>5</v>
      </c>
      <c r="N6" s="72">
        <f>N7/N5</f>
        <v>6.2249701033684852</v>
      </c>
      <c r="O6" s="62"/>
      <c r="P6" s="62"/>
      <c r="Q6" s="73" t="s">
        <v>201</v>
      </c>
      <c r="R6" s="44">
        <f t="shared" si="0"/>
        <v>4051.8599999999997</v>
      </c>
      <c r="S6" s="44">
        <f t="shared" si="0"/>
        <v>4930.4736000000003</v>
      </c>
      <c r="T6" s="44">
        <f t="shared" si="0"/>
        <v>5585.9138574533517</v>
      </c>
      <c r="U6" s="74">
        <f t="shared" si="0"/>
        <v>4856.0824858177839</v>
      </c>
    </row>
    <row r="7" spans="1:21" x14ac:dyDescent="0.2">
      <c r="A7" s="49" t="s">
        <v>283</v>
      </c>
      <c r="B7" s="52">
        <f>C7</f>
        <v>3471.1536079816005</v>
      </c>
      <c r="C7" s="52">
        <f>E7</f>
        <v>3471.1536079816005</v>
      </c>
      <c r="D7" s="52">
        <f>D5*D6</f>
        <v>3471.1536079816005</v>
      </c>
      <c r="E7" s="52">
        <f>D7</f>
        <v>3471.1536079816005</v>
      </c>
      <c r="G7" s="49" t="s">
        <v>121</v>
      </c>
      <c r="H7" s="52">
        <f>SUM(H5:H6)</f>
        <v>1609.8030000000001</v>
      </c>
      <c r="L7" s="64" t="s">
        <v>284</v>
      </c>
      <c r="M7" s="75">
        <f>M5*M6</f>
        <v>3620.8486079816003</v>
      </c>
      <c r="N7" s="75">
        <f>M7</f>
        <v>3620.8486079816003</v>
      </c>
      <c r="O7" s="62"/>
      <c r="P7" s="62"/>
      <c r="Q7" s="76" t="s">
        <v>264</v>
      </c>
      <c r="R7" s="77">
        <f t="shared" si="0"/>
        <v>2753.9966399999994</v>
      </c>
      <c r="S7" s="77">
        <f t="shared" si="0"/>
        <v>3358.6527799999994</v>
      </c>
      <c r="T7" s="77">
        <f t="shared" si="0"/>
        <v>3835.8508715963217</v>
      </c>
      <c r="U7" s="78">
        <f t="shared" si="0"/>
        <v>3316.1667638654408</v>
      </c>
    </row>
    <row r="8" spans="1:21" x14ac:dyDescent="0.2">
      <c r="A8" s="49" t="s">
        <v>285</v>
      </c>
      <c r="B8" s="79">
        <f>B9-B7</f>
        <v>178.8103920183994</v>
      </c>
      <c r="C8" s="79">
        <f>C9-C7</f>
        <v>178.8103920183994</v>
      </c>
      <c r="D8" s="79">
        <f>D9-D7</f>
        <v>178.8103920183994</v>
      </c>
      <c r="E8" s="79">
        <f>E9-E7</f>
        <v>178.8103920183994</v>
      </c>
      <c r="L8" s="64" t="s">
        <v>286</v>
      </c>
      <c r="M8" s="80">
        <f>$H$5</f>
        <v>42.024999999999999</v>
      </c>
      <c r="N8" s="80">
        <f>$H$5</f>
        <v>42.024999999999999</v>
      </c>
      <c r="O8" s="62"/>
      <c r="P8" s="62"/>
      <c r="Q8" s="81" t="s">
        <v>265</v>
      </c>
      <c r="R8" s="82">
        <f t="shared" si="0"/>
        <v>0.40465099188454251</v>
      </c>
      <c r="S8" s="82">
        <f t="shared" si="0"/>
        <v>0.40518778771472896</v>
      </c>
      <c r="T8" s="82">
        <f t="shared" si="0"/>
        <v>0.40712658211146235</v>
      </c>
      <c r="U8" s="83">
        <f t="shared" si="0"/>
        <v>0.40578385002072509</v>
      </c>
    </row>
    <row r="9" spans="1:21" x14ac:dyDescent="0.2">
      <c r="A9" s="49" t="s">
        <v>284</v>
      </c>
      <c r="B9" s="52">
        <f>B13-SUM(B10:B12)</f>
        <v>3649.9639999999999</v>
      </c>
      <c r="C9" s="52">
        <f>C13-SUM(C10:C12)</f>
        <v>3649.9639999999999</v>
      </c>
      <c r="D9" s="52">
        <f>D13-SUM(D10:D12)</f>
        <v>3649.9639999999999</v>
      </c>
      <c r="E9" s="52">
        <f>E13-SUM(E10:E12)</f>
        <v>3649.9639999999999</v>
      </c>
      <c r="G9" s="49" t="s">
        <v>272</v>
      </c>
      <c r="H9" s="54">
        <v>3263.41</v>
      </c>
      <c r="L9" s="64" t="s">
        <v>287</v>
      </c>
      <c r="M9" s="80">
        <f>-$H$17</f>
        <v>-900</v>
      </c>
      <c r="N9" s="80">
        <f>-$H$17</f>
        <v>-900</v>
      </c>
      <c r="O9" s="62"/>
      <c r="P9" s="62"/>
      <c r="Q9" s="62"/>
      <c r="R9" s="68"/>
      <c r="S9" s="68"/>
      <c r="T9" s="68"/>
      <c r="U9" s="84"/>
    </row>
    <row r="10" spans="1:21" x14ac:dyDescent="0.2">
      <c r="A10" s="49" t="s">
        <v>286</v>
      </c>
      <c r="B10" s="54">
        <f>$H$5</f>
        <v>42.024999999999999</v>
      </c>
      <c r="C10" s="54">
        <f>$H$5</f>
        <v>42.024999999999999</v>
      </c>
      <c r="D10" s="54">
        <f>$H$5</f>
        <v>42.024999999999999</v>
      </c>
      <c r="E10" s="54">
        <f>$H$5</f>
        <v>42.024999999999999</v>
      </c>
      <c r="G10" s="49" t="s">
        <v>273</v>
      </c>
      <c r="H10" s="53">
        <v>-896.23400000000004</v>
      </c>
      <c r="L10" s="64" t="s">
        <v>288</v>
      </c>
      <c r="M10" s="79">
        <f>-$H$21</f>
        <v>-41.988999999999997</v>
      </c>
      <c r="N10" s="79">
        <f>-$H$21</f>
        <v>-41.988999999999997</v>
      </c>
      <c r="O10" s="62"/>
      <c r="P10" s="62"/>
      <c r="Q10" s="76" t="s">
        <v>26</v>
      </c>
      <c r="R10" s="77">
        <f t="shared" si="0"/>
        <v>558.71500000000003</v>
      </c>
      <c r="S10" s="77">
        <f t="shared" si="0"/>
        <v>652.90200000000004</v>
      </c>
      <c r="T10" s="77">
        <f t="shared" si="0"/>
        <v>659.87162999999987</v>
      </c>
      <c r="U10" s="78">
        <f t="shared" si="0"/>
        <v>623.82954333333339</v>
      </c>
    </row>
    <row r="11" spans="1:21" x14ac:dyDescent="0.2">
      <c r="A11" s="49" t="s">
        <v>287</v>
      </c>
      <c r="B11" s="54">
        <f>-$H$17</f>
        <v>-900</v>
      </c>
      <c r="C11" s="54">
        <f>-$H$17</f>
        <v>-900</v>
      </c>
      <c r="D11" s="54">
        <f>-$H$17</f>
        <v>-900</v>
      </c>
      <c r="E11" s="54">
        <f>-$H$17</f>
        <v>-900</v>
      </c>
      <c r="G11" s="49" t="s">
        <v>199</v>
      </c>
      <c r="H11" s="54">
        <f>SUM(H9:H10)</f>
        <v>2367.1759999999999</v>
      </c>
      <c r="L11" s="64" t="s">
        <v>289</v>
      </c>
      <c r="M11" s="75">
        <f>SUM(M7:M10)</f>
        <v>2720.8846079816003</v>
      </c>
      <c r="N11" s="75">
        <f>SUM(N7:N10)</f>
        <v>2720.8846079816003</v>
      </c>
      <c r="O11" s="62"/>
      <c r="P11" s="62"/>
      <c r="Q11" s="76" t="s">
        <v>266</v>
      </c>
      <c r="R11" s="77">
        <f t="shared" si="0"/>
        <v>168.87</v>
      </c>
      <c r="S11" s="77">
        <f t="shared" si="0"/>
        <v>235.40100000000001</v>
      </c>
      <c r="T11" s="77">
        <f t="shared" si="0"/>
        <v>259.72417999999999</v>
      </c>
      <c r="U11" s="78">
        <f t="shared" si="0"/>
        <v>221.33172666666667</v>
      </c>
    </row>
    <row r="12" spans="1:21" x14ac:dyDescent="0.2">
      <c r="A12" s="49" t="s">
        <v>288</v>
      </c>
      <c r="B12" s="79">
        <f>-$H$21</f>
        <v>-41.988999999999997</v>
      </c>
      <c r="C12" s="79">
        <f>-$H$21</f>
        <v>-41.988999999999997</v>
      </c>
      <c r="D12" s="79">
        <f>-$H$21</f>
        <v>-41.988999999999997</v>
      </c>
      <c r="E12" s="79">
        <f>-$H$21</f>
        <v>-41.988999999999997</v>
      </c>
      <c r="G12" s="49" t="s">
        <v>274</v>
      </c>
      <c r="H12" s="54">
        <v>233.57099999999997</v>
      </c>
      <c r="L12" s="64" t="s">
        <v>285</v>
      </c>
      <c r="M12" s="53">
        <f>2750-M11</f>
        <v>29.115392018399689</v>
      </c>
      <c r="N12" s="53">
        <f>M12</f>
        <v>29.115392018399689</v>
      </c>
      <c r="O12" s="62"/>
      <c r="P12" s="62"/>
      <c r="Q12" s="76" t="s">
        <v>267</v>
      </c>
      <c r="R12" s="77">
        <f t="shared" si="0"/>
        <v>199.21899999999999</v>
      </c>
      <c r="S12" s="77">
        <f t="shared" si="0"/>
        <v>224.59034999999997</v>
      </c>
      <c r="T12" s="77">
        <f t="shared" si="0"/>
        <v>250.5138</v>
      </c>
      <c r="U12" s="78">
        <f t="shared" si="0"/>
        <v>224.7743833333333</v>
      </c>
    </row>
    <row r="13" spans="1:21" ht="13.5" thickBot="1" x14ac:dyDescent="0.25">
      <c r="A13" s="49" t="s">
        <v>290</v>
      </c>
      <c r="B13" s="85">
        <v>2750</v>
      </c>
      <c r="C13" s="85">
        <v>2750</v>
      </c>
      <c r="D13" s="85">
        <v>2750</v>
      </c>
      <c r="E13" s="85">
        <v>2750</v>
      </c>
      <c r="G13" s="50" t="s">
        <v>1</v>
      </c>
      <c r="H13" s="55">
        <f>SUM(H7,H11,H12)</f>
        <v>4210.55</v>
      </c>
      <c r="L13" s="64" t="s">
        <v>290</v>
      </c>
      <c r="M13" s="86">
        <f>SUM(M11:M12)</f>
        <v>2750</v>
      </c>
      <c r="N13" s="86">
        <f>SUM(N11:N12)</f>
        <v>2750</v>
      </c>
      <c r="O13" s="62"/>
      <c r="P13" s="62"/>
      <c r="Q13" s="76" t="s">
        <v>268</v>
      </c>
      <c r="R13" s="77">
        <f t="shared" si="0"/>
        <v>497.32400000000001</v>
      </c>
      <c r="S13" s="77">
        <f t="shared" si="0"/>
        <v>730.45</v>
      </c>
      <c r="T13" s="77">
        <f t="shared" si="0"/>
        <v>881.07798000000003</v>
      </c>
      <c r="U13" s="78">
        <f t="shared" si="0"/>
        <v>702.95066000000008</v>
      </c>
    </row>
    <row r="14" spans="1:21" ht="15.75" thickTop="1" x14ac:dyDescent="0.35">
      <c r="L14" s="64"/>
      <c r="M14" s="62"/>
      <c r="N14" s="62"/>
      <c r="O14" s="62"/>
      <c r="P14" s="62"/>
      <c r="Q14" s="76" t="s">
        <v>269</v>
      </c>
      <c r="R14" s="87">
        <f t="shared" si="0"/>
        <v>1029.7249999999999</v>
      </c>
      <c r="S14" s="87">
        <f t="shared" si="0"/>
        <v>1089.50513</v>
      </c>
      <c r="T14" s="87">
        <f t="shared" si="0"/>
        <v>1280.0325600000001</v>
      </c>
      <c r="U14" s="88">
        <f t="shared" si="0"/>
        <v>1133.0875633333333</v>
      </c>
    </row>
    <row r="15" spans="1:21" ht="15" x14ac:dyDescent="0.35">
      <c r="B15" s="51" t="s">
        <v>7</v>
      </c>
      <c r="C15" s="51" t="s">
        <v>8</v>
      </c>
      <c r="D15" s="51" t="s">
        <v>263</v>
      </c>
      <c r="E15" s="51" t="s">
        <v>114</v>
      </c>
      <c r="F15" s="42"/>
      <c r="G15" s="49" t="s">
        <v>6</v>
      </c>
      <c r="H15" s="52">
        <v>283.47399999999999</v>
      </c>
      <c r="L15" s="64"/>
      <c r="M15" s="62"/>
      <c r="N15" s="62"/>
      <c r="O15" s="62"/>
      <c r="P15" s="62"/>
      <c r="Q15" s="73" t="s">
        <v>215</v>
      </c>
      <c r="R15" s="87">
        <f t="shared" si="0"/>
        <v>2453.8530000000001</v>
      </c>
      <c r="S15" s="87">
        <f t="shared" si="0"/>
        <v>2932.8484800000001</v>
      </c>
      <c r="T15" s="87">
        <f t="shared" si="0"/>
        <v>3331.2201499999996</v>
      </c>
      <c r="U15" s="88">
        <f t="shared" si="0"/>
        <v>2905.9738766666669</v>
      </c>
    </row>
    <row r="16" spans="1:21" ht="15" customHeight="1" x14ac:dyDescent="0.35">
      <c r="A16" s="89" t="s">
        <v>118</v>
      </c>
      <c r="B16" s="45">
        <v>6805.8566399999991</v>
      </c>
      <c r="C16" s="45">
        <v>8289.1263799999997</v>
      </c>
      <c r="D16" s="45">
        <v>9421.7647290496734</v>
      </c>
      <c r="E16" s="45">
        <f>AVERAGE(B16:D16)</f>
        <v>8172.2492496832247</v>
      </c>
      <c r="G16" s="49" t="s">
        <v>276</v>
      </c>
      <c r="H16" s="52">
        <v>178.00300000000004</v>
      </c>
      <c r="L16" s="64"/>
      <c r="M16" s="62"/>
      <c r="N16" s="62"/>
      <c r="O16" s="62"/>
      <c r="P16" s="62"/>
      <c r="Q16" s="76" t="s">
        <v>270</v>
      </c>
      <c r="R16" s="90">
        <f t="shared" si="0"/>
        <v>300.14363999999932</v>
      </c>
      <c r="S16" s="90">
        <f t="shared" si="0"/>
        <v>425.80429999999933</v>
      </c>
      <c r="T16" s="90">
        <f t="shared" si="0"/>
        <v>504.63072159632202</v>
      </c>
      <c r="U16" s="91">
        <f t="shared" si="0"/>
        <v>410.19288719877386</v>
      </c>
    </row>
    <row r="17" spans="1:21" ht="15" x14ac:dyDescent="0.35">
      <c r="A17" s="89" t="s">
        <v>201</v>
      </c>
      <c r="B17" s="44">
        <v>4051.8599999999997</v>
      </c>
      <c r="C17" s="44">
        <v>4930.4736000000003</v>
      </c>
      <c r="D17" s="44">
        <v>5585.9138574533517</v>
      </c>
      <c r="E17" s="44">
        <f>AVERAGE(B17:D17)</f>
        <v>4856.0824858177839</v>
      </c>
      <c r="G17" s="49" t="s">
        <v>275</v>
      </c>
      <c r="H17" s="53">
        <v>900</v>
      </c>
      <c r="L17" s="64" t="s">
        <v>291</v>
      </c>
      <c r="M17" s="62"/>
      <c r="N17" s="62"/>
      <c r="O17" s="62"/>
      <c r="P17" s="62"/>
      <c r="Q17" s="92" t="s">
        <v>292</v>
      </c>
      <c r="R17" s="90"/>
      <c r="S17" s="90"/>
      <c r="T17" s="90"/>
      <c r="U17" s="91"/>
    </row>
    <row r="18" spans="1:21" x14ac:dyDescent="0.2">
      <c r="A18" s="41" t="s">
        <v>264</v>
      </c>
      <c r="B18" s="43">
        <f>B16-B17</f>
        <v>2753.9966399999994</v>
      </c>
      <c r="C18" s="43">
        <f>C16-C17</f>
        <v>3358.6527799999994</v>
      </c>
      <c r="D18" s="43">
        <f>D16-D17</f>
        <v>3835.8508715963217</v>
      </c>
      <c r="E18" s="43">
        <f>E16-E17</f>
        <v>3316.1667638654408</v>
      </c>
      <c r="G18" s="49" t="s">
        <v>277</v>
      </c>
      <c r="H18" s="52">
        <v>1361.4769999999996</v>
      </c>
      <c r="L18" s="1202" t="s">
        <v>293</v>
      </c>
      <c r="M18" s="1203"/>
      <c r="N18" s="1203"/>
      <c r="O18" s="1203"/>
      <c r="P18" s="62"/>
      <c r="Q18" s="92" t="s">
        <v>29</v>
      </c>
      <c r="R18" s="77">
        <v>66</v>
      </c>
      <c r="S18" s="77">
        <v>169</v>
      </c>
      <c r="T18" s="77">
        <v>189.59999999999809</v>
      </c>
      <c r="U18" s="78">
        <f>AVERAGE(R18:T18)</f>
        <v>141.53333333333271</v>
      </c>
    </row>
    <row r="19" spans="1:21" ht="15" x14ac:dyDescent="0.35">
      <c r="A19" s="46" t="s">
        <v>265</v>
      </c>
      <c r="B19" s="93">
        <f>B18/B16</f>
        <v>0.40465099188454251</v>
      </c>
      <c r="C19" s="93">
        <f>C18/C16</f>
        <v>0.40518778771472896</v>
      </c>
      <c r="D19" s="93">
        <f>D18/D16</f>
        <v>0.40712658211146235</v>
      </c>
      <c r="E19" s="93">
        <f>E18/E16</f>
        <v>0.40578385002072509</v>
      </c>
      <c r="L19" s="1202"/>
      <c r="M19" s="1203"/>
      <c r="N19" s="1203"/>
      <c r="O19" s="1203"/>
      <c r="P19" s="62"/>
      <c r="Q19" s="92" t="s">
        <v>294</v>
      </c>
      <c r="R19" s="87">
        <v>29.939</v>
      </c>
      <c r="S19" s="87">
        <v>29.939</v>
      </c>
      <c r="T19" s="87">
        <v>29.939</v>
      </c>
      <c r="U19" s="88">
        <v>29.939</v>
      </c>
    </row>
    <row r="20" spans="1:21" ht="15" x14ac:dyDescent="0.35">
      <c r="L20" s="1202"/>
      <c r="M20" s="1203"/>
      <c r="N20" s="1203"/>
      <c r="O20" s="1203"/>
      <c r="P20" s="62"/>
      <c r="Q20" s="94" t="s">
        <v>9</v>
      </c>
      <c r="R20" s="95">
        <f>SUM(R18:R19,R16)</f>
        <v>396.08263999999929</v>
      </c>
      <c r="S20" s="95">
        <f>SUM(S18:S19,S16)</f>
        <v>624.74329999999929</v>
      </c>
      <c r="T20" s="95">
        <f>SUM(T18:T19,T16)</f>
        <v>724.16972159632007</v>
      </c>
      <c r="U20" s="96">
        <f>SUM(U18:U19,U16)</f>
        <v>581.66522053210656</v>
      </c>
    </row>
    <row r="21" spans="1:21" x14ac:dyDescent="0.2">
      <c r="A21" s="41" t="s">
        <v>26</v>
      </c>
      <c r="B21" s="43">
        <v>558.71500000000003</v>
      </c>
      <c r="C21" s="43">
        <v>652.90200000000004</v>
      </c>
      <c r="D21" s="43">
        <v>659.87162999999987</v>
      </c>
      <c r="E21" s="43">
        <f>AVERAGE(B21:D21)</f>
        <v>623.82954333333339</v>
      </c>
      <c r="G21" s="49" t="s">
        <v>278</v>
      </c>
      <c r="H21" s="53">
        <v>41.988999999999997</v>
      </c>
      <c r="L21" s="97" t="s">
        <v>295</v>
      </c>
      <c r="M21" s="62"/>
      <c r="N21" s="62"/>
      <c r="O21" s="62"/>
      <c r="P21" s="62"/>
      <c r="Q21" s="62" t="s">
        <v>296</v>
      </c>
      <c r="R21" s="62"/>
      <c r="S21" s="62"/>
      <c r="T21" s="62"/>
      <c r="U21" s="63"/>
    </row>
    <row r="22" spans="1:21" ht="15" x14ac:dyDescent="0.35">
      <c r="A22" s="41" t="s">
        <v>266</v>
      </c>
      <c r="B22" s="43">
        <v>168.87</v>
      </c>
      <c r="C22" s="43">
        <v>235.40100000000001</v>
      </c>
      <c r="D22" s="43">
        <v>259.72417999999999</v>
      </c>
      <c r="E22" s="43">
        <f>AVERAGE(B22:D22)</f>
        <v>221.33172666666667</v>
      </c>
      <c r="G22" s="50" t="s">
        <v>2</v>
      </c>
      <c r="H22" s="98">
        <f>SUM(H18,H21)</f>
        <v>1403.4659999999997</v>
      </c>
      <c r="L22" s="97" t="s">
        <v>297</v>
      </c>
      <c r="M22" s="62"/>
      <c r="N22" s="62"/>
      <c r="O22" s="62"/>
      <c r="P22" s="62"/>
      <c r="Q22" s="62" t="s">
        <v>298</v>
      </c>
      <c r="R22" s="87">
        <v>499.9</v>
      </c>
      <c r="S22" s="87">
        <v>520.47199999999998</v>
      </c>
      <c r="T22" s="87">
        <v>682</v>
      </c>
      <c r="U22" s="88">
        <f>AVERAGE(R22:T22)</f>
        <v>567.45733333333328</v>
      </c>
    </row>
    <row r="23" spans="1:21" ht="15.75" thickBot="1" x14ac:dyDescent="0.4">
      <c r="A23" s="41" t="s">
        <v>267</v>
      </c>
      <c r="B23" s="43">
        <v>199.21899999999999</v>
      </c>
      <c r="C23" s="43">
        <v>224.59034999999997</v>
      </c>
      <c r="D23" s="43">
        <v>250.5138</v>
      </c>
      <c r="E23" s="43">
        <f>AVERAGE(B23:D23)</f>
        <v>224.7743833333333</v>
      </c>
      <c r="L23" s="99"/>
      <c r="M23" s="100"/>
      <c r="N23" s="100"/>
      <c r="O23" s="100"/>
      <c r="P23" s="100"/>
      <c r="Q23" s="101" t="s">
        <v>299</v>
      </c>
      <c r="R23" s="102">
        <f>R20-R22</f>
        <v>-103.81736000000069</v>
      </c>
      <c r="S23" s="102">
        <f>S20-S22</f>
        <v>104.27129999999931</v>
      </c>
      <c r="T23" s="102">
        <f>T20-T22</f>
        <v>42.169721596320073</v>
      </c>
      <c r="U23" s="103">
        <f>U20-U22</f>
        <v>14.207887198773278</v>
      </c>
    </row>
    <row r="24" spans="1:21" x14ac:dyDescent="0.2">
      <c r="A24" s="41" t="s">
        <v>268</v>
      </c>
      <c r="B24" s="43">
        <v>497.32400000000001</v>
      </c>
      <c r="C24" s="43">
        <v>730.45</v>
      </c>
      <c r="D24" s="43">
        <v>881.07798000000003</v>
      </c>
      <c r="E24" s="43">
        <f>AVERAGE(B24:D24)</f>
        <v>702.95066000000008</v>
      </c>
      <c r="G24" s="49" t="s">
        <v>113</v>
      </c>
      <c r="H24" s="52">
        <v>333.48700000000002</v>
      </c>
    </row>
    <row r="25" spans="1:21" ht="15" x14ac:dyDescent="0.35">
      <c r="A25" s="41" t="s">
        <v>269</v>
      </c>
      <c r="B25" s="47">
        <v>1029.7249999999999</v>
      </c>
      <c r="C25" s="47">
        <v>1089.50513</v>
      </c>
      <c r="D25" s="47">
        <v>1280.0325600000001</v>
      </c>
      <c r="E25" s="47">
        <f>AVERAGE(B25:D25)</f>
        <v>1133.0875633333333</v>
      </c>
      <c r="G25" s="49" t="s">
        <v>279</v>
      </c>
      <c r="H25" s="53">
        <f>2119.228+354.371</f>
        <v>2473.5990000000002</v>
      </c>
    </row>
    <row r="26" spans="1:21" ht="15" x14ac:dyDescent="0.35">
      <c r="A26" s="89" t="s">
        <v>215</v>
      </c>
      <c r="B26" s="47">
        <f>SUM(B21:B25)</f>
        <v>2453.8530000000001</v>
      </c>
      <c r="C26" s="47">
        <f>SUM(C21:C25)</f>
        <v>2932.8484800000001</v>
      </c>
      <c r="D26" s="47">
        <f>SUM(D21:D25)</f>
        <v>3331.2201499999996</v>
      </c>
      <c r="E26" s="47">
        <f>SUM(E21:E25)</f>
        <v>2905.9738766666669</v>
      </c>
      <c r="G26" s="50" t="s">
        <v>3</v>
      </c>
      <c r="H26" s="56">
        <f>SUM(H24:H25)</f>
        <v>2807.0860000000002</v>
      </c>
    </row>
    <row r="27" spans="1:21" ht="15.75" thickBot="1" x14ac:dyDescent="0.4">
      <c r="A27" s="41" t="s">
        <v>270</v>
      </c>
      <c r="B27" s="104">
        <f>B18-B26</f>
        <v>300.14363999999932</v>
      </c>
      <c r="C27" s="104">
        <f>C18-C26</f>
        <v>425.80429999999933</v>
      </c>
      <c r="D27" s="104">
        <f>D18-D26</f>
        <v>504.63072159632202</v>
      </c>
      <c r="E27" s="104">
        <f>E18-E26</f>
        <v>410.19288719877386</v>
      </c>
      <c r="G27" s="50" t="s">
        <v>206</v>
      </c>
      <c r="H27" s="57">
        <f>SUM(H22,H26)</f>
        <v>4210.5519999999997</v>
      </c>
    </row>
    <row r="28" spans="1:21" ht="15.75" thickTop="1" x14ac:dyDescent="0.35">
      <c r="A28" s="41" t="s">
        <v>292</v>
      </c>
      <c r="B28" s="104"/>
      <c r="C28" s="104"/>
      <c r="D28" s="104"/>
      <c r="E28" s="104"/>
      <c r="G28" s="50"/>
      <c r="H28" s="105"/>
    </row>
    <row r="29" spans="1:21" x14ac:dyDescent="0.2">
      <c r="A29" s="41" t="s">
        <v>29</v>
      </c>
      <c r="B29" s="43">
        <v>66</v>
      </c>
      <c r="C29" s="43">
        <v>169</v>
      </c>
      <c r="D29" s="43">
        <f>D32-D27</f>
        <v>189.59999999999809</v>
      </c>
      <c r="E29" s="43"/>
      <c r="G29" s="50"/>
      <c r="H29" s="105"/>
    </row>
    <row r="30" spans="1:21" ht="15" x14ac:dyDescent="0.35">
      <c r="A30" s="41" t="s">
        <v>300</v>
      </c>
      <c r="B30" s="104"/>
      <c r="C30" s="104"/>
      <c r="D30" s="104"/>
      <c r="E30" s="104"/>
      <c r="G30" s="50"/>
      <c r="H30" s="105"/>
    </row>
    <row r="32" spans="1:21" ht="15" x14ac:dyDescent="0.35">
      <c r="A32" s="41" t="s">
        <v>9</v>
      </c>
      <c r="B32" s="48">
        <v>366.14363999999932</v>
      </c>
      <c r="C32" s="48">
        <v>594.80430000000001</v>
      </c>
      <c r="D32" s="48">
        <v>694.23072159632011</v>
      </c>
      <c r="E32" s="48">
        <f>AVERAGE(B32:D32)</f>
        <v>551.72622053210648</v>
      </c>
    </row>
    <row r="35" spans="1:1" x14ac:dyDescent="0.2">
      <c r="A35" s="49" t="s">
        <v>301</v>
      </c>
    </row>
  </sheetData>
  <mergeCells count="1">
    <mergeCell ref="L18:O20"/>
  </mergeCells>
  <pageMargins left="0.7" right="0.7" top="0.75" bottom="0.75" header="0.3" footer="0.3"/>
  <pageSetup scale="9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showGridLines="0" zoomScale="80" zoomScaleNormal="80" workbookViewId="0">
      <selection activeCell="H32" sqref="H32"/>
    </sheetView>
  </sheetViews>
  <sheetFormatPr defaultColWidth="8.85546875" defaultRowHeight="16.5" x14ac:dyDescent="0.3"/>
  <cols>
    <col min="1" max="1" width="2.7109375" style="588" customWidth="1"/>
    <col min="2" max="2" width="35.140625" style="588" bestFit="1" customWidth="1"/>
    <col min="3" max="11" width="13.42578125" style="588" bestFit="1" customWidth="1"/>
    <col min="12" max="25" width="9.140625" customWidth="1"/>
    <col min="26" max="16384" width="8.85546875" style="588"/>
  </cols>
  <sheetData>
    <row r="1" spans="1:11" s="588" customFormat="1" ht="21" thickBot="1" x14ac:dyDescent="0.35">
      <c r="A1" s="586" t="s">
        <v>976</v>
      </c>
      <c r="B1" s="587"/>
      <c r="C1" s="587"/>
      <c r="D1" s="587"/>
      <c r="E1" s="587"/>
      <c r="F1" s="587"/>
      <c r="G1" s="587"/>
      <c r="H1" s="587"/>
      <c r="I1" s="587"/>
      <c r="J1" s="587"/>
      <c r="K1" s="587"/>
    </row>
    <row r="2" spans="1:11" s="588" customFormat="1" x14ac:dyDescent="0.3">
      <c r="A2" s="1" t="s">
        <v>582</v>
      </c>
    </row>
    <row r="3" spans="1:11" s="588" customFormat="1" x14ac:dyDescent="0.3">
      <c r="A3" s="1"/>
    </row>
    <row r="4" spans="1:11" s="588" customFormat="1" x14ac:dyDescent="0.3">
      <c r="A4" s="589" t="s">
        <v>473</v>
      </c>
      <c r="B4" s="823" t="s">
        <v>583</v>
      </c>
      <c r="C4" s="824"/>
      <c r="D4" s="824"/>
      <c r="E4" s="824"/>
      <c r="F4" s="824"/>
      <c r="G4" s="824"/>
      <c r="H4" s="824"/>
      <c r="I4" s="824"/>
      <c r="J4" s="824"/>
      <c r="K4" s="824"/>
    </row>
    <row r="5" spans="1:11" s="588" customFormat="1" x14ac:dyDescent="0.3">
      <c r="A5" s="717"/>
      <c r="B5" s="718"/>
      <c r="C5" s="719"/>
      <c r="D5" s="719"/>
      <c r="E5" s="719"/>
      <c r="F5" s="719"/>
      <c r="G5" s="719"/>
      <c r="H5" s="719"/>
      <c r="I5" s="719"/>
      <c r="J5" s="719"/>
      <c r="K5" s="719"/>
    </row>
    <row r="6" spans="1:11" s="1" customFormat="1" ht="15" x14ac:dyDescent="0.3">
      <c r="B6" s="681"/>
      <c r="C6" s="754" t="s">
        <v>570</v>
      </c>
      <c r="D6" s="754"/>
      <c r="E6" s="754"/>
      <c r="F6" s="755" t="s">
        <v>571</v>
      </c>
      <c r="G6" s="721" t="s">
        <v>541</v>
      </c>
      <c r="H6" s="721"/>
      <c r="I6" s="721"/>
      <c r="J6" s="721"/>
      <c r="K6" s="721"/>
    </row>
    <row r="7" spans="1:11" s="1" customFormat="1" ht="15.75" thickBot="1" x14ac:dyDescent="0.35">
      <c r="C7" s="756">
        <f>'IS Summary'!C7</f>
        <v>41274</v>
      </c>
      <c r="D7" s="756">
        <f>'IS Summary'!D7</f>
        <v>41639</v>
      </c>
      <c r="E7" s="756">
        <f>'IS Summary'!E7</f>
        <v>42004</v>
      </c>
      <c r="F7" s="757">
        <f>'IS Summary'!F7</f>
        <v>42369</v>
      </c>
      <c r="G7" s="723">
        <f>'IS Summary'!G7</f>
        <v>42735</v>
      </c>
      <c r="H7" s="723">
        <f>'IS Summary'!H7</f>
        <v>43100</v>
      </c>
      <c r="I7" s="723">
        <f>'IS Summary'!I7</f>
        <v>43465</v>
      </c>
      <c r="J7" s="723">
        <f>'IS Summary'!J7</f>
        <v>43830</v>
      </c>
      <c r="K7" s="723">
        <f>'IS Summary'!K7</f>
        <v>44196</v>
      </c>
    </row>
    <row r="8" spans="1:11" s="1" customFormat="1" ht="13.5" x14ac:dyDescent="0.25">
      <c r="B8" s="695" t="s">
        <v>118</v>
      </c>
      <c r="C8" s="697">
        <f>'IS Summary'!C8</f>
        <v>20894.092000000001</v>
      </c>
      <c r="D8" s="697">
        <f>'IS Summary'!D8</f>
        <v>25799.011999999999</v>
      </c>
      <c r="E8" s="697">
        <f>'IS Summary'!E8</f>
        <v>35229.434999999998</v>
      </c>
      <c r="F8" s="763">
        <f ca="1">'IS Summary'!F8</f>
        <v>38000</v>
      </c>
      <c r="G8" s="764">
        <f ca="1">'IS Summary'!G8</f>
        <v>41040</v>
      </c>
      <c r="H8" s="764">
        <f ca="1">'IS Summary'!H8</f>
        <v>44323.199999999997</v>
      </c>
      <c r="I8" s="764">
        <f ca="1">'IS Summary'!I8</f>
        <v>47869.056000000011</v>
      </c>
      <c r="J8" s="764">
        <f ca="1">'IS Summary'!J8</f>
        <v>51698.580480000019</v>
      </c>
      <c r="K8" s="764">
        <f ca="1">'IS Summary'!K8</f>
        <v>55834.466918400023</v>
      </c>
    </row>
    <row r="9" spans="1:11" s="1" customFormat="1" ht="13.5" x14ac:dyDescent="0.25">
      <c r="B9" s="695" t="s">
        <v>201</v>
      </c>
      <c r="C9" s="688">
        <f>'IS Summary'!C11</f>
        <v>12387.164000000001</v>
      </c>
      <c r="D9" s="688">
        <f>'IS Summary'!D11</f>
        <v>15820.248</v>
      </c>
      <c r="E9" s="688">
        <f>'IS Summary'!E11</f>
        <v>21313.172999999999</v>
      </c>
      <c r="F9" s="772">
        <f ca="1">'IS Summary'!F11</f>
        <v>22133.66454338644</v>
      </c>
      <c r="G9" s="773">
        <f ca="1">'IS Summary'!G11</f>
        <v>23803.199999999997</v>
      </c>
      <c r="H9" s="773">
        <f ca="1">'IS Summary'!H11</f>
        <v>25707.455999999998</v>
      </c>
      <c r="I9" s="773">
        <f ca="1">'IS Summary'!I11</f>
        <v>27764.052480000006</v>
      </c>
      <c r="J9" s="773">
        <f ca="1">'IS Summary'!J11</f>
        <v>29985.176678400006</v>
      </c>
      <c r="K9" s="773">
        <f ca="1">'IS Summary'!K11</f>
        <v>32383.990812672011</v>
      </c>
    </row>
    <row r="10" spans="1:11" s="1" customFormat="1" ht="13.5" x14ac:dyDescent="0.25">
      <c r="B10" s="695"/>
      <c r="C10" s="794"/>
      <c r="D10" s="794"/>
      <c r="E10" s="794"/>
      <c r="F10" s="795"/>
      <c r="G10" s="794"/>
      <c r="H10" s="794"/>
      <c r="I10" s="794"/>
      <c r="J10" s="794"/>
      <c r="K10" s="794"/>
    </row>
    <row r="11" spans="1:11" s="1" customFormat="1" ht="13.5" x14ac:dyDescent="0.25">
      <c r="B11" s="796" t="s">
        <v>271</v>
      </c>
      <c r="C11" s="797">
        <f>'Summary Balance Sheet'!B7</f>
        <v>2519.413</v>
      </c>
      <c r="D11" s="797">
        <f>'Summary Balance Sheet'!C7</f>
        <v>4142.098</v>
      </c>
      <c r="E11" s="797">
        <f>'Summary Balance Sheet'!D7</f>
        <v>6404.9880000000003</v>
      </c>
      <c r="F11" s="798">
        <f ca="1">'Summary Balance Sheet'!AI7</f>
        <v>8086.5516472826084</v>
      </c>
      <c r="G11" s="797">
        <f ca="1">'Summary Balance Sheet'!AJ7</f>
        <v>8262.3248753586049</v>
      </c>
      <c r="H11" s="797">
        <f ca="1">'Summary Balance Sheet'!AK7</f>
        <v>8923.3108653872932</v>
      </c>
      <c r="I11" s="797">
        <f ca="1">'Summary Balance Sheet'!AL7</f>
        <v>9637.1757346182785</v>
      </c>
      <c r="J11" s="797">
        <f ca="1">'Summary Balance Sheet'!AM7</f>
        <v>10408.149793387742</v>
      </c>
      <c r="K11" s="797">
        <f ca="1">'Summary Balance Sheet'!AN7</f>
        <v>11240.801776858762</v>
      </c>
    </row>
    <row r="12" spans="1:11" s="1" customFormat="1" ht="13.5" x14ac:dyDescent="0.25">
      <c r="B12" s="796" t="s">
        <v>347</v>
      </c>
      <c r="C12" s="797">
        <f>'Summary Balance Sheet'!B8</f>
        <v>6794.67</v>
      </c>
      <c r="D12" s="797">
        <f>'Summary Balance Sheet'!C8</f>
        <v>6790.2539999999999</v>
      </c>
      <c r="E12" s="797">
        <f>'Summary Balance Sheet'!D8</f>
        <v>9752.625</v>
      </c>
      <c r="F12" s="798">
        <f ca="1">'Summary Balance Sheet'!AI8</f>
        <v>14070.599866271737</v>
      </c>
      <c r="G12" s="797">
        <f ca="1">'Summary Balance Sheet'!AJ8</f>
        <v>11714.140601063975</v>
      </c>
      <c r="H12" s="797">
        <f ca="1">'Summary Balance Sheet'!AK8</f>
        <v>12651.271849149096</v>
      </c>
      <c r="I12" s="797">
        <f ca="1">'Summary Balance Sheet'!AL8</f>
        <v>13663.373597081027</v>
      </c>
      <c r="J12" s="797">
        <f ca="1">'Summary Balance Sheet'!AM8</f>
        <v>14756.44348484751</v>
      </c>
      <c r="K12" s="797">
        <f ca="1">'Summary Balance Sheet'!AN8</f>
        <v>15936.958963635312</v>
      </c>
    </row>
    <row r="13" spans="1:11" s="1" customFormat="1" ht="13.5" x14ac:dyDescent="0.25">
      <c r="B13" s="796" t="s">
        <v>584</v>
      </c>
      <c r="C13" s="799">
        <f>SUM('Summary Balance Sheet'!B9:B10)</f>
        <v>628.87599999999998</v>
      </c>
      <c r="D13" s="799">
        <f>SUM('Summary Balance Sheet'!C9:C10)</f>
        <v>701.18299999999999</v>
      </c>
      <c r="E13" s="799">
        <f>SUM('Summary Balance Sheet'!D9:D10)</f>
        <v>943.99099999999999</v>
      </c>
      <c r="F13" s="800">
        <f ca="1">SUM('Summary Balance Sheet'!AI9:AI10)</f>
        <v>2245.4486618560004</v>
      </c>
      <c r="G13" s="800">
        <f ca="1">SUM('Summary Balance Sheet'!AJ9:AJ10)</f>
        <v>2254.8201119675687</v>
      </c>
      <c r="H13" s="800">
        <f ca="1">SUM('Summary Balance Sheet'!AK9:AK10)</f>
        <v>2395.6353958491</v>
      </c>
      <c r="I13" s="800">
        <f ca="1">SUM('Summary Balance Sheet'!AL9:AL10)</f>
        <v>2544.7522526678194</v>
      </c>
      <c r="J13" s="800">
        <f ca="1">SUM('Summary Balance Sheet'!AM9:AM10)</f>
        <v>2740.9098063281426</v>
      </c>
      <c r="K13" s="800">
        <f ca="1">SUM('Summary Balance Sheet'!AN9:AN10)</f>
        <v>2952.3888329536358</v>
      </c>
    </row>
    <row r="14" spans="1:11" s="1" customFormat="1" ht="13.5" x14ac:dyDescent="0.25">
      <c r="B14" s="695" t="s">
        <v>585</v>
      </c>
      <c r="C14" s="801">
        <f>SUM(C11:C13)</f>
        <v>9942.9590000000007</v>
      </c>
      <c r="D14" s="801">
        <f t="shared" ref="D14:K14" si="0">SUM(D11:D13)</f>
        <v>11633.535</v>
      </c>
      <c r="E14" s="801">
        <f t="shared" si="0"/>
        <v>17101.603999999999</v>
      </c>
      <c r="F14" s="802">
        <f t="shared" ca="1" si="0"/>
        <v>24402.600175410345</v>
      </c>
      <c r="G14" s="801">
        <f ca="1">SUM(G11:G13)</f>
        <v>22231.285588390147</v>
      </c>
      <c r="H14" s="801">
        <f t="shared" ca="1" si="0"/>
        <v>23970.218110385489</v>
      </c>
      <c r="I14" s="801">
        <f t="shared" ca="1" si="0"/>
        <v>25845.301584367124</v>
      </c>
      <c r="J14" s="801">
        <f t="shared" ca="1" si="0"/>
        <v>27905.503084563396</v>
      </c>
      <c r="K14" s="801">
        <f t="shared" ca="1" si="0"/>
        <v>30130.149573447707</v>
      </c>
    </row>
    <row r="15" spans="1:11" s="1" customFormat="1" ht="13.5" x14ac:dyDescent="0.25">
      <c r="B15" s="695"/>
      <c r="C15" s="803"/>
      <c r="D15" s="803"/>
      <c r="E15" s="803"/>
      <c r="F15" s="804"/>
      <c r="G15" s="803"/>
      <c r="H15" s="803"/>
      <c r="I15" s="803"/>
      <c r="J15" s="803"/>
      <c r="K15" s="803"/>
    </row>
    <row r="16" spans="1:11" s="1" customFormat="1" ht="13.5" x14ac:dyDescent="0.25">
      <c r="B16" s="695" t="s">
        <v>6</v>
      </c>
      <c r="C16" s="805">
        <f>'Summary Balance Sheet'!B31</f>
        <v>2167.127</v>
      </c>
      <c r="D16" s="805">
        <f>'Summary Balance Sheet'!C31</f>
        <v>3471.7289999999998</v>
      </c>
      <c r="E16" s="805">
        <f>'Summary Balance Sheet'!D31</f>
        <v>5803.7960000000003</v>
      </c>
      <c r="F16" s="806">
        <f ca="1">'Summary Balance Sheet'!AI31</f>
        <v>7295.8665973260859</v>
      </c>
      <c r="G16" s="805">
        <f ca="1">'Summary Balance Sheet'!AJ31</f>
        <v>7454.4531097679837</v>
      </c>
      <c r="H16" s="805">
        <f ca="1">'Summary Balance Sheet'!AK31</f>
        <v>8050.8093585494244</v>
      </c>
      <c r="I16" s="805">
        <f ca="1">'Summary Balance Sheet'!AL31</f>
        <v>8694.8741072333796</v>
      </c>
      <c r="J16" s="805">
        <f ca="1">'Summary Balance Sheet'!AM31</f>
        <v>9390.4640358120523</v>
      </c>
      <c r="K16" s="805">
        <f ca="1">'Summary Balance Sheet'!AN31</f>
        <v>10141.701158677017</v>
      </c>
    </row>
    <row r="17" spans="2:11" s="1" customFormat="1" ht="13.5" x14ac:dyDescent="0.25">
      <c r="B17" s="796" t="s">
        <v>586</v>
      </c>
      <c r="C17" s="807">
        <f>'Summary Balance Sheet'!B33</f>
        <v>222.56700000000001</v>
      </c>
      <c r="D17" s="807">
        <f>'Summary Balance Sheet'!C33</f>
        <v>365.55799999999999</v>
      </c>
      <c r="E17" s="807">
        <f>'Summary Balance Sheet'!D33</f>
        <v>500.02100000000002</v>
      </c>
      <c r="F17" s="808">
        <f ca="1">'Summary Balance Sheet'!AI33</f>
        <v>1053.4078673192371</v>
      </c>
      <c r="G17" s="807">
        <f ca="1">'Summary Balance Sheet'!AJ33</f>
        <v>1067.8792526896505</v>
      </c>
      <c r="H17" s="807">
        <f ca="1">'Summary Balance Sheet'!AK33</f>
        <v>1144.8550447722168</v>
      </c>
      <c r="I17" s="807">
        <f ca="1">'Summary Balance Sheet'!AL33</f>
        <v>1227.3556903700974</v>
      </c>
      <c r="J17" s="807">
        <f ca="1">'Summary Balance Sheet'!AM33</f>
        <v>1323.9582361247833</v>
      </c>
      <c r="K17" s="807">
        <f ca="1">'Summary Balance Sheet'!AN33</f>
        <v>1428.2096900660983</v>
      </c>
    </row>
    <row r="18" spans="2:11" s="1" customFormat="1" ht="13.5" x14ac:dyDescent="0.25">
      <c r="B18" s="695" t="s">
        <v>372</v>
      </c>
      <c r="C18" s="801">
        <f>SUM(C16:C17)</f>
        <v>2389.694</v>
      </c>
      <c r="D18" s="801">
        <f t="shared" ref="D18:K18" si="1">SUM(D16:D17)</f>
        <v>3837.2869999999998</v>
      </c>
      <c r="E18" s="801">
        <f t="shared" si="1"/>
        <v>6303.817</v>
      </c>
      <c r="F18" s="802">
        <f t="shared" ca="1" si="1"/>
        <v>8349.274464645323</v>
      </c>
      <c r="G18" s="801">
        <f t="shared" ca="1" si="1"/>
        <v>8522.3323624576333</v>
      </c>
      <c r="H18" s="801">
        <f t="shared" ca="1" si="1"/>
        <v>9195.6644033216417</v>
      </c>
      <c r="I18" s="801">
        <f t="shared" ca="1" si="1"/>
        <v>9922.229797603477</v>
      </c>
      <c r="J18" s="801">
        <f t="shared" ca="1" si="1"/>
        <v>10714.422271936835</v>
      </c>
      <c r="K18" s="801">
        <f t="shared" ca="1" si="1"/>
        <v>11569.910848743115</v>
      </c>
    </row>
    <row r="19" spans="2:11" s="1" customFormat="1" ht="13.5" x14ac:dyDescent="0.25">
      <c r="B19" s="695"/>
      <c r="C19" s="783"/>
      <c r="D19" s="783"/>
      <c r="E19" s="783"/>
      <c r="F19" s="809"/>
      <c r="G19" s="783"/>
      <c r="H19" s="783"/>
      <c r="I19" s="783"/>
      <c r="J19" s="783"/>
      <c r="K19" s="783"/>
    </row>
    <row r="20" spans="2:11" s="1" customFormat="1" ht="15.75" thickBot="1" x14ac:dyDescent="0.35">
      <c r="B20" s="810" t="s">
        <v>587</v>
      </c>
      <c r="C20" s="811">
        <f>C14-C18</f>
        <v>7553.2650000000012</v>
      </c>
      <c r="D20" s="811">
        <f t="shared" ref="D20:K20" si="2">D14-D18</f>
        <v>7796.2479999999996</v>
      </c>
      <c r="E20" s="811">
        <f t="shared" si="2"/>
        <v>10797.787</v>
      </c>
      <c r="F20" s="812">
        <f t="shared" ca="1" si="2"/>
        <v>16053.325710765022</v>
      </c>
      <c r="G20" s="811">
        <f t="shared" ca="1" si="2"/>
        <v>13708.953225932513</v>
      </c>
      <c r="H20" s="811">
        <f t="shared" ca="1" si="2"/>
        <v>14774.553707063847</v>
      </c>
      <c r="I20" s="811">
        <f t="shared" ca="1" si="2"/>
        <v>15923.071786763647</v>
      </c>
      <c r="J20" s="811">
        <f t="shared" ca="1" si="2"/>
        <v>17191.080812626562</v>
      </c>
      <c r="K20" s="811">
        <f t="shared" ca="1" si="2"/>
        <v>18560.238724704592</v>
      </c>
    </row>
    <row r="21" spans="2:11" s="1" customFormat="1" ht="15" x14ac:dyDescent="0.3">
      <c r="B21" s="813" t="s">
        <v>588</v>
      </c>
      <c r="C21" s="814" t="s">
        <v>578</v>
      </c>
      <c r="D21" s="815">
        <f>+D20-C20</f>
        <v>242.98299999999836</v>
      </c>
      <c r="E21" s="815">
        <f>+E20-D20</f>
        <v>3001.5390000000007</v>
      </c>
      <c r="F21" s="816">
        <f t="shared" ref="F21:K21" ca="1" si="3">+F20-E20</f>
        <v>5255.5387107650222</v>
      </c>
      <c r="G21" s="815">
        <f t="shared" ca="1" si="3"/>
        <v>-2344.3724848325091</v>
      </c>
      <c r="H21" s="815">
        <f t="shared" ca="1" si="3"/>
        <v>1065.6004811313342</v>
      </c>
      <c r="I21" s="815">
        <f t="shared" ca="1" si="3"/>
        <v>1148.5180796997993</v>
      </c>
      <c r="J21" s="815">
        <f t="shared" ca="1" si="3"/>
        <v>1268.0090258629152</v>
      </c>
      <c r="K21" s="815">
        <f t="shared" ca="1" si="3"/>
        <v>1369.1579120780298</v>
      </c>
    </row>
    <row r="22" spans="2:11" s="1" customFormat="1" ht="15" x14ac:dyDescent="0.3">
      <c r="B22" s="725"/>
      <c r="C22" s="766"/>
      <c r="D22" s="766"/>
      <c r="E22" s="768"/>
      <c r="F22" s="767"/>
      <c r="G22" s="793"/>
      <c r="H22" s="793"/>
      <c r="I22" s="793"/>
      <c r="J22" s="793"/>
      <c r="K22" s="793"/>
    </row>
    <row r="23" spans="2:11" s="1" customFormat="1" ht="15" x14ac:dyDescent="0.3">
      <c r="B23" s="817" t="s">
        <v>589</v>
      </c>
      <c r="F23" s="770"/>
    </row>
    <row r="24" spans="2:11" s="1" customFormat="1" ht="15" x14ac:dyDescent="0.3">
      <c r="B24" s="818" t="s">
        <v>590</v>
      </c>
      <c r="C24" s="768">
        <f>+IF(C8=0,0,C20/C8)</f>
        <v>0.36150242853338643</v>
      </c>
      <c r="D24" s="768">
        <f t="shared" ref="D24:K24" si="4">+IF(D8=0,0,D20/D8)</f>
        <v>0.3021917273421168</v>
      </c>
      <c r="E24" s="768">
        <f t="shared" si="4"/>
        <v>0.30649901140906749</v>
      </c>
      <c r="F24" s="767">
        <f t="shared" ca="1" si="4"/>
        <v>0.42245593975697426</v>
      </c>
      <c r="G24" s="768">
        <f t="shared" ca="1" si="4"/>
        <v>0.3340388212946519</v>
      </c>
      <c r="H24" s="768">
        <f t="shared" ca="1" si="4"/>
        <v>0.33333680120261733</v>
      </c>
      <c r="I24" s="768">
        <f t="shared" ca="1" si="4"/>
        <v>0.33263809895820051</v>
      </c>
      <c r="J24" s="768">
        <f t="shared" ca="1" si="4"/>
        <v>0.33252519997675872</v>
      </c>
      <c r="K24" s="768">
        <f t="shared" ca="1" si="4"/>
        <v>0.33241543707813459</v>
      </c>
    </row>
    <row r="25" spans="2:11" s="1" customFormat="1" ht="15" x14ac:dyDescent="0.3">
      <c r="B25" s="818" t="s">
        <v>591</v>
      </c>
      <c r="C25" s="820">
        <f>AVERAGE(B11:C11)/C8*360</f>
        <v>43.408858350963513</v>
      </c>
      <c r="D25" s="820">
        <f>AVERAGE(C11:D11)/D8*360</f>
        <v>46.477437973206108</v>
      </c>
      <c r="E25" s="820">
        <f>AVERAGE(D11:E11)/E8*360</f>
        <v>53.888899438778957</v>
      </c>
      <c r="F25" s="820">
        <f ca="1">AVERAGE(E11:F11)/F8*365</f>
        <v>69.597525937607259</v>
      </c>
      <c r="G25" s="820">
        <f ca="1">AVERAGE(F11:G11)/G8*360</f>
        <v>71.705598783514105</v>
      </c>
      <c r="H25" s="820">
        <f ca="1">AVERAGE(G11:H11)/H8*360</f>
        <v>69.792217920508051</v>
      </c>
      <c r="I25" s="820">
        <f ca="1">AVERAGE(H11:I11)/I8*360</f>
        <v>69.792217920508023</v>
      </c>
      <c r="J25" s="820">
        <f ca="1">AVERAGE(I11:J11)/J8*360</f>
        <v>69.792217920508023</v>
      </c>
      <c r="K25" s="820">
        <f ca="1">AVERAGE(J11:K11)/K8*360</f>
        <v>69.792217920508023</v>
      </c>
    </row>
    <row r="26" spans="2:11" s="1" customFormat="1" ht="15" x14ac:dyDescent="0.3">
      <c r="B26" s="818" t="s">
        <v>592</v>
      </c>
      <c r="C26" s="768">
        <f>+IF(C$9=0,0,C13/C$9)</f>
        <v>5.0768359892546827E-2</v>
      </c>
      <c r="D26" s="768">
        <f t="shared" ref="D26:K26" si="5">+IF(D$9=0,0,D13/D$9)</f>
        <v>4.4321871566109457E-2</v>
      </c>
      <c r="E26" s="768">
        <f t="shared" si="5"/>
        <v>4.4291434222393823E-2</v>
      </c>
      <c r="F26" s="767">
        <f ca="1">+IF(F$9=0,0,G13/F$9)</f>
        <v>0.10187287819184515</v>
      </c>
      <c r="G26" s="767">
        <f ca="1">+IF(G$9=0,0,H13/G$9)</f>
        <v>0.10064341751735482</v>
      </c>
      <c r="H26" s="767">
        <f ca="1">+IF(H$9=0,0,I13/H$9)</f>
        <v>9.8988879050024223E-2</v>
      </c>
      <c r="I26" s="767">
        <f ca="1">+IF(I$9=0,0,J13/I$9)</f>
        <v>9.8721532395264447E-2</v>
      </c>
      <c r="J26" s="767">
        <f ca="1">+IF(J$9=0,0,K13/J$9)</f>
        <v>9.8461612036470206E-2</v>
      </c>
      <c r="K26" s="768">
        <f t="shared" ca="1" si="5"/>
        <v>9.1168159293027962E-2</v>
      </c>
    </row>
    <row r="27" spans="2:11" s="1" customFormat="1" ht="15" x14ac:dyDescent="0.3">
      <c r="B27" s="818" t="s">
        <v>593</v>
      </c>
      <c r="C27" s="819">
        <f>+IF(C9=0,0,C16/C9*365)</f>
        <v>63.856533666624578</v>
      </c>
      <c r="D27" s="819">
        <f t="shared" ref="D27:K27" si="6">+IF(D9=0,0,AVERAGE(C16:D16)/D9*365)</f>
        <v>65.048994175059704</v>
      </c>
      <c r="E27" s="819">
        <f t="shared" si="6"/>
        <v>79.424274954273585</v>
      </c>
      <c r="F27" s="820">
        <f t="shared" ca="1" si="6"/>
        <v>108.01141488910613</v>
      </c>
      <c r="G27" s="819">
        <f t="shared" ca="1" si="6"/>
        <v>113.09123758757933</v>
      </c>
      <c r="H27" s="819">
        <f t="shared" ca="1" si="6"/>
        <v>110.07352888080123</v>
      </c>
      <c r="I27" s="819">
        <f t="shared" ca="1" si="6"/>
        <v>110.07352888080123</v>
      </c>
      <c r="J27" s="819">
        <f t="shared" ca="1" si="6"/>
        <v>110.07352888080126</v>
      </c>
      <c r="K27" s="819">
        <f t="shared" ca="1" si="6"/>
        <v>110.07352888080126</v>
      </c>
    </row>
    <row r="28" spans="2:11" s="1" customFormat="1" ht="15" x14ac:dyDescent="0.3">
      <c r="B28" s="818" t="s">
        <v>594</v>
      </c>
      <c r="C28" s="768">
        <f>+IF(C$9=0,0,C17/C$9)</f>
        <v>1.7967550926103828E-2</v>
      </c>
      <c r="D28" s="768">
        <f t="shared" ref="D28:K28" si="7">+IF(D$9=0,0,D17/D$9)</f>
        <v>2.3106970257356269E-2</v>
      </c>
      <c r="E28" s="768">
        <f t="shared" si="7"/>
        <v>2.3460655060605008E-2</v>
      </c>
      <c r="F28" s="767">
        <f t="shared" ca="1" si="7"/>
        <v>4.7593016748507487E-2</v>
      </c>
      <c r="G28" s="768">
        <f t="shared" ca="1" si="7"/>
        <v>4.4862844184380697E-2</v>
      </c>
      <c r="H28" s="768">
        <f t="shared" ca="1" si="7"/>
        <v>4.4533968852157789E-2</v>
      </c>
      <c r="I28" s="768">
        <f t="shared" ca="1" si="7"/>
        <v>4.4206647831912506E-2</v>
      </c>
      <c r="J28" s="768">
        <f t="shared" ca="1" si="7"/>
        <v>4.4153758049339902E-2</v>
      </c>
      <c r="K28" s="768">
        <f t="shared" ca="1" si="7"/>
        <v>4.4102337427394313E-2</v>
      </c>
    </row>
    <row r="29" spans="2:11" s="588" customFormat="1" x14ac:dyDescent="0.3">
      <c r="F29" s="760"/>
    </row>
    <row r="30" spans="2:11" x14ac:dyDescent="0.3">
      <c r="F30" s="8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3"/>
  <sheetViews>
    <sheetView workbookViewId="0">
      <pane xSplit="2" ySplit="6" topLeftCell="C7" activePane="bottomRight" state="frozen"/>
      <selection pane="topRight" activeCell="C1" sqref="C1"/>
      <selection pane="bottomLeft" activeCell="A7" sqref="A7"/>
      <selection pane="bottomRight" activeCell="G44" sqref="G44:G46"/>
    </sheetView>
  </sheetViews>
  <sheetFormatPr defaultColWidth="6.85546875" defaultRowHeight="12.75" x14ac:dyDescent="0.25"/>
  <cols>
    <col min="1" max="1" width="4.42578125" style="1128" customWidth="1"/>
    <col min="2" max="2" width="33.85546875" style="1128" bestFit="1" customWidth="1"/>
    <col min="3" max="3" width="11.5703125" style="1129" bestFit="1" customWidth="1"/>
    <col min="4" max="4" width="3.42578125" style="1128" customWidth="1"/>
    <col min="5" max="5" width="13.85546875" style="1128" bestFit="1" customWidth="1"/>
    <col min="6" max="6" width="6.5703125" style="1128" bestFit="1" customWidth="1"/>
    <col min="7" max="7" width="12.28515625" style="1128" bestFit="1" customWidth="1"/>
    <col min="8" max="8" width="6.5703125" style="1128" bestFit="1" customWidth="1"/>
    <col min="9" max="9" width="12.5703125" style="1128" bestFit="1" customWidth="1"/>
    <col min="10" max="10" width="6.5703125" style="1128" bestFit="1" customWidth="1"/>
    <col min="11" max="11" width="14.140625" style="1128" bestFit="1" customWidth="1"/>
    <col min="12" max="12" width="12.5703125" style="1128" bestFit="1" customWidth="1"/>
    <col min="13" max="13" width="6.5703125" style="1128" bestFit="1" customWidth="1"/>
    <col min="14" max="14" width="12.5703125" style="1128" bestFit="1" customWidth="1"/>
    <col min="15" max="15" width="6.5703125" style="1128" bestFit="1" customWidth="1"/>
    <col min="16" max="16" width="118.85546875" style="1128" bestFit="1" customWidth="1"/>
    <col min="17" max="256" width="6.85546875" style="1128"/>
    <col min="257" max="257" width="4.42578125" style="1128" customWidth="1"/>
    <col min="258" max="258" width="33.85546875" style="1128" bestFit="1" customWidth="1"/>
    <col min="259" max="259" width="11.5703125" style="1128" bestFit="1" customWidth="1"/>
    <col min="260" max="260" width="3.42578125" style="1128" customWidth="1"/>
    <col min="261" max="261" width="13.85546875" style="1128" bestFit="1" customWidth="1"/>
    <col min="262" max="262" width="6.5703125" style="1128" bestFit="1" customWidth="1"/>
    <col min="263" max="263" width="12.28515625" style="1128" bestFit="1" customWidth="1"/>
    <col min="264" max="264" width="6.5703125" style="1128" bestFit="1" customWidth="1"/>
    <col min="265" max="265" width="12.5703125" style="1128" bestFit="1" customWidth="1"/>
    <col min="266" max="266" width="6.5703125" style="1128" bestFit="1" customWidth="1"/>
    <col min="267" max="267" width="14.140625" style="1128" bestFit="1" customWidth="1"/>
    <col min="268" max="268" width="12.5703125" style="1128" bestFit="1" customWidth="1"/>
    <col min="269" max="269" width="6.5703125" style="1128" bestFit="1" customWidth="1"/>
    <col min="270" max="270" width="12.5703125" style="1128" bestFit="1" customWidth="1"/>
    <col min="271" max="271" width="6.5703125" style="1128" bestFit="1" customWidth="1"/>
    <col min="272" max="272" width="118.85546875" style="1128" bestFit="1" customWidth="1"/>
    <col min="273" max="512" width="6.85546875" style="1128"/>
    <col min="513" max="513" width="4.42578125" style="1128" customWidth="1"/>
    <col min="514" max="514" width="33.85546875" style="1128" bestFit="1" customWidth="1"/>
    <col min="515" max="515" width="11.5703125" style="1128" bestFit="1" customWidth="1"/>
    <col min="516" max="516" width="3.42578125" style="1128" customWidth="1"/>
    <col min="517" max="517" width="13.85546875" style="1128" bestFit="1" customWidth="1"/>
    <col min="518" max="518" width="6.5703125" style="1128" bestFit="1" customWidth="1"/>
    <col min="519" max="519" width="12.28515625" style="1128" bestFit="1" customWidth="1"/>
    <col min="520" max="520" width="6.5703125" style="1128" bestFit="1" customWidth="1"/>
    <col min="521" max="521" width="12.5703125" style="1128" bestFit="1" customWidth="1"/>
    <col min="522" max="522" width="6.5703125" style="1128" bestFit="1" customWidth="1"/>
    <col min="523" max="523" width="14.140625" style="1128" bestFit="1" customWidth="1"/>
    <col min="524" max="524" width="12.5703125" style="1128" bestFit="1" customWidth="1"/>
    <col min="525" max="525" width="6.5703125" style="1128" bestFit="1" customWidth="1"/>
    <col min="526" max="526" width="12.5703125" style="1128" bestFit="1" customWidth="1"/>
    <col min="527" max="527" width="6.5703125" style="1128" bestFit="1" customWidth="1"/>
    <col min="528" max="528" width="118.85546875" style="1128" bestFit="1" customWidth="1"/>
    <col min="529" max="768" width="6.85546875" style="1128"/>
    <col min="769" max="769" width="4.42578125" style="1128" customWidth="1"/>
    <col min="770" max="770" width="33.85546875" style="1128" bestFit="1" customWidth="1"/>
    <col min="771" max="771" width="11.5703125" style="1128" bestFit="1" customWidth="1"/>
    <col min="772" max="772" width="3.42578125" style="1128" customWidth="1"/>
    <col min="773" max="773" width="13.85546875" style="1128" bestFit="1" customWidth="1"/>
    <col min="774" max="774" width="6.5703125" style="1128" bestFit="1" customWidth="1"/>
    <col min="775" max="775" width="12.28515625" style="1128" bestFit="1" customWidth="1"/>
    <col min="776" max="776" width="6.5703125" style="1128" bestFit="1" customWidth="1"/>
    <col min="777" max="777" width="12.5703125" style="1128" bestFit="1" customWidth="1"/>
    <col min="778" max="778" width="6.5703125" style="1128" bestFit="1" customWidth="1"/>
    <col min="779" max="779" width="14.140625" style="1128" bestFit="1" customWidth="1"/>
    <col min="780" max="780" width="12.5703125" style="1128" bestFit="1" customWidth="1"/>
    <col min="781" max="781" width="6.5703125" style="1128" bestFit="1" customWidth="1"/>
    <col min="782" max="782" width="12.5703125" style="1128" bestFit="1" customWidth="1"/>
    <col min="783" max="783" width="6.5703125" style="1128" bestFit="1" customWidth="1"/>
    <col min="784" max="784" width="118.85546875" style="1128" bestFit="1" customWidth="1"/>
    <col min="785" max="1024" width="6.85546875" style="1128"/>
    <col min="1025" max="1025" width="4.42578125" style="1128" customWidth="1"/>
    <col min="1026" max="1026" width="33.85546875" style="1128" bestFit="1" customWidth="1"/>
    <col min="1027" max="1027" width="11.5703125" style="1128" bestFit="1" customWidth="1"/>
    <col min="1028" max="1028" width="3.42578125" style="1128" customWidth="1"/>
    <col min="1029" max="1029" width="13.85546875" style="1128" bestFit="1" customWidth="1"/>
    <col min="1030" max="1030" width="6.5703125" style="1128" bestFit="1" customWidth="1"/>
    <col min="1031" max="1031" width="12.28515625" style="1128" bestFit="1" customWidth="1"/>
    <col min="1032" max="1032" width="6.5703125" style="1128" bestFit="1" customWidth="1"/>
    <col min="1033" max="1033" width="12.5703125" style="1128" bestFit="1" customWidth="1"/>
    <col min="1034" max="1034" width="6.5703125" style="1128" bestFit="1" customWidth="1"/>
    <col min="1035" max="1035" width="14.140625" style="1128" bestFit="1" customWidth="1"/>
    <col min="1036" max="1036" width="12.5703125" style="1128" bestFit="1" customWidth="1"/>
    <col min="1037" max="1037" width="6.5703125" style="1128" bestFit="1" customWidth="1"/>
    <col min="1038" max="1038" width="12.5703125" style="1128" bestFit="1" customWidth="1"/>
    <col min="1039" max="1039" width="6.5703125" style="1128" bestFit="1" customWidth="1"/>
    <col min="1040" max="1040" width="118.85546875" style="1128" bestFit="1" customWidth="1"/>
    <col min="1041" max="1280" width="6.85546875" style="1128"/>
    <col min="1281" max="1281" width="4.42578125" style="1128" customWidth="1"/>
    <col min="1282" max="1282" width="33.85546875" style="1128" bestFit="1" customWidth="1"/>
    <col min="1283" max="1283" width="11.5703125" style="1128" bestFit="1" customWidth="1"/>
    <col min="1284" max="1284" width="3.42578125" style="1128" customWidth="1"/>
    <col min="1285" max="1285" width="13.85546875" style="1128" bestFit="1" customWidth="1"/>
    <col min="1286" max="1286" width="6.5703125" style="1128" bestFit="1" customWidth="1"/>
    <col min="1287" max="1287" width="12.28515625" style="1128" bestFit="1" customWidth="1"/>
    <col min="1288" max="1288" width="6.5703125" style="1128" bestFit="1" customWidth="1"/>
    <col min="1289" max="1289" width="12.5703125" style="1128" bestFit="1" customWidth="1"/>
    <col min="1290" max="1290" width="6.5703125" style="1128" bestFit="1" customWidth="1"/>
    <col min="1291" max="1291" width="14.140625" style="1128" bestFit="1" customWidth="1"/>
    <col min="1292" max="1292" width="12.5703125" style="1128" bestFit="1" customWidth="1"/>
    <col min="1293" max="1293" width="6.5703125" style="1128" bestFit="1" customWidth="1"/>
    <col min="1294" max="1294" width="12.5703125" style="1128" bestFit="1" customWidth="1"/>
    <col min="1295" max="1295" width="6.5703125" style="1128" bestFit="1" customWidth="1"/>
    <col min="1296" max="1296" width="118.85546875" style="1128" bestFit="1" customWidth="1"/>
    <col min="1297" max="1536" width="6.85546875" style="1128"/>
    <col min="1537" max="1537" width="4.42578125" style="1128" customWidth="1"/>
    <col min="1538" max="1538" width="33.85546875" style="1128" bestFit="1" customWidth="1"/>
    <col min="1539" max="1539" width="11.5703125" style="1128" bestFit="1" customWidth="1"/>
    <col min="1540" max="1540" width="3.42578125" style="1128" customWidth="1"/>
    <col min="1541" max="1541" width="13.85546875" style="1128" bestFit="1" customWidth="1"/>
    <col min="1542" max="1542" width="6.5703125" style="1128" bestFit="1" customWidth="1"/>
    <col min="1543" max="1543" width="12.28515625" style="1128" bestFit="1" customWidth="1"/>
    <col min="1544" max="1544" width="6.5703125" style="1128" bestFit="1" customWidth="1"/>
    <col min="1545" max="1545" width="12.5703125" style="1128" bestFit="1" customWidth="1"/>
    <col min="1546" max="1546" width="6.5703125" style="1128" bestFit="1" customWidth="1"/>
    <col min="1547" max="1547" width="14.140625" style="1128" bestFit="1" customWidth="1"/>
    <col min="1548" max="1548" width="12.5703125" style="1128" bestFit="1" customWidth="1"/>
    <col min="1549" max="1549" width="6.5703125" style="1128" bestFit="1" customWidth="1"/>
    <col min="1550" max="1550" width="12.5703125" style="1128" bestFit="1" customWidth="1"/>
    <col min="1551" max="1551" width="6.5703125" style="1128" bestFit="1" customWidth="1"/>
    <col min="1552" max="1552" width="118.85546875" style="1128" bestFit="1" customWidth="1"/>
    <col min="1553" max="1792" width="6.85546875" style="1128"/>
    <col min="1793" max="1793" width="4.42578125" style="1128" customWidth="1"/>
    <col min="1794" max="1794" width="33.85546875" style="1128" bestFit="1" customWidth="1"/>
    <col min="1795" max="1795" width="11.5703125" style="1128" bestFit="1" customWidth="1"/>
    <col min="1796" max="1796" width="3.42578125" style="1128" customWidth="1"/>
    <col min="1797" max="1797" width="13.85546875" style="1128" bestFit="1" customWidth="1"/>
    <col min="1798" max="1798" width="6.5703125" style="1128" bestFit="1" customWidth="1"/>
    <col min="1799" max="1799" width="12.28515625" style="1128" bestFit="1" customWidth="1"/>
    <col min="1800" max="1800" width="6.5703125" style="1128" bestFit="1" customWidth="1"/>
    <col min="1801" max="1801" width="12.5703125" style="1128" bestFit="1" customWidth="1"/>
    <col min="1802" max="1802" width="6.5703125" style="1128" bestFit="1" customWidth="1"/>
    <col min="1803" max="1803" width="14.140625" style="1128" bestFit="1" customWidth="1"/>
    <col min="1804" max="1804" width="12.5703125" style="1128" bestFit="1" customWidth="1"/>
    <col min="1805" max="1805" width="6.5703125" style="1128" bestFit="1" customWidth="1"/>
    <col min="1806" max="1806" width="12.5703125" style="1128" bestFit="1" customWidth="1"/>
    <col min="1807" max="1807" width="6.5703125" style="1128" bestFit="1" customWidth="1"/>
    <col min="1808" max="1808" width="118.85546875" style="1128" bestFit="1" customWidth="1"/>
    <col min="1809" max="2048" width="6.85546875" style="1128"/>
    <col min="2049" max="2049" width="4.42578125" style="1128" customWidth="1"/>
    <col min="2050" max="2050" width="33.85546875" style="1128" bestFit="1" customWidth="1"/>
    <col min="2051" max="2051" width="11.5703125" style="1128" bestFit="1" customWidth="1"/>
    <col min="2052" max="2052" width="3.42578125" style="1128" customWidth="1"/>
    <col min="2053" max="2053" width="13.85546875" style="1128" bestFit="1" customWidth="1"/>
    <col min="2054" max="2054" width="6.5703125" style="1128" bestFit="1" customWidth="1"/>
    <col min="2055" max="2055" width="12.28515625" style="1128" bestFit="1" customWidth="1"/>
    <col min="2056" max="2056" width="6.5703125" style="1128" bestFit="1" customWidth="1"/>
    <col min="2057" max="2057" width="12.5703125" style="1128" bestFit="1" customWidth="1"/>
    <col min="2058" max="2058" width="6.5703125" style="1128" bestFit="1" customWidth="1"/>
    <col min="2059" max="2059" width="14.140625" style="1128" bestFit="1" customWidth="1"/>
    <col min="2060" max="2060" width="12.5703125" style="1128" bestFit="1" customWidth="1"/>
    <col min="2061" max="2061" width="6.5703125" style="1128" bestFit="1" customWidth="1"/>
    <col min="2062" max="2062" width="12.5703125" style="1128" bestFit="1" customWidth="1"/>
    <col min="2063" max="2063" width="6.5703125" style="1128" bestFit="1" customWidth="1"/>
    <col min="2064" max="2064" width="118.85546875" style="1128" bestFit="1" customWidth="1"/>
    <col min="2065" max="2304" width="6.85546875" style="1128"/>
    <col min="2305" max="2305" width="4.42578125" style="1128" customWidth="1"/>
    <col min="2306" max="2306" width="33.85546875" style="1128" bestFit="1" customWidth="1"/>
    <col min="2307" max="2307" width="11.5703125" style="1128" bestFit="1" customWidth="1"/>
    <col min="2308" max="2308" width="3.42578125" style="1128" customWidth="1"/>
    <col min="2309" max="2309" width="13.85546875" style="1128" bestFit="1" customWidth="1"/>
    <col min="2310" max="2310" width="6.5703125" style="1128" bestFit="1" customWidth="1"/>
    <col min="2311" max="2311" width="12.28515625" style="1128" bestFit="1" customWidth="1"/>
    <col min="2312" max="2312" width="6.5703125" style="1128" bestFit="1" customWidth="1"/>
    <col min="2313" max="2313" width="12.5703125" style="1128" bestFit="1" customWidth="1"/>
    <col min="2314" max="2314" width="6.5703125" style="1128" bestFit="1" customWidth="1"/>
    <col min="2315" max="2315" width="14.140625" style="1128" bestFit="1" customWidth="1"/>
    <col min="2316" max="2316" width="12.5703125" style="1128" bestFit="1" customWidth="1"/>
    <col min="2317" max="2317" width="6.5703125" style="1128" bestFit="1" customWidth="1"/>
    <col min="2318" max="2318" width="12.5703125" style="1128" bestFit="1" customWidth="1"/>
    <col min="2319" max="2319" width="6.5703125" style="1128" bestFit="1" customWidth="1"/>
    <col min="2320" max="2320" width="118.85546875" style="1128" bestFit="1" customWidth="1"/>
    <col min="2321" max="2560" width="6.85546875" style="1128"/>
    <col min="2561" max="2561" width="4.42578125" style="1128" customWidth="1"/>
    <col min="2562" max="2562" width="33.85546875" style="1128" bestFit="1" customWidth="1"/>
    <col min="2563" max="2563" width="11.5703125" style="1128" bestFit="1" customWidth="1"/>
    <col min="2564" max="2564" width="3.42578125" style="1128" customWidth="1"/>
    <col min="2565" max="2565" width="13.85546875" style="1128" bestFit="1" customWidth="1"/>
    <col min="2566" max="2566" width="6.5703125" style="1128" bestFit="1" customWidth="1"/>
    <col min="2567" max="2567" width="12.28515625" style="1128" bestFit="1" customWidth="1"/>
    <col min="2568" max="2568" width="6.5703125" style="1128" bestFit="1" customWidth="1"/>
    <col min="2569" max="2569" width="12.5703125" style="1128" bestFit="1" customWidth="1"/>
    <col min="2570" max="2570" width="6.5703125" style="1128" bestFit="1" customWidth="1"/>
    <col min="2571" max="2571" width="14.140625" style="1128" bestFit="1" customWidth="1"/>
    <col min="2572" max="2572" width="12.5703125" style="1128" bestFit="1" customWidth="1"/>
    <col min="2573" max="2573" width="6.5703125" style="1128" bestFit="1" customWidth="1"/>
    <col min="2574" max="2574" width="12.5703125" style="1128" bestFit="1" customWidth="1"/>
    <col min="2575" max="2575" width="6.5703125" style="1128" bestFit="1" customWidth="1"/>
    <col min="2576" max="2576" width="118.85546875" style="1128" bestFit="1" customWidth="1"/>
    <col min="2577" max="2816" width="6.85546875" style="1128"/>
    <col min="2817" max="2817" width="4.42578125" style="1128" customWidth="1"/>
    <col min="2818" max="2818" width="33.85546875" style="1128" bestFit="1" customWidth="1"/>
    <col min="2819" max="2819" width="11.5703125" style="1128" bestFit="1" customWidth="1"/>
    <col min="2820" max="2820" width="3.42578125" style="1128" customWidth="1"/>
    <col min="2821" max="2821" width="13.85546875" style="1128" bestFit="1" customWidth="1"/>
    <col min="2822" max="2822" width="6.5703125" style="1128" bestFit="1" customWidth="1"/>
    <col min="2823" max="2823" width="12.28515625" style="1128" bestFit="1" customWidth="1"/>
    <col min="2824" max="2824" width="6.5703125" style="1128" bestFit="1" customWidth="1"/>
    <col min="2825" max="2825" width="12.5703125" style="1128" bestFit="1" customWidth="1"/>
    <col min="2826" max="2826" width="6.5703125" style="1128" bestFit="1" customWidth="1"/>
    <col min="2827" max="2827" width="14.140625" style="1128" bestFit="1" customWidth="1"/>
    <col min="2828" max="2828" width="12.5703125" style="1128" bestFit="1" customWidth="1"/>
    <col min="2829" max="2829" width="6.5703125" style="1128" bestFit="1" customWidth="1"/>
    <col min="2830" max="2830" width="12.5703125" style="1128" bestFit="1" customWidth="1"/>
    <col min="2831" max="2831" width="6.5703125" style="1128" bestFit="1" customWidth="1"/>
    <col min="2832" max="2832" width="118.85546875" style="1128" bestFit="1" customWidth="1"/>
    <col min="2833" max="3072" width="6.85546875" style="1128"/>
    <col min="3073" max="3073" width="4.42578125" style="1128" customWidth="1"/>
    <col min="3074" max="3074" width="33.85546875" style="1128" bestFit="1" customWidth="1"/>
    <col min="3075" max="3075" width="11.5703125" style="1128" bestFit="1" customWidth="1"/>
    <col min="3076" max="3076" width="3.42578125" style="1128" customWidth="1"/>
    <col min="3077" max="3077" width="13.85546875" style="1128" bestFit="1" customWidth="1"/>
    <col min="3078" max="3078" width="6.5703125" style="1128" bestFit="1" customWidth="1"/>
    <col min="3079" max="3079" width="12.28515625" style="1128" bestFit="1" customWidth="1"/>
    <col min="3080" max="3080" width="6.5703125" style="1128" bestFit="1" customWidth="1"/>
    <col min="3081" max="3081" width="12.5703125" style="1128" bestFit="1" customWidth="1"/>
    <col min="3082" max="3082" width="6.5703125" style="1128" bestFit="1" customWidth="1"/>
    <col min="3083" max="3083" width="14.140625" style="1128" bestFit="1" customWidth="1"/>
    <col min="3084" max="3084" width="12.5703125" style="1128" bestFit="1" customWidth="1"/>
    <col min="3085" max="3085" width="6.5703125" style="1128" bestFit="1" customWidth="1"/>
    <col min="3086" max="3086" width="12.5703125" style="1128" bestFit="1" customWidth="1"/>
    <col min="3087" max="3087" width="6.5703125" style="1128" bestFit="1" customWidth="1"/>
    <col min="3088" max="3088" width="118.85546875" style="1128" bestFit="1" customWidth="1"/>
    <col min="3089" max="3328" width="6.85546875" style="1128"/>
    <col min="3329" max="3329" width="4.42578125" style="1128" customWidth="1"/>
    <col min="3330" max="3330" width="33.85546875" style="1128" bestFit="1" customWidth="1"/>
    <col min="3331" max="3331" width="11.5703125" style="1128" bestFit="1" customWidth="1"/>
    <col min="3332" max="3332" width="3.42578125" style="1128" customWidth="1"/>
    <col min="3333" max="3333" width="13.85546875" style="1128" bestFit="1" customWidth="1"/>
    <col min="3334" max="3334" width="6.5703125" style="1128" bestFit="1" customWidth="1"/>
    <col min="3335" max="3335" width="12.28515625" style="1128" bestFit="1" customWidth="1"/>
    <col min="3336" max="3336" width="6.5703125" style="1128" bestFit="1" customWidth="1"/>
    <col min="3337" max="3337" width="12.5703125" style="1128" bestFit="1" customWidth="1"/>
    <col min="3338" max="3338" width="6.5703125" style="1128" bestFit="1" customWidth="1"/>
    <col min="3339" max="3339" width="14.140625" style="1128" bestFit="1" customWidth="1"/>
    <col min="3340" max="3340" width="12.5703125" style="1128" bestFit="1" customWidth="1"/>
    <col min="3341" max="3341" width="6.5703125" style="1128" bestFit="1" customWidth="1"/>
    <col min="3342" max="3342" width="12.5703125" style="1128" bestFit="1" customWidth="1"/>
    <col min="3343" max="3343" width="6.5703125" style="1128" bestFit="1" customWidth="1"/>
    <col min="3344" max="3344" width="118.85546875" style="1128" bestFit="1" customWidth="1"/>
    <col min="3345" max="3584" width="6.85546875" style="1128"/>
    <col min="3585" max="3585" width="4.42578125" style="1128" customWidth="1"/>
    <col min="3586" max="3586" width="33.85546875" style="1128" bestFit="1" customWidth="1"/>
    <col min="3587" max="3587" width="11.5703125" style="1128" bestFit="1" customWidth="1"/>
    <col min="3588" max="3588" width="3.42578125" style="1128" customWidth="1"/>
    <col min="3589" max="3589" width="13.85546875" style="1128" bestFit="1" customWidth="1"/>
    <col min="3590" max="3590" width="6.5703125" style="1128" bestFit="1" customWidth="1"/>
    <col min="3591" max="3591" width="12.28515625" style="1128" bestFit="1" customWidth="1"/>
    <col min="3592" max="3592" width="6.5703125" style="1128" bestFit="1" customWidth="1"/>
    <col min="3593" max="3593" width="12.5703125" style="1128" bestFit="1" customWidth="1"/>
    <col min="3594" max="3594" width="6.5703125" style="1128" bestFit="1" customWidth="1"/>
    <col min="3595" max="3595" width="14.140625" style="1128" bestFit="1" customWidth="1"/>
    <col min="3596" max="3596" width="12.5703125" style="1128" bestFit="1" customWidth="1"/>
    <col min="3597" max="3597" width="6.5703125" style="1128" bestFit="1" customWidth="1"/>
    <col min="3598" max="3598" width="12.5703125" style="1128" bestFit="1" customWidth="1"/>
    <col min="3599" max="3599" width="6.5703125" style="1128" bestFit="1" customWidth="1"/>
    <col min="3600" max="3600" width="118.85546875" style="1128" bestFit="1" customWidth="1"/>
    <col min="3601" max="3840" width="6.85546875" style="1128"/>
    <col min="3841" max="3841" width="4.42578125" style="1128" customWidth="1"/>
    <col min="3842" max="3842" width="33.85546875" style="1128" bestFit="1" customWidth="1"/>
    <col min="3843" max="3843" width="11.5703125" style="1128" bestFit="1" customWidth="1"/>
    <col min="3844" max="3844" width="3.42578125" style="1128" customWidth="1"/>
    <col min="3845" max="3845" width="13.85546875" style="1128" bestFit="1" customWidth="1"/>
    <col min="3846" max="3846" width="6.5703125" style="1128" bestFit="1" customWidth="1"/>
    <col min="3847" max="3847" width="12.28515625" style="1128" bestFit="1" customWidth="1"/>
    <col min="3848" max="3848" width="6.5703125" style="1128" bestFit="1" customWidth="1"/>
    <col min="3849" max="3849" width="12.5703125" style="1128" bestFit="1" customWidth="1"/>
    <col min="3850" max="3850" width="6.5703125" style="1128" bestFit="1" customWidth="1"/>
    <col min="3851" max="3851" width="14.140625" style="1128" bestFit="1" customWidth="1"/>
    <col min="3852" max="3852" width="12.5703125" style="1128" bestFit="1" customWidth="1"/>
    <col min="3853" max="3853" width="6.5703125" style="1128" bestFit="1" customWidth="1"/>
    <col min="3854" max="3854" width="12.5703125" style="1128" bestFit="1" customWidth="1"/>
    <col min="3855" max="3855" width="6.5703125" style="1128" bestFit="1" customWidth="1"/>
    <col min="3856" max="3856" width="118.85546875" style="1128" bestFit="1" customWidth="1"/>
    <col min="3857" max="4096" width="6.85546875" style="1128"/>
    <col min="4097" max="4097" width="4.42578125" style="1128" customWidth="1"/>
    <col min="4098" max="4098" width="33.85546875" style="1128" bestFit="1" customWidth="1"/>
    <col min="4099" max="4099" width="11.5703125" style="1128" bestFit="1" customWidth="1"/>
    <col min="4100" max="4100" width="3.42578125" style="1128" customWidth="1"/>
    <col min="4101" max="4101" width="13.85546875" style="1128" bestFit="1" customWidth="1"/>
    <col min="4102" max="4102" width="6.5703125" style="1128" bestFit="1" customWidth="1"/>
    <col min="4103" max="4103" width="12.28515625" style="1128" bestFit="1" customWidth="1"/>
    <col min="4104" max="4104" width="6.5703125" style="1128" bestFit="1" customWidth="1"/>
    <col min="4105" max="4105" width="12.5703125" style="1128" bestFit="1" customWidth="1"/>
    <col min="4106" max="4106" width="6.5703125" style="1128" bestFit="1" customWidth="1"/>
    <col min="4107" max="4107" width="14.140625" style="1128" bestFit="1" customWidth="1"/>
    <col min="4108" max="4108" width="12.5703125" style="1128" bestFit="1" customWidth="1"/>
    <col min="4109" max="4109" width="6.5703125" style="1128" bestFit="1" customWidth="1"/>
    <col min="4110" max="4110" width="12.5703125" style="1128" bestFit="1" customWidth="1"/>
    <col min="4111" max="4111" width="6.5703125" style="1128" bestFit="1" customWidth="1"/>
    <col min="4112" max="4112" width="118.85546875" style="1128" bestFit="1" customWidth="1"/>
    <col min="4113" max="4352" width="6.85546875" style="1128"/>
    <col min="4353" max="4353" width="4.42578125" style="1128" customWidth="1"/>
    <col min="4354" max="4354" width="33.85546875" style="1128" bestFit="1" customWidth="1"/>
    <col min="4355" max="4355" width="11.5703125" style="1128" bestFit="1" customWidth="1"/>
    <col min="4356" max="4356" width="3.42578125" style="1128" customWidth="1"/>
    <col min="4357" max="4357" width="13.85546875" style="1128" bestFit="1" customWidth="1"/>
    <col min="4358" max="4358" width="6.5703125" style="1128" bestFit="1" customWidth="1"/>
    <col min="4359" max="4359" width="12.28515625" style="1128" bestFit="1" customWidth="1"/>
    <col min="4360" max="4360" width="6.5703125" style="1128" bestFit="1" customWidth="1"/>
    <col min="4361" max="4361" width="12.5703125" style="1128" bestFit="1" customWidth="1"/>
    <col min="4362" max="4362" width="6.5703125" style="1128" bestFit="1" customWidth="1"/>
    <col min="4363" max="4363" width="14.140625" style="1128" bestFit="1" customWidth="1"/>
    <col min="4364" max="4364" width="12.5703125" style="1128" bestFit="1" customWidth="1"/>
    <col min="4365" max="4365" width="6.5703125" style="1128" bestFit="1" customWidth="1"/>
    <col min="4366" max="4366" width="12.5703125" style="1128" bestFit="1" customWidth="1"/>
    <col min="4367" max="4367" width="6.5703125" style="1128" bestFit="1" customWidth="1"/>
    <col min="4368" max="4368" width="118.85546875" style="1128" bestFit="1" customWidth="1"/>
    <col min="4369" max="4608" width="6.85546875" style="1128"/>
    <col min="4609" max="4609" width="4.42578125" style="1128" customWidth="1"/>
    <col min="4610" max="4610" width="33.85546875" style="1128" bestFit="1" customWidth="1"/>
    <col min="4611" max="4611" width="11.5703125" style="1128" bestFit="1" customWidth="1"/>
    <col min="4612" max="4612" width="3.42578125" style="1128" customWidth="1"/>
    <col min="4613" max="4613" width="13.85546875" style="1128" bestFit="1" customWidth="1"/>
    <col min="4614" max="4614" width="6.5703125" style="1128" bestFit="1" customWidth="1"/>
    <col min="4615" max="4615" width="12.28515625" style="1128" bestFit="1" customWidth="1"/>
    <col min="4616" max="4616" width="6.5703125" style="1128" bestFit="1" customWidth="1"/>
    <col min="4617" max="4617" width="12.5703125" style="1128" bestFit="1" customWidth="1"/>
    <col min="4618" max="4618" width="6.5703125" style="1128" bestFit="1" customWidth="1"/>
    <col min="4619" max="4619" width="14.140625" style="1128" bestFit="1" customWidth="1"/>
    <col min="4620" max="4620" width="12.5703125" style="1128" bestFit="1" customWidth="1"/>
    <col min="4621" max="4621" width="6.5703125" style="1128" bestFit="1" customWidth="1"/>
    <col min="4622" max="4622" width="12.5703125" style="1128" bestFit="1" customWidth="1"/>
    <col min="4623" max="4623" width="6.5703125" style="1128" bestFit="1" customWidth="1"/>
    <col min="4624" max="4624" width="118.85546875" style="1128" bestFit="1" customWidth="1"/>
    <col min="4625" max="4864" width="6.85546875" style="1128"/>
    <col min="4865" max="4865" width="4.42578125" style="1128" customWidth="1"/>
    <col min="4866" max="4866" width="33.85546875" style="1128" bestFit="1" customWidth="1"/>
    <col min="4867" max="4867" width="11.5703125" style="1128" bestFit="1" customWidth="1"/>
    <col min="4868" max="4868" width="3.42578125" style="1128" customWidth="1"/>
    <col min="4869" max="4869" width="13.85546875" style="1128" bestFit="1" customWidth="1"/>
    <col min="4870" max="4870" width="6.5703125" style="1128" bestFit="1" customWidth="1"/>
    <col min="4871" max="4871" width="12.28515625" style="1128" bestFit="1" customWidth="1"/>
    <col min="4872" max="4872" width="6.5703125" style="1128" bestFit="1" customWidth="1"/>
    <col min="4873" max="4873" width="12.5703125" style="1128" bestFit="1" customWidth="1"/>
    <col min="4874" max="4874" width="6.5703125" style="1128" bestFit="1" customWidth="1"/>
    <col min="4875" max="4875" width="14.140625" style="1128" bestFit="1" customWidth="1"/>
    <col min="4876" max="4876" width="12.5703125" style="1128" bestFit="1" customWidth="1"/>
    <col min="4877" max="4877" width="6.5703125" style="1128" bestFit="1" customWidth="1"/>
    <col min="4878" max="4878" width="12.5703125" style="1128" bestFit="1" customWidth="1"/>
    <col min="4879" max="4879" width="6.5703125" style="1128" bestFit="1" customWidth="1"/>
    <col min="4880" max="4880" width="118.85546875" style="1128" bestFit="1" customWidth="1"/>
    <col min="4881" max="5120" width="6.85546875" style="1128"/>
    <col min="5121" max="5121" width="4.42578125" style="1128" customWidth="1"/>
    <col min="5122" max="5122" width="33.85546875" style="1128" bestFit="1" customWidth="1"/>
    <col min="5123" max="5123" width="11.5703125" style="1128" bestFit="1" customWidth="1"/>
    <col min="5124" max="5124" width="3.42578125" style="1128" customWidth="1"/>
    <col min="5125" max="5125" width="13.85546875" style="1128" bestFit="1" customWidth="1"/>
    <col min="5126" max="5126" width="6.5703125" style="1128" bestFit="1" customWidth="1"/>
    <col min="5127" max="5127" width="12.28515625" style="1128" bestFit="1" customWidth="1"/>
    <col min="5128" max="5128" width="6.5703125" style="1128" bestFit="1" customWidth="1"/>
    <col min="5129" max="5129" width="12.5703125" style="1128" bestFit="1" customWidth="1"/>
    <col min="5130" max="5130" width="6.5703125" style="1128" bestFit="1" customWidth="1"/>
    <col min="5131" max="5131" width="14.140625" style="1128" bestFit="1" customWidth="1"/>
    <col min="5132" max="5132" width="12.5703125" style="1128" bestFit="1" customWidth="1"/>
    <col min="5133" max="5133" width="6.5703125" style="1128" bestFit="1" customWidth="1"/>
    <col min="5134" max="5134" width="12.5703125" style="1128" bestFit="1" customWidth="1"/>
    <col min="5135" max="5135" width="6.5703125" style="1128" bestFit="1" customWidth="1"/>
    <col min="5136" max="5136" width="118.85546875" style="1128" bestFit="1" customWidth="1"/>
    <col min="5137" max="5376" width="6.85546875" style="1128"/>
    <col min="5377" max="5377" width="4.42578125" style="1128" customWidth="1"/>
    <col min="5378" max="5378" width="33.85546875" style="1128" bestFit="1" customWidth="1"/>
    <col min="5379" max="5379" width="11.5703125" style="1128" bestFit="1" customWidth="1"/>
    <col min="5380" max="5380" width="3.42578125" style="1128" customWidth="1"/>
    <col min="5381" max="5381" width="13.85546875" style="1128" bestFit="1" customWidth="1"/>
    <col min="5382" max="5382" width="6.5703125" style="1128" bestFit="1" customWidth="1"/>
    <col min="5383" max="5383" width="12.28515625" style="1128" bestFit="1" customWidth="1"/>
    <col min="5384" max="5384" width="6.5703125" style="1128" bestFit="1" customWidth="1"/>
    <col min="5385" max="5385" width="12.5703125" style="1128" bestFit="1" customWidth="1"/>
    <col min="5386" max="5386" width="6.5703125" style="1128" bestFit="1" customWidth="1"/>
    <col min="5387" max="5387" width="14.140625" style="1128" bestFit="1" customWidth="1"/>
    <col min="5388" max="5388" width="12.5703125" style="1128" bestFit="1" customWidth="1"/>
    <col min="5389" max="5389" width="6.5703125" style="1128" bestFit="1" customWidth="1"/>
    <col min="5390" max="5390" width="12.5703125" style="1128" bestFit="1" customWidth="1"/>
    <col min="5391" max="5391" width="6.5703125" style="1128" bestFit="1" customWidth="1"/>
    <col min="5392" max="5392" width="118.85546875" style="1128" bestFit="1" customWidth="1"/>
    <col min="5393" max="5632" width="6.85546875" style="1128"/>
    <col min="5633" max="5633" width="4.42578125" style="1128" customWidth="1"/>
    <col min="5634" max="5634" width="33.85546875" style="1128" bestFit="1" customWidth="1"/>
    <col min="5635" max="5635" width="11.5703125" style="1128" bestFit="1" customWidth="1"/>
    <col min="5636" max="5636" width="3.42578125" style="1128" customWidth="1"/>
    <col min="5637" max="5637" width="13.85546875" style="1128" bestFit="1" customWidth="1"/>
    <col min="5638" max="5638" width="6.5703125" style="1128" bestFit="1" customWidth="1"/>
    <col min="5639" max="5639" width="12.28515625" style="1128" bestFit="1" customWidth="1"/>
    <col min="5640" max="5640" width="6.5703125" style="1128" bestFit="1" customWidth="1"/>
    <col min="5641" max="5641" width="12.5703125" style="1128" bestFit="1" customWidth="1"/>
    <col min="5642" max="5642" width="6.5703125" style="1128" bestFit="1" customWidth="1"/>
    <col min="5643" max="5643" width="14.140625" style="1128" bestFit="1" customWidth="1"/>
    <col min="5644" max="5644" width="12.5703125" style="1128" bestFit="1" customWidth="1"/>
    <col min="5645" max="5645" width="6.5703125" style="1128" bestFit="1" customWidth="1"/>
    <col min="5646" max="5646" width="12.5703125" style="1128" bestFit="1" customWidth="1"/>
    <col min="5647" max="5647" width="6.5703125" style="1128" bestFit="1" customWidth="1"/>
    <col min="5648" max="5648" width="118.85546875" style="1128" bestFit="1" customWidth="1"/>
    <col min="5649" max="5888" width="6.85546875" style="1128"/>
    <col min="5889" max="5889" width="4.42578125" style="1128" customWidth="1"/>
    <col min="5890" max="5890" width="33.85546875" style="1128" bestFit="1" customWidth="1"/>
    <col min="5891" max="5891" width="11.5703125" style="1128" bestFit="1" customWidth="1"/>
    <col min="5892" max="5892" width="3.42578125" style="1128" customWidth="1"/>
    <col min="5893" max="5893" width="13.85546875" style="1128" bestFit="1" customWidth="1"/>
    <col min="5894" max="5894" width="6.5703125" style="1128" bestFit="1" customWidth="1"/>
    <col min="5895" max="5895" width="12.28515625" style="1128" bestFit="1" customWidth="1"/>
    <col min="5896" max="5896" width="6.5703125" style="1128" bestFit="1" customWidth="1"/>
    <col min="5897" max="5897" width="12.5703125" style="1128" bestFit="1" customWidth="1"/>
    <col min="5898" max="5898" width="6.5703125" style="1128" bestFit="1" customWidth="1"/>
    <col min="5899" max="5899" width="14.140625" style="1128" bestFit="1" customWidth="1"/>
    <col min="5900" max="5900" width="12.5703125" style="1128" bestFit="1" customWidth="1"/>
    <col min="5901" max="5901" width="6.5703125" style="1128" bestFit="1" customWidth="1"/>
    <col min="5902" max="5902" width="12.5703125" style="1128" bestFit="1" customWidth="1"/>
    <col min="5903" max="5903" width="6.5703125" style="1128" bestFit="1" customWidth="1"/>
    <col min="5904" max="5904" width="118.85546875" style="1128" bestFit="1" customWidth="1"/>
    <col min="5905" max="6144" width="6.85546875" style="1128"/>
    <col min="6145" max="6145" width="4.42578125" style="1128" customWidth="1"/>
    <col min="6146" max="6146" width="33.85546875" style="1128" bestFit="1" customWidth="1"/>
    <col min="6147" max="6147" width="11.5703125" style="1128" bestFit="1" customWidth="1"/>
    <col min="6148" max="6148" width="3.42578125" style="1128" customWidth="1"/>
    <col min="6149" max="6149" width="13.85546875" style="1128" bestFit="1" customWidth="1"/>
    <col min="6150" max="6150" width="6.5703125" style="1128" bestFit="1" customWidth="1"/>
    <col min="6151" max="6151" width="12.28515625" style="1128" bestFit="1" customWidth="1"/>
    <col min="6152" max="6152" width="6.5703125" style="1128" bestFit="1" customWidth="1"/>
    <col min="6153" max="6153" width="12.5703125" style="1128" bestFit="1" customWidth="1"/>
    <col min="6154" max="6154" width="6.5703125" style="1128" bestFit="1" customWidth="1"/>
    <col min="6155" max="6155" width="14.140625" style="1128" bestFit="1" customWidth="1"/>
    <col min="6156" max="6156" width="12.5703125" style="1128" bestFit="1" customWidth="1"/>
    <col min="6157" max="6157" width="6.5703125" style="1128" bestFit="1" customWidth="1"/>
    <col min="6158" max="6158" width="12.5703125" style="1128" bestFit="1" customWidth="1"/>
    <col min="6159" max="6159" width="6.5703125" style="1128" bestFit="1" customWidth="1"/>
    <col min="6160" max="6160" width="118.85546875" style="1128" bestFit="1" customWidth="1"/>
    <col min="6161" max="6400" width="6.85546875" style="1128"/>
    <col min="6401" max="6401" width="4.42578125" style="1128" customWidth="1"/>
    <col min="6402" max="6402" width="33.85546875" style="1128" bestFit="1" customWidth="1"/>
    <col min="6403" max="6403" width="11.5703125" style="1128" bestFit="1" customWidth="1"/>
    <col min="6404" max="6404" width="3.42578125" style="1128" customWidth="1"/>
    <col min="6405" max="6405" width="13.85546875" style="1128" bestFit="1" customWidth="1"/>
    <col min="6406" max="6406" width="6.5703125" style="1128" bestFit="1" customWidth="1"/>
    <col min="6407" max="6407" width="12.28515625" style="1128" bestFit="1" customWidth="1"/>
    <col min="6408" max="6408" width="6.5703125" style="1128" bestFit="1" customWidth="1"/>
    <col min="6409" max="6409" width="12.5703125" style="1128" bestFit="1" customWidth="1"/>
    <col min="6410" max="6410" width="6.5703125" style="1128" bestFit="1" customWidth="1"/>
    <col min="6411" max="6411" width="14.140625" style="1128" bestFit="1" customWidth="1"/>
    <col min="6412" max="6412" width="12.5703125" style="1128" bestFit="1" customWidth="1"/>
    <col min="6413" max="6413" width="6.5703125" style="1128" bestFit="1" customWidth="1"/>
    <col min="6414" max="6414" width="12.5703125" style="1128" bestFit="1" customWidth="1"/>
    <col min="6415" max="6415" width="6.5703125" style="1128" bestFit="1" customWidth="1"/>
    <col min="6416" max="6416" width="118.85546875" style="1128" bestFit="1" customWidth="1"/>
    <col min="6417" max="6656" width="6.85546875" style="1128"/>
    <col min="6657" max="6657" width="4.42578125" style="1128" customWidth="1"/>
    <col min="6658" max="6658" width="33.85546875" style="1128" bestFit="1" customWidth="1"/>
    <col min="6659" max="6659" width="11.5703125" style="1128" bestFit="1" customWidth="1"/>
    <col min="6660" max="6660" width="3.42578125" style="1128" customWidth="1"/>
    <col min="6661" max="6661" width="13.85546875" style="1128" bestFit="1" customWidth="1"/>
    <col min="6662" max="6662" width="6.5703125" style="1128" bestFit="1" customWidth="1"/>
    <col min="6663" max="6663" width="12.28515625" style="1128" bestFit="1" customWidth="1"/>
    <col min="6664" max="6664" width="6.5703125" style="1128" bestFit="1" customWidth="1"/>
    <col min="6665" max="6665" width="12.5703125" style="1128" bestFit="1" customWidth="1"/>
    <col min="6666" max="6666" width="6.5703125" style="1128" bestFit="1" customWidth="1"/>
    <col min="6667" max="6667" width="14.140625" style="1128" bestFit="1" customWidth="1"/>
    <col min="6668" max="6668" width="12.5703125" style="1128" bestFit="1" customWidth="1"/>
    <col min="6669" max="6669" width="6.5703125" style="1128" bestFit="1" customWidth="1"/>
    <col min="6670" max="6670" width="12.5703125" style="1128" bestFit="1" customWidth="1"/>
    <col min="6671" max="6671" width="6.5703125" style="1128" bestFit="1" customWidth="1"/>
    <col min="6672" max="6672" width="118.85546875" style="1128" bestFit="1" customWidth="1"/>
    <col min="6673" max="6912" width="6.85546875" style="1128"/>
    <col min="6913" max="6913" width="4.42578125" style="1128" customWidth="1"/>
    <col min="6914" max="6914" width="33.85546875" style="1128" bestFit="1" customWidth="1"/>
    <col min="6915" max="6915" width="11.5703125" style="1128" bestFit="1" customWidth="1"/>
    <col min="6916" max="6916" width="3.42578125" style="1128" customWidth="1"/>
    <col min="6917" max="6917" width="13.85546875" style="1128" bestFit="1" customWidth="1"/>
    <col min="6918" max="6918" width="6.5703125" style="1128" bestFit="1" customWidth="1"/>
    <col min="6919" max="6919" width="12.28515625" style="1128" bestFit="1" customWidth="1"/>
    <col min="6920" max="6920" width="6.5703125" style="1128" bestFit="1" customWidth="1"/>
    <col min="6921" max="6921" width="12.5703125" style="1128" bestFit="1" customWidth="1"/>
    <col min="6922" max="6922" width="6.5703125" style="1128" bestFit="1" customWidth="1"/>
    <col min="6923" max="6923" width="14.140625" style="1128" bestFit="1" customWidth="1"/>
    <col min="6924" max="6924" width="12.5703125" style="1128" bestFit="1" customWidth="1"/>
    <col min="6925" max="6925" width="6.5703125" style="1128" bestFit="1" customWidth="1"/>
    <col min="6926" max="6926" width="12.5703125" style="1128" bestFit="1" customWidth="1"/>
    <col min="6927" max="6927" width="6.5703125" style="1128" bestFit="1" customWidth="1"/>
    <col min="6928" max="6928" width="118.85546875" style="1128" bestFit="1" customWidth="1"/>
    <col min="6929" max="7168" width="6.85546875" style="1128"/>
    <col min="7169" max="7169" width="4.42578125" style="1128" customWidth="1"/>
    <col min="7170" max="7170" width="33.85546875" style="1128" bestFit="1" customWidth="1"/>
    <col min="7171" max="7171" width="11.5703125" style="1128" bestFit="1" customWidth="1"/>
    <col min="7172" max="7172" width="3.42578125" style="1128" customWidth="1"/>
    <col min="7173" max="7173" width="13.85546875" style="1128" bestFit="1" customWidth="1"/>
    <col min="7174" max="7174" width="6.5703125" style="1128" bestFit="1" customWidth="1"/>
    <col min="7175" max="7175" width="12.28515625" style="1128" bestFit="1" customWidth="1"/>
    <col min="7176" max="7176" width="6.5703125" style="1128" bestFit="1" customWidth="1"/>
    <col min="7177" max="7177" width="12.5703125" style="1128" bestFit="1" customWidth="1"/>
    <col min="7178" max="7178" width="6.5703125" style="1128" bestFit="1" customWidth="1"/>
    <col min="7179" max="7179" width="14.140625" style="1128" bestFit="1" customWidth="1"/>
    <col min="7180" max="7180" width="12.5703125" style="1128" bestFit="1" customWidth="1"/>
    <col min="7181" max="7181" width="6.5703125" style="1128" bestFit="1" customWidth="1"/>
    <col min="7182" max="7182" width="12.5703125" style="1128" bestFit="1" customWidth="1"/>
    <col min="7183" max="7183" width="6.5703125" style="1128" bestFit="1" customWidth="1"/>
    <col min="7184" max="7184" width="118.85546875" style="1128" bestFit="1" customWidth="1"/>
    <col min="7185" max="7424" width="6.85546875" style="1128"/>
    <col min="7425" max="7425" width="4.42578125" style="1128" customWidth="1"/>
    <col min="7426" max="7426" width="33.85546875" style="1128" bestFit="1" customWidth="1"/>
    <col min="7427" max="7427" width="11.5703125" style="1128" bestFit="1" customWidth="1"/>
    <col min="7428" max="7428" width="3.42578125" style="1128" customWidth="1"/>
    <col min="7429" max="7429" width="13.85546875" style="1128" bestFit="1" customWidth="1"/>
    <col min="7430" max="7430" width="6.5703125" style="1128" bestFit="1" customWidth="1"/>
    <col min="7431" max="7431" width="12.28515625" style="1128" bestFit="1" customWidth="1"/>
    <col min="7432" max="7432" width="6.5703125" style="1128" bestFit="1" customWidth="1"/>
    <col min="7433" max="7433" width="12.5703125" style="1128" bestFit="1" customWidth="1"/>
    <col min="7434" max="7434" width="6.5703125" style="1128" bestFit="1" customWidth="1"/>
    <col min="7435" max="7435" width="14.140625" style="1128" bestFit="1" customWidth="1"/>
    <col min="7436" max="7436" width="12.5703125" style="1128" bestFit="1" customWidth="1"/>
    <col min="7437" max="7437" width="6.5703125" style="1128" bestFit="1" customWidth="1"/>
    <col min="7438" max="7438" width="12.5703125" style="1128" bestFit="1" customWidth="1"/>
    <col min="7439" max="7439" width="6.5703125" style="1128" bestFit="1" customWidth="1"/>
    <col min="7440" max="7440" width="118.85546875" style="1128" bestFit="1" customWidth="1"/>
    <col min="7441" max="7680" width="6.85546875" style="1128"/>
    <col min="7681" max="7681" width="4.42578125" style="1128" customWidth="1"/>
    <col min="7682" max="7682" width="33.85546875" style="1128" bestFit="1" customWidth="1"/>
    <col min="7683" max="7683" width="11.5703125" style="1128" bestFit="1" customWidth="1"/>
    <col min="7684" max="7684" width="3.42578125" style="1128" customWidth="1"/>
    <col min="7685" max="7685" width="13.85546875" style="1128" bestFit="1" customWidth="1"/>
    <col min="7686" max="7686" width="6.5703125" style="1128" bestFit="1" customWidth="1"/>
    <col min="7687" max="7687" width="12.28515625" style="1128" bestFit="1" customWidth="1"/>
    <col min="7688" max="7688" width="6.5703125" style="1128" bestFit="1" customWidth="1"/>
    <col min="7689" max="7689" width="12.5703125" style="1128" bestFit="1" customWidth="1"/>
    <col min="7690" max="7690" width="6.5703125" style="1128" bestFit="1" customWidth="1"/>
    <col min="7691" max="7691" width="14.140625" style="1128" bestFit="1" customWidth="1"/>
    <col min="7692" max="7692" width="12.5703125" style="1128" bestFit="1" customWidth="1"/>
    <col min="7693" max="7693" width="6.5703125" style="1128" bestFit="1" customWidth="1"/>
    <col min="7694" max="7694" width="12.5703125" style="1128" bestFit="1" customWidth="1"/>
    <col min="7695" max="7695" width="6.5703125" style="1128" bestFit="1" customWidth="1"/>
    <col min="7696" max="7696" width="118.85546875" style="1128" bestFit="1" customWidth="1"/>
    <col min="7697" max="7936" width="6.85546875" style="1128"/>
    <col min="7937" max="7937" width="4.42578125" style="1128" customWidth="1"/>
    <col min="7938" max="7938" width="33.85546875" style="1128" bestFit="1" customWidth="1"/>
    <col min="7939" max="7939" width="11.5703125" style="1128" bestFit="1" customWidth="1"/>
    <col min="7940" max="7940" width="3.42578125" style="1128" customWidth="1"/>
    <col min="7941" max="7941" width="13.85546875" style="1128" bestFit="1" customWidth="1"/>
    <col min="7942" max="7942" width="6.5703125" style="1128" bestFit="1" customWidth="1"/>
    <col min="7943" max="7943" width="12.28515625" style="1128" bestFit="1" customWidth="1"/>
    <col min="7944" max="7944" width="6.5703125" style="1128" bestFit="1" customWidth="1"/>
    <col min="7945" max="7945" width="12.5703125" style="1128" bestFit="1" customWidth="1"/>
    <col min="7946" max="7946" width="6.5703125" style="1128" bestFit="1" customWidth="1"/>
    <col min="7947" max="7947" width="14.140625" style="1128" bestFit="1" customWidth="1"/>
    <col min="7948" max="7948" width="12.5703125" style="1128" bestFit="1" customWidth="1"/>
    <col min="7949" max="7949" width="6.5703125" style="1128" bestFit="1" customWidth="1"/>
    <col min="7950" max="7950" width="12.5703125" style="1128" bestFit="1" customWidth="1"/>
    <col min="7951" max="7951" width="6.5703125" style="1128" bestFit="1" customWidth="1"/>
    <col min="7952" max="7952" width="118.85546875" style="1128" bestFit="1" customWidth="1"/>
    <col min="7953" max="8192" width="6.85546875" style="1128"/>
    <col min="8193" max="8193" width="4.42578125" style="1128" customWidth="1"/>
    <col min="8194" max="8194" width="33.85546875" style="1128" bestFit="1" customWidth="1"/>
    <col min="8195" max="8195" width="11.5703125" style="1128" bestFit="1" customWidth="1"/>
    <col min="8196" max="8196" width="3.42578125" style="1128" customWidth="1"/>
    <col min="8197" max="8197" width="13.85546875" style="1128" bestFit="1" customWidth="1"/>
    <col min="8198" max="8198" width="6.5703125" style="1128" bestFit="1" customWidth="1"/>
    <col min="8199" max="8199" width="12.28515625" style="1128" bestFit="1" customWidth="1"/>
    <col min="8200" max="8200" width="6.5703125" style="1128" bestFit="1" customWidth="1"/>
    <col min="8201" max="8201" width="12.5703125" style="1128" bestFit="1" customWidth="1"/>
    <col min="8202" max="8202" width="6.5703125" style="1128" bestFit="1" customWidth="1"/>
    <col min="8203" max="8203" width="14.140625" style="1128" bestFit="1" customWidth="1"/>
    <col min="8204" max="8204" width="12.5703125" style="1128" bestFit="1" customWidth="1"/>
    <col min="8205" max="8205" width="6.5703125" style="1128" bestFit="1" customWidth="1"/>
    <col min="8206" max="8206" width="12.5703125" style="1128" bestFit="1" customWidth="1"/>
    <col min="8207" max="8207" width="6.5703125" style="1128" bestFit="1" customWidth="1"/>
    <col min="8208" max="8208" width="118.85546875" style="1128" bestFit="1" customWidth="1"/>
    <col min="8209" max="8448" width="6.85546875" style="1128"/>
    <col min="8449" max="8449" width="4.42578125" style="1128" customWidth="1"/>
    <col min="8450" max="8450" width="33.85546875" style="1128" bestFit="1" customWidth="1"/>
    <col min="8451" max="8451" width="11.5703125" style="1128" bestFit="1" customWidth="1"/>
    <col min="8452" max="8452" width="3.42578125" style="1128" customWidth="1"/>
    <col min="8453" max="8453" width="13.85546875" style="1128" bestFit="1" customWidth="1"/>
    <col min="8454" max="8454" width="6.5703125" style="1128" bestFit="1" customWidth="1"/>
    <col min="8455" max="8455" width="12.28515625" style="1128" bestFit="1" customWidth="1"/>
    <col min="8456" max="8456" width="6.5703125" style="1128" bestFit="1" customWidth="1"/>
    <col min="8457" max="8457" width="12.5703125" style="1128" bestFit="1" customWidth="1"/>
    <col min="8458" max="8458" width="6.5703125" style="1128" bestFit="1" customWidth="1"/>
    <col min="8459" max="8459" width="14.140625" style="1128" bestFit="1" customWidth="1"/>
    <col min="8460" max="8460" width="12.5703125" style="1128" bestFit="1" customWidth="1"/>
    <col min="8461" max="8461" width="6.5703125" style="1128" bestFit="1" customWidth="1"/>
    <col min="8462" max="8462" width="12.5703125" style="1128" bestFit="1" customWidth="1"/>
    <col min="8463" max="8463" width="6.5703125" style="1128" bestFit="1" customWidth="1"/>
    <col min="8464" max="8464" width="118.85546875" style="1128" bestFit="1" customWidth="1"/>
    <col min="8465" max="8704" width="6.85546875" style="1128"/>
    <col min="8705" max="8705" width="4.42578125" style="1128" customWidth="1"/>
    <col min="8706" max="8706" width="33.85546875" style="1128" bestFit="1" customWidth="1"/>
    <col min="8707" max="8707" width="11.5703125" style="1128" bestFit="1" customWidth="1"/>
    <col min="8708" max="8708" width="3.42578125" style="1128" customWidth="1"/>
    <col min="8709" max="8709" width="13.85546875" style="1128" bestFit="1" customWidth="1"/>
    <col min="8710" max="8710" width="6.5703125" style="1128" bestFit="1" customWidth="1"/>
    <col min="8711" max="8711" width="12.28515625" style="1128" bestFit="1" customWidth="1"/>
    <col min="8712" max="8712" width="6.5703125" style="1128" bestFit="1" customWidth="1"/>
    <col min="8713" max="8713" width="12.5703125" style="1128" bestFit="1" customWidth="1"/>
    <col min="8714" max="8714" width="6.5703125" style="1128" bestFit="1" customWidth="1"/>
    <col min="8715" max="8715" width="14.140625" style="1128" bestFit="1" customWidth="1"/>
    <col min="8716" max="8716" width="12.5703125" style="1128" bestFit="1" customWidth="1"/>
    <col min="8717" max="8717" width="6.5703125" style="1128" bestFit="1" customWidth="1"/>
    <col min="8718" max="8718" width="12.5703125" style="1128" bestFit="1" customWidth="1"/>
    <col min="8719" max="8719" width="6.5703125" style="1128" bestFit="1" customWidth="1"/>
    <col min="8720" max="8720" width="118.85546875" style="1128" bestFit="1" customWidth="1"/>
    <col min="8721" max="8960" width="6.85546875" style="1128"/>
    <col min="8961" max="8961" width="4.42578125" style="1128" customWidth="1"/>
    <col min="8962" max="8962" width="33.85546875" style="1128" bestFit="1" customWidth="1"/>
    <col min="8963" max="8963" width="11.5703125" style="1128" bestFit="1" customWidth="1"/>
    <col min="8964" max="8964" width="3.42578125" style="1128" customWidth="1"/>
    <col min="8965" max="8965" width="13.85546875" style="1128" bestFit="1" customWidth="1"/>
    <col min="8966" max="8966" width="6.5703125" style="1128" bestFit="1" customWidth="1"/>
    <col min="8967" max="8967" width="12.28515625" style="1128" bestFit="1" customWidth="1"/>
    <col min="8968" max="8968" width="6.5703125" style="1128" bestFit="1" customWidth="1"/>
    <col min="8969" max="8969" width="12.5703125" style="1128" bestFit="1" customWidth="1"/>
    <col min="8970" max="8970" width="6.5703125" style="1128" bestFit="1" customWidth="1"/>
    <col min="8971" max="8971" width="14.140625" style="1128" bestFit="1" customWidth="1"/>
    <col min="8972" max="8972" width="12.5703125" style="1128" bestFit="1" customWidth="1"/>
    <col min="8973" max="8973" width="6.5703125" style="1128" bestFit="1" customWidth="1"/>
    <col min="8974" max="8974" width="12.5703125" style="1128" bestFit="1" customWidth="1"/>
    <col min="8975" max="8975" width="6.5703125" style="1128" bestFit="1" customWidth="1"/>
    <col min="8976" max="8976" width="118.85546875" style="1128" bestFit="1" customWidth="1"/>
    <col min="8977" max="9216" width="6.85546875" style="1128"/>
    <col min="9217" max="9217" width="4.42578125" style="1128" customWidth="1"/>
    <col min="9218" max="9218" width="33.85546875" style="1128" bestFit="1" customWidth="1"/>
    <col min="9219" max="9219" width="11.5703125" style="1128" bestFit="1" customWidth="1"/>
    <col min="9220" max="9220" width="3.42578125" style="1128" customWidth="1"/>
    <col min="9221" max="9221" width="13.85546875" style="1128" bestFit="1" customWidth="1"/>
    <col min="9222" max="9222" width="6.5703125" style="1128" bestFit="1" customWidth="1"/>
    <col min="9223" max="9223" width="12.28515625" style="1128" bestFit="1" customWidth="1"/>
    <col min="9224" max="9224" width="6.5703125" style="1128" bestFit="1" customWidth="1"/>
    <col min="9225" max="9225" width="12.5703125" style="1128" bestFit="1" customWidth="1"/>
    <col min="9226" max="9226" width="6.5703125" style="1128" bestFit="1" customWidth="1"/>
    <col min="9227" max="9227" width="14.140625" style="1128" bestFit="1" customWidth="1"/>
    <col min="9228" max="9228" width="12.5703125" style="1128" bestFit="1" customWidth="1"/>
    <col min="9229" max="9229" width="6.5703125" style="1128" bestFit="1" customWidth="1"/>
    <col min="9230" max="9230" width="12.5703125" style="1128" bestFit="1" customWidth="1"/>
    <col min="9231" max="9231" width="6.5703125" style="1128" bestFit="1" customWidth="1"/>
    <col min="9232" max="9232" width="118.85546875" style="1128" bestFit="1" customWidth="1"/>
    <col min="9233" max="9472" width="6.85546875" style="1128"/>
    <col min="9473" max="9473" width="4.42578125" style="1128" customWidth="1"/>
    <col min="9474" max="9474" width="33.85546875" style="1128" bestFit="1" customWidth="1"/>
    <col min="9475" max="9475" width="11.5703125" style="1128" bestFit="1" customWidth="1"/>
    <col min="9476" max="9476" width="3.42578125" style="1128" customWidth="1"/>
    <col min="9477" max="9477" width="13.85546875" style="1128" bestFit="1" customWidth="1"/>
    <col min="9478" max="9478" width="6.5703125" style="1128" bestFit="1" customWidth="1"/>
    <col min="9479" max="9479" width="12.28515625" style="1128" bestFit="1" customWidth="1"/>
    <col min="9480" max="9480" width="6.5703125" style="1128" bestFit="1" customWidth="1"/>
    <col min="9481" max="9481" width="12.5703125" style="1128" bestFit="1" customWidth="1"/>
    <col min="9482" max="9482" width="6.5703125" style="1128" bestFit="1" customWidth="1"/>
    <col min="9483" max="9483" width="14.140625" style="1128" bestFit="1" customWidth="1"/>
    <col min="9484" max="9484" width="12.5703125" style="1128" bestFit="1" customWidth="1"/>
    <col min="9485" max="9485" width="6.5703125" style="1128" bestFit="1" customWidth="1"/>
    <col min="9486" max="9486" width="12.5703125" style="1128" bestFit="1" customWidth="1"/>
    <col min="9487" max="9487" width="6.5703125" style="1128" bestFit="1" customWidth="1"/>
    <col min="9488" max="9488" width="118.85546875" style="1128" bestFit="1" customWidth="1"/>
    <col min="9489" max="9728" width="6.85546875" style="1128"/>
    <col min="9729" max="9729" width="4.42578125" style="1128" customWidth="1"/>
    <col min="9730" max="9730" width="33.85546875" style="1128" bestFit="1" customWidth="1"/>
    <col min="9731" max="9731" width="11.5703125" style="1128" bestFit="1" customWidth="1"/>
    <col min="9732" max="9732" width="3.42578125" style="1128" customWidth="1"/>
    <col min="9733" max="9733" width="13.85546875" style="1128" bestFit="1" customWidth="1"/>
    <col min="9734" max="9734" width="6.5703125" style="1128" bestFit="1" customWidth="1"/>
    <col min="9735" max="9735" width="12.28515625" style="1128" bestFit="1" customWidth="1"/>
    <col min="9736" max="9736" width="6.5703125" style="1128" bestFit="1" customWidth="1"/>
    <col min="9737" max="9737" width="12.5703125" style="1128" bestFit="1" customWidth="1"/>
    <col min="9738" max="9738" width="6.5703125" style="1128" bestFit="1" customWidth="1"/>
    <col min="9739" max="9739" width="14.140625" style="1128" bestFit="1" customWidth="1"/>
    <col min="9740" max="9740" width="12.5703125" style="1128" bestFit="1" customWidth="1"/>
    <col min="9741" max="9741" width="6.5703125" style="1128" bestFit="1" customWidth="1"/>
    <col min="9742" max="9742" width="12.5703125" style="1128" bestFit="1" customWidth="1"/>
    <col min="9743" max="9743" width="6.5703125" style="1128" bestFit="1" customWidth="1"/>
    <col min="9744" max="9744" width="118.85546875" style="1128" bestFit="1" customWidth="1"/>
    <col min="9745" max="9984" width="6.85546875" style="1128"/>
    <col min="9985" max="9985" width="4.42578125" style="1128" customWidth="1"/>
    <col min="9986" max="9986" width="33.85546875" style="1128" bestFit="1" customWidth="1"/>
    <col min="9987" max="9987" width="11.5703125" style="1128" bestFit="1" customWidth="1"/>
    <col min="9988" max="9988" width="3.42578125" style="1128" customWidth="1"/>
    <col min="9989" max="9989" width="13.85546875" style="1128" bestFit="1" customWidth="1"/>
    <col min="9990" max="9990" width="6.5703125" style="1128" bestFit="1" customWidth="1"/>
    <col min="9991" max="9991" width="12.28515625" style="1128" bestFit="1" customWidth="1"/>
    <col min="9992" max="9992" width="6.5703125" style="1128" bestFit="1" customWidth="1"/>
    <col min="9993" max="9993" width="12.5703125" style="1128" bestFit="1" customWidth="1"/>
    <col min="9994" max="9994" width="6.5703125" style="1128" bestFit="1" customWidth="1"/>
    <col min="9995" max="9995" width="14.140625" style="1128" bestFit="1" customWidth="1"/>
    <col min="9996" max="9996" width="12.5703125" style="1128" bestFit="1" customWidth="1"/>
    <col min="9997" max="9997" width="6.5703125" style="1128" bestFit="1" customWidth="1"/>
    <col min="9998" max="9998" width="12.5703125" style="1128" bestFit="1" customWidth="1"/>
    <col min="9999" max="9999" width="6.5703125" style="1128" bestFit="1" customWidth="1"/>
    <col min="10000" max="10000" width="118.85546875" style="1128" bestFit="1" customWidth="1"/>
    <col min="10001" max="10240" width="6.85546875" style="1128"/>
    <col min="10241" max="10241" width="4.42578125" style="1128" customWidth="1"/>
    <col min="10242" max="10242" width="33.85546875" style="1128" bestFit="1" customWidth="1"/>
    <col min="10243" max="10243" width="11.5703125" style="1128" bestFit="1" customWidth="1"/>
    <col min="10244" max="10244" width="3.42578125" style="1128" customWidth="1"/>
    <col min="10245" max="10245" width="13.85546875" style="1128" bestFit="1" customWidth="1"/>
    <col min="10246" max="10246" width="6.5703125" style="1128" bestFit="1" customWidth="1"/>
    <col min="10247" max="10247" width="12.28515625" style="1128" bestFit="1" customWidth="1"/>
    <col min="10248" max="10248" width="6.5703125" style="1128" bestFit="1" customWidth="1"/>
    <col min="10249" max="10249" width="12.5703125" style="1128" bestFit="1" customWidth="1"/>
    <col min="10250" max="10250" width="6.5703125" style="1128" bestFit="1" customWidth="1"/>
    <col min="10251" max="10251" width="14.140625" style="1128" bestFit="1" customWidth="1"/>
    <col min="10252" max="10252" width="12.5703125" style="1128" bestFit="1" customWidth="1"/>
    <col min="10253" max="10253" width="6.5703125" style="1128" bestFit="1" customWidth="1"/>
    <col min="10254" max="10254" width="12.5703125" style="1128" bestFit="1" customWidth="1"/>
    <col min="10255" max="10255" width="6.5703125" style="1128" bestFit="1" customWidth="1"/>
    <col min="10256" max="10256" width="118.85546875" style="1128" bestFit="1" customWidth="1"/>
    <col min="10257" max="10496" width="6.85546875" style="1128"/>
    <col min="10497" max="10497" width="4.42578125" style="1128" customWidth="1"/>
    <col min="10498" max="10498" width="33.85546875" style="1128" bestFit="1" customWidth="1"/>
    <col min="10499" max="10499" width="11.5703125" style="1128" bestFit="1" customWidth="1"/>
    <col min="10500" max="10500" width="3.42578125" style="1128" customWidth="1"/>
    <col min="10501" max="10501" width="13.85546875" style="1128" bestFit="1" customWidth="1"/>
    <col min="10502" max="10502" width="6.5703125" style="1128" bestFit="1" customWidth="1"/>
    <col min="10503" max="10503" width="12.28515625" style="1128" bestFit="1" customWidth="1"/>
    <col min="10504" max="10504" width="6.5703125" style="1128" bestFit="1" customWidth="1"/>
    <col min="10505" max="10505" width="12.5703125" style="1128" bestFit="1" customWidth="1"/>
    <col min="10506" max="10506" width="6.5703125" style="1128" bestFit="1" customWidth="1"/>
    <col min="10507" max="10507" width="14.140625" style="1128" bestFit="1" customWidth="1"/>
    <col min="10508" max="10508" width="12.5703125" style="1128" bestFit="1" customWidth="1"/>
    <col min="10509" max="10509" width="6.5703125" style="1128" bestFit="1" customWidth="1"/>
    <col min="10510" max="10510" width="12.5703125" style="1128" bestFit="1" customWidth="1"/>
    <col min="10511" max="10511" width="6.5703125" style="1128" bestFit="1" customWidth="1"/>
    <col min="10512" max="10512" width="118.85546875" style="1128" bestFit="1" customWidth="1"/>
    <col min="10513" max="10752" width="6.85546875" style="1128"/>
    <col min="10753" max="10753" width="4.42578125" style="1128" customWidth="1"/>
    <col min="10754" max="10754" width="33.85546875" style="1128" bestFit="1" customWidth="1"/>
    <col min="10755" max="10755" width="11.5703125" style="1128" bestFit="1" customWidth="1"/>
    <col min="10756" max="10756" width="3.42578125" style="1128" customWidth="1"/>
    <col min="10757" max="10757" width="13.85546875" style="1128" bestFit="1" customWidth="1"/>
    <col min="10758" max="10758" width="6.5703125" style="1128" bestFit="1" customWidth="1"/>
    <col min="10759" max="10759" width="12.28515625" style="1128" bestFit="1" customWidth="1"/>
    <col min="10760" max="10760" width="6.5703125" style="1128" bestFit="1" customWidth="1"/>
    <col min="10761" max="10761" width="12.5703125" style="1128" bestFit="1" customWidth="1"/>
    <col min="10762" max="10762" width="6.5703125" style="1128" bestFit="1" customWidth="1"/>
    <col min="10763" max="10763" width="14.140625" style="1128" bestFit="1" customWidth="1"/>
    <col min="10764" max="10764" width="12.5703125" style="1128" bestFit="1" customWidth="1"/>
    <col min="10765" max="10765" width="6.5703125" style="1128" bestFit="1" customWidth="1"/>
    <col min="10766" max="10766" width="12.5703125" style="1128" bestFit="1" customWidth="1"/>
    <col min="10767" max="10767" width="6.5703125" style="1128" bestFit="1" customWidth="1"/>
    <col min="10768" max="10768" width="118.85546875" style="1128" bestFit="1" customWidth="1"/>
    <col min="10769" max="11008" width="6.85546875" style="1128"/>
    <col min="11009" max="11009" width="4.42578125" style="1128" customWidth="1"/>
    <col min="11010" max="11010" width="33.85546875" style="1128" bestFit="1" customWidth="1"/>
    <col min="11011" max="11011" width="11.5703125" style="1128" bestFit="1" customWidth="1"/>
    <col min="11012" max="11012" width="3.42578125" style="1128" customWidth="1"/>
    <col min="11013" max="11013" width="13.85546875" style="1128" bestFit="1" customWidth="1"/>
    <col min="11014" max="11014" width="6.5703125" style="1128" bestFit="1" customWidth="1"/>
    <col min="11015" max="11015" width="12.28515625" style="1128" bestFit="1" customWidth="1"/>
    <col min="11016" max="11016" width="6.5703125" style="1128" bestFit="1" customWidth="1"/>
    <col min="11017" max="11017" width="12.5703125" style="1128" bestFit="1" customWidth="1"/>
    <col min="11018" max="11018" width="6.5703125" style="1128" bestFit="1" customWidth="1"/>
    <col min="11019" max="11019" width="14.140625" style="1128" bestFit="1" customWidth="1"/>
    <col min="11020" max="11020" width="12.5703125" style="1128" bestFit="1" customWidth="1"/>
    <col min="11021" max="11021" width="6.5703125" style="1128" bestFit="1" customWidth="1"/>
    <col min="11022" max="11022" width="12.5703125" style="1128" bestFit="1" customWidth="1"/>
    <col min="11023" max="11023" width="6.5703125" style="1128" bestFit="1" customWidth="1"/>
    <col min="11024" max="11024" width="118.85546875" style="1128" bestFit="1" customWidth="1"/>
    <col min="11025" max="11264" width="6.85546875" style="1128"/>
    <col min="11265" max="11265" width="4.42578125" style="1128" customWidth="1"/>
    <col min="11266" max="11266" width="33.85546875" style="1128" bestFit="1" customWidth="1"/>
    <col min="11267" max="11267" width="11.5703125" style="1128" bestFit="1" customWidth="1"/>
    <col min="11268" max="11268" width="3.42578125" style="1128" customWidth="1"/>
    <col min="11269" max="11269" width="13.85546875" style="1128" bestFit="1" customWidth="1"/>
    <col min="11270" max="11270" width="6.5703125" style="1128" bestFit="1" customWidth="1"/>
    <col min="11271" max="11271" width="12.28515625" style="1128" bestFit="1" customWidth="1"/>
    <col min="11272" max="11272" width="6.5703125" style="1128" bestFit="1" customWidth="1"/>
    <col min="11273" max="11273" width="12.5703125" style="1128" bestFit="1" customWidth="1"/>
    <col min="11274" max="11274" width="6.5703125" style="1128" bestFit="1" customWidth="1"/>
    <col min="11275" max="11275" width="14.140625" style="1128" bestFit="1" customWidth="1"/>
    <col min="11276" max="11276" width="12.5703125" style="1128" bestFit="1" customWidth="1"/>
    <col min="11277" max="11277" width="6.5703125" style="1128" bestFit="1" customWidth="1"/>
    <col min="11278" max="11278" width="12.5703125" style="1128" bestFit="1" customWidth="1"/>
    <col min="11279" max="11279" width="6.5703125" style="1128" bestFit="1" customWidth="1"/>
    <col min="11280" max="11280" width="118.85546875" style="1128" bestFit="1" customWidth="1"/>
    <col min="11281" max="11520" width="6.85546875" style="1128"/>
    <col min="11521" max="11521" width="4.42578125" style="1128" customWidth="1"/>
    <col min="11522" max="11522" width="33.85546875" style="1128" bestFit="1" customWidth="1"/>
    <col min="11523" max="11523" width="11.5703125" style="1128" bestFit="1" customWidth="1"/>
    <col min="11524" max="11524" width="3.42578125" style="1128" customWidth="1"/>
    <col min="11525" max="11525" width="13.85546875" style="1128" bestFit="1" customWidth="1"/>
    <col min="11526" max="11526" width="6.5703125" style="1128" bestFit="1" customWidth="1"/>
    <col min="11527" max="11527" width="12.28515625" style="1128" bestFit="1" customWidth="1"/>
    <col min="11528" max="11528" width="6.5703125" style="1128" bestFit="1" customWidth="1"/>
    <col min="11529" max="11529" width="12.5703125" style="1128" bestFit="1" customWidth="1"/>
    <col min="11530" max="11530" width="6.5703125" style="1128" bestFit="1" customWidth="1"/>
    <col min="11531" max="11531" width="14.140625" style="1128" bestFit="1" customWidth="1"/>
    <col min="11532" max="11532" width="12.5703125" style="1128" bestFit="1" customWidth="1"/>
    <col min="11533" max="11533" width="6.5703125" style="1128" bestFit="1" customWidth="1"/>
    <col min="11534" max="11534" width="12.5703125" style="1128" bestFit="1" customWidth="1"/>
    <col min="11535" max="11535" width="6.5703125" style="1128" bestFit="1" customWidth="1"/>
    <col min="11536" max="11536" width="118.85546875" style="1128" bestFit="1" customWidth="1"/>
    <col min="11537" max="11776" width="6.85546875" style="1128"/>
    <col min="11777" max="11777" width="4.42578125" style="1128" customWidth="1"/>
    <col min="11778" max="11778" width="33.85546875" style="1128" bestFit="1" customWidth="1"/>
    <col min="11779" max="11779" width="11.5703125" style="1128" bestFit="1" customWidth="1"/>
    <col min="11780" max="11780" width="3.42578125" style="1128" customWidth="1"/>
    <col min="11781" max="11781" width="13.85546875" style="1128" bestFit="1" customWidth="1"/>
    <col min="11782" max="11782" width="6.5703125" style="1128" bestFit="1" customWidth="1"/>
    <col min="11783" max="11783" width="12.28515625" style="1128" bestFit="1" customWidth="1"/>
    <col min="11784" max="11784" width="6.5703125" style="1128" bestFit="1" customWidth="1"/>
    <col min="11785" max="11785" width="12.5703125" style="1128" bestFit="1" customWidth="1"/>
    <col min="11786" max="11786" width="6.5703125" style="1128" bestFit="1" customWidth="1"/>
    <col min="11787" max="11787" width="14.140625" style="1128" bestFit="1" customWidth="1"/>
    <col min="11788" max="11788" width="12.5703125" style="1128" bestFit="1" customWidth="1"/>
    <col min="11789" max="11789" width="6.5703125" style="1128" bestFit="1" customWidth="1"/>
    <col min="11790" max="11790" width="12.5703125" style="1128" bestFit="1" customWidth="1"/>
    <col min="11791" max="11791" width="6.5703125" style="1128" bestFit="1" customWidth="1"/>
    <col min="11792" max="11792" width="118.85546875" style="1128" bestFit="1" customWidth="1"/>
    <col min="11793" max="12032" width="6.85546875" style="1128"/>
    <col min="12033" max="12033" width="4.42578125" style="1128" customWidth="1"/>
    <col min="12034" max="12034" width="33.85546875" style="1128" bestFit="1" customWidth="1"/>
    <col min="12035" max="12035" width="11.5703125" style="1128" bestFit="1" customWidth="1"/>
    <col min="12036" max="12036" width="3.42578125" style="1128" customWidth="1"/>
    <col min="12037" max="12037" width="13.85546875" style="1128" bestFit="1" customWidth="1"/>
    <col min="12038" max="12038" width="6.5703125" style="1128" bestFit="1" customWidth="1"/>
    <col min="12039" max="12039" width="12.28515625" style="1128" bestFit="1" customWidth="1"/>
    <col min="12040" max="12040" width="6.5703125" style="1128" bestFit="1" customWidth="1"/>
    <col min="12041" max="12041" width="12.5703125" style="1128" bestFit="1" customWidth="1"/>
    <col min="12042" max="12042" width="6.5703125" style="1128" bestFit="1" customWidth="1"/>
    <col min="12043" max="12043" width="14.140625" style="1128" bestFit="1" customWidth="1"/>
    <col min="12044" max="12044" width="12.5703125" style="1128" bestFit="1" customWidth="1"/>
    <col min="12045" max="12045" width="6.5703125" style="1128" bestFit="1" customWidth="1"/>
    <col min="12046" max="12046" width="12.5703125" style="1128" bestFit="1" customWidth="1"/>
    <col min="12047" max="12047" width="6.5703125" style="1128" bestFit="1" customWidth="1"/>
    <col min="12048" max="12048" width="118.85546875" style="1128" bestFit="1" customWidth="1"/>
    <col min="12049" max="12288" width="6.85546875" style="1128"/>
    <col min="12289" max="12289" width="4.42578125" style="1128" customWidth="1"/>
    <col min="12290" max="12290" width="33.85546875" style="1128" bestFit="1" customWidth="1"/>
    <col min="12291" max="12291" width="11.5703125" style="1128" bestFit="1" customWidth="1"/>
    <col min="12292" max="12292" width="3.42578125" style="1128" customWidth="1"/>
    <col min="12293" max="12293" width="13.85546875" style="1128" bestFit="1" customWidth="1"/>
    <col min="12294" max="12294" width="6.5703125" style="1128" bestFit="1" customWidth="1"/>
    <col min="12295" max="12295" width="12.28515625" style="1128" bestFit="1" customWidth="1"/>
    <col min="12296" max="12296" width="6.5703125" style="1128" bestFit="1" customWidth="1"/>
    <col min="12297" max="12297" width="12.5703125" style="1128" bestFit="1" customWidth="1"/>
    <col min="12298" max="12298" width="6.5703125" style="1128" bestFit="1" customWidth="1"/>
    <col min="12299" max="12299" width="14.140625" style="1128" bestFit="1" customWidth="1"/>
    <col min="12300" max="12300" width="12.5703125" style="1128" bestFit="1" customWidth="1"/>
    <col min="12301" max="12301" width="6.5703125" style="1128" bestFit="1" customWidth="1"/>
    <col min="12302" max="12302" width="12.5703125" style="1128" bestFit="1" customWidth="1"/>
    <col min="12303" max="12303" width="6.5703125" style="1128" bestFit="1" customWidth="1"/>
    <col min="12304" max="12304" width="118.85546875" style="1128" bestFit="1" customWidth="1"/>
    <col min="12305" max="12544" width="6.85546875" style="1128"/>
    <col min="12545" max="12545" width="4.42578125" style="1128" customWidth="1"/>
    <col min="12546" max="12546" width="33.85546875" style="1128" bestFit="1" customWidth="1"/>
    <col min="12547" max="12547" width="11.5703125" style="1128" bestFit="1" customWidth="1"/>
    <col min="12548" max="12548" width="3.42578125" style="1128" customWidth="1"/>
    <col min="12549" max="12549" width="13.85546875" style="1128" bestFit="1" customWidth="1"/>
    <col min="12550" max="12550" width="6.5703125" style="1128" bestFit="1" customWidth="1"/>
    <col min="12551" max="12551" width="12.28515625" style="1128" bestFit="1" customWidth="1"/>
    <col min="12552" max="12552" width="6.5703125" style="1128" bestFit="1" customWidth="1"/>
    <col min="12553" max="12553" width="12.5703125" style="1128" bestFit="1" customWidth="1"/>
    <col min="12554" max="12554" width="6.5703125" style="1128" bestFit="1" customWidth="1"/>
    <col min="12555" max="12555" width="14.140625" style="1128" bestFit="1" customWidth="1"/>
    <col min="12556" max="12556" width="12.5703125" style="1128" bestFit="1" customWidth="1"/>
    <col min="12557" max="12557" width="6.5703125" style="1128" bestFit="1" customWidth="1"/>
    <col min="12558" max="12558" width="12.5703125" style="1128" bestFit="1" customWidth="1"/>
    <col min="12559" max="12559" width="6.5703125" style="1128" bestFit="1" customWidth="1"/>
    <col min="12560" max="12560" width="118.85546875" style="1128" bestFit="1" customWidth="1"/>
    <col min="12561" max="12800" width="6.85546875" style="1128"/>
    <col min="12801" max="12801" width="4.42578125" style="1128" customWidth="1"/>
    <col min="12802" max="12802" width="33.85546875" style="1128" bestFit="1" customWidth="1"/>
    <col min="12803" max="12803" width="11.5703125" style="1128" bestFit="1" customWidth="1"/>
    <col min="12804" max="12804" width="3.42578125" style="1128" customWidth="1"/>
    <col min="12805" max="12805" width="13.85546875" style="1128" bestFit="1" customWidth="1"/>
    <col min="12806" max="12806" width="6.5703125" style="1128" bestFit="1" customWidth="1"/>
    <col min="12807" max="12807" width="12.28515625" style="1128" bestFit="1" customWidth="1"/>
    <col min="12808" max="12808" width="6.5703125" style="1128" bestFit="1" customWidth="1"/>
    <col min="12809" max="12809" width="12.5703125" style="1128" bestFit="1" customWidth="1"/>
    <col min="12810" max="12810" width="6.5703125" style="1128" bestFit="1" customWidth="1"/>
    <col min="12811" max="12811" width="14.140625" style="1128" bestFit="1" customWidth="1"/>
    <col min="12812" max="12812" width="12.5703125" style="1128" bestFit="1" customWidth="1"/>
    <col min="12813" max="12813" width="6.5703125" style="1128" bestFit="1" customWidth="1"/>
    <col min="12814" max="12814" width="12.5703125" style="1128" bestFit="1" customWidth="1"/>
    <col min="12815" max="12815" width="6.5703125" style="1128" bestFit="1" customWidth="1"/>
    <col min="12816" max="12816" width="118.85546875" style="1128" bestFit="1" customWidth="1"/>
    <col min="12817" max="13056" width="6.85546875" style="1128"/>
    <col min="13057" max="13057" width="4.42578125" style="1128" customWidth="1"/>
    <col min="13058" max="13058" width="33.85546875" style="1128" bestFit="1" customWidth="1"/>
    <col min="13059" max="13059" width="11.5703125" style="1128" bestFit="1" customWidth="1"/>
    <col min="13060" max="13060" width="3.42578125" style="1128" customWidth="1"/>
    <col min="13061" max="13061" width="13.85546875" style="1128" bestFit="1" customWidth="1"/>
    <col min="13062" max="13062" width="6.5703125" style="1128" bestFit="1" customWidth="1"/>
    <col min="13063" max="13063" width="12.28515625" style="1128" bestFit="1" customWidth="1"/>
    <col min="13064" max="13064" width="6.5703125" style="1128" bestFit="1" customWidth="1"/>
    <col min="13065" max="13065" width="12.5703125" style="1128" bestFit="1" customWidth="1"/>
    <col min="13066" max="13066" width="6.5703125" style="1128" bestFit="1" customWidth="1"/>
    <col min="13067" max="13067" width="14.140625" style="1128" bestFit="1" customWidth="1"/>
    <col min="13068" max="13068" width="12.5703125" style="1128" bestFit="1" customWidth="1"/>
    <col min="13069" max="13069" width="6.5703125" style="1128" bestFit="1" customWidth="1"/>
    <col min="13070" max="13070" width="12.5703125" style="1128" bestFit="1" customWidth="1"/>
    <col min="13071" max="13071" width="6.5703125" style="1128" bestFit="1" customWidth="1"/>
    <col min="13072" max="13072" width="118.85546875" style="1128" bestFit="1" customWidth="1"/>
    <col min="13073" max="13312" width="6.85546875" style="1128"/>
    <col min="13313" max="13313" width="4.42578125" style="1128" customWidth="1"/>
    <col min="13314" max="13314" width="33.85546875" style="1128" bestFit="1" customWidth="1"/>
    <col min="13315" max="13315" width="11.5703125" style="1128" bestFit="1" customWidth="1"/>
    <col min="13316" max="13316" width="3.42578125" style="1128" customWidth="1"/>
    <col min="13317" max="13317" width="13.85546875" style="1128" bestFit="1" customWidth="1"/>
    <col min="13318" max="13318" width="6.5703125" style="1128" bestFit="1" customWidth="1"/>
    <col min="13319" max="13319" width="12.28515625" style="1128" bestFit="1" customWidth="1"/>
    <col min="13320" max="13320" width="6.5703125" style="1128" bestFit="1" customWidth="1"/>
    <col min="13321" max="13321" width="12.5703125" style="1128" bestFit="1" customWidth="1"/>
    <col min="13322" max="13322" width="6.5703125" style="1128" bestFit="1" customWidth="1"/>
    <col min="13323" max="13323" width="14.140625" style="1128" bestFit="1" customWidth="1"/>
    <col min="13324" max="13324" width="12.5703125" style="1128" bestFit="1" customWidth="1"/>
    <col min="13325" max="13325" width="6.5703125" style="1128" bestFit="1" customWidth="1"/>
    <col min="13326" max="13326" width="12.5703125" style="1128" bestFit="1" customWidth="1"/>
    <col min="13327" max="13327" width="6.5703125" style="1128" bestFit="1" customWidth="1"/>
    <col min="13328" max="13328" width="118.85546875" style="1128" bestFit="1" customWidth="1"/>
    <col min="13329" max="13568" width="6.85546875" style="1128"/>
    <col min="13569" max="13569" width="4.42578125" style="1128" customWidth="1"/>
    <col min="13570" max="13570" width="33.85546875" style="1128" bestFit="1" customWidth="1"/>
    <col min="13571" max="13571" width="11.5703125" style="1128" bestFit="1" customWidth="1"/>
    <col min="13572" max="13572" width="3.42578125" style="1128" customWidth="1"/>
    <col min="13573" max="13573" width="13.85546875" style="1128" bestFit="1" customWidth="1"/>
    <col min="13574" max="13574" width="6.5703125" style="1128" bestFit="1" customWidth="1"/>
    <col min="13575" max="13575" width="12.28515625" style="1128" bestFit="1" customWidth="1"/>
    <col min="13576" max="13576" width="6.5703125" style="1128" bestFit="1" customWidth="1"/>
    <col min="13577" max="13577" width="12.5703125" style="1128" bestFit="1" customWidth="1"/>
    <col min="13578" max="13578" width="6.5703125" style="1128" bestFit="1" customWidth="1"/>
    <col min="13579" max="13579" width="14.140625" style="1128" bestFit="1" customWidth="1"/>
    <col min="13580" max="13580" width="12.5703125" style="1128" bestFit="1" customWidth="1"/>
    <col min="13581" max="13581" width="6.5703125" style="1128" bestFit="1" customWidth="1"/>
    <col min="13582" max="13582" width="12.5703125" style="1128" bestFit="1" customWidth="1"/>
    <col min="13583" max="13583" width="6.5703125" style="1128" bestFit="1" customWidth="1"/>
    <col min="13584" max="13584" width="118.85546875" style="1128" bestFit="1" customWidth="1"/>
    <col min="13585" max="13824" width="6.85546875" style="1128"/>
    <col min="13825" max="13825" width="4.42578125" style="1128" customWidth="1"/>
    <col min="13826" max="13826" width="33.85546875" style="1128" bestFit="1" customWidth="1"/>
    <col min="13827" max="13827" width="11.5703125" style="1128" bestFit="1" customWidth="1"/>
    <col min="13828" max="13828" width="3.42578125" style="1128" customWidth="1"/>
    <col min="13829" max="13829" width="13.85546875" style="1128" bestFit="1" customWidth="1"/>
    <col min="13830" max="13830" width="6.5703125" style="1128" bestFit="1" customWidth="1"/>
    <col min="13831" max="13831" width="12.28515625" style="1128" bestFit="1" customWidth="1"/>
    <col min="13832" max="13832" width="6.5703125" style="1128" bestFit="1" customWidth="1"/>
    <col min="13833" max="13833" width="12.5703125" style="1128" bestFit="1" customWidth="1"/>
    <col min="13834" max="13834" width="6.5703125" style="1128" bestFit="1" customWidth="1"/>
    <col min="13835" max="13835" width="14.140625" style="1128" bestFit="1" customWidth="1"/>
    <col min="13836" max="13836" width="12.5703125" style="1128" bestFit="1" customWidth="1"/>
    <col min="13837" max="13837" width="6.5703125" style="1128" bestFit="1" customWidth="1"/>
    <col min="13838" max="13838" width="12.5703125" style="1128" bestFit="1" customWidth="1"/>
    <col min="13839" max="13839" width="6.5703125" style="1128" bestFit="1" customWidth="1"/>
    <col min="13840" max="13840" width="118.85546875" style="1128" bestFit="1" customWidth="1"/>
    <col min="13841" max="14080" width="6.85546875" style="1128"/>
    <col min="14081" max="14081" width="4.42578125" style="1128" customWidth="1"/>
    <col min="14082" max="14082" width="33.85546875" style="1128" bestFit="1" customWidth="1"/>
    <col min="14083" max="14083" width="11.5703125" style="1128" bestFit="1" customWidth="1"/>
    <col min="14084" max="14084" width="3.42578125" style="1128" customWidth="1"/>
    <col min="14085" max="14085" width="13.85546875" style="1128" bestFit="1" customWidth="1"/>
    <col min="14086" max="14086" width="6.5703125" style="1128" bestFit="1" customWidth="1"/>
    <col min="14087" max="14087" width="12.28515625" style="1128" bestFit="1" customWidth="1"/>
    <col min="14088" max="14088" width="6.5703125" style="1128" bestFit="1" customWidth="1"/>
    <col min="14089" max="14089" width="12.5703125" style="1128" bestFit="1" customWidth="1"/>
    <col min="14090" max="14090" width="6.5703125" style="1128" bestFit="1" customWidth="1"/>
    <col min="14091" max="14091" width="14.140625" style="1128" bestFit="1" customWidth="1"/>
    <col min="14092" max="14092" width="12.5703125" style="1128" bestFit="1" customWidth="1"/>
    <col min="14093" max="14093" width="6.5703125" style="1128" bestFit="1" customWidth="1"/>
    <col min="14094" max="14094" width="12.5703125" style="1128" bestFit="1" customWidth="1"/>
    <col min="14095" max="14095" width="6.5703125" style="1128" bestFit="1" customWidth="1"/>
    <col min="14096" max="14096" width="118.85546875" style="1128" bestFit="1" customWidth="1"/>
    <col min="14097" max="14336" width="6.85546875" style="1128"/>
    <col min="14337" max="14337" width="4.42578125" style="1128" customWidth="1"/>
    <col min="14338" max="14338" width="33.85546875" style="1128" bestFit="1" customWidth="1"/>
    <col min="14339" max="14339" width="11.5703125" style="1128" bestFit="1" customWidth="1"/>
    <col min="14340" max="14340" width="3.42578125" style="1128" customWidth="1"/>
    <col min="14341" max="14341" width="13.85546875" style="1128" bestFit="1" customWidth="1"/>
    <col min="14342" max="14342" width="6.5703125" style="1128" bestFit="1" customWidth="1"/>
    <col min="14343" max="14343" width="12.28515625" style="1128" bestFit="1" customWidth="1"/>
    <col min="14344" max="14344" width="6.5703125" style="1128" bestFit="1" customWidth="1"/>
    <col min="14345" max="14345" width="12.5703125" style="1128" bestFit="1" customWidth="1"/>
    <col min="14346" max="14346" width="6.5703125" style="1128" bestFit="1" customWidth="1"/>
    <col min="14347" max="14347" width="14.140625" style="1128" bestFit="1" customWidth="1"/>
    <col min="14348" max="14348" width="12.5703125" style="1128" bestFit="1" customWidth="1"/>
    <col min="14349" max="14349" width="6.5703125" style="1128" bestFit="1" customWidth="1"/>
    <col min="14350" max="14350" width="12.5703125" style="1128" bestFit="1" customWidth="1"/>
    <col min="14351" max="14351" width="6.5703125" style="1128" bestFit="1" customWidth="1"/>
    <col min="14352" max="14352" width="118.85546875" style="1128" bestFit="1" customWidth="1"/>
    <col min="14353" max="14592" width="6.85546875" style="1128"/>
    <col min="14593" max="14593" width="4.42578125" style="1128" customWidth="1"/>
    <col min="14594" max="14594" width="33.85546875" style="1128" bestFit="1" customWidth="1"/>
    <col min="14595" max="14595" width="11.5703125" style="1128" bestFit="1" customWidth="1"/>
    <col min="14596" max="14596" width="3.42578125" style="1128" customWidth="1"/>
    <col min="14597" max="14597" width="13.85546875" style="1128" bestFit="1" customWidth="1"/>
    <col min="14598" max="14598" width="6.5703125" style="1128" bestFit="1" customWidth="1"/>
    <col min="14599" max="14599" width="12.28515625" style="1128" bestFit="1" customWidth="1"/>
    <col min="14600" max="14600" width="6.5703125" style="1128" bestFit="1" customWidth="1"/>
    <col min="14601" max="14601" width="12.5703125" style="1128" bestFit="1" customWidth="1"/>
    <col min="14602" max="14602" width="6.5703125" style="1128" bestFit="1" customWidth="1"/>
    <col min="14603" max="14603" width="14.140625" style="1128" bestFit="1" customWidth="1"/>
    <col min="14604" max="14604" width="12.5703125" style="1128" bestFit="1" customWidth="1"/>
    <col min="14605" max="14605" width="6.5703125" style="1128" bestFit="1" customWidth="1"/>
    <col min="14606" max="14606" width="12.5703125" style="1128" bestFit="1" customWidth="1"/>
    <col min="14607" max="14607" width="6.5703125" style="1128" bestFit="1" customWidth="1"/>
    <col min="14608" max="14608" width="118.85546875" style="1128" bestFit="1" customWidth="1"/>
    <col min="14609" max="14848" width="6.85546875" style="1128"/>
    <col min="14849" max="14849" width="4.42578125" style="1128" customWidth="1"/>
    <col min="14850" max="14850" width="33.85546875" style="1128" bestFit="1" customWidth="1"/>
    <col min="14851" max="14851" width="11.5703125" style="1128" bestFit="1" customWidth="1"/>
    <col min="14852" max="14852" width="3.42578125" style="1128" customWidth="1"/>
    <col min="14853" max="14853" width="13.85546875" style="1128" bestFit="1" customWidth="1"/>
    <col min="14854" max="14854" width="6.5703125" style="1128" bestFit="1" customWidth="1"/>
    <col min="14855" max="14855" width="12.28515625" style="1128" bestFit="1" customWidth="1"/>
    <col min="14856" max="14856" width="6.5703125" style="1128" bestFit="1" customWidth="1"/>
    <col min="14857" max="14857" width="12.5703125" style="1128" bestFit="1" customWidth="1"/>
    <col min="14858" max="14858" width="6.5703125" style="1128" bestFit="1" customWidth="1"/>
    <col min="14859" max="14859" width="14.140625" style="1128" bestFit="1" customWidth="1"/>
    <col min="14860" max="14860" width="12.5703125" style="1128" bestFit="1" customWidth="1"/>
    <col min="14861" max="14861" width="6.5703125" style="1128" bestFit="1" customWidth="1"/>
    <col min="14862" max="14862" width="12.5703125" style="1128" bestFit="1" customWidth="1"/>
    <col min="14863" max="14863" width="6.5703125" style="1128" bestFit="1" customWidth="1"/>
    <col min="14864" max="14864" width="118.85546875" style="1128" bestFit="1" customWidth="1"/>
    <col min="14865" max="15104" width="6.85546875" style="1128"/>
    <col min="15105" max="15105" width="4.42578125" style="1128" customWidth="1"/>
    <col min="15106" max="15106" width="33.85546875" style="1128" bestFit="1" customWidth="1"/>
    <col min="15107" max="15107" width="11.5703125" style="1128" bestFit="1" customWidth="1"/>
    <col min="15108" max="15108" width="3.42578125" style="1128" customWidth="1"/>
    <col min="15109" max="15109" width="13.85546875" style="1128" bestFit="1" customWidth="1"/>
    <col min="15110" max="15110" width="6.5703125" style="1128" bestFit="1" customWidth="1"/>
    <col min="15111" max="15111" width="12.28515625" style="1128" bestFit="1" customWidth="1"/>
    <col min="15112" max="15112" width="6.5703125" style="1128" bestFit="1" customWidth="1"/>
    <col min="15113" max="15113" width="12.5703125" style="1128" bestFit="1" customWidth="1"/>
    <col min="15114" max="15114" width="6.5703125" style="1128" bestFit="1" customWidth="1"/>
    <col min="15115" max="15115" width="14.140625" style="1128" bestFit="1" customWidth="1"/>
    <col min="15116" max="15116" width="12.5703125" style="1128" bestFit="1" customWidth="1"/>
    <col min="15117" max="15117" width="6.5703125" style="1128" bestFit="1" customWidth="1"/>
    <col min="15118" max="15118" width="12.5703125" style="1128" bestFit="1" customWidth="1"/>
    <col min="15119" max="15119" width="6.5703125" style="1128" bestFit="1" customWidth="1"/>
    <col min="15120" max="15120" width="118.85546875" style="1128" bestFit="1" customWidth="1"/>
    <col min="15121" max="15360" width="6.85546875" style="1128"/>
    <col min="15361" max="15361" width="4.42578125" style="1128" customWidth="1"/>
    <col min="15362" max="15362" width="33.85546875" style="1128" bestFit="1" customWidth="1"/>
    <col min="15363" max="15363" width="11.5703125" style="1128" bestFit="1" customWidth="1"/>
    <col min="15364" max="15364" width="3.42578125" style="1128" customWidth="1"/>
    <col min="15365" max="15365" width="13.85546875" style="1128" bestFit="1" customWidth="1"/>
    <col min="15366" max="15366" width="6.5703125" style="1128" bestFit="1" customWidth="1"/>
    <col min="15367" max="15367" width="12.28515625" style="1128" bestFit="1" customWidth="1"/>
    <col min="15368" max="15368" width="6.5703125" style="1128" bestFit="1" customWidth="1"/>
    <col min="15369" max="15369" width="12.5703125" style="1128" bestFit="1" customWidth="1"/>
    <col min="15370" max="15370" width="6.5703125" style="1128" bestFit="1" customWidth="1"/>
    <col min="15371" max="15371" width="14.140625" style="1128" bestFit="1" customWidth="1"/>
    <col min="15372" max="15372" width="12.5703125" style="1128" bestFit="1" customWidth="1"/>
    <col min="15373" max="15373" width="6.5703125" style="1128" bestFit="1" customWidth="1"/>
    <col min="15374" max="15374" width="12.5703125" style="1128" bestFit="1" customWidth="1"/>
    <col min="15375" max="15375" width="6.5703125" style="1128" bestFit="1" customWidth="1"/>
    <col min="15376" max="15376" width="118.85546875" style="1128" bestFit="1" customWidth="1"/>
    <col min="15377" max="15616" width="6.85546875" style="1128"/>
    <col min="15617" max="15617" width="4.42578125" style="1128" customWidth="1"/>
    <col min="15618" max="15618" width="33.85546875" style="1128" bestFit="1" customWidth="1"/>
    <col min="15619" max="15619" width="11.5703125" style="1128" bestFit="1" customWidth="1"/>
    <col min="15620" max="15620" width="3.42578125" style="1128" customWidth="1"/>
    <col min="15621" max="15621" width="13.85546875" style="1128" bestFit="1" customWidth="1"/>
    <col min="15622" max="15622" width="6.5703125" style="1128" bestFit="1" customWidth="1"/>
    <col min="15623" max="15623" width="12.28515625" style="1128" bestFit="1" customWidth="1"/>
    <col min="15624" max="15624" width="6.5703125" style="1128" bestFit="1" customWidth="1"/>
    <col min="15625" max="15625" width="12.5703125" style="1128" bestFit="1" customWidth="1"/>
    <col min="15626" max="15626" width="6.5703125" style="1128" bestFit="1" customWidth="1"/>
    <col min="15627" max="15627" width="14.140625" style="1128" bestFit="1" customWidth="1"/>
    <col min="15628" max="15628" width="12.5703125" style="1128" bestFit="1" customWidth="1"/>
    <col min="15629" max="15629" width="6.5703125" style="1128" bestFit="1" customWidth="1"/>
    <col min="15630" max="15630" width="12.5703125" style="1128" bestFit="1" customWidth="1"/>
    <col min="15631" max="15631" width="6.5703125" style="1128" bestFit="1" customWidth="1"/>
    <col min="15632" max="15632" width="118.85546875" style="1128" bestFit="1" customWidth="1"/>
    <col min="15633" max="15872" width="6.85546875" style="1128"/>
    <col min="15873" max="15873" width="4.42578125" style="1128" customWidth="1"/>
    <col min="15874" max="15874" width="33.85546875" style="1128" bestFit="1" customWidth="1"/>
    <col min="15875" max="15875" width="11.5703125" style="1128" bestFit="1" customWidth="1"/>
    <col min="15876" max="15876" width="3.42578125" style="1128" customWidth="1"/>
    <col min="15877" max="15877" width="13.85546875" style="1128" bestFit="1" customWidth="1"/>
    <col min="15878" max="15878" width="6.5703125" style="1128" bestFit="1" customWidth="1"/>
    <col min="15879" max="15879" width="12.28515625" style="1128" bestFit="1" customWidth="1"/>
    <col min="15880" max="15880" width="6.5703125" style="1128" bestFit="1" customWidth="1"/>
    <col min="15881" max="15881" width="12.5703125" style="1128" bestFit="1" customWidth="1"/>
    <col min="15882" max="15882" width="6.5703125" style="1128" bestFit="1" customWidth="1"/>
    <col min="15883" max="15883" width="14.140625" style="1128" bestFit="1" customWidth="1"/>
    <col min="15884" max="15884" width="12.5703125" style="1128" bestFit="1" customWidth="1"/>
    <col min="15885" max="15885" width="6.5703125" style="1128" bestFit="1" customWidth="1"/>
    <col min="15886" max="15886" width="12.5703125" style="1128" bestFit="1" customWidth="1"/>
    <col min="15887" max="15887" width="6.5703125" style="1128" bestFit="1" customWidth="1"/>
    <col min="15888" max="15888" width="118.85546875" style="1128" bestFit="1" customWidth="1"/>
    <col min="15889" max="16128" width="6.85546875" style="1128"/>
    <col min="16129" max="16129" width="4.42578125" style="1128" customWidth="1"/>
    <col min="16130" max="16130" width="33.85546875" style="1128" bestFit="1" customWidth="1"/>
    <col min="16131" max="16131" width="11.5703125" style="1128" bestFit="1" customWidth="1"/>
    <col min="16132" max="16132" width="3.42578125" style="1128" customWidth="1"/>
    <col min="16133" max="16133" width="13.85546875" style="1128" bestFit="1" customWidth="1"/>
    <col min="16134" max="16134" width="6.5703125" style="1128" bestFit="1" customWidth="1"/>
    <col min="16135" max="16135" width="12.28515625" style="1128" bestFit="1" customWidth="1"/>
    <col min="16136" max="16136" width="6.5703125" style="1128" bestFit="1" customWidth="1"/>
    <col min="16137" max="16137" width="12.5703125" style="1128" bestFit="1" customWidth="1"/>
    <col min="16138" max="16138" width="6.5703125" style="1128" bestFit="1" customWidth="1"/>
    <col min="16139" max="16139" width="14.140625" style="1128" bestFit="1" customWidth="1"/>
    <col min="16140" max="16140" width="12.5703125" style="1128" bestFit="1" customWidth="1"/>
    <col min="16141" max="16141" width="6.5703125" style="1128" bestFit="1" customWidth="1"/>
    <col min="16142" max="16142" width="12.5703125" style="1128" bestFit="1" customWidth="1"/>
    <col min="16143" max="16143" width="6.5703125" style="1128" bestFit="1" customWidth="1"/>
    <col min="16144" max="16144" width="118.85546875" style="1128" bestFit="1" customWidth="1"/>
    <col min="16145" max="16384" width="6.85546875" style="1128"/>
  </cols>
  <sheetData>
    <row r="1" spans="2:23" x14ac:dyDescent="0.25">
      <c r="E1" s="1204" t="s">
        <v>886</v>
      </c>
      <c r="F1" s="1204"/>
      <c r="G1" s="1204"/>
      <c r="H1" s="1204"/>
      <c r="I1" s="1204"/>
      <c r="J1" s="1204"/>
      <c r="K1" s="1204"/>
      <c r="L1" s="1204"/>
      <c r="M1" s="1204"/>
      <c r="N1" s="1204"/>
      <c r="O1" s="1204"/>
      <c r="P1" s="1130"/>
      <c r="Q1" s="1130"/>
      <c r="R1" s="1130"/>
      <c r="S1" s="1130"/>
      <c r="T1" s="1130"/>
      <c r="U1" s="1130"/>
      <c r="V1" s="1130"/>
      <c r="W1" s="1130"/>
    </row>
    <row r="2" spans="2:23" x14ac:dyDescent="0.25">
      <c r="C2" s="1131"/>
      <c r="E2" s="1130" t="s">
        <v>887</v>
      </c>
      <c r="F2" s="1130"/>
      <c r="G2" s="1130"/>
      <c r="H2" s="1130"/>
      <c r="I2" s="1130"/>
      <c r="J2" s="1130"/>
      <c r="K2" s="1130"/>
      <c r="L2" s="1130"/>
      <c r="M2" s="1130"/>
      <c r="N2" s="1130"/>
      <c r="O2" s="1130"/>
      <c r="P2" s="1130"/>
      <c r="Q2" s="1130"/>
      <c r="R2" s="1130"/>
      <c r="S2" s="1130"/>
      <c r="T2" s="1130"/>
      <c r="U2" s="1130"/>
      <c r="V2" s="1130"/>
      <c r="W2" s="1130"/>
    </row>
    <row r="3" spans="2:23" ht="12.75" customHeight="1" thickBot="1" x14ac:dyDescent="0.3">
      <c r="C3" s="1131"/>
      <c r="G3" s="1132"/>
      <c r="H3" s="1133"/>
      <c r="I3" s="1132"/>
      <c r="J3" s="1133"/>
    </row>
    <row r="4" spans="2:23" ht="12.75" customHeight="1" thickBot="1" x14ac:dyDescent="0.3">
      <c r="C4" s="1131"/>
      <c r="E4" s="1205" t="s">
        <v>888</v>
      </c>
      <c r="F4" s="1206"/>
      <c r="G4" s="1206"/>
      <c r="H4" s="1206"/>
      <c r="I4" s="1206"/>
      <c r="J4" s="1206"/>
      <c r="K4" s="1206"/>
      <c r="L4" s="1206"/>
      <c r="M4" s="1206"/>
      <c r="N4" s="1206"/>
      <c r="O4" s="1207"/>
    </row>
    <row r="5" spans="2:23" ht="12.75" customHeight="1" x14ac:dyDescent="0.25">
      <c r="C5" s="1131"/>
      <c r="E5" s="1134"/>
      <c r="F5" s="1134"/>
      <c r="G5" s="1134"/>
      <c r="H5" s="1134"/>
      <c r="I5" s="1208" t="s">
        <v>889</v>
      </c>
      <c r="J5" s="1208"/>
      <c r="K5" s="1208"/>
      <c r="L5" s="1208"/>
    </row>
    <row r="6" spans="2:23" ht="27.75" customHeight="1" x14ac:dyDescent="0.2">
      <c r="C6" s="1135" t="s">
        <v>890</v>
      </c>
      <c r="E6" s="1135" t="s">
        <v>890</v>
      </c>
      <c r="F6" s="1136"/>
      <c r="G6" s="1137" t="s">
        <v>891</v>
      </c>
      <c r="H6" s="1138"/>
      <c r="I6" s="1137" t="s">
        <v>892</v>
      </c>
      <c r="J6" s="1138"/>
      <c r="K6" s="1139" t="s">
        <v>893</v>
      </c>
      <c r="L6" s="1140" t="s">
        <v>894</v>
      </c>
      <c r="M6" s="1136"/>
      <c r="N6" s="1140" t="s">
        <v>895</v>
      </c>
      <c r="O6" s="1140"/>
      <c r="P6" s="1136" t="s">
        <v>125</v>
      </c>
    </row>
    <row r="7" spans="2:23" ht="12.75" customHeight="1" x14ac:dyDescent="0.25">
      <c r="C7" s="1131"/>
      <c r="E7" s="1141"/>
      <c r="G7" s="1142"/>
      <c r="H7" s="1133"/>
      <c r="I7" s="1142"/>
      <c r="J7" s="1133"/>
    </row>
    <row r="8" spans="2:23" ht="12.75" customHeight="1" x14ac:dyDescent="0.2">
      <c r="B8" s="1143" t="s">
        <v>26</v>
      </c>
      <c r="C8" s="1144">
        <v>21467494.41</v>
      </c>
      <c r="D8" s="1145"/>
      <c r="E8" s="1144">
        <f>+C8-E9</f>
        <v>20082036.539999999</v>
      </c>
      <c r="F8" s="1146"/>
      <c r="G8" s="1147">
        <v>3872235.61</v>
      </c>
      <c r="H8" s="1146"/>
      <c r="I8" s="1147">
        <v>16209800.93</v>
      </c>
      <c r="J8" s="1146"/>
      <c r="K8" s="1148"/>
      <c r="L8" s="1147">
        <f>+I8+K8</f>
        <v>16209800.93</v>
      </c>
      <c r="M8" s="1146"/>
      <c r="N8" s="1147">
        <f>+L8+G8</f>
        <v>20082036.539999999</v>
      </c>
      <c r="O8" s="1146"/>
    </row>
    <row r="9" spans="2:23" ht="12.75" customHeight="1" thickBot="1" x14ac:dyDescent="0.25">
      <c r="B9" s="1143" t="s">
        <v>896</v>
      </c>
      <c r="C9" s="1149"/>
      <c r="D9" s="1145"/>
      <c r="E9" s="1149">
        <v>1385457.87</v>
      </c>
      <c r="F9" s="1146"/>
      <c r="G9" s="1150">
        <f>+E9*0.1928</f>
        <v>267116.277336</v>
      </c>
      <c r="H9" s="1146"/>
      <c r="I9" s="1150">
        <f>+E9*0.8072</f>
        <v>1118341.5926640001</v>
      </c>
      <c r="J9" s="1146"/>
      <c r="K9" s="1148"/>
      <c r="L9" s="1150">
        <f>+I9+K9</f>
        <v>1118341.5926640001</v>
      </c>
      <c r="M9" s="1146"/>
      <c r="N9" s="1150">
        <f>+L9+G9</f>
        <v>1385457.87</v>
      </c>
      <c r="O9" s="1146"/>
    </row>
    <row r="10" spans="2:23" ht="12.75" customHeight="1" x14ac:dyDescent="0.2">
      <c r="B10" s="1143" t="s">
        <v>735</v>
      </c>
      <c r="C10" s="1151">
        <f>+C8+C9</f>
        <v>21467494.41</v>
      </c>
      <c r="D10" s="1145"/>
      <c r="E10" s="1151">
        <f>+E8+E9</f>
        <v>21467494.41</v>
      </c>
      <c r="F10" s="1152">
        <v>1</v>
      </c>
      <c r="G10" s="1153">
        <f>+G8+G9</f>
        <v>4139351.8873359999</v>
      </c>
      <c r="H10" s="1154">
        <f>+G10/E10</f>
        <v>0.19281951625466848</v>
      </c>
      <c r="I10" s="1153">
        <f>+I8+I9</f>
        <v>17328142.522663999</v>
      </c>
      <c r="J10" s="1154">
        <f>+I10/E10</f>
        <v>0.80718048374533147</v>
      </c>
      <c r="K10" s="1155"/>
      <c r="L10" s="1153">
        <f>+L8+L9</f>
        <v>17328142.522663999</v>
      </c>
      <c r="M10" s="1152">
        <f>+L10/E10</f>
        <v>0.80718048374533147</v>
      </c>
      <c r="N10" s="1153">
        <f>+N8+N9</f>
        <v>21467494.41</v>
      </c>
      <c r="O10" s="1152">
        <f>+N10/E10</f>
        <v>1</v>
      </c>
      <c r="P10" s="1156"/>
    </row>
    <row r="11" spans="2:23" ht="12.75" customHeight="1" x14ac:dyDescent="0.2">
      <c r="B11" s="1143"/>
      <c r="C11" s="1157"/>
      <c r="D11" s="1145"/>
      <c r="E11" s="1157"/>
      <c r="G11" s="1157"/>
      <c r="H11" s="1129"/>
      <c r="I11" s="1157"/>
      <c r="J11" s="1129"/>
      <c r="L11" s="1157"/>
      <c r="N11" s="1157"/>
    </row>
    <row r="12" spans="2:23" ht="12.75" customHeight="1" x14ac:dyDescent="0.2">
      <c r="B12" s="1143" t="s">
        <v>897</v>
      </c>
      <c r="C12" s="1158">
        <v>8619210.7200000007</v>
      </c>
      <c r="D12" s="1145"/>
      <c r="E12" s="1158">
        <f>+C12-E29-40701.89</f>
        <v>6498594.9500000011</v>
      </c>
      <c r="F12" s="1133">
        <f>+E12/E$10</f>
        <v>0.30271790577352248</v>
      </c>
      <c r="G12" s="1157">
        <v>2217016.44</v>
      </c>
      <c r="H12" s="1133">
        <f>+G12/G$10</f>
        <v>0.53559506423765901</v>
      </c>
      <c r="I12" s="1157">
        <f>4322280.4-40701.89</f>
        <v>4281578.5100000007</v>
      </c>
      <c r="J12" s="1133">
        <f>+I12/I$10</f>
        <v>0.247088140255079</v>
      </c>
      <c r="K12" s="1159"/>
      <c r="L12" s="1157">
        <f>+I12+K12</f>
        <v>4281578.5100000007</v>
      </c>
      <c r="M12" s="1133">
        <f>+L12/L$10</f>
        <v>0.247088140255079</v>
      </c>
      <c r="N12" s="1157">
        <f>+L12+G12</f>
        <v>6498594.9500000011</v>
      </c>
      <c r="O12" s="1133">
        <f>+N12/N$10</f>
        <v>0.30271790577352248</v>
      </c>
      <c r="P12" s="1160"/>
    </row>
    <row r="13" spans="2:23" ht="12.75" customHeight="1" x14ac:dyDescent="0.2">
      <c r="B13" s="1143" t="s">
        <v>898</v>
      </c>
      <c r="C13" s="1161">
        <v>2804101.69</v>
      </c>
      <c r="D13" s="1145"/>
      <c r="E13" s="1161">
        <f>+C13-86670.22-30628-22681-37500</f>
        <v>2626622.4699999997</v>
      </c>
      <c r="F13" s="1133">
        <f>+E13/E$10</f>
        <v>0.12235347171100065</v>
      </c>
      <c r="G13" s="1157">
        <v>191254.81</v>
      </c>
      <c r="H13" s="1133">
        <f>+G13/G$10</f>
        <v>4.6204047204860273E-2</v>
      </c>
      <c r="I13" s="1157">
        <f>+E13-G13</f>
        <v>2435367.6599999997</v>
      </c>
      <c r="J13" s="1133">
        <f>+I13/I$10</f>
        <v>0.14054406909538683</v>
      </c>
      <c r="K13" s="1159"/>
      <c r="L13" s="1157">
        <f>+I13+K13</f>
        <v>2435367.6599999997</v>
      </c>
      <c r="M13" s="1133">
        <f t="shared" ref="M13:O14" si="0">+L13/L$10</f>
        <v>0.14054406909538683</v>
      </c>
      <c r="N13" s="1157">
        <f>+L13+G13</f>
        <v>2626622.4699999997</v>
      </c>
      <c r="O13" s="1133">
        <f t="shared" si="0"/>
        <v>0.12235347171100065</v>
      </c>
    </row>
    <row r="14" spans="2:23" ht="13.5" thickBot="1" x14ac:dyDescent="0.25">
      <c r="B14" s="1162" t="s">
        <v>899</v>
      </c>
      <c r="C14" s="1163">
        <v>3486067.61</v>
      </c>
      <c r="D14" s="1145"/>
      <c r="E14" s="1163">
        <f>+C14-224000-27800-95000-81000</f>
        <v>3058267.61</v>
      </c>
      <c r="F14" s="1133">
        <f>+E14/E$10</f>
        <v>0.14246038925601845</v>
      </c>
      <c r="G14" s="1163"/>
      <c r="H14" s="1133">
        <f>+G14/G$10</f>
        <v>0</v>
      </c>
      <c r="I14" s="1163">
        <f>+E14</f>
        <v>3058267.61</v>
      </c>
      <c r="J14" s="1133">
        <f>+I14/I$10</f>
        <v>0.17649136980492858</v>
      </c>
      <c r="K14" s="1164"/>
      <c r="L14" s="1163">
        <f>+I14+K14</f>
        <v>3058267.61</v>
      </c>
      <c r="M14" s="1133">
        <f t="shared" si="0"/>
        <v>0.17649136980492858</v>
      </c>
      <c r="N14" s="1163">
        <f>+L14+G14</f>
        <v>3058267.61</v>
      </c>
      <c r="O14" s="1133">
        <f t="shared" si="0"/>
        <v>0.14246038925601845</v>
      </c>
      <c r="P14" s="1164"/>
    </row>
    <row r="15" spans="2:23" ht="12.75" customHeight="1" x14ac:dyDescent="0.2">
      <c r="B15" s="1165" t="s">
        <v>900</v>
      </c>
      <c r="C15" s="1151">
        <f>SUM(C12:C14)</f>
        <v>14909380.02</v>
      </c>
      <c r="D15" s="1145"/>
      <c r="E15" s="1151">
        <f>SUM(E12:E14)</f>
        <v>12183485.030000001</v>
      </c>
      <c r="F15" s="1154">
        <f>+E15/E$10</f>
        <v>0.56753176674054162</v>
      </c>
      <c r="G15" s="1166">
        <f>SUM(G12:G14)</f>
        <v>2408271.25</v>
      </c>
      <c r="H15" s="1154">
        <f>+G15/G$10</f>
        <v>0.58179911144251928</v>
      </c>
      <c r="I15" s="1166">
        <f>SUM(I12:I14)</f>
        <v>9775213.7799999993</v>
      </c>
      <c r="J15" s="1154">
        <f>+I15/I$10</f>
        <v>0.56412357915539435</v>
      </c>
      <c r="K15" s="1156"/>
      <c r="L15" s="1166">
        <f>SUM(L12:L14)</f>
        <v>9775213.7799999993</v>
      </c>
      <c r="M15" s="1154">
        <f>+L15/L$10</f>
        <v>0.56412357915539435</v>
      </c>
      <c r="N15" s="1166">
        <f>SUM(N12:N14)</f>
        <v>12183485.030000001</v>
      </c>
      <c r="O15" s="1154">
        <f>+N15/N$10</f>
        <v>0.56753176674054162</v>
      </c>
      <c r="P15" s="1156"/>
    </row>
    <row r="16" spans="2:23" ht="12.75" customHeight="1" x14ac:dyDescent="0.2">
      <c r="B16" s="1143"/>
      <c r="C16" s="1157"/>
      <c r="D16" s="1145"/>
      <c r="E16" s="1157"/>
      <c r="G16" s="1132"/>
      <c r="I16" s="1132"/>
      <c r="L16" s="1132"/>
      <c r="N16" s="1132"/>
    </row>
    <row r="17" spans="2:16" ht="12.75" customHeight="1" x14ac:dyDescent="0.2">
      <c r="B17" s="1165" t="s">
        <v>264</v>
      </c>
      <c r="C17" s="1167">
        <f>+C10-C15</f>
        <v>6558114.3900000006</v>
      </c>
      <c r="D17" s="1145"/>
      <c r="E17" s="1167">
        <f>+E10-E15</f>
        <v>9284009.379999999</v>
      </c>
      <c r="F17" s="1154">
        <f>+E17/E$10</f>
        <v>0.43246823325945838</v>
      </c>
      <c r="G17" s="1167">
        <f>+G10-G15</f>
        <v>1731080.6373359999</v>
      </c>
      <c r="H17" s="1154">
        <f>+G17/G$10</f>
        <v>0.41820088855748072</v>
      </c>
      <c r="I17" s="1167">
        <f>+I10-I15</f>
        <v>7552928.742664</v>
      </c>
      <c r="J17" s="1154">
        <f>+I17/I$10</f>
        <v>0.43587642084460565</v>
      </c>
      <c r="K17" s="1156"/>
      <c r="L17" s="1167">
        <f>+L10-L15</f>
        <v>7552928.742664</v>
      </c>
      <c r="M17" s="1154">
        <f>+L17/L$10</f>
        <v>0.43587642084460565</v>
      </c>
      <c r="N17" s="1167">
        <f>+N10-N15</f>
        <v>9284009.379999999</v>
      </c>
      <c r="O17" s="1154">
        <f>+N17/N$10</f>
        <v>0.43246823325945838</v>
      </c>
      <c r="P17" s="1156"/>
    </row>
    <row r="18" spans="2:16" ht="12.75" customHeight="1" x14ac:dyDescent="0.2">
      <c r="B18" s="1168"/>
      <c r="C18" s="1167"/>
      <c r="D18" s="1145"/>
      <c r="E18" s="1167"/>
      <c r="F18" s="1146"/>
      <c r="G18" s="1169"/>
      <c r="H18" s="1146"/>
      <c r="I18" s="1169"/>
      <c r="J18" s="1146"/>
      <c r="L18" s="1169"/>
      <c r="M18" s="1146"/>
      <c r="N18" s="1169"/>
      <c r="O18" s="1146"/>
    </row>
    <row r="19" spans="2:16" ht="12.75" customHeight="1" x14ac:dyDescent="0.2">
      <c r="B19" s="1168"/>
      <c r="C19" s="1167"/>
      <c r="D19" s="1145"/>
      <c r="E19" s="1167"/>
      <c r="F19" s="1133"/>
      <c r="G19" s="1170"/>
      <c r="H19" s="1133"/>
      <c r="I19" s="1170"/>
      <c r="J19" s="1133"/>
      <c r="L19" s="1170"/>
      <c r="M19" s="1133"/>
      <c r="N19" s="1170"/>
      <c r="O19" s="1133"/>
    </row>
    <row r="20" spans="2:16" x14ac:dyDescent="0.2">
      <c r="B20" s="1143" t="s">
        <v>331</v>
      </c>
      <c r="C20" s="1157"/>
      <c r="D20" s="1145"/>
      <c r="E20" s="1157"/>
      <c r="F20" s="1133"/>
      <c r="G20" s="1157"/>
      <c r="H20" s="1133"/>
      <c r="I20" s="1157"/>
      <c r="J20" s="1133"/>
      <c r="L20" s="1157"/>
      <c r="M20" s="1133"/>
      <c r="N20" s="1157"/>
      <c r="O20" s="1133"/>
    </row>
    <row r="21" spans="2:16" hidden="1" x14ac:dyDescent="0.2">
      <c r="B21" s="1171" t="s">
        <v>901</v>
      </c>
      <c r="C21" s="1172">
        <v>42879.48</v>
      </c>
      <c r="D21" s="1145"/>
      <c r="E21" s="1172">
        <v>42879.48</v>
      </c>
      <c r="G21" s="1157"/>
      <c r="I21" s="1157"/>
      <c r="L21" s="1157"/>
      <c r="N21" s="1157"/>
    </row>
    <row r="22" spans="2:16" hidden="1" x14ac:dyDescent="0.2">
      <c r="B22" s="1171" t="s">
        <v>902</v>
      </c>
      <c r="C22" s="1172">
        <v>2317.81</v>
      </c>
      <c r="D22" s="1145"/>
      <c r="E22" s="1172">
        <v>2317.81</v>
      </c>
      <c r="G22" s="1157"/>
      <c r="I22" s="1157"/>
      <c r="L22" s="1157"/>
      <c r="N22" s="1157"/>
    </row>
    <row r="23" spans="2:16" hidden="1" x14ac:dyDescent="0.2">
      <c r="B23" s="1171" t="s">
        <v>903</v>
      </c>
      <c r="C23" s="1172">
        <v>4193.6400000000003</v>
      </c>
      <c r="D23" s="1145"/>
      <c r="E23" s="1172">
        <v>4193.6400000000003</v>
      </c>
      <c r="G23" s="1157"/>
      <c r="I23" s="1157"/>
      <c r="L23" s="1157"/>
      <c r="N23" s="1157"/>
    </row>
    <row r="24" spans="2:16" hidden="1" x14ac:dyDescent="0.2">
      <c r="B24" s="1171" t="s">
        <v>904</v>
      </c>
      <c r="C24" s="1172">
        <v>773.33</v>
      </c>
      <c r="D24" s="1145"/>
      <c r="E24" s="1172">
        <v>773.33</v>
      </c>
      <c r="G24" s="1157"/>
      <c r="I24" s="1157"/>
      <c r="L24" s="1157"/>
      <c r="N24" s="1157"/>
    </row>
    <row r="25" spans="2:16" hidden="1" x14ac:dyDescent="0.2">
      <c r="B25" s="1171" t="s">
        <v>905</v>
      </c>
      <c r="C25" s="1157"/>
      <c r="D25" s="1145"/>
      <c r="E25" s="1157"/>
      <c r="G25" s="1157"/>
      <c r="I25" s="1157"/>
      <c r="L25" s="1157"/>
      <c r="N25" s="1157"/>
    </row>
    <row r="26" spans="2:16" ht="13.5" hidden="1" thickBot="1" x14ac:dyDescent="0.25">
      <c r="B26" s="1171" t="s">
        <v>906</v>
      </c>
      <c r="C26" s="1173"/>
      <c r="D26" s="1145"/>
      <c r="E26" s="1173"/>
      <c r="G26" s="1174"/>
      <c r="I26" s="1174"/>
      <c r="L26" s="1174"/>
      <c r="N26" s="1174"/>
    </row>
    <row r="27" spans="2:16" ht="12.75" customHeight="1" x14ac:dyDescent="0.2">
      <c r="B27" s="1143" t="s">
        <v>907</v>
      </c>
      <c r="C27" s="1170">
        <v>467110.74</v>
      </c>
      <c r="D27" s="1145"/>
      <c r="E27" s="1170">
        <v>467110.74</v>
      </c>
      <c r="F27" s="1133">
        <f>+E27/E$10</f>
        <v>2.1758978066038773E-2</v>
      </c>
      <c r="G27" s="1157">
        <f>+E27*$H$10</f>
        <v>90068.066924160215</v>
      </c>
      <c r="H27" s="1133">
        <f>+G27/G$10</f>
        <v>2.1758978066038773E-2</v>
      </c>
      <c r="I27" s="1157">
        <f>+E27*$J$10</f>
        <v>377042.67307583976</v>
      </c>
      <c r="J27" s="1133">
        <f>+I27/I$10</f>
        <v>2.1758978066038773E-2</v>
      </c>
      <c r="L27" s="1157">
        <f t="shared" ref="L27:L47" si="1">+I27+K27</f>
        <v>377042.67307583976</v>
      </c>
      <c r="M27" s="1133">
        <f>+L27/L$10</f>
        <v>2.1758978066038773E-2</v>
      </c>
      <c r="N27" s="1157">
        <f t="shared" ref="N27:N47" si="2">+L27+G27</f>
        <v>467110.74</v>
      </c>
      <c r="O27" s="1133">
        <f>+N27/N$10</f>
        <v>2.1758978066038773E-2</v>
      </c>
    </row>
    <row r="28" spans="2:16" ht="12.75" customHeight="1" x14ac:dyDescent="0.2">
      <c r="B28" s="1143"/>
      <c r="C28" s="1167"/>
      <c r="D28" s="1145"/>
      <c r="E28" s="1167"/>
      <c r="F28" s="1133"/>
      <c r="G28" s="1175"/>
      <c r="H28" s="1133"/>
      <c r="I28" s="1157"/>
      <c r="J28" s="1133"/>
      <c r="L28" s="1157"/>
      <c r="M28" s="1133"/>
      <c r="N28" s="1157"/>
      <c r="O28" s="1133"/>
    </row>
    <row r="29" spans="2:16" ht="12.75" customHeight="1" x14ac:dyDescent="0.2">
      <c r="B29" s="1171" t="s">
        <v>908</v>
      </c>
      <c r="C29" s="1167"/>
      <c r="D29" s="1145"/>
      <c r="E29" s="1167">
        <v>2079913.88</v>
      </c>
      <c r="F29" s="1133">
        <f t="shared" ref="F29:F92" si="3">+E29/E$10</f>
        <v>9.6886662238101398E-2</v>
      </c>
      <c r="G29" s="1157">
        <f t="shared" ref="G29:G47" si="4">+E29*$H$10</f>
        <v>401047.98819297057</v>
      </c>
      <c r="H29" s="1133">
        <f>+G29/G$10</f>
        <v>9.6886662238101398E-2</v>
      </c>
      <c r="I29" s="1157">
        <f t="shared" ref="I29:I47" si="5">+E29*$J$10</f>
        <v>1678865.8918070293</v>
      </c>
      <c r="J29" s="1133">
        <f t="shared" ref="J29:J92" si="6">+I29/I$10</f>
        <v>9.6886662238101398E-2</v>
      </c>
      <c r="L29" s="1157">
        <f t="shared" si="1"/>
        <v>1678865.8918070293</v>
      </c>
      <c r="M29" s="1133">
        <f t="shared" ref="M29:M92" si="7">+L29/L$10</f>
        <v>9.6886662238101398E-2</v>
      </c>
      <c r="N29" s="1157">
        <f t="shared" si="2"/>
        <v>2079913.88</v>
      </c>
      <c r="O29" s="1133">
        <f t="shared" ref="O29:O92" si="8">+N29/N$10</f>
        <v>9.6886662238101398E-2</v>
      </c>
      <c r="P29" s="1128" t="s">
        <v>909</v>
      </c>
    </row>
    <row r="30" spans="2:16" ht="12.75" customHeight="1" x14ac:dyDescent="0.2">
      <c r="B30" s="1171" t="s">
        <v>910</v>
      </c>
      <c r="C30" s="1176">
        <v>39170.29</v>
      </c>
      <c r="D30" s="1145"/>
      <c r="E30" s="1176">
        <v>39170.29</v>
      </c>
      <c r="F30" s="1133">
        <f t="shared" si="3"/>
        <v>1.8246325934410713E-3</v>
      </c>
      <c r="G30" s="1157">
        <f t="shared" si="4"/>
        <v>7552.7963693550782</v>
      </c>
      <c r="H30" s="1133">
        <f t="shared" ref="H30:H93" si="9">+G30/G$10</f>
        <v>1.8246325934410711E-3</v>
      </c>
      <c r="I30" s="1157">
        <f t="shared" si="5"/>
        <v>31617.49363064492</v>
      </c>
      <c r="J30" s="1133">
        <f t="shared" si="6"/>
        <v>1.8246325934410713E-3</v>
      </c>
      <c r="L30" s="1157">
        <f t="shared" si="1"/>
        <v>31617.49363064492</v>
      </c>
      <c r="M30" s="1133">
        <f t="shared" si="7"/>
        <v>1.8246325934410713E-3</v>
      </c>
      <c r="N30" s="1157">
        <f t="shared" si="2"/>
        <v>39170.29</v>
      </c>
      <c r="O30" s="1133">
        <f t="shared" si="8"/>
        <v>1.8246325934410713E-3</v>
      </c>
    </row>
    <row r="31" spans="2:16" ht="12.75" customHeight="1" x14ac:dyDescent="0.2">
      <c r="B31" s="1171" t="s">
        <v>911</v>
      </c>
      <c r="C31" s="1176">
        <v>2430</v>
      </c>
      <c r="D31" s="1145"/>
      <c r="E31" s="1176">
        <v>2430</v>
      </c>
      <c r="F31" s="1133">
        <f t="shared" si="3"/>
        <v>1.1319439304794024E-4</v>
      </c>
      <c r="G31" s="1157">
        <f t="shared" si="4"/>
        <v>468.55142449884443</v>
      </c>
      <c r="H31" s="1133">
        <f t="shared" si="9"/>
        <v>1.1319439304794024E-4</v>
      </c>
      <c r="I31" s="1157">
        <f t="shared" si="5"/>
        <v>1961.4485755011556</v>
      </c>
      <c r="J31" s="1133">
        <f t="shared" si="6"/>
        <v>1.1319439304794025E-4</v>
      </c>
      <c r="L31" s="1157">
        <f t="shared" si="1"/>
        <v>1961.4485755011556</v>
      </c>
      <c r="M31" s="1133">
        <f t="shared" si="7"/>
        <v>1.1319439304794025E-4</v>
      </c>
      <c r="N31" s="1157">
        <f t="shared" si="2"/>
        <v>2430</v>
      </c>
      <c r="O31" s="1133">
        <f t="shared" si="8"/>
        <v>1.1319439304794024E-4</v>
      </c>
    </row>
    <row r="32" spans="2:16" ht="12.75" customHeight="1" x14ac:dyDescent="0.2">
      <c r="B32" s="1171" t="s">
        <v>912</v>
      </c>
      <c r="C32" s="1176">
        <v>0</v>
      </c>
      <c r="D32" s="1145"/>
      <c r="E32" s="1176">
        <v>0</v>
      </c>
      <c r="F32" s="1133">
        <f t="shared" si="3"/>
        <v>0</v>
      </c>
      <c r="G32" s="1157">
        <f t="shared" si="4"/>
        <v>0</v>
      </c>
      <c r="H32" s="1133">
        <f t="shared" si="9"/>
        <v>0</v>
      </c>
      <c r="I32" s="1157">
        <f t="shared" si="5"/>
        <v>0</v>
      </c>
      <c r="J32" s="1133">
        <f t="shared" si="6"/>
        <v>0</v>
      </c>
      <c r="L32" s="1157">
        <f t="shared" si="1"/>
        <v>0</v>
      </c>
      <c r="M32" s="1133">
        <f t="shared" si="7"/>
        <v>0</v>
      </c>
      <c r="N32" s="1157">
        <f t="shared" si="2"/>
        <v>0</v>
      </c>
      <c r="O32" s="1133">
        <f t="shared" si="8"/>
        <v>0</v>
      </c>
    </row>
    <row r="33" spans="2:16" x14ac:dyDescent="0.2">
      <c r="B33" s="1171" t="s">
        <v>913</v>
      </c>
      <c r="C33" s="1176">
        <v>0</v>
      </c>
      <c r="D33" s="1145"/>
      <c r="E33" s="1176">
        <v>0</v>
      </c>
      <c r="F33" s="1133">
        <f t="shared" si="3"/>
        <v>0</v>
      </c>
      <c r="G33" s="1157">
        <f t="shared" si="4"/>
        <v>0</v>
      </c>
      <c r="H33" s="1133">
        <f t="shared" si="9"/>
        <v>0</v>
      </c>
      <c r="I33" s="1157">
        <f t="shared" si="5"/>
        <v>0</v>
      </c>
      <c r="J33" s="1133">
        <f t="shared" si="6"/>
        <v>0</v>
      </c>
      <c r="L33" s="1157">
        <f t="shared" si="1"/>
        <v>0</v>
      </c>
      <c r="M33" s="1133">
        <f t="shared" si="7"/>
        <v>0</v>
      </c>
      <c r="N33" s="1157">
        <f t="shared" si="2"/>
        <v>0</v>
      </c>
      <c r="O33" s="1133">
        <f t="shared" si="8"/>
        <v>0</v>
      </c>
    </row>
    <row r="34" spans="2:16" ht="12.75" customHeight="1" x14ac:dyDescent="0.2">
      <c r="B34" s="1171" t="s">
        <v>914</v>
      </c>
      <c r="C34" s="1176">
        <v>134837.91</v>
      </c>
      <c r="D34" s="1145"/>
      <c r="E34" s="1176">
        <v>134837.91</v>
      </c>
      <c r="F34" s="1133">
        <f t="shared" si="3"/>
        <v>6.2810269062974454E-3</v>
      </c>
      <c r="G34" s="1157">
        <f t="shared" si="4"/>
        <v>25999.380578990527</v>
      </c>
      <c r="H34" s="1133">
        <f t="shared" si="9"/>
        <v>6.2810269062974454E-3</v>
      </c>
      <c r="I34" s="1157">
        <f t="shared" si="5"/>
        <v>108838.52942100947</v>
      </c>
      <c r="J34" s="1133">
        <f t="shared" si="6"/>
        <v>6.2810269062974454E-3</v>
      </c>
      <c r="K34" s="1159">
        <f>-28000-13363</f>
        <v>-41363</v>
      </c>
      <c r="L34" s="1157">
        <f t="shared" si="1"/>
        <v>67475.529421009473</v>
      </c>
      <c r="M34" s="1133">
        <f t="shared" si="7"/>
        <v>3.893985136188498E-3</v>
      </c>
      <c r="N34" s="1157">
        <f t="shared" si="2"/>
        <v>93474.91</v>
      </c>
      <c r="O34" s="1133">
        <f t="shared" si="8"/>
        <v>4.3542533755805924E-3</v>
      </c>
      <c r="P34" s="1128" t="s">
        <v>915</v>
      </c>
    </row>
    <row r="35" spans="2:16" ht="12.75" customHeight="1" x14ac:dyDescent="0.2">
      <c r="B35" s="1171" t="s">
        <v>916</v>
      </c>
      <c r="C35" s="1176">
        <v>1640.05</v>
      </c>
      <c r="D35" s="1145"/>
      <c r="E35" s="1176">
        <v>1640.05</v>
      </c>
      <c r="F35" s="1133">
        <f t="shared" si="3"/>
        <v>7.6396898896409217E-5</v>
      </c>
      <c r="G35" s="1157">
        <f t="shared" si="4"/>
        <v>316.23364763346905</v>
      </c>
      <c r="H35" s="1133">
        <f t="shared" si="9"/>
        <v>7.6396898896409217E-5</v>
      </c>
      <c r="I35" s="1157">
        <f t="shared" si="5"/>
        <v>1323.8163523665307</v>
      </c>
      <c r="J35" s="1133">
        <f t="shared" si="6"/>
        <v>7.6396898896409203E-5</v>
      </c>
      <c r="K35" s="1177"/>
      <c r="L35" s="1157">
        <f t="shared" si="1"/>
        <v>1323.8163523665307</v>
      </c>
      <c r="M35" s="1133">
        <f t="shared" si="7"/>
        <v>7.6396898896409203E-5</v>
      </c>
      <c r="N35" s="1157">
        <f t="shared" si="2"/>
        <v>1640.0499999999997</v>
      </c>
      <c r="O35" s="1133">
        <f t="shared" si="8"/>
        <v>7.6396898896409203E-5</v>
      </c>
    </row>
    <row r="36" spans="2:16" ht="12.75" customHeight="1" x14ac:dyDescent="0.2">
      <c r="B36" s="1171" t="s">
        <v>917</v>
      </c>
      <c r="C36" s="1176">
        <v>25088.832999999999</v>
      </c>
      <c r="D36" s="1145"/>
      <c r="E36" s="1176">
        <v>25088.832999999999</v>
      </c>
      <c r="F36" s="1133">
        <f t="shared" si="3"/>
        <v>1.1686893924757751E-3</v>
      </c>
      <c r="G36" s="1157">
        <f t="shared" si="4"/>
        <v>4837.6166424541625</v>
      </c>
      <c r="H36" s="1133">
        <f t="shared" si="9"/>
        <v>1.1686893924757751E-3</v>
      </c>
      <c r="I36" s="1157">
        <f t="shared" si="5"/>
        <v>20251.216357545836</v>
      </c>
      <c r="J36" s="1133">
        <f t="shared" si="6"/>
        <v>1.1686893924757753E-3</v>
      </c>
      <c r="L36" s="1157">
        <f t="shared" si="1"/>
        <v>20251.216357545836</v>
      </c>
      <c r="M36" s="1133">
        <f t="shared" si="7"/>
        <v>1.1686893924757753E-3</v>
      </c>
      <c r="N36" s="1157">
        <f t="shared" si="2"/>
        <v>25088.832999999999</v>
      </c>
      <c r="O36" s="1133">
        <f t="shared" si="8"/>
        <v>1.1686893924757751E-3</v>
      </c>
    </row>
    <row r="37" spans="2:16" ht="12.75" customHeight="1" x14ac:dyDescent="0.2">
      <c r="B37" s="1171" t="s">
        <v>918</v>
      </c>
      <c r="C37" s="1176">
        <v>18617.259999999998</v>
      </c>
      <c r="D37" s="1145"/>
      <c r="E37" s="1176">
        <f>18617.26-4770-795-795-795</f>
        <v>11462.259999999998</v>
      </c>
      <c r="F37" s="1133">
        <f t="shared" si="3"/>
        <v>5.3393562290439639E-4</v>
      </c>
      <c r="G37" s="1157">
        <f t="shared" si="4"/>
        <v>2210.1474283852358</v>
      </c>
      <c r="H37" s="1133">
        <f t="shared" si="9"/>
        <v>5.3393562290439639E-4</v>
      </c>
      <c r="I37" s="1157">
        <f t="shared" si="5"/>
        <v>9252.1125716147617</v>
      </c>
      <c r="J37" s="1133">
        <f t="shared" si="6"/>
        <v>5.3393562290439639E-4</v>
      </c>
      <c r="L37" s="1157">
        <f t="shared" si="1"/>
        <v>9252.1125716147617</v>
      </c>
      <c r="M37" s="1133">
        <f t="shared" si="7"/>
        <v>5.3393562290439639E-4</v>
      </c>
      <c r="N37" s="1157">
        <f t="shared" si="2"/>
        <v>11462.259999999998</v>
      </c>
      <c r="O37" s="1133">
        <f t="shared" si="8"/>
        <v>5.3393562290439639E-4</v>
      </c>
    </row>
    <row r="38" spans="2:16" ht="12.75" customHeight="1" x14ac:dyDescent="0.2">
      <c r="B38" s="1171" t="s">
        <v>919</v>
      </c>
      <c r="C38" s="1176">
        <v>10318.459999999999</v>
      </c>
      <c r="D38" s="1145"/>
      <c r="E38" s="1176">
        <v>10318.459999999999</v>
      </c>
      <c r="F38" s="1133">
        <f t="shared" si="3"/>
        <v>4.8065506867878572E-4</v>
      </c>
      <c r="G38" s="1157">
        <f t="shared" si="4"/>
        <v>1989.6004656931464</v>
      </c>
      <c r="H38" s="1133">
        <f t="shared" si="9"/>
        <v>4.8065506867878572E-4</v>
      </c>
      <c r="I38" s="1157">
        <f t="shared" si="5"/>
        <v>8328.8595343068519</v>
      </c>
      <c r="J38" s="1133">
        <f t="shared" si="6"/>
        <v>4.8065506867878572E-4</v>
      </c>
      <c r="L38" s="1157">
        <f t="shared" si="1"/>
        <v>8328.8595343068519</v>
      </c>
      <c r="M38" s="1133">
        <f t="shared" si="7"/>
        <v>4.8065506867878572E-4</v>
      </c>
      <c r="N38" s="1157">
        <f t="shared" si="2"/>
        <v>10318.459999999999</v>
      </c>
      <c r="O38" s="1133">
        <f t="shared" si="8"/>
        <v>4.8065506867878572E-4</v>
      </c>
    </row>
    <row r="39" spans="2:16" ht="12.75" customHeight="1" x14ac:dyDescent="0.2">
      <c r="B39" s="1171" t="s">
        <v>920</v>
      </c>
      <c r="C39" s="1176">
        <v>339.03</v>
      </c>
      <c r="D39" s="1145"/>
      <c r="E39" s="1176">
        <v>339.03</v>
      </c>
      <c r="F39" s="1133">
        <f t="shared" si="3"/>
        <v>1.5792714022651515E-5</v>
      </c>
      <c r="G39" s="1157">
        <f t="shared" si="4"/>
        <v>65.371600595820254</v>
      </c>
      <c r="H39" s="1133">
        <f t="shared" si="9"/>
        <v>1.5792714022651515E-5</v>
      </c>
      <c r="I39" s="1157">
        <f t="shared" si="5"/>
        <v>273.6583994041797</v>
      </c>
      <c r="J39" s="1133">
        <f t="shared" si="6"/>
        <v>1.5792714022651511E-5</v>
      </c>
      <c r="L39" s="1157">
        <f t="shared" si="1"/>
        <v>273.6583994041797</v>
      </c>
      <c r="M39" s="1133">
        <f t="shared" si="7"/>
        <v>1.5792714022651511E-5</v>
      </c>
      <c r="N39" s="1157">
        <f t="shared" si="2"/>
        <v>339.03</v>
      </c>
      <c r="O39" s="1133">
        <f t="shared" si="8"/>
        <v>1.5792714022651515E-5</v>
      </c>
    </row>
    <row r="40" spans="2:16" ht="12.75" customHeight="1" x14ac:dyDescent="0.2">
      <c r="B40" s="1171" t="s">
        <v>921</v>
      </c>
      <c r="C40" s="1176">
        <v>34000</v>
      </c>
      <c r="D40" s="1145"/>
      <c r="E40" s="1176">
        <v>34000</v>
      </c>
      <c r="F40" s="1133">
        <f t="shared" si="3"/>
        <v>1.5837898615761186E-3</v>
      </c>
      <c r="G40" s="1157">
        <f t="shared" si="4"/>
        <v>6555.8635526587286</v>
      </c>
      <c r="H40" s="1133">
        <f t="shared" si="9"/>
        <v>1.5837898615761186E-3</v>
      </c>
      <c r="I40" s="1157">
        <f t="shared" si="5"/>
        <v>27444.136447341269</v>
      </c>
      <c r="J40" s="1133">
        <f t="shared" si="6"/>
        <v>1.5837898615761186E-3</v>
      </c>
      <c r="L40" s="1157">
        <f t="shared" si="1"/>
        <v>27444.136447341269</v>
      </c>
      <c r="M40" s="1133">
        <f t="shared" si="7"/>
        <v>1.5837898615761186E-3</v>
      </c>
      <c r="N40" s="1157">
        <f t="shared" si="2"/>
        <v>34000</v>
      </c>
      <c r="O40" s="1133">
        <f t="shared" si="8"/>
        <v>1.5837898615761186E-3</v>
      </c>
    </row>
    <row r="41" spans="2:16" ht="12.75" customHeight="1" x14ac:dyDescent="0.2">
      <c r="B41" s="1171" t="s">
        <v>922</v>
      </c>
      <c r="C41" s="1176">
        <v>14363.59</v>
      </c>
      <c r="D41" s="1145"/>
      <c r="E41" s="1176">
        <v>14363.59</v>
      </c>
      <c r="F41" s="1133">
        <f t="shared" si="3"/>
        <v>6.6908553581870942E-4</v>
      </c>
      <c r="G41" s="1157">
        <f t="shared" si="4"/>
        <v>2769.5804754803935</v>
      </c>
      <c r="H41" s="1133">
        <f t="shared" si="9"/>
        <v>6.6908553581870942E-4</v>
      </c>
      <c r="I41" s="1157">
        <f t="shared" si="5"/>
        <v>11594.009524519606</v>
      </c>
      <c r="J41" s="1133">
        <f t="shared" si="6"/>
        <v>6.6908553581870953E-4</v>
      </c>
      <c r="L41" s="1157">
        <f t="shared" si="1"/>
        <v>11594.009524519606</v>
      </c>
      <c r="M41" s="1133">
        <f t="shared" si="7"/>
        <v>6.6908553581870953E-4</v>
      </c>
      <c r="N41" s="1157">
        <f t="shared" si="2"/>
        <v>14363.59</v>
      </c>
      <c r="O41" s="1133">
        <f t="shared" si="8"/>
        <v>6.6908553581870942E-4</v>
      </c>
    </row>
    <row r="42" spans="2:16" ht="12.75" customHeight="1" x14ac:dyDescent="0.2">
      <c r="B42" s="1171" t="s">
        <v>923</v>
      </c>
      <c r="C42" s="1176">
        <v>22923.35</v>
      </c>
      <c r="D42" s="1145"/>
      <c r="E42" s="1176">
        <v>22923.35</v>
      </c>
      <c r="F42" s="1133">
        <f t="shared" si="3"/>
        <v>1.0678167448047327E-3</v>
      </c>
      <c r="G42" s="1157">
        <f t="shared" si="4"/>
        <v>4420.0692579364541</v>
      </c>
      <c r="H42" s="1133">
        <f t="shared" si="9"/>
        <v>1.0678167448047327E-3</v>
      </c>
      <c r="I42" s="1157">
        <f t="shared" si="5"/>
        <v>18503.280742063544</v>
      </c>
      <c r="J42" s="1133">
        <f t="shared" si="6"/>
        <v>1.0678167448047329E-3</v>
      </c>
      <c r="L42" s="1157">
        <f t="shared" si="1"/>
        <v>18503.280742063544</v>
      </c>
      <c r="M42" s="1133">
        <f t="shared" si="7"/>
        <v>1.0678167448047329E-3</v>
      </c>
      <c r="N42" s="1157">
        <f t="shared" si="2"/>
        <v>22923.35</v>
      </c>
      <c r="O42" s="1133">
        <f t="shared" si="8"/>
        <v>1.0678167448047327E-3</v>
      </c>
    </row>
    <row r="43" spans="2:16" ht="12" customHeight="1" x14ac:dyDescent="0.2">
      <c r="B43" s="1171" t="s">
        <v>924</v>
      </c>
      <c r="C43" s="1176">
        <v>62824.11</v>
      </c>
      <c r="D43" s="1145"/>
      <c r="E43" s="1176">
        <f>62824.11+40701.89</f>
        <v>103526</v>
      </c>
      <c r="F43" s="1133">
        <f t="shared" si="3"/>
        <v>4.8224538002802726E-3</v>
      </c>
      <c r="G43" s="1157">
        <f t="shared" si="4"/>
        <v>19961.833239780808</v>
      </c>
      <c r="H43" s="1133">
        <f t="shared" si="9"/>
        <v>4.8224538002802717E-3</v>
      </c>
      <c r="I43" s="1157">
        <f t="shared" si="5"/>
        <v>83564.166760219188</v>
      </c>
      <c r="J43" s="1133">
        <f t="shared" si="6"/>
        <v>4.8224538002802726E-3</v>
      </c>
      <c r="K43" s="1159">
        <v>-40701.89</v>
      </c>
      <c r="L43" s="1157">
        <f t="shared" si="1"/>
        <v>42862.276760219189</v>
      </c>
      <c r="M43" s="1133">
        <f t="shared" si="7"/>
        <v>2.4735644171992657E-3</v>
      </c>
      <c r="N43" s="1157">
        <f t="shared" si="2"/>
        <v>62824.11</v>
      </c>
      <c r="O43" s="1133">
        <f t="shared" si="8"/>
        <v>2.9264761317806722E-3</v>
      </c>
      <c r="P43" s="1128" t="s">
        <v>925</v>
      </c>
    </row>
    <row r="44" spans="2:16" x14ac:dyDescent="0.2">
      <c r="B44" s="1171" t="s">
        <v>926</v>
      </c>
      <c r="C44" s="1176">
        <v>27536.31</v>
      </c>
      <c r="D44" s="1145"/>
      <c r="E44" s="1176">
        <v>27536.31</v>
      </c>
      <c r="F44" s="1133">
        <f t="shared" si="3"/>
        <v>1.2826979000946203E-3</v>
      </c>
      <c r="G44" s="1157">
        <f t="shared" si="4"/>
        <v>5309.5379736385903</v>
      </c>
      <c r="H44" s="1133">
        <f t="shared" si="9"/>
        <v>1.2826979000946203E-3</v>
      </c>
      <c r="I44" s="1157">
        <f t="shared" si="5"/>
        <v>22226.77202636141</v>
      </c>
      <c r="J44" s="1133">
        <f t="shared" si="6"/>
        <v>1.2826979000946203E-3</v>
      </c>
      <c r="L44" s="1157">
        <f t="shared" si="1"/>
        <v>22226.77202636141</v>
      </c>
      <c r="M44" s="1133">
        <f t="shared" si="7"/>
        <v>1.2826979000946203E-3</v>
      </c>
      <c r="N44" s="1157">
        <f t="shared" si="2"/>
        <v>27536.31</v>
      </c>
      <c r="O44" s="1133">
        <f t="shared" si="8"/>
        <v>1.2826979000946203E-3</v>
      </c>
    </row>
    <row r="45" spans="2:16" x14ac:dyDescent="0.2">
      <c r="B45" s="1171" t="s">
        <v>927</v>
      </c>
      <c r="C45" s="1176"/>
      <c r="D45" s="1145"/>
      <c r="E45" s="1176"/>
      <c r="F45" s="1133">
        <f t="shared" si="3"/>
        <v>0</v>
      </c>
      <c r="G45" s="1157">
        <f t="shared" si="4"/>
        <v>0</v>
      </c>
      <c r="H45" s="1133">
        <f t="shared" si="9"/>
        <v>0</v>
      </c>
      <c r="I45" s="1157">
        <f t="shared" si="5"/>
        <v>0</v>
      </c>
      <c r="J45" s="1133">
        <f t="shared" si="6"/>
        <v>0</v>
      </c>
      <c r="L45" s="1157">
        <f t="shared" si="1"/>
        <v>0</v>
      </c>
      <c r="M45" s="1133">
        <f t="shared" si="7"/>
        <v>0</v>
      </c>
      <c r="N45" s="1157">
        <f t="shared" si="2"/>
        <v>0</v>
      </c>
      <c r="O45" s="1133">
        <f t="shared" si="8"/>
        <v>0</v>
      </c>
    </row>
    <row r="46" spans="2:16" ht="12.75" customHeight="1" x14ac:dyDescent="0.2">
      <c r="B46" s="1171" t="s">
        <v>928</v>
      </c>
      <c r="C46" s="1176">
        <v>0</v>
      </c>
      <c r="D46" s="1145"/>
      <c r="E46" s="1176">
        <v>0</v>
      </c>
      <c r="F46" s="1133">
        <f t="shared" si="3"/>
        <v>0</v>
      </c>
      <c r="G46" s="1157">
        <f t="shared" si="4"/>
        <v>0</v>
      </c>
      <c r="H46" s="1133">
        <f t="shared" si="9"/>
        <v>0</v>
      </c>
      <c r="I46" s="1157">
        <f t="shared" si="5"/>
        <v>0</v>
      </c>
      <c r="J46" s="1133">
        <f t="shared" si="6"/>
        <v>0</v>
      </c>
      <c r="L46" s="1157">
        <f t="shared" si="1"/>
        <v>0</v>
      </c>
      <c r="M46" s="1133">
        <f t="shared" si="7"/>
        <v>0</v>
      </c>
      <c r="N46" s="1157">
        <f t="shared" si="2"/>
        <v>0</v>
      </c>
      <c r="O46" s="1133">
        <f t="shared" si="8"/>
        <v>0</v>
      </c>
    </row>
    <row r="47" spans="2:16" ht="12.75" customHeight="1" x14ac:dyDescent="0.2">
      <c r="B47" s="1171" t="s">
        <v>929</v>
      </c>
      <c r="C47" s="1176">
        <v>359654.58</v>
      </c>
      <c r="D47" s="1145"/>
      <c r="E47" s="1176">
        <f>359654.58-17921</f>
        <v>341733.58</v>
      </c>
      <c r="F47" s="1133">
        <f t="shared" si="3"/>
        <v>1.5918652334238573E-2</v>
      </c>
      <c r="G47" s="1157">
        <f t="shared" si="4"/>
        <v>65892.903583576059</v>
      </c>
      <c r="H47" s="1133">
        <f t="shared" si="9"/>
        <v>1.5918652334238573E-2</v>
      </c>
      <c r="I47" s="1157">
        <f t="shared" si="5"/>
        <v>275840.67641642393</v>
      </c>
      <c r="J47" s="1133">
        <f t="shared" si="6"/>
        <v>1.5918652334238573E-2</v>
      </c>
      <c r="L47" s="1157">
        <f t="shared" si="1"/>
        <v>275840.67641642393</v>
      </c>
      <c r="M47" s="1133">
        <f t="shared" si="7"/>
        <v>1.5918652334238573E-2</v>
      </c>
      <c r="N47" s="1157">
        <f t="shared" si="2"/>
        <v>341733.57999999996</v>
      </c>
      <c r="O47" s="1133">
        <f t="shared" si="8"/>
        <v>1.5918652334238569E-2</v>
      </c>
    </row>
    <row r="48" spans="2:16" ht="12.75" customHeight="1" x14ac:dyDescent="0.2">
      <c r="B48" s="1171" t="s">
        <v>930</v>
      </c>
      <c r="C48" s="1178">
        <f>SUM(C27:C47)</f>
        <v>1220854.513</v>
      </c>
      <c r="D48" s="1145"/>
      <c r="E48" s="1178">
        <f>SUM(E27:E47)</f>
        <v>3316394.2829999998</v>
      </c>
      <c r="F48" s="1133">
        <f t="shared" si="3"/>
        <v>0.15448446007071767</v>
      </c>
      <c r="G48" s="1178">
        <f>SUM(G27:G47)</f>
        <v>639465.54135780816</v>
      </c>
      <c r="H48" s="1133">
        <f t="shared" si="9"/>
        <v>0.1544844600707177</v>
      </c>
      <c r="I48" s="1178">
        <f>SUM(I27:I47)</f>
        <v>2676928.7416421915</v>
      </c>
      <c r="J48" s="1133">
        <f t="shared" si="6"/>
        <v>0.15448446007071767</v>
      </c>
      <c r="L48" s="1178">
        <f>SUM(L27:L47)</f>
        <v>2594863.8516421914</v>
      </c>
      <c r="M48" s="1133">
        <f t="shared" si="7"/>
        <v>0.14974852891752771</v>
      </c>
      <c r="N48" s="1178">
        <f>SUM(N27:N47)</f>
        <v>3234329.3929999997</v>
      </c>
      <c r="O48" s="1133">
        <f t="shared" si="8"/>
        <v>0.15066170887150121</v>
      </c>
    </row>
    <row r="49" spans="2:16" ht="12.75" customHeight="1" x14ac:dyDescent="0.2">
      <c r="B49" s="1143"/>
      <c r="C49" s="1157"/>
      <c r="D49" s="1145"/>
      <c r="E49" s="1157"/>
      <c r="F49" s="1133"/>
      <c r="G49" s="1157"/>
      <c r="H49" s="1133"/>
      <c r="I49" s="1157"/>
      <c r="J49" s="1133"/>
      <c r="L49" s="1157"/>
      <c r="M49" s="1133"/>
      <c r="N49" s="1157"/>
      <c r="O49" s="1133"/>
    </row>
    <row r="50" spans="2:16" ht="12.75" customHeight="1" x14ac:dyDescent="0.2">
      <c r="B50" s="1143" t="s">
        <v>931</v>
      </c>
      <c r="C50" s="1157"/>
      <c r="D50" s="1145"/>
      <c r="E50" s="1157"/>
      <c r="F50" s="1133"/>
      <c r="G50" s="1157"/>
      <c r="H50" s="1133"/>
      <c r="I50" s="1157"/>
      <c r="J50" s="1133"/>
      <c r="L50" s="1157"/>
      <c r="M50" s="1133"/>
      <c r="N50" s="1157"/>
      <c r="O50" s="1133"/>
    </row>
    <row r="51" spans="2:16" ht="12.75" customHeight="1" x14ac:dyDescent="0.2">
      <c r="B51" s="1171" t="s">
        <v>932</v>
      </c>
      <c r="C51" s="1176">
        <v>901004.01</v>
      </c>
      <c r="D51" s="1145"/>
      <c r="E51" s="1176">
        <v>901004.01</v>
      </c>
      <c r="F51" s="1133">
        <f t="shared" si="3"/>
        <v>4.19706181258067E-2</v>
      </c>
      <c r="G51" s="1157">
        <f>+E51*0.26</f>
        <v>234261.04260000002</v>
      </c>
      <c r="H51" s="1133">
        <f t="shared" si="9"/>
        <v>5.6593652575588474E-2</v>
      </c>
      <c r="I51" s="1157">
        <f>+E51*0.74</f>
        <v>666742.96739999996</v>
      </c>
      <c r="J51" s="1133">
        <f t="shared" si="6"/>
        <v>3.8477463266933937E-2</v>
      </c>
      <c r="K51" s="1159">
        <v>-449976</v>
      </c>
      <c r="L51" s="1157">
        <f t="shared" ref="L51:L64" si="10">+I51+K51</f>
        <v>216766.96739999996</v>
      </c>
      <c r="M51" s="1133">
        <f t="shared" si="7"/>
        <v>1.2509532808636812E-2</v>
      </c>
      <c r="N51" s="1157">
        <f t="shared" ref="N51:N64" si="11">+L51+G51</f>
        <v>451028.01</v>
      </c>
      <c r="O51" s="1133">
        <f t="shared" si="8"/>
        <v>2.1009811456613302E-2</v>
      </c>
      <c r="P51" s="1128" t="s">
        <v>933</v>
      </c>
    </row>
    <row r="52" spans="2:16" ht="12.75" customHeight="1" x14ac:dyDescent="0.2">
      <c r="B52" s="1171" t="s">
        <v>934</v>
      </c>
      <c r="C52" s="1176">
        <v>178871.79</v>
      </c>
      <c r="D52" s="1145"/>
      <c r="E52" s="1176">
        <v>178871.79</v>
      </c>
      <c r="F52" s="1133">
        <f t="shared" si="3"/>
        <v>8.3322155154109574E-3</v>
      </c>
      <c r="G52" s="1157">
        <f t="shared" ref="G52:G64" si="12">+E52*$H$10</f>
        <v>34489.972019406647</v>
      </c>
      <c r="H52" s="1133">
        <f t="shared" si="9"/>
        <v>8.3322155154109574E-3</v>
      </c>
      <c r="I52" s="1157">
        <f t="shared" ref="I52:I64" si="13">+E52*$J$10</f>
        <v>144381.81798059336</v>
      </c>
      <c r="J52" s="1133">
        <f t="shared" si="6"/>
        <v>8.3322155154109592E-3</v>
      </c>
      <c r="L52" s="1157">
        <f t="shared" si="10"/>
        <v>144381.81798059336</v>
      </c>
      <c r="M52" s="1133">
        <f t="shared" si="7"/>
        <v>8.3322155154109592E-3</v>
      </c>
      <c r="N52" s="1157">
        <f t="shared" si="11"/>
        <v>178871.79</v>
      </c>
      <c r="O52" s="1133">
        <f t="shared" si="8"/>
        <v>8.3322155154109574E-3</v>
      </c>
    </row>
    <row r="53" spans="2:16" ht="12.75" customHeight="1" x14ac:dyDescent="0.2">
      <c r="B53" s="1171" t="s">
        <v>910</v>
      </c>
      <c r="C53" s="1176">
        <v>527.89</v>
      </c>
      <c r="D53" s="1145"/>
      <c r="E53" s="1176">
        <v>527.89</v>
      </c>
      <c r="F53" s="1133">
        <f t="shared" si="3"/>
        <v>2.459020088315933E-5</v>
      </c>
      <c r="G53" s="1157">
        <f t="shared" si="12"/>
        <v>101.78749443567693</v>
      </c>
      <c r="H53" s="1133">
        <f t="shared" si="9"/>
        <v>2.4590200883159326E-5</v>
      </c>
      <c r="I53" s="1157">
        <f t="shared" si="13"/>
        <v>426.102505564323</v>
      </c>
      <c r="J53" s="1133">
        <f t="shared" si="6"/>
        <v>2.459020088315933E-5</v>
      </c>
      <c r="L53" s="1157">
        <f t="shared" si="10"/>
        <v>426.102505564323</v>
      </c>
      <c r="M53" s="1133">
        <f t="shared" si="7"/>
        <v>2.459020088315933E-5</v>
      </c>
      <c r="N53" s="1157">
        <f t="shared" si="11"/>
        <v>527.88999999999987</v>
      </c>
      <c r="O53" s="1133">
        <f t="shared" si="8"/>
        <v>2.4590200883159326E-5</v>
      </c>
    </row>
    <row r="54" spans="2:16" ht="12.75" customHeight="1" x14ac:dyDescent="0.2">
      <c r="B54" s="1171" t="s">
        <v>911</v>
      </c>
      <c r="C54" s="1176">
        <v>422100</v>
      </c>
      <c r="D54" s="1145"/>
      <c r="E54" s="1176">
        <v>422100</v>
      </c>
      <c r="F54" s="1133">
        <f t="shared" si="3"/>
        <v>1.9662285310919989E-2</v>
      </c>
      <c r="G54" s="1157">
        <f t="shared" si="12"/>
        <v>81389.117811095566</v>
      </c>
      <c r="H54" s="1133">
        <f t="shared" si="9"/>
        <v>1.9662285310919989E-2</v>
      </c>
      <c r="I54" s="1157">
        <f t="shared" si="13"/>
        <v>340710.88218890439</v>
      </c>
      <c r="J54" s="1133">
        <f t="shared" si="6"/>
        <v>1.9662285310919989E-2</v>
      </c>
      <c r="L54" s="1157">
        <f t="shared" si="10"/>
        <v>340710.88218890439</v>
      </c>
      <c r="M54" s="1133">
        <f t="shared" si="7"/>
        <v>1.9662285310919989E-2</v>
      </c>
      <c r="N54" s="1157">
        <f t="shared" si="11"/>
        <v>422099.99999999994</v>
      </c>
      <c r="O54" s="1133">
        <f t="shared" si="8"/>
        <v>1.9662285310919986E-2</v>
      </c>
    </row>
    <row r="55" spans="2:16" ht="12.75" customHeight="1" x14ac:dyDescent="0.2">
      <c r="B55" s="1171" t="s">
        <v>935</v>
      </c>
      <c r="C55" s="1176">
        <v>24653.18</v>
      </c>
      <c r="D55" s="1145"/>
      <c r="E55" s="1176">
        <v>24653.18</v>
      </c>
      <c r="F55" s="1133">
        <f t="shared" si="3"/>
        <v>1.148395780576798E-3</v>
      </c>
      <c r="G55" s="1157">
        <f t="shared" si="12"/>
        <v>4753.6142417392675</v>
      </c>
      <c r="H55" s="1133">
        <f t="shared" si="9"/>
        <v>1.148395780576798E-3</v>
      </c>
      <c r="I55" s="1157">
        <f t="shared" si="13"/>
        <v>19899.565758260731</v>
      </c>
      <c r="J55" s="1133">
        <f t="shared" si="6"/>
        <v>1.148395780576798E-3</v>
      </c>
      <c r="L55" s="1157">
        <f t="shared" si="10"/>
        <v>19899.565758260731</v>
      </c>
      <c r="M55" s="1133">
        <f t="shared" si="7"/>
        <v>1.148395780576798E-3</v>
      </c>
      <c r="N55" s="1157">
        <f t="shared" si="11"/>
        <v>24653.18</v>
      </c>
      <c r="O55" s="1133">
        <f t="shared" si="8"/>
        <v>1.148395780576798E-3</v>
      </c>
    </row>
    <row r="56" spans="2:16" ht="12.75" customHeight="1" x14ac:dyDescent="0.2">
      <c r="B56" s="1171" t="s">
        <v>936</v>
      </c>
      <c r="C56" s="1176">
        <v>257801.03</v>
      </c>
      <c r="D56" s="1145"/>
      <c r="E56" s="1176">
        <v>257801.03</v>
      </c>
      <c r="F56" s="1133">
        <f t="shared" si="3"/>
        <v>1.2008901694643553E-2</v>
      </c>
      <c r="G56" s="1157">
        <f t="shared" si="12"/>
        <v>49709.069894555272</v>
      </c>
      <c r="H56" s="1133">
        <f t="shared" si="9"/>
        <v>1.2008901694643552E-2</v>
      </c>
      <c r="I56" s="1157">
        <f t="shared" si="13"/>
        <v>208091.96010544471</v>
      </c>
      <c r="J56" s="1133">
        <f t="shared" si="6"/>
        <v>1.2008901694643553E-2</v>
      </c>
      <c r="L56" s="1157">
        <f t="shared" si="10"/>
        <v>208091.96010544471</v>
      </c>
      <c r="M56" s="1133">
        <f t="shared" si="7"/>
        <v>1.2008901694643553E-2</v>
      </c>
      <c r="N56" s="1157">
        <f t="shared" si="11"/>
        <v>257801.02999999997</v>
      </c>
      <c r="O56" s="1133">
        <f t="shared" si="8"/>
        <v>1.2008901694643552E-2</v>
      </c>
    </row>
    <row r="57" spans="2:16" ht="12.75" customHeight="1" x14ac:dyDescent="0.2">
      <c r="B57" s="1171" t="s">
        <v>937</v>
      </c>
      <c r="C57" s="1176">
        <v>16448.439999999999</v>
      </c>
      <c r="D57" s="1145"/>
      <c r="E57" s="1176">
        <v>16448.439999999999</v>
      </c>
      <c r="F57" s="1133">
        <f t="shared" si="3"/>
        <v>7.6620213266891438E-4</v>
      </c>
      <c r="G57" s="1157">
        <f t="shared" si="12"/>
        <v>3171.580243943939</v>
      </c>
      <c r="H57" s="1133">
        <f t="shared" si="9"/>
        <v>7.6620213266891438E-4</v>
      </c>
      <c r="I57" s="1157">
        <f t="shared" si="13"/>
        <v>13276.859756056059</v>
      </c>
      <c r="J57" s="1133">
        <f t="shared" si="6"/>
        <v>7.6620213266891438E-4</v>
      </c>
      <c r="L57" s="1157">
        <f t="shared" si="10"/>
        <v>13276.859756056059</v>
      </c>
      <c r="M57" s="1133">
        <f t="shared" si="7"/>
        <v>7.6620213266891438E-4</v>
      </c>
      <c r="N57" s="1157">
        <f t="shared" si="11"/>
        <v>16448.439999999999</v>
      </c>
      <c r="O57" s="1133">
        <f t="shared" si="8"/>
        <v>7.6620213266891438E-4</v>
      </c>
    </row>
    <row r="58" spans="2:16" ht="12.75" customHeight="1" x14ac:dyDescent="0.2">
      <c r="B58" s="1171" t="s">
        <v>914</v>
      </c>
      <c r="C58" s="1176">
        <v>60398.12</v>
      </c>
      <c r="D58" s="1145"/>
      <c r="E58" s="1176">
        <v>60398.12</v>
      </c>
      <c r="F58" s="1133">
        <f t="shared" si="3"/>
        <v>2.8134685327722885E-3</v>
      </c>
      <c r="G58" s="1157">
        <f t="shared" si="12"/>
        <v>11645.936281091417</v>
      </c>
      <c r="H58" s="1133">
        <f t="shared" si="9"/>
        <v>2.8134685327722881E-3</v>
      </c>
      <c r="I58" s="1157">
        <f t="shared" si="13"/>
        <v>48752.183718908578</v>
      </c>
      <c r="J58" s="1133">
        <f t="shared" si="6"/>
        <v>2.8134685327722881E-3</v>
      </c>
      <c r="K58" s="1159">
        <v>-51900</v>
      </c>
      <c r="L58" s="1157">
        <f t="shared" si="10"/>
        <v>-3147.8162810914218</v>
      </c>
      <c r="M58" s="1133">
        <f t="shared" si="7"/>
        <v>-1.8165918689636227E-4</v>
      </c>
      <c r="N58" s="1157">
        <f t="shared" si="11"/>
        <v>8498.1199999999953</v>
      </c>
      <c r="O58" s="1133">
        <f t="shared" si="8"/>
        <v>3.9585989113109522E-4</v>
      </c>
      <c r="P58" s="1128" t="s">
        <v>938</v>
      </c>
    </row>
    <row r="59" spans="2:16" ht="12.75" customHeight="1" x14ac:dyDescent="0.2">
      <c r="B59" s="1171" t="s">
        <v>939</v>
      </c>
      <c r="C59" s="1176">
        <v>92409</v>
      </c>
      <c r="D59" s="1145"/>
      <c r="E59" s="1176">
        <v>92409</v>
      </c>
      <c r="F59" s="1133">
        <f t="shared" si="3"/>
        <v>4.304601097599634E-3</v>
      </c>
      <c r="G59" s="1157">
        <f t="shared" si="12"/>
        <v>17818.258677577658</v>
      </c>
      <c r="H59" s="1133">
        <f t="shared" si="9"/>
        <v>4.3046010975996331E-3</v>
      </c>
      <c r="I59" s="1157">
        <f t="shared" si="13"/>
        <v>74590.741322422342</v>
      </c>
      <c r="J59" s="1133">
        <f t="shared" si="6"/>
        <v>4.304601097599634E-3</v>
      </c>
      <c r="L59" s="1157">
        <f t="shared" si="10"/>
        <v>74590.741322422342</v>
      </c>
      <c r="M59" s="1133">
        <f t="shared" si="7"/>
        <v>4.304601097599634E-3</v>
      </c>
      <c r="N59" s="1157">
        <f t="shared" si="11"/>
        <v>92409</v>
      </c>
      <c r="O59" s="1133">
        <f t="shared" si="8"/>
        <v>4.304601097599634E-3</v>
      </c>
    </row>
    <row r="60" spans="2:16" ht="12.75" customHeight="1" x14ac:dyDescent="0.2">
      <c r="B60" s="1171" t="s">
        <v>916</v>
      </c>
      <c r="C60" s="1176">
        <v>11907.66</v>
      </c>
      <c r="D60" s="1145"/>
      <c r="E60" s="1176">
        <v>11907.66</v>
      </c>
      <c r="F60" s="1133">
        <f t="shared" si="3"/>
        <v>5.5468327009104365E-4</v>
      </c>
      <c r="G60" s="1157">
        <f t="shared" si="12"/>
        <v>2296.0292409250656</v>
      </c>
      <c r="H60" s="1133">
        <f t="shared" si="9"/>
        <v>5.5468327009104365E-4</v>
      </c>
      <c r="I60" s="1157">
        <f t="shared" si="13"/>
        <v>9611.6307590749329</v>
      </c>
      <c r="J60" s="1133">
        <f t="shared" si="6"/>
        <v>5.5468327009104365E-4</v>
      </c>
      <c r="L60" s="1157">
        <f t="shared" si="10"/>
        <v>9611.6307590749329</v>
      </c>
      <c r="M60" s="1133">
        <f t="shared" si="7"/>
        <v>5.5468327009104365E-4</v>
      </c>
      <c r="N60" s="1157">
        <f t="shared" si="11"/>
        <v>11907.659999999998</v>
      </c>
      <c r="O60" s="1133">
        <f t="shared" si="8"/>
        <v>5.5468327009104354E-4</v>
      </c>
    </row>
    <row r="61" spans="2:16" ht="12.75" customHeight="1" x14ac:dyDescent="0.2">
      <c r="B61" s="1171" t="s">
        <v>917</v>
      </c>
      <c r="C61" s="1176">
        <v>8907.77</v>
      </c>
      <c r="D61" s="1145"/>
      <c r="E61" s="1176">
        <v>8907.77</v>
      </c>
      <c r="F61" s="1133">
        <f t="shared" si="3"/>
        <v>4.1494222986035006E-4</v>
      </c>
      <c r="G61" s="1157">
        <f t="shared" si="12"/>
        <v>1717.5919023078484</v>
      </c>
      <c r="H61" s="1133">
        <f t="shared" si="9"/>
        <v>4.1494222986035006E-4</v>
      </c>
      <c r="I61" s="1157">
        <f t="shared" si="13"/>
        <v>7190.1780976921518</v>
      </c>
      <c r="J61" s="1133">
        <f t="shared" si="6"/>
        <v>4.1494222986035011E-4</v>
      </c>
      <c r="L61" s="1157">
        <f t="shared" si="10"/>
        <v>7190.1780976921518</v>
      </c>
      <c r="M61" s="1133">
        <f t="shared" si="7"/>
        <v>4.1494222986035011E-4</v>
      </c>
      <c r="N61" s="1157">
        <f t="shared" si="11"/>
        <v>8907.77</v>
      </c>
      <c r="O61" s="1133">
        <f t="shared" si="8"/>
        <v>4.1494222986035006E-4</v>
      </c>
    </row>
    <row r="62" spans="2:16" ht="12.75" customHeight="1" x14ac:dyDescent="0.2">
      <c r="B62" s="1171" t="s">
        <v>918</v>
      </c>
      <c r="C62" s="1176">
        <v>1821.95</v>
      </c>
      <c r="D62" s="1145"/>
      <c r="E62" s="1176">
        <v>1821.95</v>
      </c>
      <c r="F62" s="1133">
        <f t="shared" si="3"/>
        <v>8.4870174655841458E-5</v>
      </c>
      <c r="G62" s="1157">
        <f t="shared" si="12"/>
        <v>351.30751764019323</v>
      </c>
      <c r="H62" s="1133">
        <f t="shared" si="9"/>
        <v>8.4870174655841444E-5</v>
      </c>
      <c r="I62" s="1157">
        <f t="shared" si="13"/>
        <v>1470.6424823598068</v>
      </c>
      <c r="J62" s="1133">
        <f t="shared" si="6"/>
        <v>8.4870174655841458E-5</v>
      </c>
      <c r="L62" s="1157">
        <f t="shared" si="10"/>
        <v>1470.6424823598068</v>
      </c>
      <c r="M62" s="1133">
        <f t="shared" si="7"/>
        <v>8.4870174655841458E-5</v>
      </c>
      <c r="N62" s="1157">
        <f t="shared" si="11"/>
        <v>1821.95</v>
      </c>
      <c r="O62" s="1133">
        <f t="shared" si="8"/>
        <v>8.4870174655841458E-5</v>
      </c>
    </row>
    <row r="63" spans="2:16" ht="12.75" customHeight="1" x14ac:dyDescent="0.2">
      <c r="B63" s="1171" t="s">
        <v>940</v>
      </c>
      <c r="C63" s="1176">
        <v>1903.11</v>
      </c>
      <c r="D63" s="1145"/>
      <c r="E63" s="1176">
        <v>1903.11</v>
      </c>
      <c r="F63" s="1133">
        <f t="shared" si="3"/>
        <v>8.8650774219533143E-5</v>
      </c>
      <c r="G63" s="1157">
        <f t="shared" si="12"/>
        <v>366.95674957942208</v>
      </c>
      <c r="H63" s="1133">
        <f t="shared" si="9"/>
        <v>8.8650774219533129E-5</v>
      </c>
      <c r="I63" s="1157">
        <f t="shared" si="13"/>
        <v>1536.1532504205777</v>
      </c>
      <c r="J63" s="1133">
        <f t="shared" si="6"/>
        <v>8.8650774219533143E-5</v>
      </c>
      <c r="L63" s="1157">
        <f t="shared" si="10"/>
        <v>1536.1532504205777</v>
      </c>
      <c r="M63" s="1133">
        <f t="shared" si="7"/>
        <v>8.8650774219533143E-5</v>
      </c>
      <c r="N63" s="1157">
        <f t="shared" si="11"/>
        <v>1903.1099999999997</v>
      </c>
      <c r="O63" s="1133">
        <f t="shared" si="8"/>
        <v>8.8650774219533129E-5</v>
      </c>
    </row>
    <row r="64" spans="2:16" ht="12.75" customHeight="1" x14ac:dyDescent="0.2">
      <c r="B64" s="1171" t="s">
        <v>920</v>
      </c>
      <c r="C64" s="1176">
        <v>437.92</v>
      </c>
      <c r="D64" s="1145"/>
      <c r="E64" s="1176">
        <v>437.92</v>
      </c>
      <c r="F64" s="1133">
        <f t="shared" si="3"/>
        <v>2.0399213417100407E-5</v>
      </c>
      <c r="G64" s="1157">
        <f t="shared" si="12"/>
        <v>84.43952255824442</v>
      </c>
      <c r="H64" s="1133">
        <f t="shared" si="9"/>
        <v>2.0399213417100407E-5</v>
      </c>
      <c r="I64" s="1157">
        <f t="shared" si="13"/>
        <v>353.48047744175557</v>
      </c>
      <c r="J64" s="1133">
        <f t="shared" si="6"/>
        <v>2.0399213417100407E-5</v>
      </c>
      <c r="L64" s="1157">
        <f t="shared" si="10"/>
        <v>353.48047744175557</v>
      </c>
      <c r="M64" s="1133">
        <f t="shared" si="7"/>
        <v>2.0399213417100407E-5</v>
      </c>
      <c r="N64" s="1157">
        <f t="shared" si="11"/>
        <v>437.91999999999996</v>
      </c>
      <c r="O64" s="1133">
        <f t="shared" si="8"/>
        <v>2.0399213417100404E-5</v>
      </c>
    </row>
    <row r="65" spans="2:16" ht="12.75" customHeight="1" x14ac:dyDescent="0.2">
      <c r="B65" s="1143" t="s">
        <v>941</v>
      </c>
      <c r="C65" s="1178">
        <f>SUM(C51:C64)</f>
        <v>1979191.8699999999</v>
      </c>
      <c r="D65" s="1145"/>
      <c r="E65" s="1178">
        <f>SUM(E51:E64)</f>
        <v>1979191.8699999999</v>
      </c>
      <c r="F65" s="1133">
        <f t="shared" si="3"/>
        <v>9.2194824053525859E-2</v>
      </c>
      <c r="G65" s="1178">
        <f>SUM(G51:G64)</f>
        <v>442156.70419685618</v>
      </c>
      <c r="H65" s="1133">
        <f t="shared" si="9"/>
        <v>0.10681785850330762</v>
      </c>
      <c r="I65" s="1178">
        <f>SUM(I51:I64)</f>
        <v>1537035.1658031435</v>
      </c>
      <c r="J65" s="1133">
        <f t="shared" si="6"/>
        <v>8.8701669194653082E-2</v>
      </c>
      <c r="L65" s="1178">
        <f>SUM(L51:L64)</f>
        <v>1035159.1658031438</v>
      </c>
      <c r="M65" s="1133">
        <f t="shared" si="7"/>
        <v>5.9738611016687329E-2</v>
      </c>
      <c r="N65" s="1178">
        <f>SUM(N51:N64)</f>
        <v>1477315.8699999999</v>
      </c>
      <c r="O65" s="1133">
        <f t="shared" si="8"/>
        <v>6.8816408742691265E-2</v>
      </c>
    </row>
    <row r="66" spans="2:16" ht="12.75" customHeight="1" x14ac:dyDescent="0.2">
      <c r="B66" s="1143"/>
      <c r="C66" s="1157"/>
      <c r="D66" s="1145"/>
      <c r="E66" s="1157"/>
      <c r="F66" s="1133"/>
      <c r="G66" s="1157"/>
      <c r="H66" s="1133"/>
      <c r="I66" s="1157"/>
      <c r="J66" s="1133"/>
      <c r="L66" s="1157"/>
      <c r="M66" s="1133"/>
      <c r="N66" s="1157"/>
      <c r="O66" s="1133"/>
    </row>
    <row r="67" spans="2:16" ht="12.75" customHeight="1" x14ac:dyDescent="0.2">
      <c r="B67" s="1143" t="s">
        <v>942</v>
      </c>
      <c r="C67" s="1157"/>
      <c r="D67" s="1145"/>
      <c r="E67" s="1157"/>
      <c r="F67" s="1133"/>
      <c r="G67" s="1157"/>
      <c r="H67" s="1133"/>
      <c r="I67" s="1157"/>
      <c r="J67" s="1133"/>
      <c r="L67" s="1157"/>
      <c r="M67" s="1133"/>
      <c r="N67" s="1157"/>
      <c r="O67" s="1133"/>
    </row>
    <row r="68" spans="2:16" ht="12.75" hidden="1" customHeight="1" x14ac:dyDescent="0.2">
      <c r="B68" s="1171" t="s">
        <v>901</v>
      </c>
      <c r="C68" s="1176">
        <v>15796.16</v>
      </c>
      <c r="D68" s="1176"/>
      <c r="E68" s="1176">
        <v>15796.16</v>
      </c>
      <c r="F68" s="1133">
        <f t="shared" si="3"/>
        <v>7.358175899951242E-4</v>
      </c>
      <c r="G68" s="1157"/>
      <c r="H68" s="1133">
        <f t="shared" si="9"/>
        <v>0</v>
      </c>
      <c r="I68" s="1157"/>
      <c r="J68" s="1133">
        <f t="shared" si="6"/>
        <v>0</v>
      </c>
      <c r="L68" s="1157"/>
      <c r="M68" s="1133">
        <f t="shared" si="7"/>
        <v>0</v>
      </c>
      <c r="N68" s="1157"/>
      <c r="O68" s="1133">
        <f t="shared" si="8"/>
        <v>0</v>
      </c>
    </row>
    <row r="69" spans="2:16" ht="12.75" hidden="1" customHeight="1" x14ac:dyDescent="0.2">
      <c r="B69" s="1171" t="s">
        <v>902</v>
      </c>
      <c r="C69" s="1176">
        <v>1802.53</v>
      </c>
      <c r="D69" s="1176"/>
      <c r="E69" s="1176">
        <v>1802.53</v>
      </c>
      <c r="F69" s="1133">
        <f t="shared" si="3"/>
        <v>8.3965551152552972E-5</v>
      </c>
      <c r="G69" s="1157"/>
      <c r="H69" s="1133">
        <f t="shared" si="9"/>
        <v>0</v>
      </c>
      <c r="I69" s="1157"/>
      <c r="J69" s="1133">
        <f t="shared" si="6"/>
        <v>0</v>
      </c>
      <c r="L69" s="1157"/>
      <c r="M69" s="1133">
        <f t="shared" si="7"/>
        <v>0</v>
      </c>
      <c r="N69" s="1157"/>
      <c r="O69" s="1133">
        <f t="shared" si="8"/>
        <v>0</v>
      </c>
    </row>
    <row r="70" spans="2:16" ht="12.75" hidden="1" customHeight="1" x14ac:dyDescent="0.2">
      <c r="B70" s="1171" t="s">
        <v>903</v>
      </c>
      <c r="C70" s="1176">
        <v>1480.69</v>
      </c>
      <c r="D70" s="1176"/>
      <c r="E70" s="1176">
        <v>1480.69</v>
      </c>
      <c r="F70" s="1133">
        <f t="shared" si="3"/>
        <v>6.8973582651092445E-5</v>
      </c>
      <c r="G70" s="1157"/>
      <c r="H70" s="1133">
        <f t="shared" si="9"/>
        <v>0</v>
      </c>
      <c r="I70" s="1157"/>
      <c r="J70" s="1133">
        <f t="shared" si="6"/>
        <v>0</v>
      </c>
      <c r="L70" s="1157"/>
      <c r="M70" s="1133">
        <f t="shared" si="7"/>
        <v>0</v>
      </c>
      <c r="N70" s="1157"/>
      <c r="O70" s="1133">
        <f t="shared" si="8"/>
        <v>0</v>
      </c>
    </row>
    <row r="71" spans="2:16" ht="12.75" hidden="1" customHeight="1" x14ac:dyDescent="0.2">
      <c r="B71" s="1171" t="s">
        <v>904</v>
      </c>
      <c r="C71" s="1176">
        <v>1643.65</v>
      </c>
      <c r="D71" s="1176"/>
      <c r="E71" s="1176">
        <v>1643.65</v>
      </c>
      <c r="F71" s="1133">
        <f t="shared" si="3"/>
        <v>7.6564594293517278E-5</v>
      </c>
      <c r="G71" s="1157"/>
      <c r="H71" s="1133">
        <f t="shared" si="9"/>
        <v>0</v>
      </c>
      <c r="I71" s="1157"/>
      <c r="J71" s="1133">
        <f t="shared" si="6"/>
        <v>0</v>
      </c>
      <c r="L71" s="1157"/>
      <c r="M71" s="1133">
        <f t="shared" si="7"/>
        <v>0</v>
      </c>
      <c r="N71" s="1157"/>
      <c r="O71" s="1133">
        <f t="shared" si="8"/>
        <v>0</v>
      </c>
    </row>
    <row r="72" spans="2:16" ht="12.75" hidden="1" customHeight="1" x14ac:dyDescent="0.2">
      <c r="B72" s="1171" t="s">
        <v>943</v>
      </c>
      <c r="C72" s="1176">
        <v>3337.25</v>
      </c>
      <c r="D72" s="1176"/>
      <c r="E72" s="1176">
        <v>3337.25</v>
      </c>
      <c r="F72" s="1133">
        <f t="shared" si="3"/>
        <v>1.5545596222190888E-4</v>
      </c>
      <c r="G72" s="1157"/>
      <c r="H72" s="1133">
        <f t="shared" si="9"/>
        <v>0</v>
      </c>
      <c r="I72" s="1157"/>
      <c r="J72" s="1133">
        <f t="shared" si="6"/>
        <v>0</v>
      </c>
      <c r="L72" s="1157"/>
      <c r="M72" s="1133">
        <f t="shared" si="7"/>
        <v>0</v>
      </c>
      <c r="N72" s="1157"/>
      <c r="O72" s="1133">
        <f t="shared" si="8"/>
        <v>0</v>
      </c>
    </row>
    <row r="73" spans="2:16" ht="12.75" hidden="1" customHeight="1" x14ac:dyDescent="0.2">
      <c r="B73" s="1171" t="s">
        <v>944</v>
      </c>
      <c r="C73" s="1176">
        <v>1852.43</v>
      </c>
      <c r="D73" s="1176"/>
      <c r="E73" s="1176">
        <v>1852.43</v>
      </c>
      <c r="F73" s="1133">
        <f t="shared" si="3"/>
        <v>8.6289995684689686E-5</v>
      </c>
      <c r="G73" s="1157"/>
      <c r="H73" s="1133">
        <f t="shared" si="9"/>
        <v>0</v>
      </c>
      <c r="I73" s="1157"/>
      <c r="J73" s="1133">
        <f t="shared" si="6"/>
        <v>0</v>
      </c>
      <c r="L73" s="1157"/>
      <c r="M73" s="1133">
        <f t="shared" si="7"/>
        <v>0</v>
      </c>
      <c r="N73" s="1157"/>
      <c r="O73" s="1133">
        <f t="shared" si="8"/>
        <v>0</v>
      </c>
    </row>
    <row r="74" spans="2:16" hidden="1" x14ac:dyDescent="0.2">
      <c r="B74" s="1171" t="s">
        <v>945</v>
      </c>
      <c r="C74" s="1176">
        <v>1360</v>
      </c>
      <c r="D74" s="1176"/>
      <c r="E74" s="1176">
        <v>1360</v>
      </c>
      <c r="F74" s="1133">
        <f t="shared" si="3"/>
        <v>6.3351594463044745E-5</v>
      </c>
      <c r="G74" s="1157"/>
      <c r="H74" s="1133">
        <f t="shared" si="9"/>
        <v>0</v>
      </c>
      <c r="I74" s="1157"/>
      <c r="J74" s="1133">
        <f t="shared" si="6"/>
        <v>0</v>
      </c>
      <c r="L74" s="1157"/>
      <c r="M74" s="1133">
        <f t="shared" si="7"/>
        <v>0</v>
      </c>
      <c r="N74" s="1157"/>
      <c r="O74" s="1133">
        <f t="shared" si="8"/>
        <v>0</v>
      </c>
    </row>
    <row r="75" spans="2:16" ht="12.75" hidden="1" customHeight="1" thickBot="1" x14ac:dyDescent="0.25">
      <c r="B75" s="1171" t="s">
        <v>905</v>
      </c>
      <c r="C75" s="1179">
        <v>355.79</v>
      </c>
      <c r="D75" s="1173"/>
      <c r="E75" s="1179">
        <v>355.79</v>
      </c>
      <c r="F75" s="1133">
        <f t="shared" si="3"/>
        <v>1.6573429260299038E-5</v>
      </c>
      <c r="G75" s="1174"/>
      <c r="H75" s="1133">
        <f t="shared" si="9"/>
        <v>0</v>
      </c>
      <c r="I75" s="1174"/>
      <c r="J75" s="1133">
        <f t="shared" si="6"/>
        <v>0</v>
      </c>
      <c r="L75" s="1174"/>
      <c r="M75" s="1133">
        <f t="shared" si="7"/>
        <v>0</v>
      </c>
      <c r="N75" s="1174"/>
      <c r="O75" s="1133">
        <f t="shared" si="8"/>
        <v>0</v>
      </c>
    </row>
    <row r="76" spans="2:16" ht="12.75" customHeight="1" x14ac:dyDescent="0.2">
      <c r="B76" s="1143" t="s">
        <v>946</v>
      </c>
      <c r="C76" s="1170">
        <v>327121.55</v>
      </c>
      <c r="D76" s="1145"/>
      <c r="E76" s="1170">
        <v>327121.55</v>
      </c>
      <c r="F76" s="1133">
        <f t="shared" si="3"/>
        <v>1.5237993952737216E-2</v>
      </c>
      <c r="G76" s="1157">
        <f>+E76*$H$10</f>
        <v>63075.419027477343</v>
      </c>
      <c r="H76" s="1133">
        <f t="shared" si="9"/>
        <v>1.5237993952737216E-2</v>
      </c>
      <c r="I76" s="1157">
        <f>+E76*$J$10</f>
        <v>264046.1309725226</v>
      </c>
      <c r="J76" s="1133">
        <f t="shared" si="6"/>
        <v>1.5237993952737214E-2</v>
      </c>
      <c r="K76" s="1159">
        <f>-53990-10742-10742</f>
        <v>-75474</v>
      </c>
      <c r="L76" s="1157">
        <f t="shared" ref="L76:L98" si="14">+I76+K76</f>
        <v>188572.1309725226</v>
      </c>
      <c r="M76" s="1133">
        <f t="shared" si="7"/>
        <v>1.088242035901329E-2</v>
      </c>
      <c r="N76" s="1157">
        <f t="shared" ref="N76:N98" si="15">+L76+G76</f>
        <v>251647.54999999993</v>
      </c>
      <c r="O76" s="1133">
        <f t="shared" si="8"/>
        <v>1.1722259952366743E-2</v>
      </c>
      <c r="P76" s="1128" t="s">
        <v>947</v>
      </c>
    </row>
    <row r="77" spans="2:16" ht="12.75" customHeight="1" x14ac:dyDescent="0.2">
      <c r="B77" s="1180"/>
      <c r="C77" s="1170"/>
      <c r="D77" s="1145"/>
      <c r="E77" s="1170"/>
      <c r="F77" s="1133"/>
      <c r="G77" s="1157"/>
      <c r="H77" s="1133"/>
      <c r="I77" s="1157"/>
      <c r="J77" s="1133"/>
      <c r="L77" s="1157"/>
      <c r="M77" s="1133"/>
      <c r="N77" s="1157"/>
      <c r="O77" s="1133"/>
    </row>
    <row r="78" spans="2:16" ht="12.75" customHeight="1" x14ac:dyDescent="0.2">
      <c r="B78" s="1171" t="s">
        <v>932</v>
      </c>
      <c r="C78" s="1176">
        <v>90819.35</v>
      </c>
      <c r="D78" s="1145"/>
      <c r="E78" s="1176">
        <v>90819.35</v>
      </c>
      <c r="F78" s="1133">
        <f t="shared" si="3"/>
        <v>4.2305519342627374E-3</v>
      </c>
      <c r="G78" s="1157">
        <f>+E78*0.26</f>
        <v>23613.031000000003</v>
      </c>
      <c r="H78" s="1133">
        <f t="shared" si="9"/>
        <v>5.7045237135412655E-3</v>
      </c>
      <c r="I78" s="1157">
        <f>+E78*0.74</f>
        <v>67206.319000000003</v>
      </c>
      <c r="J78" s="1133">
        <f t="shared" si="6"/>
        <v>3.8784491131752196E-3</v>
      </c>
      <c r="L78" s="1157">
        <f t="shared" si="14"/>
        <v>67206.319000000003</v>
      </c>
      <c r="M78" s="1133">
        <f t="shared" si="7"/>
        <v>3.8784491131752196E-3</v>
      </c>
      <c r="N78" s="1157">
        <f t="shared" si="15"/>
        <v>90819.35</v>
      </c>
      <c r="O78" s="1133">
        <f t="shared" si="8"/>
        <v>4.2305519342627374E-3</v>
      </c>
    </row>
    <row r="79" spans="2:16" ht="12.75" customHeight="1" x14ac:dyDescent="0.2">
      <c r="B79" s="1171" t="s">
        <v>934</v>
      </c>
      <c r="C79" s="1176">
        <v>59623.98</v>
      </c>
      <c r="D79" s="1145"/>
      <c r="E79" s="1176">
        <v>59623.98</v>
      </c>
      <c r="F79" s="1133">
        <f t="shared" si="3"/>
        <v>2.7774075009063901E-3</v>
      </c>
      <c r="G79" s="1157">
        <f t="shared" ref="G79:G98" si="16">+E79*$H$10</f>
        <v>11496.666980778029</v>
      </c>
      <c r="H79" s="1133">
        <f t="shared" si="9"/>
        <v>2.7774075009063901E-3</v>
      </c>
      <c r="I79" s="1157">
        <f t="shared" ref="I79:I98" si="17">+E79*$J$10</f>
        <v>48127.313019221969</v>
      </c>
      <c r="J79" s="1133">
        <f t="shared" si="6"/>
        <v>2.7774075009063901E-3</v>
      </c>
      <c r="L79" s="1157">
        <f t="shared" si="14"/>
        <v>48127.313019221969</v>
      </c>
      <c r="M79" s="1133">
        <f t="shared" si="7"/>
        <v>2.7774075009063901E-3</v>
      </c>
      <c r="N79" s="1157">
        <f t="shared" si="15"/>
        <v>59623.979999999996</v>
      </c>
      <c r="O79" s="1133">
        <f t="shared" si="8"/>
        <v>2.7774075009063901E-3</v>
      </c>
    </row>
    <row r="80" spans="2:16" ht="12.75" customHeight="1" x14ac:dyDescent="0.2">
      <c r="B80" s="1171" t="s">
        <v>910</v>
      </c>
      <c r="C80" s="1176">
        <v>45643.519999999997</v>
      </c>
      <c r="D80" s="1145"/>
      <c r="E80" s="1176">
        <v>45643.519999999997</v>
      </c>
      <c r="F80" s="1133">
        <f t="shared" si="3"/>
        <v>2.1261689477249058E-3</v>
      </c>
      <c r="G80" s="1157">
        <f t="shared" si="16"/>
        <v>8800.9614465602845</v>
      </c>
      <c r="H80" s="1133">
        <f t="shared" si="9"/>
        <v>2.1261689477249054E-3</v>
      </c>
      <c r="I80" s="1157">
        <f t="shared" si="17"/>
        <v>36842.558553439711</v>
      </c>
      <c r="J80" s="1133">
        <f t="shared" si="6"/>
        <v>2.1261689477249058E-3</v>
      </c>
      <c r="L80" s="1157">
        <f t="shared" si="14"/>
        <v>36842.558553439711</v>
      </c>
      <c r="M80" s="1133">
        <f t="shared" si="7"/>
        <v>2.1261689477249058E-3</v>
      </c>
      <c r="N80" s="1157">
        <f t="shared" si="15"/>
        <v>45643.519999999997</v>
      </c>
      <c r="O80" s="1133">
        <f t="shared" si="8"/>
        <v>2.1261689477249058E-3</v>
      </c>
    </row>
    <row r="81" spans="2:16" ht="12.75" customHeight="1" x14ac:dyDescent="0.2">
      <c r="B81" s="1171" t="s">
        <v>911</v>
      </c>
      <c r="C81" s="1176">
        <v>146970</v>
      </c>
      <c r="D81" s="1145"/>
      <c r="E81" s="1176">
        <v>146970</v>
      </c>
      <c r="F81" s="1133">
        <f t="shared" si="3"/>
        <v>6.8461645869365342E-3</v>
      </c>
      <c r="G81" s="1157">
        <f t="shared" si="16"/>
        <v>28338.684303948627</v>
      </c>
      <c r="H81" s="1133">
        <f t="shared" si="9"/>
        <v>6.8461645869365333E-3</v>
      </c>
      <c r="I81" s="1157">
        <f t="shared" si="17"/>
        <v>118631.31569605136</v>
      </c>
      <c r="J81" s="1133">
        <f t="shared" si="6"/>
        <v>6.8461645869365333E-3</v>
      </c>
      <c r="L81" s="1157">
        <f t="shared" si="14"/>
        <v>118631.31569605136</v>
      </c>
      <c r="M81" s="1133">
        <f t="shared" si="7"/>
        <v>6.8461645869365333E-3</v>
      </c>
      <c r="N81" s="1157">
        <f t="shared" si="15"/>
        <v>146970</v>
      </c>
      <c r="O81" s="1133">
        <f t="shared" si="8"/>
        <v>6.8461645869365342E-3</v>
      </c>
    </row>
    <row r="82" spans="2:16" ht="12.75" customHeight="1" x14ac:dyDescent="0.2">
      <c r="B82" s="1171" t="s">
        <v>912</v>
      </c>
      <c r="C82" s="1176">
        <v>129032.51</v>
      </c>
      <c r="D82" s="1145"/>
      <c r="E82" s="1176">
        <v>129032.51</v>
      </c>
      <c r="F82" s="1133">
        <f t="shared" si="3"/>
        <v>6.0105994456387977E-3</v>
      </c>
      <c r="G82" s="1157">
        <f t="shared" si="16"/>
        <v>24879.986159325672</v>
      </c>
      <c r="H82" s="1133">
        <f t="shared" si="9"/>
        <v>6.0105994456387977E-3</v>
      </c>
      <c r="I82" s="1157">
        <f t="shared" si="17"/>
        <v>104152.52384067432</v>
      </c>
      <c r="J82" s="1133">
        <f t="shared" si="6"/>
        <v>6.0105994456387977E-3</v>
      </c>
      <c r="L82" s="1157">
        <f t="shared" si="14"/>
        <v>104152.52384067432</v>
      </c>
      <c r="M82" s="1133">
        <f t="shared" si="7"/>
        <v>6.0105994456387977E-3</v>
      </c>
      <c r="N82" s="1157">
        <f t="shared" si="15"/>
        <v>129032.50999999998</v>
      </c>
      <c r="O82" s="1133">
        <f t="shared" si="8"/>
        <v>6.0105994456387968E-3</v>
      </c>
    </row>
    <row r="83" spans="2:16" ht="12.75" customHeight="1" x14ac:dyDescent="0.2">
      <c r="B83" s="1171" t="s">
        <v>935</v>
      </c>
      <c r="C83" s="1176">
        <v>3151.63</v>
      </c>
      <c r="D83" s="1145"/>
      <c r="E83" s="1176">
        <v>3151.63</v>
      </c>
      <c r="F83" s="1133">
        <f t="shared" si="3"/>
        <v>1.4680940121879831E-4</v>
      </c>
      <c r="G83" s="1157">
        <f t="shared" si="16"/>
        <v>607.69577201370089</v>
      </c>
      <c r="H83" s="1133">
        <f t="shared" si="9"/>
        <v>1.4680940121879833E-4</v>
      </c>
      <c r="I83" s="1157">
        <f t="shared" si="17"/>
        <v>2543.934227986299</v>
      </c>
      <c r="J83" s="1133">
        <f t="shared" si="6"/>
        <v>1.4680940121879831E-4</v>
      </c>
      <c r="L83" s="1157">
        <f t="shared" si="14"/>
        <v>2543.934227986299</v>
      </c>
      <c r="M83" s="1133">
        <f t="shared" si="7"/>
        <v>1.4680940121879831E-4</v>
      </c>
      <c r="N83" s="1157">
        <f t="shared" si="15"/>
        <v>3151.63</v>
      </c>
      <c r="O83" s="1133">
        <f t="shared" si="8"/>
        <v>1.4680940121879831E-4</v>
      </c>
    </row>
    <row r="84" spans="2:16" ht="12.75" customHeight="1" x14ac:dyDescent="0.2">
      <c r="B84" s="1171" t="s">
        <v>936</v>
      </c>
      <c r="C84" s="1176">
        <v>348.2</v>
      </c>
      <c r="D84" s="1145"/>
      <c r="E84" s="1176">
        <v>348.2</v>
      </c>
      <c r="F84" s="1133">
        <f t="shared" si="3"/>
        <v>1.6219871464729544E-5</v>
      </c>
      <c r="G84" s="1157">
        <f t="shared" si="16"/>
        <v>67.139755559875567</v>
      </c>
      <c r="H84" s="1133">
        <f t="shared" si="9"/>
        <v>1.6219871464729544E-5</v>
      </c>
      <c r="I84" s="1157">
        <f t="shared" si="17"/>
        <v>281.06024444012439</v>
      </c>
      <c r="J84" s="1133">
        <f t="shared" si="6"/>
        <v>1.6219871464729544E-5</v>
      </c>
      <c r="L84" s="1157">
        <f t="shared" si="14"/>
        <v>281.06024444012439</v>
      </c>
      <c r="M84" s="1133">
        <f t="shared" si="7"/>
        <v>1.6219871464729544E-5</v>
      </c>
      <c r="N84" s="1157">
        <f t="shared" si="15"/>
        <v>348.19999999999993</v>
      </c>
      <c r="O84" s="1133">
        <f t="shared" si="8"/>
        <v>1.621987146472954E-5</v>
      </c>
    </row>
    <row r="85" spans="2:16" ht="12.75" customHeight="1" x14ac:dyDescent="0.2">
      <c r="B85" s="1171" t="s">
        <v>948</v>
      </c>
      <c r="C85" s="1176">
        <v>40749.72</v>
      </c>
      <c r="D85" s="1145"/>
      <c r="E85" s="1176">
        <v>40749.72</v>
      </c>
      <c r="F85" s="1133">
        <f t="shared" si="3"/>
        <v>1.8982056881783997E-3</v>
      </c>
      <c r="G85" s="1157">
        <f t="shared" si="16"/>
        <v>7857.341297913189</v>
      </c>
      <c r="H85" s="1133">
        <f t="shared" si="9"/>
        <v>1.8982056881783997E-3</v>
      </c>
      <c r="I85" s="1157">
        <f t="shared" si="17"/>
        <v>32892.378702086811</v>
      </c>
      <c r="J85" s="1133">
        <f t="shared" si="6"/>
        <v>1.8982056881783999E-3</v>
      </c>
      <c r="L85" s="1157">
        <f t="shared" si="14"/>
        <v>32892.378702086811</v>
      </c>
      <c r="M85" s="1133">
        <f t="shared" si="7"/>
        <v>1.8982056881783999E-3</v>
      </c>
      <c r="N85" s="1157">
        <f t="shared" si="15"/>
        <v>40749.72</v>
      </c>
      <c r="O85" s="1133">
        <f t="shared" si="8"/>
        <v>1.8982056881783997E-3</v>
      </c>
    </row>
    <row r="86" spans="2:16" ht="12.75" customHeight="1" x14ac:dyDescent="0.2">
      <c r="B86" s="1171" t="s">
        <v>949</v>
      </c>
      <c r="C86" s="1176">
        <v>2338.7600000000002</v>
      </c>
      <c r="D86" s="1145"/>
      <c r="E86" s="1176">
        <v>2338.7600000000002</v>
      </c>
      <c r="F86" s="1133">
        <f t="shared" si="3"/>
        <v>1.0894424637234598E-4</v>
      </c>
      <c r="G86" s="1157">
        <f t="shared" si="16"/>
        <v>450.95857183576851</v>
      </c>
      <c r="H86" s="1133">
        <f t="shared" si="9"/>
        <v>1.0894424637234598E-4</v>
      </c>
      <c r="I86" s="1157">
        <f t="shared" si="17"/>
        <v>1887.8014281642315</v>
      </c>
      <c r="J86" s="1133">
        <f t="shared" si="6"/>
        <v>1.0894424637234598E-4</v>
      </c>
      <c r="L86" s="1157">
        <f t="shared" si="14"/>
        <v>1887.8014281642315</v>
      </c>
      <c r="M86" s="1133">
        <f t="shared" si="7"/>
        <v>1.0894424637234598E-4</v>
      </c>
      <c r="N86" s="1157">
        <f t="shared" si="15"/>
        <v>2338.7600000000002</v>
      </c>
      <c r="O86" s="1133">
        <f t="shared" si="8"/>
        <v>1.0894424637234598E-4</v>
      </c>
    </row>
    <row r="87" spans="2:16" ht="12.75" customHeight="1" x14ac:dyDescent="0.2">
      <c r="B87" s="1171" t="s">
        <v>913</v>
      </c>
      <c r="C87" s="1176">
        <v>72131.03</v>
      </c>
      <c r="D87" s="1145"/>
      <c r="E87" s="1176">
        <v>72131.03</v>
      </c>
      <c r="F87" s="1133">
        <f t="shared" si="3"/>
        <v>3.3600115887953783E-3</v>
      </c>
      <c r="G87" s="1157">
        <f t="shared" si="16"/>
        <v>13908.270311550979</v>
      </c>
      <c r="H87" s="1133">
        <f t="shared" si="9"/>
        <v>3.3600115887953779E-3</v>
      </c>
      <c r="I87" s="1157">
        <f t="shared" si="17"/>
        <v>58222.759688449012</v>
      </c>
      <c r="J87" s="1133">
        <f t="shared" si="6"/>
        <v>3.3600115887953779E-3</v>
      </c>
      <c r="L87" s="1157">
        <f t="shared" si="14"/>
        <v>58222.759688449012</v>
      </c>
      <c r="M87" s="1133">
        <f t="shared" si="7"/>
        <v>3.3600115887953779E-3</v>
      </c>
      <c r="N87" s="1157">
        <f t="shared" si="15"/>
        <v>72131.03</v>
      </c>
      <c r="O87" s="1133">
        <f t="shared" si="8"/>
        <v>3.3600115887953783E-3</v>
      </c>
    </row>
    <row r="88" spans="2:16" ht="12.75" customHeight="1" x14ac:dyDescent="0.2">
      <c r="B88" s="1171" t="s">
        <v>950</v>
      </c>
      <c r="C88" s="1176">
        <v>10394</v>
      </c>
      <c r="D88" s="1145"/>
      <c r="E88" s="1176">
        <v>10394</v>
      </c>
      <c r="F88" s="1133">
        <f t="shared" si="3"/>
        <v>4.8417387709476993E-4</v>
      </c>
      <c r="G88" s="1157">
        <f t="shared" si="16"/>
        <v>2004.1660519510242</v>
      </c>
      <c r="H88" s="1133">
        <f t="shared" si="9"/>
        <v>4.8417387709476987E-4</v>
      </c>
      <c r="I88" s="1157">
        <f t="shared" si="17"/>
        <v>8389.8339480489758</v>
      </c>
      <c r="J88" s="1133">
        <f t="shared" si="6"/>
        <v>4.8417387709476993E-4</v>
      </c>
      <c r="L88" s="1157">
        <f t="shared" si="14"/>
        <v>8389.8339480489758</v>
      </c>
      <c r="M88" s="1133">
        <f t="shared" si="7"/>
        <v>4.8417387709476993E-4</v>
      </c>
      <c r="N88" s="1157">
        <f t="shared" si="15"/>
        <v>10394</v>
      </c>
      <c r="O88" s="1133">
        <f t="shared" si="8"/>
        <v>4.8417387709476993E-4</v>
      </c>
    </row>
    <row r="89" spans="2:16" ht="12.75" customHeight="1" x14ac:dyDescent="0.2">
      <c r="B89" s="1171" t="s">
        <v>914</v>
      </c>
      <c r="C89" s="1176">
        <v>254307.49</v>
      </c>
      <c r="D89" s="1145"/>
      <c r="E89" s="1176">
        <v>254307.49</v>
      </c>
      <c r="F89" s="1133">
        <f t="shared" si="3"/>
        <v>1.1846165423084417E-2</v>
      </c>
      <c r="G89" s="1157">
        <f t="shared" si="16"/>
        <v>49035.447201738942</v>
      </c>
      <c r="H89" s="1133">
        <f t="shared" si="9"/>
        <v>1.1846165423084417E-2</v>
      </c>
      <c r="I89" s="1157">
        <f t="shared" si="17"/>
        <v>205272.04279826104</v>
      </c>
      <c r="J89" s="1133">
        <f t="shared" si="6"/>
        <v>1.1846165423084417E-2</v>
      </c>
      <c r="K89" s="1159">
        <f>-9600-1440-28875-13615</f>
        <v>-53530</v>
      </c>
      <c r="L89" s="1157">
        <f t="shared" si="14"/>
        <v>151742.04279826104</v>
      </c>
      <c r="M89" s="1133">
        <f t="shared" si="7"/>
        <v>8.7569710717575796E-3</v>
      </c>
      <c r="N89" s="1157">
        <f t="shared" si="15"/>
        <v>200777.49</v>
      </c>
      <c r="O89" s="1133">
        <f t="shared" si="8"/>
        <v>9.3526280321970749E-3</v>
      </c>
      <c r="P89" s="1128" t="s">
        <v>951</v>
      </c>
    </row>
    <row r="90" spans="2:16" ht="12.75" customHeight="1" x14ac:dyDescent="0.2">
      <c r="B90" s="1171" t="s">
        <v>952</v>
      </c>
      <c r="C90" s="1176">
        <v>60</v>
      </c>
      <c r="D90" s="1145"/>
      <c r="E90" s="1176">
        <v>60</v>
      </c>
      <c r="F90" s="1133">
        <f t="shared" si="3"/>
        <v>2.7949232851343269E-6</v>
      </c>
      <c r="G90" s="1157">
        <f t="shared" si="16"/>
        <v>11.569170975280109</v>
      </c>
      <c r="H90" s="1133">
        <f t="shared" si="9"/>
        <v>2.7949232851343269E-6</v>
      </c>
      <c r="I90" s="1157">
        <f t="shared" si="17"/>
        <v>48.430829024719891</v>
      </c>
      <c r="J90" s="1133">
        <f t="shared" si="6"/>
        <v>2.7949232851343269E-6</v>
      </c>
      <c r="L90" s="1157">
        <f t="shared" si="14"/>
        <v>48.430829024719891</v>
      </c>
      <c r="M90" s="1133">
        <f t="shared" si="7"/>
        <v>2.7949232851343269E-6</v>
      </c>
      <c r="N90" s="1157">
        <f t="shared" si="15"/>
        <v>60</v>
      </c>
      <c r="O90" s="1133">
        <f t="shared" si="8"/>
        <v>2.7949232851343269E-6</v>
      </c>
    </row>
    <row r="91" spans="2:16" ht="12.75" customHeight="1" x14ac:dyDescent="0.2">
      <c r="B91" s="1171" t="s">
        <v>953</v>
      </c>
      <c r="C91" s="1176">
        <v>32343.43</v>
      </c>
      <c r="D91" s="1145"/>
      <c r="E91" s="1176">
        <v>32343.43</v>
      </c>
      <c r="F91" s="1133">
        <f t="shared" si="3"/>
        <v>1.5066234271352023E-3</v>
      </c>
      <c r="G91" s="1157">
        <f t="shared" si="16"/>
        <v>6236.4445266167322</v>
      </c>
      <c r="H91" s="1133">
        <f t="shared" si="9"/>
        <v>1.5066234271352023E-3</v>
      </c>
      <c r="I91" s="1157">
        <f t="shared" si="17"/>
        <v>26106.985473383265</v>
      </c>
      <c r="J91" s="1133">
        <f t="shared" si="6"/>
        <v>1.5066234271352023E-3</v>
      </c>
      <c r="L91" s="1157">
        <f t="shared" si="14"/>
        <v>26106.985473383265</v>
      </c>
      <c r="M91" s="1133">
        <f t="shared" si="7"/>
        <v>1.5066234271352023E-3</v>
      </c>
      <c r="N91" s="1157">
        <f t="shared" si="15"/>
        <v>32343.429999999997</v>
      </c>
      <c r="O91" s="1133">
        <f t="shared" si="8"/>
        <v>1.5066234271352023E-3</v>
      </c>
    </row>
    <row r="92" spans="2:16" ht="12.75" customHeight="1" x14ac:dyDescent="0.2">
      <c r="B92" s="1171" t="s">
        <v>954</v>
      </c>
      <c r="C92" s="1176">
        <v>197850</v>
      </c>
      <c r="D92" s="1145"/>
      <c r="E92" s="1176">
        <v>197850</v>
      </c>
      <c r="F92" s="1133">
        <f t="shared" si="3"/>
        <v>9.2162595327304423E-3</v>
      </c>
      <c r="G92" s="1157">
        <f t="shared" si="16"/>
        <v>38149.341290986158</v>
      </c>
      <c r="H92" s="1133">
        <f t="shared" si="9"/>
        <v>9.2162595327304423E-3</v>
      </c>
      <c r="I92" s="1157">
        <f t="shared" si="17"/>
        <v>159700.65870901383</v>
      </c>
      <c r="J92" s="1133">
        <f t="shared" si="6"/>
        <v>9.216259532730444E-3</v>
      </c>
      <c r="L92" s="1157">
        <f t="shared" si="14"/>
        <v>159700.65870901383</v>
      </c>
      <c r="M92" s="1133">
        <f t="shared" si="7"/>
        <v>9.216259532730444E-3</v>
      </c>
      <c r="N92" s="1157">
        <f t="shared" si="15"/>
        <v>197850</v>
      </c>
      <c r="O92" s="1133">
        <f t="shared" si="8"/>
        <v>9.2162595327304423E-3</v>
      </c>
    </row>
    <row r="93" spans="2:16" ht="12.75" customHeight="1" x14ac:dyDescent="0.2">
      <c r="B93" s="1171" t="s">
        <v>955</v>
      </c>
      <c r="C93" s="1176">
        <v>0</v>
      </c>
      <c r="D93" s="1145"/>
      <c r="E93" s="1176">
        <f>37408+1795+138.7+260+1795+2153.12+1020.18+1795+1377+453.13</f>
        <v>48195.13</v>
      </c>
      <c r="F93" s="1133">
        <f t="shared" ref="F93:F116" si="18">+E93/E$10</f>
        <v>2.2450281844512659E-3</v>
      </c>
      <c r="G93" s="1157">
        <f t="shared" si="16"/>
        <v>9292.9616524308603</v>
      </c>
      <c r="H93" s="1133">
        <f t="shared" si="9"/>
        <v>2.2450281844512659E-3</v>
      </c>
      <c r="I93" s="1157">
        <f t="shared" si="17"/>
        <v>38902.168347569132</v>
      </c>
      <c r="J93" s="1133">
        <f t="shared" ref="J93:J99" si="19">+I93/I$10</f>
        <v>2.2450281844512655E-3</v>
      </c>
      <c r="K93" s="1181">
        <f>-37408-1795-138.7-260-1795-2153.12-1020.18-1795-1377-453.13</f>
        <v>-48195.13</v>
      </c>
      <c r="L93" s="1157">
        <f t="shared" si="14"/>
        <v>-9292.9616524308658</v>
      </c>
      <c r="M93" s="1133">
        <f t="shared" ref="M93:M99" si="20">+L93/L$10</f>
        <v>-5.3629300660912283E-4</v>
      </c>
      <c r="N93" s="1157">
        <f t="shared" si="15"/>
        <v>0</v>
      </c>
      <c r="O93" s="1133">
        <f t="shared" ref="O93:O99" si="21">+N93/N$10</f>
        <v>0</v>
      </c>
      <c r="P93" s="1182" t="s">
        <v>956</v>
      </c>
    </row>
    <row r="94" spans="2:16" ht="12.75" customHeight="1" x14ac:dyDescent="0.2">
      <c r="B94" s="1171" t="s">
        <v>917</v>
      </c>
      <c r="C94" s="1176">
        <v>43668.55</v>
      </c>
      <c r="D94" s="1145"/>
      <c r="E94" s="1176">
        <f>43668.55-1777</f>
        <v>41891.550000000003</v>
      </c>
      <c r="F94" s="1133">
        <f t="shared" si="18"/>
        <v>1.9513944757561486E-3</v>
      </c>
      <c r="G94" s="1157">
        <f t="shared" si="16"/>
        <v>8077.5084061582575</v>
      </c>
      <c r="H94" s="1133">
        <f t="shared" ref="H94:H99" si="22">+G94/G$10</f>
        <v>1.9513944757561486E-3</v>
      </c>
      <c r="I94" s="1157">
        <f t="shared" si="17"/>
        <v>33814.041593841743</v>
      </c>
      <c r="J94" s="1133">
        <f t="shared" si="19"/>
        <v>1.9513944757561486E-3</v>
      </c>
      <c r="K94" s="1145"/>
      <c r="L94" s="1157">
        <f t="shared" si="14"/>
        <v>33814.041593841743</v>
      </c>
      <c r="M94" s="1133">
        <f t="shared" si="20"/>
        <v>1.9513944757561486E-3</v>
      </c>
      <c r="N94" s="1157">
        <f t="shared" si="15"/>
        <v>41891.550000000003</v>
      </c>
      <c r="O94" s="1133">
        <f t="shared" si="21"/>
        <v>1.9513944757561486E-3</v>
      </c>
    </row>
    <row r="95" spans="2:16" ht="12.75" customHeight="1" x14ac:dyDescent="0.2">
      <c r="B95" s="1171" t="s">
        <v>918</v>
      </c>
      <c r="C95" s="1176">
        <v>20436.259999999998</v>
      </c>
      <c r="D95" s="1145"/>
      <c r="E95" s="1176">
        <f>20436.26-6000-1000-1000-1000</f>
        <v>11436.259999999998</v>
      </c>
      <c r="F95" s="1133">
        <f t="shared" si="18"/>
        <v>5.3272448948083818E-4</v>
      </c>
      <c r="G95" s="1157">
        <f t="shared" si="16"/>
        <v>2205.1341209626148</v>
      </c>
      <c r="H95" s="1133">
        <f t="shared" si="22"/>
        <v>5.3272448948083828E-4</v>
      </c>
      <c r="I95" s="1157">
        <f t="shared" si="17"/>
        <v>9231.1258790373831</v>
      </c>
      <c r="J95" s="1133">
        <f t="shared" si="19"/>
        <v>5.3272448948083818E-4</v>
      </c>
      <c r="K95" s="1145"/>
      <c r="L95" s="1157">
        <f t="shared" si="14"/>
        <v>9231.1258790373831</v>
      </c>
      <c r="M95" s="1133">
        <f t="shared" si="20"/>
        <v>5.3272448948083818E-4</v>
      </c>
      <c r="N95" s="1157">
        <f t="shared" si="15"/>
        <v>11436.259999999998</v>
      </c>
      <c r="O95" s="1133">
        <f t="shared" si="21"/>
        <v>5.3272448948083818E-4</v>
      </c>
    </row>
    <row r="96" spans="2:16" ht="12.75" customHeight="1" x14ac:dyDescent="0.2">
      <c r="B96" s="1171" t="s">
        <v>919</v>
      </c>
      <c r="C96" s="1176">
        <v>15066.75</v>
      </c>
      <c r="D96" s="1145"/>
      <c r="E96" s="1176">
        <f>15066.75-5010-138.7-2153.12-1377+0.08</f>
        <v>6388.0099999999993</v>
      </c>
      <c r="F96" s="1133">
        <f t="shared" si="18"/>
        <v>2.9756663157784881E-4</v>
      </c>
      <c r="G96" s="1157">
        <f t="shared" si="16"/>
        <v>1231.7329980299846</v>
      </c>
      <c r="H96" s="1133">
        <f t="shared" si="22"/>
        <v>2.9756663157784881E-4</v>
      </c>
      <c r="I96" s="1157">
        <f t="shared" si="17"/>
        <v>5156.2770019700147</v>
      </c>
      <c r="J96" s="1133">
        <f t="shared" si="19"/>
        <v>2.9756663157784886E-4</v>
      </c>
      <c r="L96" s="1157">
        <f t="shared" si="14"/>
        <v>5156.2770019700147</v>
      </c>
      <c r="M96" s="1133">
        <f t="shared" si="20"/>
        <v>2.9756663157784886E-4</v>
      </c>
      <c r="N96" s="1157">
        <f t="shared" si="15"/>
        <v>6388.0099999999993</v>
      </c>
      <c r="O96" s="1133">
        <f t="shared" si="21"/>
        <v>2.9756663157784881E-4</v>
      </c>
    </row>
    <row r="97" spans="2:16" ht="12.75" customHeight="1" x14ac:dyDescent="0.2">
      <c r="B97" s="1171" t="s">
        <v>920</v>
      </c>
      <c r="C97" s="1176">
        <v>3663.39</v>
      </c>
      <c r="D97" s="1145"/>
      <c r="E97" s="1176">
        <f>3663.39-1930-260-1020.18-453.13-0.08</f>
        <v>-7.2761241476371197E-14</v>
      </c>
      <c r="F97" s="1133">
        <f t="shared" si="18"/>
        <v>-3.3893681342931904E-21</v>
      </c>
      <c r="G97" s="1157">
        <f t="shared" si="16"/>
        <v>-1.4029787383563015E-14</v>
      </c>
      <c r="H97" s="1133">
        <f t="shared" si="22"/>
        <v>-3.3893681342931904E-21</v>
      </c>
      <c r="I97" s="1157">
        <f t="shared" si="17"/>
        <v>-5.8731454092808182E-14</v>
      </c>
      <c r="J97" s="1133">
        <f t="shared" si="19"/>
        <v>-3.3893681342931904E-21</v>
      </c>
      <c r="L97" s="1157">
        <f t="shared" si="14"/>
        <v>-5.8731454092808182E-14</v>
      </c>
      <c r="M97" s="1133">
        <f t="shared" si="20"/>
        <v>-3.3893681342931904E-21</v>
      </c>
      <c r="N97" s="1157">
        <f t="shared" si="15"/>
        <v>-7.2761241476371197E-14</v>
      </c>
      <c r="O97" s="1133">
        <f t="shared" si="21"/>
        <v>-3.3893681342931904E-21</v>
      </c>
    </row>
    <row r="98" spans="2:16" ht="12.75" customHeight="1" x14ac:dyDescent="0.2">
      <c r="B98" s="1171" t="s">
        <v>928</v>
      </c>
      <c r="C98" s="1176">
        <v>200</v>
      </c>
      <c r="D98" s="1145"/>
      <c r="E98" s="1176">
        <v>200</v>
      </c>
      <c r="F98" s="1133">
        <f t="shared" si="18"/>
        <v>9.3164109504477573E-6</v>
      </c>
      <c r="G98" s="1157">
        <f t="shared" si="16"/>
        <v>38.563903250933699</v>
      </c>
      <c r="H98" s="1133">
        <f t="shared" si="22"/>
        <v>9.3164109504477573E-6</v>
      </c>
      <c r="I98" s="1157">
        <f t="shared" si="17"/>
        <v>161.43609674906628</v>
      </c>
      <c r="J98" s="1133">
        <f t="shared" si="19"/>
        <v>9.3164109504477556E-6</v>
      </c>
      <c r="L98" s="1157">
        <f t="shared" si="14"/>
        <v>161.43609674906628</v>
      </c>
      <c r="M98" s="1133">
        <f t="shared" si="20"/>
        <v>9.3164109504477556E-6</v>
      </c>
      <c r="N98" s="1157">
        <f t="shared" si="15"/>
        <v>199.99999999999997</v>
      </c>
      <c r="O98" s="1133">
        <f t="shared" si="21"/>
        <v>9.3164109504477556E-6</v>
      </c>
    </row>
    <row r="99" spans="2:16" ht="12.75" customHeight="1" x14ac:dyDescent="0.2">
      <c r="B99" s="1143" t="s">
        <v>957</v>
      </c>
      <c r="C99" s="1178">
        <f>SUM(C76:C98)</f>
        <v>1495920.1199999999</v>
      </c>
      <c r="D99" s="1145"/>
      <c r="E99" s="1178">
        <f>SUM(E76:E98)</f>
        <v>1520996.1199999999</v>
      </c>
      <c r="F99" s="1133">
        <f t="shared" si="18"/>
        <v>7.0851124539782748E-2</v>
      </c>
      <c r="G99" s="1178">
        <f>SUM(G76:G98)</f>
        <v>299379.02395006426</v>
      </c>
      <c r="H99" s="1133">
        <f t="shared" si="22"/>
        <v>7.2325096319061269E-2</v>
      </c>
      <c r="I99" s="1178">
        <f>SUM(I76:I98)</f>
        <v>1221617.0960499356</v>
      </c>
      <c r="J99" s="1133">
        <f t="shared" si="19"/>
        <v>7.0499021718695223E-2</v>
      </c>
      <c r="L99" s="1178">
        <f>SUM(L76:L98)</f>
        <v>1044417.9660499356</v>
      </c>
      <c r="M99" s="1133">
        <f t="shared" si="20"/>
        <v>6.0272932582584073E-2</v>
      </c>
      <c r="N99" s="1178">
        <f>SUM(N76:N98)</f>
        <v>1343796.9899999998</v>
      </c>
      <c r="O99" s="1133">
        <f t="shared" si="21"/>
        <v>6.2596824964073663E-2</v>
      </c>
    </row>
    <row r="100" spans="2:16" ht="12.75" customHeight="1" x14ac:dyDescent="0.2">
      <c r="B100" s="1143"/>
      <c r="C100" s="1157"/>
      <c r="D100" s="1145"/>
      <c r="E100" s="1157"/>
      <c r="F100" s="1133"/>
      <c r="G100" s="1132"/>
      <c r="H100" s="1133"/>
      <c r="I100" s="1132"/>
      <c r="J100" s="1133"/>
      <c r="L100" s="1132"/>
      <c r="M100" s="1133"/>
      <c r="N100" s="1132"/>
      <c r="O100" s="1133"/>
    </row>
    <row r="101" spans="2:16" ht="12.75" customHeight="1" x14ac:dyDescent="0.2">
      <c r="B101" s="1143" t="s">
        <v>958</v>
      </c>
      <c r="C101" s="1183">
        <f>+C48+C65+C99</f>
        <v>4695966.5029999996</v>
      </c>
      <c r="D101" s="1145"/>
      <c r="E101" s="1183">
        <f>+E48+E65+E99</f>
        <v>6816582.273</v>
      </c>
      <c r="F101" s="1133">
        <f t="shared" si="18"/>
        <v>0.31753040866402626</v>
      </c>
      <c r="G101" s="1183">
        <f>+G48+G65+G99</f>
        <v>1381001.2695047287</v>
      </c>
      <c r="H101" s="1133">
        <f>+G101/G$10</f>
        <v>0.33362741489308662</v>
      </c>
      <c r="I101" s="1183">
        <f>+I48+I65+I99</f>
        <v>5435581.0034952704</v>
      </c>
      <c r="J101" s="1133">
        <f>+I101/I$10</f>
        <v>0.31368515098406596</v>
      </c>
      <c r="L101" s="1183">
        <f>+L48+L65+L99</f>
        <v>4674440.9834952708</v>
      </c>
      <c r="M101" s="1133">
        <f>+L101/L$10</f>
        <v>0.26976007251679912</v>
      </c>
      <c r="N101" s="1183">
        <f>+N48+N65+N99</f>
        <v>6055442.2529999986</v>
      </c>
      <c r="O101" s="1133">
        <f>+N101/N$10</f>
        <v>0.2820749425782661</v>
      </c>
    </row>
    <row r="102" spans="2:16" ht="12.75" customHeight="1" x14ac:dyDescent="0.2">
      <c r="B102" s="1143"/>
      <c r="C102" s="1157"/>
      <c r="D102" s="1145"/>
      <c r="E102" s="1157"/>
      <c r="F102" s="1133"/>
      <c r="G102" s="1132"/>
      <c r="H102" s="1133"/>
      <c r="I102" s="1132"/>
      <c r="J102" s="1133"/>
      <c r="L102" s="1132"/>
      <c r="M102" s="1133"/>
      <c r="N102" s="1132"/>
      <c r="O102" s="1133"/>
    </row>
    <row r="103" spans="2:16" ht="12.75" customHeight="1" x14ac:dyDescent="0.2">
      <c r="B103" s="1143" t="s">
        <v>959</v>
      </c>
      <c r="C103" s="1157"/>
      <c r="D103" s="1145"/>
      <c r="E103" s="1157"/>
      <c r="F103" s="1133"/>
      <c r="G103" s="1132"/>
      <c r="H103" s="1133"/>
      <c r="I103" s="1132"/>
      <c r="J103" s="1133"/>
      <c r="L103" s="1132"/>
      <c r="M103" s="1133"/>
      <c r="N103" s="1132"/>
      <c r="O103" s="1133"/>
    </row>
    <row r="104" spans="2:16" ht="12.75" customHeight="1" x14ac:dyDescent="0.2">
      <c r="B104" s="1171" t="s">
        <v>960</v>
      </c>
      <c r="C104" s="1157"/>
      <c r="D104" s="1145"/>
      <c r="E104" s="1157">
        <f>86670+224000+30628+27800+22681+95000+37500+81000</f>
        <v>605279</v>
      </c>
      <c r="F104" s="1133">
        <f t="shared" si="18"/>
        <v>2.8195139518380336E-2</v>
      </c>
      <c r="G104" s="1169"/>
      <c r="H104" s="1133">
        <f>+G104/G$10</f>
        <v>0</v>
      </c>
      <c r="I104" s="1169">
        <f>+E104</f>
        <v>605279</v>
      </c>
      <c r="J104" s="1133">
        <f>+I104/I$10</f>
        <v>3.4930402910083258E-2</v>
      </c>
      <c r="K104" s="1181">
        <f>-86670-224000-30628-27800-22681-95000-118500</f>
        <v>-605279</v>
      </c>
      <c r="L104" s="1169">
        <f>+I104+K104</f>
        <v>0</v>
      </c>
      <c r="M104" s="1133">
        <f>+L104/L$10</f>
        <v>0</v>
      </c>
      <c r="N104" s="1169">
        <f>+L104+G104</f>
        <v>0</v>
      </c>
      <c r="O104" s="1133">
        <f>+N104/N$10</f>
        <v>0</v>
      </c>
      <c r="P104" s="1182" t="s">
        <v>961</v>
      </c>
    </row>
    <row r="105" spans="2:16" ht="12.75" customHeight="1" x14ac:dyDescent="0.2">
      <c r="B105" s="1143"/>
      <c r="C105" s="1157"/>
      <c r="D105" s="1145"/>
      <c r="E105" s="1157"/>
      <c r="F105" s="1133"/>
      <c r="G105" s="1132"/>
      <c r="H105" s="1133"/>
      <c r="I105" s="1132"/>
      <c r="J105" s="1133"/>
      <c r="L105" s="1132"/>
      <c r="M105" s="1133"/>
      <c r="N105" s="1132"/>
      <c r="O105" s="1133"/>
    </row>
    <row r="106" spans="2:16" ht="12.75" customHeight="1" x14ac:dyDescent="0.2">
      <c r="B106" s="1143" t="s">
        <v>962</v>
      </c>
      <c r="C106" s="1170">
        <f>+C17-C101</f>
        <v>1862147.887000001</v>
      </c>
      <c r="D106" s="1145"/>
      <c r="E106" s="1170">
        <f>+E17-E101-E104</f>
        <v>1862148.1069999989</v>
      </c>
      <c r="F106" s="1133">
        <f t="shared" si="18"/>
        <v>8.6742685077051754E-2</v>
      </c>
      <c r="G106" s="1170">
        <f>+G17-G101-G104</f>
        <v>350079.36783127114</v>
      </c>
      <c r="H106" s="1133">
        <f>+G106/G$10</f>
        <v>8.4573473664394092E-2</v>
      </c>
      <c r="I106" s="1170">
        <f>+I17-I101-I104</f>
        <v>1512068.7391687296</v>
      </c>
      <c r="J106" s="1133">
        <f>+I106/I$10</f>
        <v>8.7260866950456428E-2</v>
      </c>
      <c r="K106" s="1145"/>
      <c r="L106" s="1170">
        <f>+L17-L101-L104</f>
        <v>2878487.7591687292</v>
      </c>
      <c r="M106" s="1133">
        <f>+L106/L$10</f>
        <v>0.16611634832780653</v>
      </c>
      <c r="N106" s="1170">
        <f>+N17-N101-N104</f>
        <v>3228567.1270000003</v>
      </c>
      <c r="O106" s="1133">
        <f>+N106/N$10</f>
        <v>0.15039329068119228</v>
      </c>
    </row>
    <row r="107" spans="2:16" ht="12.75" customHeight="1" x14ac:dyDescent="0.2">
      <c r="B107" s="1143"/>
      <c r="C107" s="1157"/>
      <c r="D107" s="1145"/>
      <c r="E107" s="1157"/>
      <c r="F107" s="1133"/>
      <c r="G107" s="1157"/>
      <c r="H107" s="1133"/>
      <c r="I107" s="1157"/>
      <c r="J107" s="1133"/>
      <c r="L107" s="1157"/>
      <c r="M107" s="1133"/>
      <c r="N107" s="1157"/>
      <c r="O107" s="1133"/>
    </row>
    <row r="108" spans="2:16" ht="12.75" customHeight="1" x14ac:dyDescent="0.2">
      <c r="B108" s="1143"/>
      <c r="C108" s="1157"/>
      <c r="D108" s="1145"/>
      <c r="E108" s="1157"/>
      <c r="F108" s="1133"/>
      <c r="G108" s="1157"/>
      <c r="H108" s="1133"/>
      <c r="I108" s="1157"/>
      <c r="J108" s="1133"/>
      <c r="L108" s="1157"/>
      <c r="M108" s="1133"/>
      <c r="N108" s="1157"/>
      <c r="O108" s="1133"/>
    </row>
    <row r="109" spans="2:16" ht="12.75" customHeight="1" x14ac:dyDescent="0.2">
      <c r="B109" s="1171" t="s">
        <v>963</v>
      </c>
      <c r="C109" s="1176">
        <v>550791.93999999994</v>
      </c>
      <c r="D109" s="1145"/>
      <c r="E109" s="1176">
        <v>550791.93999999994</v>
      </c>
      <c r="F109" s="1133">
        <f t="shared" si="18"/>
        <v>2.5657020306171816E-2</v>
      </c>
      <c r="G109" s="1157"/>
      <c r="H109" s="1133"/>
      <c r="I109" s="1157"/>
      <c r="J109" s="1133"/>
      <c r="L109" s="1157"/>
      <c r="M109" s="1133"/>
      <c r="N109" s="1157"/>
      <c r="O109" s="1133"/>
    </row>
    <row r="110" spans="2:16" ht="12.75" customHeight="1" x14ac:dyDescent="0.2">
      <c r="B110" s="1171" t="s">
        <v>964</v>
      </c>
      <c r="C110" s="1176">
        <v>34122.14</v>
      </c>
      <c r="D110" s="1145"/>
      <c r="E110" s="1176">
        <v>34122.14</v>
      </c>
      <c r="F110" s="1133">
        <f t="shared" si="18"/>
        <v>1.5894793937435571E-3</v>
      </c>
      <c r="G110" s="1157"/>
      <c r="H110" s="1133"/>
      <c r="I110" s="1157"/>
      <c r="J110" s="1133"/>
      <c r="L110" s="1157"/>
      <c r="M110" s="1133"/>
      <c r="N110" s="1157"/>
      <c r="O110" s="1133"/>
    </row>
    <row r="111" spans="2:16" ht="12.75" customHeight="1" x14ac:dyDescent="0.2">
      <c r="B111" s="1171" t="s">
        <v>965</v>
      </c>
      <c r="C111" s="1176">
        <v>1743.32</v>
      </c>
      <c r="D111" s="1145"/>
      <c r="E111" s="1176">
        <v>1743.32</v>
      </c>
      <c r="F111" s="1133">
        <f t="shared" si="18"/>
        <v>8.1207427690672913E-5</v>
      </c>
      <c r="G111" s="1157"/>
      <c r="H111" s="1133"/>
      <c r="I111" s="1157"/>
      <c r="J111" s="1133"/>
      <c r="L111" s="1157"/>
      <c r="M111" s="1133"/>
      <c r="N111" s="1157"/>
      <c r="O111" s="1133"/>
    </row>
    <row r="112" spans="2:16" ht="12.75" customHeight="1" x14ac:dyDescent="0.2">
      <c r="B112" s="1143" t="s">
        <v>966</v>
      </c>
      <c r="C112" s="1178">
        <f>SUM(C109:C111)</f>
        <v>586657.39999999991</v>
      </c>
      <c r="D112" s="1145"/>
      <c r="E112" s="1178">
        <f>SUM(E109:E111)</f>
        <v>586657.39999999991</v>
      </c>
      <c r="F112" s="1133">
        <f t="shared" si="18"/>
        <v>2.7327707127606043E-2</v>
      </c>
      <c r="G112" s="1178"/>
      <c r="H112" s="1133"/>
      <c r="I112" s="1178"/>
      <c r="J112" s="1133"/>
      <c r="L112" s="1178"/>
      <c r="M112" s="1133"/>
      <c r="N112" s="1178"/>
      <c r="O112" s="1133"/>
    </row>
    <row r="113" spans="1:15" ht="12.75" customHeight="1" x14ac:dyDescent="0.2">
      <c r="B113" s="1143"/>
      <c r="C113" s="1157"/>
      <c r="D113" s="1145"/>
      <c r="E113" s="1157"/>
      <c r="F113" s="1133"/>
      <c r="G113" s="1157"/>
      <c r="H113" s="1133"/>
      <c r="I113" s="1157"/>
      <c r="J113" s="1133"/>
      <c r="L113" s="1157"/>
      <c r="M113" s="1133"/>
      <c r="N113" s="1157"/>
      <c r="O113" s="1133"/>
    </row>
    <row r="114" spans="1:15" ht="12.75" customHeight="1" x14ac:dyDescent="0.2">
      <c r="A114" s="1129"/>
      <c r="B114" s="1143" t="s">
        <v>967</v>
      </c>
      <c r="C114" s="1170">
        <f>+C106-C112</f>
        <v>1275490.4870000011</v>
      </c>
      <c r="D114" s="1145"/>
      <c r="E114" s="1170">
        <f>+E106-E112</f>
        <v>1275490.706999999</v>
      </c>
      <c r="F114" s="1133">
        <f t="shared" si="18"/>
        <v>5.941497794944571E-2</v>
      </c>
      <c r="G114" s="1170"/>
      <c r="H114" s="1133"/>
      <c r="I114" s="1170"/>
      <c r="J114" s="1133"/>
      <c r="L114" s="1170"/>
      <c r="M114" s="1133"/>
      <c r="N114" s="1170"/>
      <c r="O114" s="1133"/>
    </row>
    <row r="115" spans="1:15" ht="12.75" customHeight="1" x14ac:dyDescent="0.2">
      <c r="B115" s="1143"/>
      <c r="C115" s="1170"/>
      <c r="E115" s="1170"/>
      <c r="F115" s="1133"/>
      <c r="G115" s="1170"/>
      <c r="H115" s="1133"/>
      <c r="I115" s="1170"/>
      <c r="J115" s="1133"/>
      <c r="L115" s="1170"/>
      <c r="M115" s="1133"/>
      <c r="N115" s="1170"/>
      <c r="O115" s="1133"/>
    </row>
    <row r="116" spans="1:15" ht="12.75" customHeight="1" x14ac:dyDescent="0.2">
      <c r="B116" s="1143" t="s">
        <v>9</v>
      </c>
      <c r="C116" s="1170">
        <f>+C106+C31+C54+C81</f>
        <v>2433647.887000001</v>
      </c>
      <c r="D116" s="1145"/>
      <c r="E116" s="1170">
        <f>+E106+E31+E54+E81</f>
        <v>2433648.1069999989</v>
      </c>
      <c r="F116" s="1133">
        <f t="shared" si="18"/>
        <v>0.11336432936795622</v>
      </c>
      <c r="G116" s="1170">
        <f>+G106+G31+G54+G81</f>
        <v>460275.72137081414</v>
      </c>
      <c r="H116" s="1133">
        <f>+G116/G$10</f>
        <v>0.11119511795529854</v>
      </c>
      <c r="I116" s="1170">
        <f>+I106+I31+I54+I81</f>
        <v>1973372.3856291864</v>
      </c>
      <c r="J116" s="1133">
        <f>+I116/I$10</f>
        <v>0.11388251124136088</v>
      </c>
      <c r="K116" s="1184"/>
      <c r="L116" s="1170">
        <f>+L106+L31+L54+L81</f>
        <v>3339791.4056291864</v>
      </c>
      <c r="M116" s="1133">
        <f>+L116/L$10</f>
        <v>0.19273799261871102</v>
      </c>
      <c r="N116" s="1185">
        <f>+N106+N31+N54+N81-SUM(C110:C111)</f>
        <v>3764201.6670000004</v>
      </c>
      <c r="O116" s="1133">
        <f>+N116/N$10</f>
        <v>0.17534424815066252</v>
      </c>
    </row>
    <row r="117" spans="1:15" ht="12.75" customHeight="1" x14ac:dyDescent="0.2">
      <c r="B117" s="1186"/>
      <c r="C117" s="1133">
        <f>+C116/C10</f>
        <v>0.11336431911990427</v>
      </c>
      <c r="E117" s="1133">
        <f>+E116/E10</f>
        <v>0.11336432936795622</v>
      </c>
      <c r="F117" s="1133"/>
      <c r="G117" s="1133"/>
      <c r="H117" s="1133"/>
      <c r="I117" s="1133"/>
      <c r="J117" s="1133"/>
      <c r="K117" s="1133"/>
      <c r="L117" s="1133"/>
      <c r="M117" s="1133"/>
      <c r="N117" s="1184">
        <v>0</v>
      </c>
      <c r="O117" s="1133"/>
    </row>
    <row r="118" spans="1:15" ht="12.75" customHeight="1" x14ac:dyDescent="0.2">
      <c r="B118" s="1187"/>
      <c r="C118" s="1188"/>
      <c r="E118" s="1189"/>
      <c r="G118" s="1132"/>
      <c r="H118" s="1133"/>
      <c r="I118" s="1132"/>
      <c r="J118" s="1133"/>
      <c r="N118" s="1145"/>
      <c r="O118" s="1133"/>
    </row>
    <row r="119" spans="1:15" ht="12.75" customHeight="1" x14ac:dyDescent="0.25">
      <c r="B119" s="1156"/>
      <c r="C119" s="1190"/>
      <c r="E119" s="1132"/>
      <c r="G119" s="1132"/>
      <c r="H119" s="1133"/>
      <c r="I119" s="1132"/>
      <c r="J119" s="1133"/>
      <c r="N119" s="1184"/>
      <c r="O119" s="1133"/>
    </row>
    <row r="120" spans="1:15" x14ac:dyDescent="0.25">
      <c r="C120" s="1191"/>
      <c r="E120" s="1191">
        <f>+E116-G116-I116</f>
        <v>0</v>
      </c>
      <c r="G120" s="1132"/>
      <c r="H120" s="1133"/>
      <c r="I120" s="1132"/>
      <c r="J120" s="1133"/>
      <c r="K120" s="1192"/>
      <c r="N120" s="1184"/>
    </row>
    <row r="121" spans="1:15" x14ac:dyDescent="0.25">
      <c r="C121" s="1193"/>
      <c r="E121" s="1184"/>
      <c r="G121" s="1132"/>
      <c r="H121" s="1133"/>
      <c r="I121" s="1132"/>
      <c r="J121" s="1133"/>
      <c r="K121" s="1145"/>
      <c r="N121" s="1184"/>
    </row>
    <row r="122" spans="1:15" x14ac:dyDescent="0.25">
      <c r="C122" s="1191"/>
      <c r="G122" s="1132"/>
      <c r="H122" s="1133"/>
      <c r="I122" s="1132"/>
      <c r="J122" s="1133"/>
      <c r="N122" s="1184"/>
    </row>
    <row r="123" spans="1:15" x14ac:dyDescent="0.25">
      <c r="E123" s="1192"/>
      <c r="G123" s="1132"/>
      <c r="H123" s="1133"/>
      <c r="I123" s="1132"/>
      <c r="J123" s="1133"/>
      <c r="N123" s="1184"/>
    </row>
    <row r="124" spans="1:15" x14ac:dyDescent="0.25">
      <c r="E124" s="1192"/>
      <c r="G124" s="1132"/>
      <c r="H124" s="1133"/>
      <c r="I124" s="1132"/>
      <c r="J124" s="1133"/>
      <c r="N124" s="1192"/>
    </row>
    <row r="125" spans="1:15" x14ac:dyDescent="0.25">
      <c r="G125" s="1132"/>
      <c r="H125" s="1133"/>
      <c r="I125" s="1132"/>
      <c r="J125" s="1133"/>
      <c r="N125" s="1129"/>
    </row>
    <row r="126" spans="1:15" x14ac:dyDescent="0.25">
      <c r="G126" s="1132"/>
      <c r="H126" s="1133"/>
      <c r="I126" s="1132"/>
      <c r="J126" s="1133"/>
    </row>
    <row r="127" spans="1:15" x14ac:dyDescent="0.25">
      <c r="G127" s="1132"/>
      <c r="H127" s="1133"/>
      <c r="I127" s="1132"/>
      <c r="J127" s="1133"/>
    </row>
    <row r="128" spans="1:15" x14ac:dyDescent="0.25">
      <c r="G128" s="1132"/>
      <c r="H128" s="1133"/>
      <c r="I128" s="1132"/>
      <c r="J128" s="1133"/>
    </row>
    <row r="129" spans="3:10" x14ac:dyDescent="0.25">
      <c r="C129" s="1128"/>
      <c r="G129" s="1132"/>
      <c r="H129" s="1133"/>
      <c r="I129" s="1132"/>
      <c r="J129" s="1133"/>
    </row>
    <row r="130" spans="3:10" x14ac:dyDescent="0.25">
      <c r="G130" s="1132"/>
      <c r="H130" s="1133"/>
      <c r="I130" s="1132"/>
      <c r="J130" s="1133"/>
    </row>
    <row r="131" spans="3:10" x14ac:dyDescent="0.25">
      <c r="G131" s="1132"/>
      <c r="H131" s="1133"/>
      <c r="I131" s="1132"/>
      <c r="J131" s="1133"/>
    </row>
    <row r="132" spans="3:10" x14ac:dyDescent="0.25">
      <c r="G132" s="1132"/>
      <c r="H132" s="1133"/>
      <c r="I132" s="1132"/>
      <c r="J132" s="1133"/>
    </row>
    <row r="133" spans="3:10" x14ac:dyDescent="0.25">
      <c r="G133" s="1132"/>
      <c r="H133" s="1133"/>
      <c r="I133" s="1132"/>
      <c r="J133" s="1133"/>
    </row>
  </sheetData>
  <mergeCells count="3">
    <mergeCell ref="E1:O1"/>
    <mergeCell ref="E4:O4"/>
    <mergeCell ref="I5:L5"/>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AV78"/>
  <sheetViews>
    <sheetView showGridLines="0" zoomScaleNormal="100" zoomScaleSheetLayoutView="85" zoomScalePageLayoutView="80" workbookViewId="0">
      <pane xSplit="3" ySplit="9" topLeftCell="U34" activePane="bottomRight" state="frozen"/>
      <selection activeCell="AJ9" sqref="AJ9"/>
      <selection pane="topRight" activeCell="AJ9" sqref="AJ9"/>
      <selection pane="bottomLeft" activeCell="AJ9" sqref="AJ9"/>
      <selection pane="bottomRight" activeCell="AD42" sqref="AD42"/>
    </sheetView>
  </sheetViews>
  <sheetFormatPr defaultColWidth="8.85546875" defaultRowHeight="12.75" outlineLevelRow="1" outlineLevelCol="2" x14ac:dyDescent="0.2"/>
  <cols>
    <col min="1" max="1" width="32.85546875" style="106" bestFit="1" customWidth="1"/>
    <col min="2" max="2" width="11" style="106" customWidth="1"/>
    <col min="3" max="3" width="11" style="106" bestFit="1" customWidth="1" outlineLevel="1"/>
    <col min="4" max="4" width="12.7109375" style="229" bestFit="1" customWidth="1" outlineLevel="1"/>
    <col min="5" max="5" width="12.85546875" style="229" bestFit="1" customWidth="1" outlineLevel="1"/>
    <col min="6" max="6" width="11.42578125" style="229" bestFit="1" customWidth="1"/>
    <col min="7" max="7" width="10.85546875" style="229" bestFit="1" customWidth="1"/>
    <col min="8" max="31" width="12" style="229" customWidth="1" outlineLevel="2"/>
    <col min="32" max="32" width="1.28515625" style="229" customWidth="1" outlineLevel="1"/>
    <col min="33" max="33" width="9.85546875" style="229" customWidth="1" outlineLevel="1"/>
    <col min="34" max="34" width="8.5703125" style="229" bestFit="1" customWidth="1"/>
    <col min="35" max="35" width="8.42578125" style="229" bestFit="1" customWidth="1"/>
    <col min="36" max="39" width="9.42578125" style="229" bestFit="1" customWidth="1"/>
    <col min="40" max="40" width="1.5703125" style="229" customWidth="1"/>
    <col min="41" max="42" width="10.85546875" style="229" bestFit="1" customWidth="1"/>
    <col min="43" max="43" width="7.7109375" style="229" bestFit="1" customWidth="1" collapsed="1"/>
    <col min="44" max="48" width="7.7109375" style="229" bestFit="1" customWidth="1"/>
    <col min="49" max="51" width="6.5703125" style="229" customWidth="1"/>
    <col min="52" max="16370" width="8.85546875" style="229"/>
    <col min="16371" max="16371" width="8.85546875" style="229" customWidth="1"/>
    <col min="16372" max="16384" width="8.85546875" style="229"/>
  </cols>
  <sheetData>
    <row r="1" spans="1:48" x14ac:dyDescent="0.2">
      <c r="A1" s="107" t="str">
        <f>'Valuation &amp; Sources &amp; Uses'!B2</f>
        <v>Colorado Timberline</v>
      </c>
      <c r="B1" s="451"/>
      <c r="C1" s="451"/>
      <c r="D1" s="452"/>
      <c r="E1" s="452"/>
      <c r="F1" s="452"/>
      <c r="G1" s="452"/>
      <c r="H1" s="452"/>
      <c r="I1" s="452"/>
      <c r="J1" s="452"/>
      <c r="K1" s="452"/>
      <c r="L1" s="452"/>
      <c r="M1" s="452"/>
      <c r="N1" s="452"/>
      <c r="O1" s="452"/>
      <c r="P1" s="452"/>
      <c r="Q1" s="452"/>
      <c r="R1" s="452"/>
      <c r="S1" s="452"/>
      <c r="T1" s="452"/>
      <c r="U1" s="452"/>
      <c r="V1" s="452"/>
      <c r="W1" s="452"/>
      <c r="X1" s="452"/>
      <c r="Y1" s="452"/>
      <c r="Z1" s="452"/>
      <c r="AA1" s="452"/>
      <c r="AB1" s="452"/>
      <c r="AC1" s="452"/>
      <c r="AD1" s="452"/>
      <c r="AE1" s="452"/>
      <c r="AF1" s="452"/>
      <c r="AG1" s="452"/>
      <c r="AH1" s="452"/>
      <c r="AI1" s="452"/>
      <c r="AJ1" s="452"/>
      <c r="AK1" s="452"/>
      <c r="AL1" s="452"/>
      <c r="AM1" s="452"/>
      <c r="AN1" s="452"/>
      <c r="AO1" s="452"/>
      <c r="AP1" s="452"/>
      <c r="AQ1" s="452"/>
      <c r="AR1" s="452"/>
      <c r="AS1" s="452"/>
      <c r="AT1" s="452"/>
      <c r="AU1" s="452"/>
      <c r="AV1" s="439"/>
    </row>
    <row r="2" spans="1:48" x14ac:dyDescent="0.2">
      <c r="A2" s="110" t="str">
        <f ca="1">REPLACE(CELL("filename",C2),1,FIND("]",CELL("filename",C2)),"")</f>
        <v>Summary Income Statement</v>
      </c>
      <c r="B2" s="196"/>
      <c r="C2" s="187"/>
      <c r="D2" s="453"/>
      <c r="E2" s="187"/>
      <c r="F2" s="187"/>
      <c r="G2" s="174"/>
      <c r="H2" s="174"/>
      <c r="I2" s="174"/>
      <c r="J2" s="174"/>
      <c r="K2" s="174"/>
      <c r="L2" s="174"/>
      <c r="M2" s="174"/>
      <c r="N2" s="174"/>
      <c r="O2" s="174"/>
      <c r="P2" s="174"/>
      <c r="Q2" s="174"/>
      <c r="R2" s="174"/>
      <c r="S2" s="174"/>
      <c r="T2" s="174"/>
      <c r="U2" s="174"/>
      <c r="V2" s="174"/>
      <c r="W2" s="174"/>
      <c r="X2" s="174"/>
      <c r="Y2" s="174"/>
      <c r="Z2" s="174"/>
      <c r="AA2" s="174"/>
      <c r="AB2" s="174"/>
      <c r="AC2" s="174"/>
      <c r="AD2" s="174"/>
      <c r="AE2" s="174"/>
      <c r="AF2" s="174"/>
      <c r="AG2" s="174"/>
      <c r="AH2" s="174"/>
      <c r="AI2" s="174"/>
      <c r="AJ2" s="174"/>
      <c r="AK2" s="174"/>
      <c r="AL2" s="174"/>
      <c r="AM2" s="174"/>
      <c r="AN2" s="174"/>
      <c r="AO2" s="174"/>
      <c r="AP2" s="174"/>
      <c r="AQ2" s="174"/>
      <c r="AR2" s="174"/>
      <c r="AS2" s="174"/>
      <c r="AT2" s="174"/>
      <c r="AU2" s="174"/>
      <c r="AV2" s="164"/>
    </row>
    <row r="3" spans="1:48" ht="15.75" x14ac:dyDescent="0.25">
      <c r="A3" s="110" t="str">
        <f>Economics!$A$3</f>
        <v>Financial Model_v12 - Term + Mezzanine</v>
      </c>
      <c r="B3" s="454"/>
      <c r="C3" s="232">
        <v>2010</v>
      </c>
      <c r="D3" s="232">
        <v>2011</v>
      </c>
      <c r="E3" s="232">
        <v>2012</v>
      </c>
      <c r="F3" s="232">
        <v>2013</v>
      </c>
      <c r="G3" s="232">
        <f>YEAR(G6)</f>
        <v>2014</v>
      </c>
      <c r="H3" s="232">
        <f>YEAR(H9)</f>
        <v>2015</v>
      </c>
      <c r="I3" s="232">
        <f t="shared" ref="I3:AA3" si="0">YEAR(I9)</f>
        <v>2015</v>
      </c>
      <c r="J3" s="232">
        <f t="shared" si="0"/>
        <v>2015</v>
      </c>
      <c r="K3" s="232">
        <f t="shared" si="0"/>
        <v>2015</v>
      </c>
      <c r="L3" s="232">
        <f t="shared" si="0"/>
        <v>2016</v>
      </c>
      <c r="M3" s="232">
        <f t="shared" si="0"/>
        <v>2016</v>
      </c>
      <c r="N3" s="232">
        <f t="shared" si="0"/>
        <v>2016</v>
      </c>
      <c r="O3" s="232">
        <f t="shared" si="0"/>
        <v>2016</v>
      </c>
      <c r="P3" s="232">
        <f t="shared" si="0"/>
        <v>2017</v>
      </c>
      <c r="Q3" s="232">
        <f t="shared" si="0"/>
        <v>2017</v>
      </c>
      <c r="R3" s="232">
        <f t="shared" si="0"/>
        <v>2017</v>
      </c>
      <c r="S3" s="232">
        <f t="shared" si="0"/>
        <v>2017</v>
      </c>
      <c r="T3" s="232">
        <f t="shared" si="0"/>
        <v>2018</v>
      </c>
      <c r="U3" s="232">
        <f t="shared" si="0"/>
        <v>2018</v>
      </c>
      <c r="V3" s="232">
        <f t="shared" si="0"/>
        <v>2018</v>
      </c>
      <c r="W3" s="232">
        <f t="shared" si="0"/>
        <v>2018</v>
      </c>
      <c r="X3" s="232">
        <f t="shared" si="0"/>
        <v>2019</v>
      </c>
      <c r="Y3" s="232">
        <f t="shared" si="0"/>
        <v>2019</v>
      </c>
      <c r="Z3" s="232">
        <f t="shared" si="0"/>
        <v>2019</v>
      </c>
      <c r="AA3" s="232">
        <f t="shared" si="0"/>
        <v>2019</v>
      </c>
      <c r="AB3" s="232">
        <f>YEAR(AB9)</f>
        <v>2020</v>
      </c>
      <c r="AC3" s="232">
        <f>YEAR(AC9)</f>
        <v>2020</v>
      </c>
      <c r="AD3" s="232">
        <f>YEAR(AD9)</f>
        <v>2020</v>
      </c>
      <c r="AE3" s="232">
        <f>YEAR(AE9)</f>
        <v>2020</v>
      </c>
      <c r="AF3" s="174"/>
      <c r="AG3" s="232">
        <v>2014</v>
      </c>
      <c r="AH3" s="232">
        <f>AG3+1</f>
        <v>2015</v>
      </c>
      <c r="AI3" s="232">
        <f>AH3+1</f>
        <v>2016</v>
      </c>
      <c r="AJ3" s="232">
        <f>AI3+1</f>
        <v>2017</v>
      </c>
      <c r="AK3" s="232">
        <f>AJ3+1</f>
        <v>2018</v>
      </c>
      <c r="AL3" s="232">
        <f>AK3+1</f>
        <v>2019</v>
      </c>
      <c r="AM3" s="455">
        <v>2020</v>
      </c>
      <c r="AN3" s="174"/>
      <c r="AO3" s="232">
        <v>2014</v>
      </c>
      <c r="AP3" s="232">
        <v>2014</v>
      </c>
      <c r="AQ3" s="232">
        <v>2015</v>
      </c>
      <c r="AR3" s="232">
        <v>2016</v>
      </c>
      <c r="AS3" s="232">
        <v>2017</v>
      </c>
      <c r="AT3" s="232">
        <v>2018</v>
      </c>
      <c r="AU3" s="232">
        <v>2019</v>
      </c>
      <c r="AV3" s="456">
        <v>2020</v>
      </c>
    </row>
    <row r="4" spans="1:48" x14ac:dyDescent="0.2">
      <c r="A4" s="110"/>
      <c r="B4" s="196"/>
      <c r="C4" s="232"/>
      <c r="D4" s="232"/>
      <c r="E4" s="232"/>
      <c r="F4" s="232"/>
      <c r="G4" s="232"/>
      <c r="H4" s="232">
        <f>ROUNDUP(MONTH(H6)/3,0)</f>
        <v>1</v>
      </c>
      <c r="I4" s="232">
        <f t="shared" ref="I4:AA4" si="1">ROUNDUP(MONTH(I6)/3,0)</f>
        <v>2</v>
      </c>
      <c r="J4" s="232">
        <f t="shared" si="1"/>
        <v>3</v>
      </c>
      <c r="K4" s="232">
        <f t="shared" si="1"/>
        <v>4</v>
      </c>
      <c r="L4" s="232">
        <f>ROUNDUP(MONTH(L6)/3,0)</f>
        <v>1</v>
      </c>
      <c r="M4" s="232">
        <f t="shared" si="1"/>
        <v>2</v>
      </c>
      <c r="N4" s="232">
        <f t="shared" si="1"/>
        <v>3</v>
      </c>
      <c r="O4" s="232">
        <f t="shared" si="1"/>
        <v>4</v>
      </c>
      <c r="P4" s="232">
        <f>ROUNDUP(MONTH(P6)/3,0)</f>
        <v>1</v>
      </c>
      <c r="Q4" s="232">
        <f t="shared" si="1"/>
        <v>2</v>
      </c>
      <c r="R4" s="232">
        <f t="shared" si="1"/>
        <v>3</v>
      </c>
      <c r="S4" s="232">
        <f t="shared" si="1"/>
        <v>4</v>
      </c>
      <c r="T4" s="232">
        <f>ROUNDUP(MONTH(T6)/3,0)</f>
        <v>1</v>
      </c>
      <c r="U4" s="232">
        <f t="shared" si="1"/>
        <v>2</v>
      </c>
      <c r="V4" s="232">
        <f t="shared" si="1"/>
        <v>3</v>
      </c>
      <c r="W4" s="232">
        <f t="shared" si="1"/>
        <v>4</v>
      </c>
      <c r="X4" s="232">
        <f>ROUNDUP(MONTH(X6)/3,0)</f>
        <v>1</v>
      </c>
      <c r="Y4" s="232">
        <f t="shared" si="1"/>
        <v>2</v>
      </c>
      <c r="Z4" s="232">
        <f t="shared" si="1"/>
        <v>3</v>
      </c>
      <c r="AA4" s="232">
        <f t="shared" si="1"/>
        <v>4</v>
      </c>
      <c r="AB4" s="232">
        <f>ROUNDUP(MONTH(AB6)/3,0)</f>
        <v>1</v>
      </c>
      <c r="AC4" s="232">
        <f>ROUNDUP(MONTH(AC6)/3,0)</f>
        <v>2</v>
      </c>
      <c r="AD4" s="232">
        <f>ROUNDUP(MONTH(AD6)/3,0)</f>
        <v>3</v>
      </c>
      <c r="AE4" s="232">
        <f>ROUNDUP(MONTH(AE6)/3,0)</f>
        <v>4</v>
      </c>
      <c r="AF4" s="174"/>
      <c r="AG4" s="174"/>
      <c r="AH4" s="174"/>
      <c r="AI4" s="174"/>
      <c r="AJ4" s="174"/>
      <c r="AK4" s="174"/>
      <c r="AL4" s="174"/>
      <c r="AM4" s="174"/>
      <c r="AN4" s="174"/>
      <c r="AO4" s="232"/>
      <c r="AP4" s="232"/>
      <c r="AQ4" s="174"/>
      <c r="AR4" s="174"/>
      <c r="AS4" s="174"/>
      <c r="AT4" s="174"/>
      <c r="AU4" s="174"/>
      <c r="AV4" s="164"/>
    </row>
    <row r="5" spans="1:48" x14ac:dyDescent="0.2">
      <c r="A5" s="110"/>
      <c r="B5" s="196"/>
      <c r="C5" s="232">
        <f t="shared" ref="C5:AE5" si="2">YEAR(C6)</f>
        <v>2010</v>
      </c>
      <c r="D5" s="232">
        <f t="shared" si="2"/>
        <v>2011</v>
      </c>
      <c r="E5" s="232">
        <f t="shared" si="2"/>
        <v>2012</v>
      </c>
      <c r="F5" s="232">
        <f t="shared" si="2"/>
        <v>2013</v>
      </c>
      <c r="G5" s="232">
        <f t="shared" si="2"/>
        <v>2014</v>
      </c>
      <c r="H5" s="232">
        <f t="shared" si="2"/>
        <v>2015</v>
      </c>
      <c r="I5" s="232">
        <f t="shared" si="2"/>
        <v>2015</v>
      </c>
      <c r="J5" s="232">
        <f t="shared" si="2"/>
        <v>2015</v>
      </c>
      <c r="K5" s="232">
        <f t="shared" si="2"/>
        <v>2015</v>
      </c>
      <c r="L5" s="232">
        <f t="shared" si="2"/>
        <v>2016</v>
      </c>
      <c r="M5" s="232">
        <f t="shared" si="2"/>
        <v>2016</v>
      </c>
      <c r="N5" s="232">
        <f t="shared" si="2"/>
        <v>2016</v>
      </c>
      <c r="O5" s="232">
        <f t="shared" si="2"/>
        <v>2016</v>
      </c>
      <c r="P5" s="232">
        <f t="shared" si="2"/>
        <v>2017</v>
      </c>
      <c r="Q5" s="232">
        <f t="shared" si="2"/>
        <v>2017</v>
      </c>
      <c r="R5" s="232">
        <f t="shared" si="2"/>
        <v>2017</v>
      </c>
      <c r="S5" s="232">
        <f t="shared" si="2"/>
        <v>2017</v>
      </c>
      <c r="T5" s="232">
        <f t="shared" si="2"/>
        <v>2018</v>
      </c>
      <c r="U5" s="232">
        <f t="shared" si="2"/>
        <v>2018</v>
      </c>
      <c r="V5" s="232">
        <f t="shared" si="2"/>
        <v>2018</v>
      </c>
      <c r="W5" s="232">
        <f t="shared" si="2"/>
        <v>2018</v>
      </c>
      <c r="X5" s="232">
        <f t="shared" si="2"/>
        <v>2019</v>
      </c>
      <c r="Y5" s="232">
        <f t="shared" si="2"/>
        <v>2019</v>
      </c>
      <c r="Z5" s="232">
        <f t="shared" si="2"/>
        <v>2019</v>
      </c>
      <c r="AA5" s="232">
        <f t="shared" si="2"/>
        <v>2019</v>
      </c>
      <c r="AB5" s="232">
        <f t="shared" si="2"/>
        <v>2020</v>
      </c>
      <c r="AC5" s="232">
        <f t="shared" si="2"/>
        <v>2020</v>
      </c>
      <c r="AD5" s="232">
        <f t="shared" si="2"/>
        <v>2020</v>
      </c>
      <c r="AE5" s="232">
        <f t="shared" si="2"/>
        <v>2020</v>
      </c>
      <c r="AF5" s="174"/>
      <c r="AG5" s="174"/>
      <c r="AH5" s="174"/>
      <c r="AI5" s="174"/>
      <c r="AJ5" s="174"/>
      <c r="AK5" s="174"/>
      <c r="AL5" s="174"/>
      <c r="AM5" s="174"/>
      <c r="AN5" s="174"/>
      <c r="AO5" s="232">
        <v>2014</v>
      </c>
      <c r="AP5" s="232">
        <v>2014</v>
      </c>
      <c r="AQ5" s="174"/>
      <c r="AR5" s="174"/>
      <c r="AS5" s="174"/>
      <c r="AT5" s="174"/>
      <c r="AU5" s="174"/>
      <c r="AV5" s="164"/>
    </row>
    <row r="6" spans="1:48" x14ac:dyDescent="0.2">
      <c r="A6" s="125"/>
      <c r="B6" s="111"/>
      <c r="C6" s="457">
        <v>40543</v>
      </c>
      <c r="D6" s="457">
        <v>40908</v>
      </c>
      <c r="E6" s="457">
        <v>41274</v>
      </c>
      <c r="F6" s="457">
        <v>41639</v>
      </c>
      <c r="G6" s="457">
        <v>42004</v>
      </c>
      <c r="H6" s="457">
        <f>H9</f>
        <v>42094</v>
      </c>
      <c r="I6" s="457">
        <f>I9</f>
        <v>42185</v>
      </c>
      <c r="J6" s="457">
        <f t="shared" ref="J6:W6" si="3">J9</f>
        <v>42277</v>
      </c>
      <c r="K6" s="457">
        <f t="shared" si="3"/>
        <v>42369</v>
      </c>
      <c r="L6" s="457">
        <f t="shared" si="3"/>
        <v>42460</v>
      </c>
      <c r="M6" s="457">
        <f t="shared" si="3"/>
        <v>42551</v>
      </c>
      <c r="N6" s="457">
        <f t="shared" si="3"/>
        <v>42643</v>
      </c>
      <c r="O6" s="457">
        <f t="shared" si="3"/>
        <v>42735</v>
      </c>
      <c r="P6" s="457">
        <f t="shared" si="3"/>
        <v>42825</v>
      </c>
      <c r="Q6" s="457">
        <f t="shared" si="3"/>
        <v>42916</v>
      </c>
      <c r="R6" s="457">
        <f t="shared" si="3"/>
        <v>43008</v>
      </c>
      <c r="S6" s="457">
        <f t="shared" si="3"/>
        <v>43100</v>
      </c>
      <c r="T6" s="457">
        <f t="shared" si="3"/>
        <v>43190</v>
      </c>
      <c r="U6" s="457">
        <f t="shared" si="3"/>
        <v>43281</v>
      </c>
      <c r="V6" s="457">
        <f t="shared" si="3"/>
        <v>43373</v>
      </c>
      <c r="W6" s="457">
        <f t="shared" si="3"/>
        <v>43465</v>
      </c>
      <c r="X6" s="457">
        <f t="shared" ref="X6:AE6" si="4">X9</f>
        <v>43555</v>
      </c>
      <c r="Y6" s="457">
        <f t="shared" si="4"/>
        <v>43646</v>
      </c>
      <c r="Z6" s="457">
        <f t="shared" si="4"/>
        <v>43738</v>
      </c>
      <c r="AA6" s="457">
        <f t="shared" si="4"/>
        <v>43830</v>
      </c>
      <c r="AB6" s="457">
        <f t="shared" si="4"/>
        <v>43921</v>
      </c>
      <c r="AC6" s="457">
        <f t="shared" si="4"/>
        <v>44012</v>
      </c>
      <c r="AD6" s="457">
        <f t="shared" si="4"/>
        <v>44104</v>
      </c>
      <c r="AE6" s="457">
        <f t="shared" si="4"/>
        <v>44196</v>
      </c>
      <c r="AF6" s="174"/>
      <c r="AG6" s="174"/>
      <c r="AH6" s="174"/>
      <c r="AI6" s="174"/>
      <c r="AJ6" s="174"/>
      <c r="AK6" s="174"/>
      <c r="AL6" s="174"/>
      <c r="AM6" s="174"/>
      <c r="AN6" s="174"/>
      <c r="AO6" s="457">
        <v>41973</v>
      </c>
      <c r="AP6" s="457">
        <v>42004</v>
      </c>
      <c r="AQ6" s="174"/>
      <c r="AR6" s="174"/>
      <c r="AS6" s="174"/>
      <c r="AT6" s="174"/>
      <c r="AU6" s="174"/>
      <c r="AV6" s="164"/>
    </row>
    <row r="7" spans="1:48" ht="15" x14ac:dyDescent="0.35">
      <c r="A7" s="125"/>
      <c r="B7" s="111"/>
      <c r="C7" s="457"/>
      <c r="D7" s="457"/>
      <c r="E7" s="457"/>
      <c r="F7" s="457"/>
      <c r="G7" s="128"/>
      <c r="H7" s="458"/>
      <c r="I7" s="458"/>
      <c r="J7" s="458"/>
      <c r="K7" s="458"/>
      <c r="L7" s="458"/>
      <c r="M7" s="458"/>
      <c r="N7" s="458"/>
      <c r="O7" s="458"/>
      <c r="P7" s="458"/>
      <c r="Q7" s="458"/>
      <c r="R7" s="458"/>
      <c r="S7" s="458"/>
      <c r="T7" s="458"/>
      <c r="U7" s="458"/>
      <c r="V7" s="458"/>
      <c r="W7" s="458"/>
      <c r="X7" s="458"/>
      <c r="Y7" s="458"/>
      <c r="Z7" s="458"/>
      <c r="AA7" s="458"/>
      <c r="AB7" s="458"/>
      <c r="AC7" s="458"/>
      <c r="AD7" s="458"/>
      <c r="AE7" s="458"/>
      <c r="AF7" s="128"/>
      <c r="AG7" s="128"/>
      <c r="AH7" s="128"/>
      <c r="AI7" s="128"/>
      <c r="AJ7" s="174"/>
      <c r="AK7" s="174"/>
      <c r="AL7" s="174"/>
      <c r="AM7" s="174"/>
      <c r="AN7" s="174"/>
      <c r="AO7" s="459" t="s">
        <v>321</v>
      </c>
      <c r="AP7" s="459"/>
      <c r="AQ7" s="459"/>
      <c r="AR7" s="459"/>
      <c r="AS7" s="459"/>
      <c r="AT7" s="459"/>
      <c r="AU7" s="459"/>
      <c r="AV7" s="460"/>
    </row>
    <row r="8" spans="1:48" ht="15" x14ac:dyDescent="0.35">
      <c r="A8" s="125"/>
      <c r="B8" s="111"/>
      <c r="C8" s="459" t="s">
        <v>98</v>
      </c>
      <c r="D8" s="459"/>
      <c r="E8" s="459"/>
      <c r="F8" s="461"/>
      <c r="G8" s="462"/>
      <c r="H8" s="237"/>
      <c r="I8" s="237"/>
      <c r="J8" s="237" t="s">
        <v>204</v>
      </c>
      <c r="K8" s="237"/>
      <c r="L8" s="237"/>
      <c r="M8" s="237"/>
      <c r="N8" s="237"/>
      <c r="O8" s="237"/>
      <c r="P8" s="237"/>
      <c r="Q8" s="237"/>
      <c r="R8" s="237"/>
      <c r="S8" s="237"/>
      <c r="T8" s="237"/>
      <c r="U8" s="237"/>
      <c r="V8" s="237"/>
      <c r="W8" s="237"/>
      <c r="X8" s="237"/>
      <c r="Y8" s="237"/>
      <c r="Z8" s="237"/>
      <c r="AA8" s="237"/>
      <c r="AB8" s="237"/>
      <c r="AC8" s="237"/>
      <c r="AD8" s="237"/>
      <c r="AE8" s="237"/>
      <c r="AF8" s="174"/>
      <c r="AG8" s="459" t="s">
        <v>204</v>
      </c>
      <c r="AH8" s="459" t="s">
        <v>204</v>
      </c>
      <c r="AI8" s="459"/>
      <c r="AJ8" s="461"/>
      <c r="AK8" s="237"/>
      <c r="AL8" s="237"/>
      <c r="AM8" s="237"/>
      <c r="AN8" s="174"/>
      <c r="AO8" s="459" t="s">
        <v>98</v>
      </c>
      <c r="AP8" s="461"/>
      <c r="AQ8" s="459" t="s">
        <v>204</v>
      </c>
      <c r="AR8" s="459"/>
      <c r="AS8" s="461"/>
      <c r="AT8" s="237"/>
      <c r="AU8" s="237"/>
      <c r="AV8" s="463"/>
    </row>
    <row r="9" spans="1:48" s="106" customFormat="1" x14ac:dyDescent="0.2">
      <c r="A9" s="125"/>
      <c r="B9" s="111"/>
      <c r="C9" s="464" t="s">
        <v>123</v>
      </c>
      <c r="D9" s="464" t="s">
        <v>4</v>
      </c>
      <c r="E9" s="464" t="s">
        <v>7</v>
      </c>
      <c r="F9" s="464" t="s">
        <v>8</v>
      </c>
      <c r="G9" s="464" t="s">
        <v>34</v>
      </c>
      <c r="H9" s="201">
        <v>42094</v>
      </c>
      <c r="I9" s="201">
        <f>EOMONTH(H9,3)</f>
        <v>42185</v>
      </c>
      <c r="J9" s="201">
        <f t="shared" ref="J9:W9" si="5">EOMONTH(I9,3)</f>
        <v>42277</v>
      </c>
      <c r="K9" s="201">
        <f t="shared" si="5"/>
        <v>42369</v>
      </c>
      <c r="L9" s="201">
        <f t="shared" si="5"/>
        <v>42460</v>
      </c>
      <c r="M9" s="201">
        <f t="shared" si="5"/>
        <v>42551</v>
      </c>
      <c r="N9" s="201">
        <f t="shared" si="5"/>
        <v>42643</v>
      </c>
      <c r="O9" s="201">
        <f t="shared" si="5"/>
        <v>42735</v>
      </c>
      <c r="P9" s="201">
        <f t="shared" si="5"/>
        <v>42825</v>
      </c>
      <c r="Q9" s="201">
        <f t="shared" si="5"/>
        <v>42916</v>
      </c>
      <c r="R9" s="201">
        <f t="shared" si="5"/>
        <v>43008</v>
      </c>
      <c r="S9" s="201">
        <f t="shared" si="5"/>
        <v>43100</v>
      </c>
      <c r="T9" s="201">
        <f t="shared" si="5"/>
        <v>43190</v>
      </c>
      <c r="U9" s="201">
        <f t="shared" si="5"/>
        <v>43281</v>
      </c>
      <c r="V9" s="201">
        <f t="shared" si="5"/>
        <v>43373</v>
      </c>
      <c r="W9" s="201">
        <f t="shared" si="5"/>
        <v>43465</v>
      </c>
      <c r="X9" s="201">
        <f t="shared" ref="X9:AE9" si="6">EOMONTH(W9,3)</f>
        <v>43555</v>
      </c>
      <c r="Y9" s="201">
        <f t="shared" si="6"/>
        <v>43646</v>
      </c>
      <c r="Z9" s="201">
        <f t="shared" si="6"/>
        <v>43738</v>
      </c>
      <c r="AA9" s="201">
        <f t="shared" si="6"/>
        <v>43830</v>
      </c>
      <c r="AB9" s="201">
        <f t="shared" si="6"/>
        <v>43921</v>
      </c>
      <c r="AC9" s="201">
        <f t="shared" si="6"/>
        <v>44012</v>
      </c>
      <c r="AD9" s="201">
        <f t="shared" si="6"/>
        <v>44104</v>
      </c>
      <c r="AE9" s="201">
        <f t="shared" si="6"/>
        <v>44196</v>
      </c>
      <c r="AF9" s="111"/>
      <c r="AG9" s="201" t="s">
        <v>34</v>
      </c>
      <c r="AH9" s="201" t="s">
        <v>35</v>
      </c>
      <c r="AI9" s="201" t="s">
        <v>36</v>
      </c>
      <c r="AJ9" s="201" t="s">
        <v>37</v>
      </c>
      <c r="AK9" s="201" t="s">
        <v>38</v>
      </c>
      <c r="AL9" s="201" t="s">
        <v>203</v>
      </c>
      <c r="AM9" s="201" t="s">
        <v>311</v>
      </c>
      <c r="AN9" s="111"/>
      <c r="AO9" s="464" t="s">
        <v>8</v>
      </c>
      <c r="AP9" s="464" t="s">
        <v>34</v>
      </c>
      <c r="AQ9" s="201" t="s">
        <v>35</v>
      </c>
      <c r="AR9" s="201" t="s">
        <v>36</v>
      </c>
      <c r="AS9" s="201" t="s">
        <v>37</v>
      </c>
      <c r="AT9" s="201" t="s">
        <v>38</v>
      </c>
      <c r="AU9" s="201" t="s">
        <v>203</v>
      </c>
      <c r="AV9" s="206" t="s">
        <v>311</v>
      </c>
    </row>
    <row r="10" spans="1:48" s="106" customFormat="1" x14ac:dyDescent="0.2">
      <c r="A10" s="125"/>
      <c r="B10" s="111"/>
      <c r="C10" s="464"/>
      <c r="D10" s="464"/>
      <c r="E10" s="464"/>
      <c r="F10" s="464"/>
      <c r="G10" s="464"/>
      <c r="H10" s="464"/>
      <c r="I10" s="464"/>
      <c r="J10" s="201"/>
      <c r="K10" s="201"/>
      <c r="L10" s="201"/>
      <c r="M10" s="201"/>
      <c r="N10" s="201"/>
      <c r="O10" s="201"/>
      <c r="P10" s="201"/>
      <c r="Q10" s="201"/>
      <c r="R10" s="201"/>
      <c r="S10" s="201"/>
      <c r="T10" s="201"/>
      <c r="U10" s="201"/>
      <c r="V10" s="201"/>
      <c r="W10" s="201"/>
      <c r="X10" s="201"/>
      <c r="Y10" s="201"/>
      <c r="Z10" s="201"/>
      <c r="AA10" s="201"/>
      <c r="AB10" s="201"/>
      <c r="AC10" s="201"/>
      <c r="AD10" s="201"/>
      <c r="AE10" s="201"/>
      <c r="AF10" s="111"/>
      <c r="AG10" s="201"/>
      <c r="AH10" s="201"/>
      <c r="AI10" s="201"/>
      <c r="AJ10" s="201"/>
      <c r="AK10" s="201"/>
      <c r="AL10" s="201"/>
      <c r="AM10" s="201"/>
      <c r="AN10" s="111"/>
      <c r="AO10" s="464"/>
      <c r="AP10" s="464"/>
      <c r="AQ10" s="201"/>
      <c r="AR10" s="201"/>
      <c r="AS10" s="201"/>
      <c r="AT10" s="201"/>
      <c r="AU10" s="201"/>
      <c r="AV10" s="206"/>
    </row>
    <row r="11" spans="1:48" s="106" customFormat="1" hidden="1" outlineLevel="1" x14ac:dyDescent="0.2">
      <c r="A11" s="465" t="s">
        <v>334</v>
      </c>
      <c r="B11" s="466"/>
      <c r="C11" s="464"/>
      <c r="D11" s="464"/>
      <c r="E11" s="464"/>
      <c r="F11" s="464"/>
      <c r="G11" s="464"/>
      <c r="H11" s="464"/>
      <c r="I11" s="464"/>
      <c r="J11" s="467"/>
      <c r="K11" s="467"/>
      <c r="L11" s="467"/>
      <c r="M11" s="467"/>
      <c r="N11" s="467"/>
      <c r="O11" s="467"/>
      <c r="P11" s="467"/>
      <c r="Q11" s="467"/>
      <c r="R11" s="467"/>
      <c r="S11" s="467"/>
      <c r="T11" s="467"/>
      <c r="U11" s="467"/>
      <c r="V11" s="467"/>
      <c r="W11" s="467"/>
      <c r="X11" s="467"/>
      <c r="Y11" s="467"/>
      <c r="Z11" s="467"/>
      <c r="AA11" s="467"/>
      <c r="AB11" s="467"/>
      <c r="AC11" s="467"/>
      <c r="AD11" s="467"/>
      <c r="AE11" s="467"/>
      <c r="AF11" s="111"/>
      <c r="AG11" s="467"/>
      <c r="AH11" s="467"/>
      <c r="AI11" s="467"/>
      <c r="AJ11" s="467"/>
      <c r="AK11" s="467"/>
      <c r="AL11" s="467"/>
      <c r="AM11" s="467"/>
      <c r="AN11" s="111"/>
      <c r="AO11" s="467">
        <v>5262.3081706379999</v>
      </c>
      <c r="AP11" s="467">
        <v>5730.2066676076965</v>
      </c>
      <c r="AQ11" s="467"/>
      <c r="AR11" s="467"/>
      <c r="AS11" s="467"/>
      <c r="AT11" s="467"/>
      <c r="AU11" s="467"/>
      <c r="AV11" s="468"/>
    </row>
    <row r="12" spans="1:48" s="106" customFormat="1" hidden="1" outlineLevel="1" x14ac:dyDescent="0.2">
      <c r="A12" s="465" t="s">
        <v>335</v>
      </c>
      <c r="B12" s="466"/>
      <c r="C12" s="464"/>
      <c r="D12" s="464"/>
      <c r="E12" s="464"/>
      <c r="F12" s="464"/>
      <c r="G12" s="464"/>
      <c r="H12" s="464"/>
      <c r="I12" s="464"/>
      <c r="J12" s="467"/>
      <c r="K12" s="467"/>
      <c r="L12" s="467"/>
      <c r="M12" s="467"/>
      <c r="N12" s="467"/>
      <c r="O12" s="467"/>
      <c r="P12" s="467"/>
      <c r="Q12" s="467"/>
      <c r="R12" s="467"/>
      <c r="S12" s="467"/>
      <c r="T12" s="467"/>
      <c r="U12" s="467"/>
      <c r="V12" s="467"/>
      <c r="W12" s="467"/>
      <c r="X12" s="467"/>
      <c r="Y12" s="467"/>
      <c r="Z12" s="467"/>
      <c r="AA12" s="467"/>
      <c r="AB12" s="467"/>
      <c r="AC12" s="467"/>
      <c r="AD12" s="467"/>
      <c r="AE12" s="467"/>
      <c r="AF12" s="111"/>
      <c r="AG12" s="467"/>
      <c r="AH12" s="467"/>
      <c r="AI12" s="467"/>
      <c r="AJ12" s="467"/>
      <c r="AK12" s="467"/>
      <c r="AL12" s="467"/>
      <c r="AM12" s="467"/>
      <c r="AN12" s="111"/>
      <c r="AO12" s="467">
        <v>201.93799999999999</v>
      </c>
      <c r="AP12" s="467">
        <v>236.93799999999999</v>
      </c>
      <c r="AQ12" s="467"/>
      <c r="AR12" s="467"/>
      <c r="AS12" s="467"/>
      <c r="AT12" s="467"/>
      <c r="AU12" s="467"/>
      <c r="AV12" s="468"/>
    </row>
    <row r="13" spans="1:48" s="106" customFormat="1" hidden="1" outlineLevel="1" x14ac:dyDescent="0.2">
      <c r="A13" s="465" t="s">
        <v>336</v>
      </c>
      <c r="B13" s="466"/>
      <c r="C13" s="464"/>
      <c r="D13" s="464"/>
      <c r="E13" s="464"/>
      <c r="F13" s="464"/>
      <c r="G13" s="464"/>
      <c r="H13" s="464"/>
      <c r="I13" s="464"/>
      <c r="J13" s="467"/>
      <c r="K13" s="467"/>
      <c r="L13" s="467"/>
      <c r="M13" s="467"/>
      <c r="N13" s="467"/>
      <c r="O13" s="467"/>
      <c r="P13" s="467"/>
      <c r="Q13" s="467"/>
      <c r="R13" s="467"/>
      <c r="S13" s="467"/>
      <c r="T13" s="467"/>
      <c r="U13" s="467"/>
      <c r="V13" s="467"/>
      <c r="W13" s="467"/>
      <c r="X13" s="467"/>
      <c r="Y13" s="467"/>
      <c r="Z13" s="467"/>
      <c r="AA13" s="467"/>
      <c r="AB13" s="467"/>
      <c r="AC13" s="467"/>
      <c r="AD13" s="467"/>
      <c r="AE13" s="467"/>
      <c r="AF13" s="111"/>
      <c r="AG13" s="467"/>
      <c r="AH13" s="467"/>
      <c r="AI13" s="467"/>
      <c r="AJ13" s="467"/>
      <c r="AK13" s="467"/>
      <c r="AL13" s="467"/>
      <c r="AM13" s="467"/>
      <c r="AN13" s="111"/>
      <c r="AO13" s="467">
        <v>881.18541669164972</v>
      </c>
      <c r="AP13" s="467">
        <v>980.51911992682346</v>
      </c>
      <c r="AQ13" s="467"/>
      <c r="AR13" s="467"/>
      <c r="AS13" s="467"/>
      <c r="AT13" s="467"/>
      <c r="AU13" s="467"/>
      <c r="AV13" s="468"/>
    </row>
    <row r="14" spans="1:48" s="106" customFormat="1" hidden="1" outlineLevel="1" x14ac:dyDescent="0.2">
      <c r="A14" s="465" t="s">
        <v>337</v>
      </c>
      <c r="B14" s="466"/>
      <c r="C14" s="464"/>
      <c r="D14" s="464"/>
      <c r="E14" s="464"/>
      <c r="F14" s="464"/>
      <c r="G14" s="464"/>
      <c r="H14" s="464"/>
      <c r="I14" s="464"/>
      <c r="J14" s="467"/>
      <c r="K14" s="467"/>
      <c r="L14" s="467"/>
      <c r="M14" s="467"/>
      <c r="N14" s="467"/>
      <c r="O14" s="467"/>
      <c r="P14" s="467"/>
      <c r="Q14" s="467"/>
      <c r="R14" s="467"/>
      <c r="S14" s="467"/>
      <c r="T14" s="467"/>
      <c r="U14" s="467"/>
      <c r="V14" s="467"/>
      <c r="W14" s="467"/>
      <c r="X14" s="467"/>
      <c r="Y14" s="467"/>
      <c r="Z14" s="467"/>
      <c r="AA14" s="467"/>
      <c r="AB14" s="467"/>
      <c r="AC14" s="467"/>
      <c r="AD14" s="467"/>
      <c r="AE14" s="467"/>
      <c r="AF14" s="111"/>
      <c r="AG14" s="467"/>
      <c r="AH14" s="467"/>
      <c r="AI14" s="467"/>
      <c r="AJ14" s="467"/>
      <c r="AK14" s="467"/>
      <c r="AL14" s="467"/>
      <c r="AM14" s="467"/>
      <c r="AN14" s="111"/>
      <c r="AO14" s="174">
        <v>786.16501000000005</v>
      </c>
      <c r="AP14" s="444">
        <v>860.10096151515154</v>
      </c>
      <c r="AQ14" s="467"/>
      <c r="AR14" s="467"/>
      <c r="AS14" s="467"/>
      <c r="AT14" s="467"/>
      <c r="AU14" s="467"/>
      <c r="AV14" s="468"/>
    </row>
    <row r="15" spans="1:48" s="106" customFormat="1" hidden="1" outlineLevel="1" x14ac:dyDescent="0.2">
      <c r="A15" s="465" t="s">
        <v>338</v>
      </c>
      <c r="B15" s="466"/>
      <c r="C15" s="464"/>
      <c r="D15" s="464"/>
      <c r="E15" s="464"/>
      <c r="F15" s="464"/>
      <c r="G15" s="464"/>
      <c r="H15" s="464"/>
      <c r="I15" s="464"/>
      <c r="J15" s="467"/>
      <c r="K15" s="467"/>
      <c r="L15" s="467"/>
      <c r="M15" s="467"/>
      <c r="N15" s="467"/>
      <c r="O15" s="467"/>
      <c r="P15" s="467"/>
      <c r="Q15" s="467"/>
      <c r="R15" s="467"/>
      <c r="S15" s="467"/>
      <c r="T15" s="467"/>
      <c r="U15" s="467"/>
      <c r="V15" s="467"/>
      <c r="W15" s="467"/>
      <c r="X15" s="467"/>
      <c r="Y15" s="467"/>
      <c r="Z15" s="467"/>
      <c r="AA15" s="467"/>
      <c r="AB15" s="467"/>
      <c r="AC15" s="467"/>
      <c r="AD15" s="467"/>
      <c r="AE15" s="467"/>
      <c r="AF15" s="111"/>
      <c r="AG15" s="467"/>
      <c r="AH15" s="467"/>
      <c r="AI15" s="467"/>
      <c r="AJ15" s="467"/>
      <c r="AK15" s="467"/>
      <c r="AL15" s="467"/>
      <c r="AM15" s="467"/>
      <c r="AN15" s="111"/>
      <c r="AO15" s="174">
        <v>1.3499999999999999</v>
      </c>
      <c r="AP15" s="444">
        <v>1.3499999999999999</v>
      </c>
      <c r="AQ15" s="467"/>
      <c r="AR15" s="467"/>
      <c r="AS15" s="467"/>
      <c r="AT15" s="467"/>
      <c r="AU15" s="467"/>
      <c r="AV15" s="468"/>
    </row>
    <row r="16" spans="1:48" s="106" customFormat="1" hidden="1" outlineLevel="1" x14ac:dyDescent="0.2">
      <c r="A16" s="465" t="s">
        <v>339</v>
      </c>
      <c r="B16" s="466"/>
      <c r="C16" s="464"/>
      <c r="D16" s="464"/>
      <c r="E16" s="464"/>
      <c r="F16" s="464"/>
      <c r="G16" s="464"/>
      <c r="H16" s="464"/>
      <c r="I16" s="464"/>
      <c r="J16" s="467"/>
      <c r="K16" s="467"/>
      <c r="L16" s="467"/>
      <c r="M16" s="467"/>
      <c r="N16" s="467"/>
      <c r="O16" s="467"/>
      <c r="P16" s="467"/>
      <c r="Q16" s="467"/>
      <c r="R16" s="467"/>
      <c r="S16" s="467"/>
      <c r="T16" s="467"/>
      <c r="U16" s="467"/>
      <c r="V16" s="467"/>
      <c r="W16" s="467"/>
      <c r="X16" s="467"/>
      <c r="Y16" s="467"/>
      <c r="Z16" s="467"/>
      <c r="AA16" s="467"/>
      <c r="AB16" s="467"/>
      <c r="AC16" s="467"/>
      <c r="AD16" s="467"/>
      <c r="AE16" s="467"/>
      <c r="AF16" s="111"/>
      <c r="AG16" s="467"/>
      <c r="AH16" s="467"/>
      <c r="AI16" s="467"/>
      <c r="AJ16" s="467"/>
      <c r="AK16" s="467"/>
      <c r="AL16" s="467"/>
      <c r="AM16" s="467"/>
      <c r="AN16" s="111"/>
      <c r="AO16" s="174">
        <v>1284.6819800000001</v>
      </c>
      <c r="AP16" s="444">
        <v>1452.6819800000001</v>
      </c>
      <c r="AQ16" s="467"/>
      <c r="AR16" s="467"/>
      <c r="AS16" s="467"/>
      <c r="AT16" s="467"/>
      <c r="AU16" s="467"/>
      <c r="AV16" s="468"/>
    </row>
    <row r="17" spans="1:48" s="106" customFormat="1" hidden="1" outlineLevel="1" x14ac:dyDescent="0.2">
      <c r="A17" s="465" t="s">
        <v>340</v>
      </c>
      <c r="B17" s="466"/>
      <c r="C17" s="464"/>
      <c r="D17" s="464"/>
      <c r="E17" s="464"/>
      <c r="F17" s="464"/>
      <c r="G17" s="464"/>
      <c r="H17" s="464"/>
      <c r="I17" s="464"/>
      <c r="J17" s="467"/>
      <c r="K17" s="467"/>
      <c r="L17" s="467"/>
      <c r="M17" s="467"/>
      <c r="N17" s="467"/>
      <c r="O17" s="467"/>
      <c r="P17" s="467"/>
      <c r="Q17" s="467"/>
      <c r="R17" s="467"/>
      <c r="S17" s="467"/>
      <c r="T17" s="467"/>
      <c r="U17" s="467"/>
      <c r="V17" s="467"/>
      <c r="W17" s="467"/>
      <c r="X17" s="467"/>
      <c r="Y17" s="467"/>
      <c r="Z17" s="467"/>
      <c r="AA17" s="467"/>
      <c r="AB17" s="467"/>
      <c r="AC17" s="467"/>
      <c r="AD17" s="467"/>
      <c r="AE17" s="467"/>
      <c r="AF17" s="111"/>
      <c r="AG17" s="467"/>
      <c r="AH17" s="467"/>
      <c r="AI17" s="467"/>
      <c r="AJ17" s="467"/>
      <c r="AK17" s="467"/>
      <c r="AL17" s="467"/>
      <c r="AM17" s="467"/>
      <c r="AN17" s="111"/>
      <c r="AO17" s="174">
        <v>149.96799999999999</v>
      </c>
      <c r="AP17" s="444">
        <v>159.96799999999999</v>
      </c>
      <c r="AQ17" s="467"/>
      <c r="AR17" s="467"/>
      <c r="AS17" s="467"/>
      <c r="AT17" s="467"/>
      <c r="AU17" s="467"/>
      <c r="AV17" s="468"/>
    </row>
    <row r="18" spans="1:48" s="106" customFormat="1" ht="15" hidden="1" outlineLevel="1" x14ac:dyDescent="0.35">
      <c r="A18" s="465" t="s">
        <v>341</v>
      </c>
      <c r="B18" s="466"/>
      <c r="C18" s="464" t="s">
        <v>207</v>
      </c>
      <c r="D18" s="469" t="s">
        <v>207</v>
      </c>
      <c r="E18" s="469" t="s">
        <v>207</v>
      </c>
      <c r="F18" s="469" t="s">
        <v>207</v>
      </c>
      <c r="G18" s="469" t="s">
        <v>207</v>
      </c>
      <c r="H18" s="469"/>
      <c r="I18" s="469"/>
      <c r="J18" s="470"/>
      <c r="K18" s="470"/>
      <c r="L18" s="470"/>
      <c r="M18" s="470"/>
      <c r="N18" s="470"/>
      <c r="O18" s="470"/>
      <c r="P18" s="470"/>
      <c r="Q18" s="470"/>
      <c r="R18" s="470"/>
      <c r="S18" s="470"/>
      <c r="T18" s="470"/>
      <c r="U18" s="470"/>
      <c r="V18" s="470"/>
      <c r="W18" s="470"/>
      <c r="X18" s="470"/>
      <c r="Y18" s="470"/>
      <c r="Z18" s="470"/>
      <c r="AA18" s="470"/>
      <c r="AB18" s="470"/>
      <c r="AC18" s="470"/>
      <c r="AD18" s="470"/>
      <c r="AE18" s="470"/>
      <c r="AF18" s="471"/>
      <c r="AG18" s="470"/>
      <c r="AH18" s="470"/>
      <c r="AI18" s="470"/>
      <c r="AJ18" s="470"/>
      <c r="AK18" s="470"/>
      <c r="AL18" s="470"/>
      <c r="AM18" s="470"/>
      <c r="AN18" s="111"/>
      <c r="AO18" s="470">
        <v>0</v>
      </c>
      <c r="AP18" s="470">
        <v>0</v>
      </c>
      <c r="AQ18" s="470"/>
      <c r="AR18" s="470"/>
      <c r="AS18" s="470"/>
      <c r="AT18" s="470"/>
      <c r="AU18" s="470"/>
      <c r="AV18" s="472"/>
    </row>
    <row r="19" spans="1:48" collapsed="1" x14ac:dyDescent="0.2">
      <c r="A19" s="473" t="s">
        <v>213</v>
      </c>
      <c r="B19" s="474"/>
      <c r="C19" s="475">
        <v>18383.171999999999</v>
      </c>
      <c r="D19" s="475">
        <v>20317.633999999998</v>
      </c>
      <c r="E19" s="475">
        <v>20894.092000000001</v>
      </c>
      <c r="F19" s="475">
        <v>25799.011999999999</v>
      </c>
      <c r="G19" s="475">
        <f>35506.435+'CL - Aug15 LTM QE'!X31</f>
        <v>35229.434999999998</v>
      </c>
      <c r="H19" s="475">
        <v>6609.8344200000001</v>
      </c>
      <c r="I19" s="475">
        <v>6605.8242899999987</v>
      </c>
      <c r="J19" s="475">
        <v>8251.8356999999996</v>
      </c>
      <c r="K19" s="174">
        <f ca="1">'IS Assumptions'!O12</f>
        <v>16532.505590000001</v>
      </c>
      <c r="L19" s="174">
        <f ca="1">HLOOKUP(L$4,'IS Assumptions'!$I$4:$L$8,5,FALSE)*HLOOKUP(L$3,'IS Assumptions'!$L$9:$T$75,'IS Assumptions'!$U$12,FALSE)</f>
        <v>7343.9077514413839</v>
      </c>
      <c r="M19" s="174">
        <f ca="1">HLOOKUP(M$4,'IS Assumptions'!$I$4:$L$8,5,FALSE)*HLOOKUP(M$3,'IS Assumptions'!$L$9:$T$75,'IS Assumptions'!$U$12,FALSE)</f>
        <v>7843.4336963484948</v>
      </c>
      <c r="N19" s="174">
        <f ca="1">HLOOKUP(N$4,'IS Assumptions'!$I$4:$L$8,5,FALSE)*HLOOKUP(N$3,'IS Assumptions'!$L$9:$T$75,'IS Assumptions'!$U$12,FALSE)</f>
        <v>8960.7943625880853</v>
      </c>
      <c r="O19" s="174">
        <f ca="1">HLOOKUP(O$4,'IS Assumptions'!$I$4:$L$8,5,FALSE)*HLOOKUP(O$3,'IS Assumptions'!$L$9:$T$75,'IS Assumptions'!$U$12,FALSE)</f>
        <v>16891.864189622036</v>
      </c>
      <c r="P19" s="174">
        <f ca="1">HLOOKUP(P$4,'IS Assumptions'!$I$4:$L$8,5,FALSE)*HLOOKUP(P$3,'IS Assumptions'!$L$9:$T$75,'IS Assumptions'!$U$12,FALSE)</f>
        <v>7931.4203715566946</v>
      </c>
      <c r="Q19" s="174">
        <f ca="1">HLOOKUP(Q$4,'IS Assumptions'!$I$4:$L$8,5,FALSE)*HLOOKUP(Q$3,'IS Assumptions'!$L$9:$T$75,'IS Assumptions'!$U$12,FALSE)</f>
        <v>8470.9083920563753</v>
      </c>
      <c r="R19" s="174">
        <f ca="1">HLOOKUP(R$4,'IS Assumptions'!$I$4:$L$8,5,FALSE)*HLOOKUP(R$3,'IS Assumptions'!$L$9:$T$75,'IS Assumptions'!$U$12,FALSE)</f>
        <v>9677.6579115951317</v>
      </c>
      <c r="S19" s="174">
        <f ca="1">HLOOKUP(S$4,'IS Assumptions'!$I$4:$L$8,5,FALSE)*HLOOKUP(S$3,'IS Assumptions'!$L$9:$T$75,'IS Assumptions'!$U$12,FALSE)</f>
        <v>18243.213324791799</v>
      </c>
      <c r="T19" s="174">
        <f ca="1">HLOOKUP(T$4,'IS Assumptions'!$I$4:$L$8,5,FALSE)*HLOOKUP(T$3,'IS Assumptions'!$L$9:$T$75,'IS Assumptions'!$U$12,FALSE)</f>
        <v>8565.9340012812318</v>
      </c>
      <c r="U19" s="174">
        <f ca="1">HLOOKUP(U$4,'IS Assumptions'!$I$4:$L$8,5,FALSE)*HLOOKUP(U$3,'IS Assumptions'!$L$9:$T$75,'IS Assumptions'!$U$12,FALSE)</f>
        <v>9148.5810634208865</v>
      </c>
      <c r="V19" s="174">
        <f ca="1">HLOOKUP(V$4,'IS Assumptions'!$I$4:$L$8,5,FALSE)*HLOOKUP(V$3,'IS Assumptions'!$L$9:$T$75,'IS Assumptions'!$U$12,FALSE)</f>
        <v>10451.870544522744</v>
      </c>
      <c r="W19" s="174">
        <f ca="1">HLOOKUP(W$4,'IS Assumptions'!$I$4:$L$8,5,FALSE)*HLOOKUP(W$3,'IS Assumptions'!$L$9:$T$75,'IS Assumptions'!$U$12,FALSE)</f>
        <v>19702.670390775147</v>
      </c>
      <c r="X19" s="174">
        <f ca="1">HLOOKUP(X$4,'IS Assumptions'!$I$4:$L$8,5,FALSE)*HLOOKUP(X$3,'IS Assumptions'!$L$9:$T$75,'IS Assumptions'!$U$12,FALSE)</f>
        <v>9251.2087213837312</v>
      </c>
      <c r="Y19" s="174">
        <f ca="1">HLOOKUP(Y$4,'IS Assumptions'!$I$4:$L$8,5,FALSE)*HLOOKUP(Y$3,'IS Assumptions'!$L$9:$T$75,'IS Assumptions'!$U$12,FALSE)</f>
        <v>9880.4675484945583</v>
      </c>
      <c r="Z19" s="174">
        <f ca="1">HLOOKUP(Z$4,'IS Assumptions'!$I$4:$L$8,5,FALSE)*HLOOKUP(Z$3,'IS Assumptions'!$L$9:$T$75,'IS Assumptions'!$U$12,FALSE)</f>
        <v>11288.020188084565</v>
      </c>
      <c r="AA19" s="174">
        <f ca="1">HLOOKUP(AA$4,'IS Assumptions'!$I$4:$L$8,5,FALSE)*HLOOKUP(AA$3,'IS Assumptions'!$L$9:$T$75,'IS Assumptions'!$U$12,FALSE)</f>
        <v>21278.88402203716</v>
      </c>
      <c r="AB19" s="174">
        <f ca="1">HLOOKUP(AB$4,'IS Assumptions'!$I$4:$L$8,5,FALSE)*HLOOKUP(AB$3,'IS Assumptions'!$L$9:$T$75,'IS Assumptions'!$U$12,FALSE)</f>
        <v>9991.3054190944313</v>
      </c>
      <c r="AC19" s="174">
        <f ca="1">HLOOKUP(AC$4,'IS Assumptions'!$I$4:$L$8,5,FALSE)*HLOOKUP(AC$3,'IS Assumptions'!$L$9:$T$75,'IS Assumptions'!$U$12,FALSE)</f>
        <v>10670.904952374123</v>
      </c>
      <c r="AD19" s="174">
        <f ca="1">HLOOKUP(AD$4,'IS Assumptions'!$I$4:$L$8,5,FALSE)*HLOOKUP(AD$3,'IS Assumptions'!$L$9:$T$75,'IS Assumptions'!$U$12,FALSE)</f>
        <v>12191.061803131332</v>
      </c>
      <c r="AE19" s="174">
        <f ca="1">HLOOKUP(AE$4,'IS Assumptions'!$I$4:$L$8,5,FALSE)*HLOOKUP(AE$3,'IS Assumptions'!$L$9:$T$75,'IS Assumptions'!$U$12,FALSE)</f>
        <v>22981.194743800137</v>
      </c>
      <c r="AF19" s="174"/>
      <c r="AG19" s="174">
        <f>G19</f>
        <v>35229.434999999998</v>
      </c>
      <c r="AH19" s="174">
        <f t="shared" ref="AH19:AM19" ca="1" si="7">SUMIF($H$3:$AE$3,AH$3,$H19:$AE19)</f>
        <v>38000</v>
      </c>
      <c r="AI19" s="174">
        <f t="shared" ca="1" si="7"/>
        <v>41040</v>
      </c>
      <c r="AJ19" s="174">
        <f t="shared" ca="1" si="7"/>
        <v>44323.199999999997</v>
      </c>
      <c r="AK19" s="174">
        <f t="shared" ca="1" si="7"/>
        <v>47869.056000000011</v>
      </c>
      <c r="AL19" s="174">
        <f t="shared" ca="1" si="7"/>
        <v>51698.580480000019</v>
      </c>
      <c r="AM19" s="174">
        <f t="shared" ca="1" si="7"/>
        <v>55834.466918400023</v>
      </c>
      <c r="AN19" s="174"/>
      <c r="AO19" s="128">
        <f>F19/F$19</f>
        <v>1</v>
      </c>
      <c r="AP19" s="128">
        <f>G19/G$19</f>
        <v>1</v>
      </c>
      <c r="AQ19" s="128">
        <f t="shared" ref="AQ19:AV19" ca="1" si="8">AH19/AH$19</f>
        <v>1</v>
      </c>
      <c r="AR19" s="128">
        <f t="shared" ca="1" si="8"/>
        <v>1</v>
      </c>
      <c r="AS19" s="128">
        <f t="shared" ca="1" si="8"/>
        <v>1</v>
      </c>
      <c r="AT19" s="128">
        <f t="shared" ca="1" si="8"/>
        <v>1</v>
      </c>
      <c r="AU19" s="128">
        <f t="shared" ca="1" si="8"/>
        <v>1</v>
      </c>
      <c r="AV19" s="476">
        <f t="shared" ca="1" si="8"/>
        <v>1</v>
      </c>
    </row>
    <row r="20" spans="1:48" x14ac:dyDescent="0.2">
      <c r="A20" s="125"/>
      <c r="B20" s="111"/>
      <c r="C20" s="174"/>
      <c r="D20" s="174"/>
      <c r="E20" s="174"/>
      <c r="F20" s="174"/>
      <c r="G20" s="174"/>
      <c r="H20" s="174"/>
      <c r="I20" s="174"/>
      <c r="J20" s="174"/>
      <c r="K20" s="174"/>
      <c r="L20" s="174"/>
      <c r="M20" s="174"/>
      <c r="N20" s="174"/>
      <c r="O20" s="174"/>
      <c r="P20" s="174"/>
      <c r="Q20" s="174"/>
      <c r="R20" s="174"/>
      <c r="S20" s="174"/>
      <c r="T20" s="174"/>
      <c r="U20" s="174"/>
      <c r="V20" s="174"/>
      <c r="W20" s="174"/>
      <c r="X20" s="174"/>
      <c r="Y20" s="174"/>
      <c r="Z20" s="174"/>
      <c r="AA20" s="174"/>
      <c r="AB20" s="174"/>
      <c r="AC20" s="174"/>
      <c r="AD20" s="174"/>
      <c r="AE20" s="174"/>
      <c r="AF20" s="174"/>
      <c r="AG20" s="174"/>
      <c r="AH20" s="174"/>
      <c r="AI20" s="174"/>
      <c r="AJ20" s="174"/>
      <c r="AK20" s="174"/>
      <c r="AL20" s="174"/>
      <c r="AM20" s="174"/>
      <c r="AN20" s="174"/>
      <c r="AO20" s="174"/>
      <c r="AP20" s="174"/>
      <c r="AQ20" s="174"/>
      <c r="AR20" s="174"/>
      <c r="AS20" s="174"/>
      <c r="AT20" s="174"/>
      <c r="AU20" s="174"/>
      <c r="AV20" s="164"/>
    </row>
    <row r="21" spans="1:48" hidden="1" outlineLevel="1" x14ac:dyDescent="0.2">
      <c r="A21" s="465" t="s">
        <v>334</v>
      </c>
      <c r="B21" s="466"/>
      <c r="C21" s="174"/>
      <c r="D21" s="464"/>
      <c r="E21" s="464"/>
      <c r="F21" s="464"/>
      <c r="G21" s="464"/>
      <c r="H21" s="464"/>
      <c r="I21" s="464"/>
      <c r="J21" s="464"/>
      <c r="K21" s="467"/>
      <c r="L21" s="467"/>
      <c r="M21" s="467"/>
      <c r="N21" s="467"/>
      <c r="O21" s="467"/>
      <c r="P21" s="467"/>
      <c r="Q21" s="467"/>
      <c r="R21" s="467"/>
      <c r="S21" s="467"/>
      <c r="T21" s="467"/>
      <c r="U21" s="467"/>
      <c r="V21" s="467"/>
      <c r="W21" s="467"/>
      <c r="X21" s="467"/>
      <c r="Y21" s="467"/>
      <c r="Z21" s="467"/>
      <c r="AA21" s="467"/>
      <c r="AB21" s="467"/>
      <c r="AC21" s="467"/>
      <c r="AD21" s="467"/>
      <c r="AE21" s="467"/>
      <c r="AF21" s="174"/>
      <c r="AG21" s="174"/>
      <c r="AH21" s="174"/>
      <c r="AI21" s="174"/>
      <c r="AJ21" s="174"/>
      <c r="AK21" s="174"/>
      <c r="AL21" s="174"/>
      <c r="AM21" s="174"/>
      <c r="AN21" s="174"/>
      <c r="AO21" s="174">
        <v>1688.5540000000001</v>
      </c>
      <c r="AP21" s="174">
        <v>1688.5540000000001</v>
      </c>
      <c r="AQ21" s="174"/>
      <c r="AR21" s="174"/>
      <c r="AS21" s="174"/>
      <c r="AT21" s="174"/>
      <c r="AU21" s="174"/>
      <c r="AV21" s="164"/>
    </row>
    <row r="22" spans="1:48" hidden="1" outlineLevel="1" x14ac:dyDescent="0.2">
      <c r="A22" s="465" t="s">
        <v>335</v>
      </c>
      <c r="B22" s="466"/>
      <c r="C22" s="174"/>
      <c r="D22" s="464"/>
      <c r="E22" s="464"/>
      <c r="F22" s="464"/>
      <c r="G22" s="464"/>
      <c r="H22" s="464"/>
      <c r="I22" s="464"/>
      <c r="J22" s="464"/>
      <c r="K22" s="467"/>
      <c r="L22" s="467"/>
      <c r="M22" s="467"/>
      <c r="N22" s="467"/>
      <c r="O22" s="467"/>
      <c r="P22" s="467"/>
      <c r="Q22" s="467"/>
      <c r="R22" s="467"/>
      <c r="S22" s="467"/>
      <c r="T22" s="467"/>
      <c r="U22" s="467"/>
      <c r="V22" s="467"/>
      <c r="W22" s="467"/>
      <c r="X22" s="467"/>
      <c r="Y22" s="467"/>
      <c r="Z22" s="467"/>
      <c r="AA22" s="467"/>
      <c r="AB22" s="467"/>
      <c r="AC22" s="467"/>
      <c r="AD22" s="467"/>
      <c r="AE22" s="467"/>
      <c r="AF22" s="174"/>
      <c r="AG22" s="174"/>
      <c r="AH22" s="174"/>
      <c r="AI22" s="174"/>
      <c r="AJ22" s="174"/>
      <c r="AK22" s="174"/>
      <c r="AL22" s="174"/>
      <c r="AM22" s="174"/>
      <c r="AN22" s="174"/>
      <c r="AO22" s="174">
        <v>292.14060000000001</v>
      </c>
      <c r="AP22" s="174">
        <v>292.14060000000001</v>
      </c>
      <c r="AQ22" s="174"/>
      <c r="AR22" s="174"/>
      <c r="AS22" s="174"/>
      <c r="AT22" s="174"/>
      <c r="AU22" s="174"/>
      <c r="AV22" s="164"/>
    </row>
    <row r="23" spans="1:48" hidden="1" outlineLevel="1" x14ac:dyDescent="0.2">
      <c r="A23" s="465" t="s">
        <v>336</v>
      </c>
      <c r="B23" s="466"/>
      <c r="C23" s="174"/>
      <c r="D23" s="464"/>
      <c r="E23" s="464"/>
      <c r="F23" s="464"/>
      <c r="G23" s="464"/>
      <c r="H23" s="464"/>
      <c r="I23" s="464"/>
      <c r="J23" s="464"/>
      <c r="K23" s="467"/>
      <c r="L23" s="467"/>
      <c r="M23" s="467"/>
      <c r="N23" s="467"/>
      <c r="O23" s="467"/>
      <c r="P23" s="467"/>
      <c r="Q23" s="467"/>
      <c r="R23" s="467"/>
      <c r="S23" s="467"/>
      <c r="T23" s="467"/>
      <c r="U23" s="467"/>
      <c r="V23" s="467"/>
      <c r="W23" s="467"/>
      <c r="X23" s="467"/>
      <c r="Y23" s="467"/>
      <c r="Z23" s="467"/>
      <c r="AA23" s="467"/>
      <c r="AB23" s="467"/>
      <c r="AC23" s="467"/>
      <c r="AD23" s="467"/>
      <c r="AE23" s="467"/>
      <c r="AF23" s="174"/>
      <c r="AG23" s="174"/>
      <c r="AH23" s="174"/>
      <c r="AI23" s="174"/>
      <c r="AJ23" s="174"/>
      <c r="AK23" s="174"/>
      <c r="AL23" s="174"/>
      <c r="AM23" s="174"/>
      <c r="AN23" s="174"/>
      <c r="AO23" s="174">
        <v>265.15500000000003</v>
      </c>
      <c r="AP23" s="174">
        <v>265.15500000000003</v>
      </c>
      <c r="AQ23" s="174"/>
      <c r="AR23" s="174"/>
      <c r="AS23" s="174"/>
      <c r="AT23" s="174"/>
      <c r="AU23" s="174"/>
      <c r="AV23" s="164"/>
    </row>
    <row r="24" spans="1:48" hidden="1" outlineLevel="1" x14ac:dyDescent="0.2">
      <c r="A24" s="465" t="s">
        <v>337</v>
      </c>
      <c r="B24" s="466"/>
      <c r="C24" s="174"/>
      <c r="D24" s="464"/>
      <c r="E24" s="464"/>
      <c r="F24" s="464"/>
      <c r="G24" s="464"/>
      <c r="H24" s="464"/>
      <c r="I24" s="464"/>
      <c r="J24" s="464"/>
      <c r="K24" s="467"/>
      <c r="L24" s="467"/>
      <c r="M24" s="467"/>
      <c r="N24" s="467"/>
      <c r="O24" s="467"/>
      <c r="P24" s="467"/>
      <c r="Q24" s="467"/>
      <c r="R24" s="467"/>
      <c r="S24" s="467"/>
      <c r="T24" s="467"/>
      <c r="U24" s="467"/>
      <c r="V24" s="467"/>
      <c r="W24" s="467"/>
      <c r="X24" s="467"/>
      <c r="Y24" s="467"/>
      <c r="Z24" s="467"/>
      <c r="AA24" s="467"/>
      <c r="AB24" s="467"/>
      <c r="AC24" s="467"/>
      <c r="AD24" s="467"/>
      <c r="AE24" s="467"/>
      <c r="AF24" s="174"/>
      <c r="AG24" s="174"/>
      <c r="AH24" s="174"/>
      <c r="AI24" s="174"/>
      <c r="AJ24" s="174"/>
      <c r="AK24" s="174"/>
      <c r="AL24" s="174"/>
      <c r="AM24" s="174"/>
      <c r="AN24" s="174"/>
      <c r="AO24" s="174">
        <v>194.05299999999997</v>
      </c>
      <c r="AP24" s="174">
        <v>194.05299999999997</v>
      </c>
      <c r="AQ24" s="174"/>
      <c r="AR24" s="174"/>
      <c r="AS24" s="174"/>
      <c r="AT24" s="174"/>
      <c r="AU24" s="174"/>
      <c r="AV24" s="164"/>
    </row>
    <row r="25" spans="1:48" hidden="1" outlineLevel="1" x14ac:dyDescent="0.2">
      <c r="A25" s="465" t="s">
        <v>338</v>
      </c>
      <c r="B25" s="466"/>
      <c r="C25" s="174"/>
      <c r="D25" s="464"/>
      <c r="E25" s="464"/>
      <c r="F25" s="464"/>
      <c r="G25" s="464"/>
      <c r="H25" s="464"/>
      <c r="I25" s="464"/>
      <c r="J25" s="464"/>
      <c r="K25" s="467"/>
      <c r="L25" s="467"/>
      <c r="M25" s="467"/>
      <c r="N25" s="467"/>
      <c r="O25" s="467"/>
      <c r="P25" s="467"/>
      <c r="Q25" s="467"/>
      <c r="R25" s="467"/>
      <c r="S25" s="467"/>
      <c r="T25" s="467"/>
      <c r="U25" s="467"/>
      <c r="V25" s="467"/>
      <c r="W25" s="467"/>
      <c r="X25" s="467"/>
      <c r="Y25" s="467"/>
      <c r="Z25" s="467"/>
      <c r="AA25" s="467"/>
      <c r="AB25" s="467"/>
      <c r="AC25" s="467"/>
      <c r="AD25" s="467"/>
      <c r="AE25" s="467"/>
      <c r="AF25" s="174"/>
      <c r="AG25" s="174"/>
      <c r="AH25" s="174"/>
      <c r="AI25" s="174"/>
      <c r="AJ25" s="174"/>
      <c r="AK25" s="174"/>
      <c r="AL25" s="174"/>
      <c r="AM25" s="174"/>
      <c r="AN25" s="174"/>
      <c r="AO25" s="174">
        <v>66.912729999999982</v>
      </c>
      <c r="AP25" s="174">
        <v>66.912729999999982</v>
      </c>
      <c r="AQ25" s="174"/>
      <c r="AR25" s="174"/>
      <c r="AS25" s="174"/>
      <c r="AT25" s="174"/>
      <c r="AU25" s="174"/>
      <c r="AV25" s="164"/>
    </row>
    <row r="26" spans="1:48" hidden="1" outlineLevel="1" x14ac:dyDescent="0.2">
      <c r="A26" s="465" t="s">
        <v>339</v>
      </c>
      <c r="B26" s="466"/>
      <c r="C26" s="174"/>
      <c r="D26" s="464"/>
      <c r="E26" s="464"/>
      <c r="F26" s="464"/>
      <c r="G26" s="464"/>
      <c r="H26" s="464"/>
      <c r="I26" s="464"/>
      <c r="J26" s="464"/>
      <c r="K26" s="467"/>
      <c r="L26" s="467"/>
      <c r="M26" s="467"/>
      <c r="N26" s="467"/>
      <c r="O26" s="467"/>
      <c r="P26" s="467"/>
      <c r="Q26" s="467"/>
      <c r="R26" s="467"/>
      <c r="S26" s="467"/>
      <c r="T26" s="467"/>
      <c r="U26" s="467"/>
      <c r="V26" s="467"/>
      <c r="W26" s="467"/>
      <c r="X26" s="467"/>
      <c r="Y26" s="467"/>
      <c r="Z26" s="467"/>
      <c r="AA26" s="467"/>
      <c r="AB26" s="467"/>
      <c r="AC26" s="467"/>
      <c r="AD26" s="467"/>
      <c r="AE26" s="467"/>
      <c r="AF26" s="174"/>
      <c r="AG26" s="174"/>
      <c r="AH26" s="174"/>
      <c r="AI26" s="174"/>
      <c r="AJ26" s="174"/>
      <c r="AK26" s="174"/>
      <c r="AL26" s="174"/>
      <c r="AM26" s="174"/>
      <c r="AN26" s="174"/>
      <c r="AO26" s="174">
        <v>116.82925</v>
      </c>
      <c r="AP26" s="174">
        <v>116.82925</v>
      </c>
      <c r="AQ26" s="174"/>
      <c r="AR26" s="174"/>
      <c r="AS26" s="174"/>
      <c r="AT26" s="174"/>
      <c r="AU26" s="174"/>
      <c r="AV26" s="164"/>
    </row>
    <row r="27" spans="1:48" hidden="1" outlineLevel="1" x14ac:dyDescent="0.2">
      <c r="A27" s="465" t="s">
        <v>340</v>
      </c>
      <c r="B27" s="466"/>
      <c r="C27" s="174"/>
      <c r="D27" s="464"/>
      <c r="E27" s="464"/>
      <c r="F27" s="464"/>
      <c r="G27" s="464"/>
      <c r="H27" s="464"/>
      <c r="I27" s="464"/>
      <c r="J27" s="464"/>
      <c r="K27" s="467"/>
      <c r="L27" s="467"/>
      <c r="M27" s="467"/>
      <c r="N27" s="467"/>
      <c r="O27" s="467"/>
      <c r="P27" s="467"/>
      <c r="Q27" s="467"/>
      <c r="R27" s="467"/>
      <c r="S27" s="467"/>
      <c r="T27" s="467"/>
      <c r="U27" s="467"/>
      <c r="V27" s="467"/>
      <c r="W27" s="467"/>
      <c r="X27" s="467"/>
      <c r="Y27" s="467"/>
      <c r="Z27" s="467"/>
      <c r="AA27" s="467"/>
      <c r="AB27" s="467"/>
      <c r="AC27" s="467"/>
      <c r="AD27" s="467"/>
      <c r="AE27" s="467"/>
      <c r="AF27" s="174"/>
      <c r="AG27" s="174"/>
      <c r="AH27" s="174"/>
      <c r="AI27" s="174"/>
      <c r="AJ27" s="174"/>
      <c r="AK27" s="174"/>
      <c r="AL27" s="174"/>
      <c r="AM27" s="174"/>
      <c r="AN27" s="174"/>
      <c r="AO27" s="174">
        <v>0</v>
      </c>
      <c r="AP27" s="174">
        <v>0</v>
      </c>
      <c r="AQ27" s="174"/>
      <c r="AR27" s="174"/>
      <c r="AS27" s="174"/>
      <c r="AT27" s="174"/>
      <c r="AU27" s="174"/>
      <c r="AV27" s="164"/>
    </row>
    <row r="28" spans="1:48" ht="15" hidden="1" outlineLevel="1" x14ac:dyDescent="0.35">
      <c r="A28" s="465" t="s">
        <v>341</v>
      </c>
      <c r="B28" s="466"/>
      <c r="C28" s="174"/>
      <c r="D28" s="469" t="s">
        <v>207</v>
      </c>
      <c r="E28" s="469" t="s">
        <v>207</v>
      </c>
      <c r="F28" s="469" t="s">
        <v>207</v>
      </c>
      <c r="G28" s="469" t="s">
        <v>207</v>
      </c>
      <c r="H28" s="469"/>
      <c r="I28" s="469"/>
      <c r="J28" s="469"/>
      <c r="K28" s="467"/>
      <c r="L28" s="467"/>
      <c r="M28" s="467"/>
      <c r="N28" s="467"/>
      <c r="O28" s="467"/>
      <c r="P28" s="467"/>
      <c r="Q28" s="467"/>
      <c r="R28" s="467"/>
      <c r="S28" s="467"/>
      <c r="T28" s="467"/>
      <c r="U28" s="467"/>
      <c r="V28" s="467"/>
      <c r="W28" s="467"/>
      <c r="X28" s="467"/>
      <c r="Y28" s="467"/>
      <c r="Z28" s="467"/>
      <c r="AA28" s="467"/>
      <c r="AB28" s="467"/>
      <c r="AC28" s="467"/>
      <c r="AD28" s="467"/>
      <c r="AE28" s="467"/>
      <c r="AF28" s="174"/>
      <c r="AG28" s="174"/>
      <c r="AH28" s="174"/>
      <c r="AI28" s="174"/>
      <c r="AJ28" s="174"/>
      <c r="AK28" s="174"/>
      <c r="AL28" s="174"/>
      <c r="AM28" s="174"/>
      <c r="AN28" s="174"/>
      <c r="AO28" s="174">
        <v>1554.126</v>
      </c>
      <c r="AP28" s="174">
        <v>1554.126</v>
      </c>
      <c r="AQ28" s="174"/>
      <c r="AR28" s="174"/>
      <c r="AS28" s="174"/>
      <c r="AT28" s="174"/>
      <c r="AU28" s="174"/>
      <c r="AV28" s="164"/>
    </row>
    <row r="29" spans="1:48" collapsed="1" x14ac:dyDescent="0.2">
      <c r="A29" s="473" t="s">
        <v>214</v>
      </c>
      <c r="B29" s="474"/>
      <c r="C29" s="477">
        <v>10262.356</v>
      </c>
      <c r="D29" s="477">
        <v>11357.191999999999</v>
      </c>
      <c r="E29" s="477">
        <v>12387.164000000001</v>
      </c>
      <c r="F29" s="477">
        <f>15731.248+420-331</f>
        <v>15820.248</v>
      </c>
      <c r="G29" s="477">
        <f>20461.831+851.342</f>
        <v>21313.172999999999</v>
      </c>
      <c r="H29" s="477">
        <f>3584.63094-'CL - Aug15 LTM QE'!AA35</f>
        <v>3751.63094</v>
      </c>
      <c r="I29" s="477">
        <f>3843.86911-'CL - Aug15 LTM QE'!AB35</f>
        <v>3824.8691100000001</v>
      </c>
      <c r="J29" s="477">
        <f>4754.98498-'CL - Aug15 LTM QE'!AC35</f>
        <v>4968.311251186441</v>
      </c>
      <c r="K29" s="147">
        <f ca="1">'IS Assumptions'!O22</f>
        <v>9588.8532421999989</v>
      </c>
      <c r="L29" s="147">
        <f ca="1">HLOOKUP(L$4,'IS Assumptions'!$I$4:$L$8,5,FALSE)*HLOOKUP(L$3,'IS Assumptions'!$L$9:$T$75,'IS Assumptions'!$U$22,FALSE)</f>
        <v>4259.4664958360017</v>
      </c>
      <c r="M29" s="147">
        <f ca="1">HLOOKUP(M$4,'IS Assumptions'!$I$4:$L$8,5,FALSE)*HLOOKUP(M$3,'IS Assumptions'!$L$9:$T$75,'IS Assumptions'!$U$22,FALSE)</f>
        <v>4549.1915438821261</v>
      </c>
      <c r="N29" s="147">
        <f ca="1">HLOOKUP(N$4,'IS Assumptions'!$I$4:$L$8,5,FALSE)*HLOOKUP(N$3,'IS Assumptions'!$L$9:$T$75,'IS Assumptions'!$U$22,FALSE)</f>
        <v>5197.2607303010882</v>
      </c>
      <c r="O29" s="147">
        <f ca="1">HLOOKUP(O$4,'IS Assumptions'!$I$4:$L$8,5,FALSE)*HLOOKUP(O$3,'IS Assumptions'!$L$9:$T$75,'IS Assumptions'!$U$22,FALSE)</f>
        <v>9797.2812299807792</v>
      </c>
      <c r="P29" s="147">
        <f ca="1">HLOOKUP(P$4,'IS Assumptions'!$I$4:$L$8,5,FALSE)*HLOOKUP(P$3,'IS Assumptions'!$L$9:$T$75,'IS Assumptions'!$U$22,FALSE)</f>
        <v>4600.2238155028826</v>
      </c>
      <c r="Q29" s="147">
        <f ca="1">HLOOKUP(Q$4,'IS Assumptions'!$I$4:$L$8,5,FALSE)*HLOOKUP(Q$3,'IS Assumptions'!$L$9:$T$75,'IS Assumptions'!$U$22,FALSE)</f>
        <v>4913.126867392697</v>
      </c>
      <c r="R29" s="147">
        <f ca="1">HLOOKUP(R$4,'IS Assumptions'!$I$4:$L$8,5,FALSE)*HLOOKUP(R$3,'IS Assumptions'!$L$9:$T$75,'IS Assumptions'!$U$22,FALSE)</f>
        <v>5613.0415887251766</v>
      </c>
      <c r="S29" s="147">
        <f ca="1">HLOOKUP(S$4,'IS Assumptions'!$I$4:$L$8,5,FALSE)*HLOOKUP(S$3,'IS Assumptions'!$L$9:$T$75,'IS Assumptions'!$U$22,FALSE)</f>
        <v>10581.063728379244</v>
      </c>
      <c r="T29" s="147">
        <f ca="1">HLOOKUP(T$4,'IS Assumptions'!$I$4:$L$8,5,FALSE)*HLOOKUP(T$3,'IS Assumptions'!$L$9:$T$75,'IS Assumptions'!$U$22,FALSE)</f>
        <v>4968.2417207431145</v>
      </c>
      <c r="U29" s="147">
        <f ca="1">HLOOKUP(U$4,'IS Assumptions'!$I$4:$L$8,5,FALSE)*HLOOKUP(U$3,'IS Assumptions'!$L$9:$T$75,'IS Assumptions'!$U$22,FALSE)</f>
        <v>5306.1770167841141</v>
      </c>
      <c r="V29" s="147">
        <f ca="1">HLOOKUP(V$4,'IS Assumptions'!$I$4:$L$8,5,FALSE)*HLOOKUP(V$3,'IS Assumptions'!$L$9:$T$75,'IS Assumptions'!$U$22,FALSE)</f>
        <v>6062.0849158231913</v>
      </c>
      <c r="W29" s="147">
        <f ca="1">HLOOKUP(W$4,'IS Assumptions'!$I$4:$L$8,5,FALSE)*HLOOKUP(W$3,'IS Assumptions'!$L$9:$T$75,'IS Assumptions'!$U$22,FALSE)</f>
        <v>11427.548826649585</v>
      </c>
      <c r="X29" s="147">
        <f ca="1">HLOOKUP(X$4,'IS Assumptions'!$I$4:$L$8,5,FALSE)*HLOOKUP(X$3,'IS Assumptions'!$L$9:$T$75,'IS Assumptions'!$U$22,FALSE)</f>
        <v>5365.7010584025638</v>
      </c>
      <c r="Y29" s="147">
        <f ca="1">HLOOKUP(Y$4,'IS Assumptions'!$I$4:$L$8,5,FALSE)*HLOOKUP(Y$3,'IS Assumptions'!$L$9:$T$75,'IS Assumptions'!$U$22,FALSE)</f>
        <v>5730.6711781268432</v>
      </c>
      <c r="Z29" s="147">
        <f ca="1">HLOOKUP(Z$4,'IS Assumptions'!$I$4:$L$8,5,FALSE)*HLOOKUP(Z$3,'IS Assumptions'!$L$9:$T$75,'IS Assumptions'!$U$22,FALSE)</f>
        <v>6547.051709089048</v>
      </c>
      <c r="AA29" s="147">
        <f ca="1">HLOOKUP(AA$4,'IS Assumptions'!$I$4:$L$8,5,FALSE)*HLOOKUP(AA$3,'IS Assumptions'!$L$9:$T$75,'IS Assumptions'!$U$22,FALSE)</f>
        <v>12341.752732781553</v>
      </c>
      <c r="AB29" s="147">
        <f ca="1">HLOOKUP(AB$4,'IS Assumptions'!$I$4:$L$8,5,FALSE)*HLOOKUP(AB$3,'IS Assumptions'!$L$9:$T$75,'IS Assumptions'!$U$22,FALSE)</f>
        <v>5794.9571430747692</v>
      </c>
      <c r="AC29" s="147">
        <f ca="1">HLOOKUP(AC$4,'IS Assumptions'!$I$4:$L$8,5,FALSE)*HLOOKUP(AC$3,'IS Assumptions'!$L$9:$T$75,'IS Assumptions'!$U$22,FALSE)</f>
        <v>6189.1248723769913</v>
      </c>
      <c r="AD29" s="147">
        <f ca="1">HLOOKUP(AD$4,'IS Assumptions'!$I$4:$L$8,5,FALSE)*HLOOKUP(AD$3,'IS Assumptions'!$L$9:$T$75,'IS Assumptions'!$U$22,FALSE)</f>
        <v>7070.8158458161715</v>
      </c>
      <c r="AE29" s="147">
        <f ca="1">HLOOKUP(AE$4,'IS Assumptions'!$I$4:$L$8,5,FALSE)*HLOOKUP(AE$3,'IS Assumptions'!$L$9:$T$75,'IS Assumptions'!$U$22,FALSE)</f>
        <v>13329.092951404078</v>
      </c>
      <c r="AF29" s="174"/>
      <c r="AG29" s="147">
        <f>G29</f>
        <v>21313.172999999999</v>
      </c>
      <c r="AH29" s="147">
        <f t="shared" ref="AH29:AM29" ca="1" si="9">SUMIF($H$3:$AE$3,AH$3,$H29:$AE29)</f>
        <v>22133.66454338644</v>
      </c>
      <c r="AI29" s="147">
        <f t="shared" ca="1" si="9"/>
        <v>23803.199999999997</v>
      </c>
      <c r="AJ29" s="147">
        <f t="shared" ca="1" si="9"/>
        <v>25707.455999999998</v>
      </c>
      <c r="AK29" s="147">
        <f t="shared" ca="1" si="9"/>
        <v>27764.052480000006</v>
      </c>
      <c r="AL29" s="147">
        <f t="shared" ca="1" si="9"/>
        <v>29985.176678400006</v>
      </c>
      <c r="AM29" s="147">
        <f t="shared" ca="1" si="9"/>
        <v>32383.990812672011</v>
      </c>
      <c r="AN29" s="174"/>
      <c r="AO29" s="148">
        <f>F29/F$19</f>
        <v>0.61321138964546396</v>
      </c>
      <c r="AP29" s="148">
        <f>G29/G$19</f>
        <v>0.60498197033247914</v>
      </c>
      <c r="AQ29" s="148">
        <f t="shared" ref="AQ29:AV29" ca="1" si="10">AH29/AH$19</f>
        <v>0.58246485640490631</v>
      </c>
      <c r="AR29" s="148">
        <f t="shared" ca="1" si="10"/>
        <v>0.57999999999999996</v>
      </c>
      <c r="AS29" s="148">
        <f t="shared" ca="1" si="10"/>
        <v>0.57999999999999996</v>
      </c>
      <c r="AT29" s="148">
        <f t="shared" ca="1" si="10"/>
        <v>0.57999999999999996</v>
      </c>
      <c r="AU29" s="148">
        <f t="shared" ca="1" si="10"/>
        <v>0.57999999999999996</v>
      </c>
      <c r="AV29" s="478">
        <f t="shared" ca="1" si="10"/>
        <v>0.57999999999999996</v>
      </c>
    </row>
    <row r="30" spans="1:48" x14ac:dyDescent="0.2">
      <c r="A30" s="125"/>
      <c r="B30" s="111"/>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c r="AB30" s="174"/>
      <c r="AC30" s="174"/>
      <c r="AD30" s="174"/>
      <c r="AE30" s="174"/>
      <c r="AF30" s="174"/>
      <c r="AG30" s="174"/>
      <c r="AH30" s="174"/>
      <c r="AI30" s="174"/>
      <c r="AJ30" s="174"/>
      <c r="AK30" s="174"/>
      <c r="AL30" s="174"/>
      <c r="AM30" s="174"/>
      <c r="AN30" s="174"/>
      <c r="AO30" s="174"/>
      <c r="AP30" s="174"/>
      <c r="AQ30" s="174"/>
      <c r="AR30" s="174"/>
      <c r="AS30" s="174"/>
      <c r="AT30" s="174"/>
      <c r="AU30" s="174"/>
      <c r="AV30" s="164"/>
    </row>
    <row r="31" spans="1:48" x14ac:dyDescent="0.2">
      <c r="A31" s="473" t="s">
        <v>216</v>
      </c>
      <c r="B31" s="474"/>
      <c r="C31" s="174">
        <f>C19-C29</f>
        <v>8120.8159999999989</v>
      </c>
      <c r="D31" s="174">
        <f>D19-D29</f>
        <v>8960.4419999999991</v>
      </c>
      <c r="E31" s="174">
        <f>E19-E29</f>
        <v>8506.9279999999999</v>
      </c>
      <c r="F31" s="174">
        <f>F19-F29</f>
        <v>9978.7639999999992</v>
      </c>
      <c r="G31" s="174">
        <f>G19-G29</f>
        <v>13916.261999999999</v>
      </c>
      <c r="H31" s="174">
        <f t="shared" ref="H31:AE31" si="11">H19-H29</f>
        <v>2858.2034800000001</v>
      </c>
      <c r="I31" s="174">
        <f t="shared" si="11"/>
        <v>2780.9551799999986</v>
      </c>
      <c r="J31" s="174">
        <f t="shared" si="11"/>
        <v>3283.5244488135586</v>
      </c>
      <c r="K31" s="174">
        <f t="shared" ca="1" si="11"/>
        <v>6943.6523478000017</v>
      </c>
      <c r="L31" s="174">
        <f t="shared" ca="1" si="11"/>
        <v>3084.4412556053821</v>
      </c>
      <c r="M31" s="174">
        <f t="shared" ca="1" si="11"/>
        <v>3294.2421524663687</v>
      </c>
      <c r="N31" s="174">
        <f t="shared" ca="1" si="11"/>
        <v>3763.5336322869971</v>
      </c>
      <c r="O31" s="174">
        <f t="shared" ca="1" si="11"/>
        <v>7094.5829596412568</v>
      </c>
      <c r="P31" s="174">
        <f t="shared" ca="1" si="11"/>
        <v>3331.1965560538119</v>
      </c>
      <c r="Q31" s="174">
        <f t="shared" ca="1" si="11"/>
        <v>3557.7815246636783</v>
      </c>
      <c r="R31" s="174">
        <f t="shared" ca="1" si="11"/>
        <v>4064.6163228699552</v>
      </c>
      <c r="S31" s="174">
        <f t="shared" ca="1" si="11"/>
        <v>7662.1495964125552</v>
      </c>
      <c r="T31" s="174">
        <f t="shared" ca="1" si="11"/>
        <v>3597.6922805381173</v>
      </c>
      <c r="U31" s="174">
        <f t="shared" ca="1" si="11"/>
        <v>3842.4040466367724</v>
      </c>
      <c r="V31" s="174">
        <f t="shared" ca="1" si="11"/>
        <v>4389.7856286995529</v>
      </c>
      <c r="W31" s="174">
        <f t="shared" ca="1" si="11"/>
        <v>8275.1215641255621</v>
      </c>
      <c r="X31" s="174">
        <f t="shared" ca="1" si="11"/>
        <v>3885.5076629811674</v>
      </c>
      <c r="Y31" s="174">
        <f t="shared" ca="1" si="11"/>
        <v>4149.7963703677151</v>
      </c>
      <c r="Z31" s="174">
        <f t="shared" ca="1" si="11"/>
        <v>4740.9684789955172</v>
      </c>
      <c r="AA31" s="174">
        <f t="shared" ca="1" si="11"/>
        <v>8937.131289255607</v>
      </c>
      <c r="AB31" s="174">
        <f t="shared" ca="1" si="11"/>
        <v>4196.3482760196621</v>
      </c>
      <c r="AC31" s="174">
        <f t="shared" ca="1" si="11"/>
        <v>4481.7800799971319</v>
      </c>
      <c r="AD31" s="174">
        <f t="shared" ca="1" si="11"/>
        <v>5120.24595731516</v>
      </c>
      <c r="AE31" s="174">
        <f t="shared" ca="1" si="11"/>
        <v>9652.101792396059</v>
      </c>
      <c r="AF31" s="174"/>
      <c r="AG31" s="174">
        <f>G31</f>
        <v>13916.261999999999</v>
      </c>
      <c r="AH31" s="174">
        <f ca="1">SUMIF($H$3:$AA$3,AH$3,$H31:$AA31)</f>
        <v>15866.33545661356</v>
      </c>
      <c r="AI31" s="174">
        <f ca="1">SUMIF($H$3:$AA$3,AI$3,$H31:$AA31)</f>
        <v>17236.800000000003</v>
      </c>
      <c r="AJ31" s="174">
        <f ca="1">SUMIF($H$3:$AA$3,AJ$3,$H31:$AA31)</f>
        <v>18615.743999999999</v>
      </c>
      <c r="AK31" s="174">
        <f ca="1">SUMIF($H$3:$AA$3,AK$3,$H31:$AA31)</f>
        <v>20105.003520000006</v>
      </c>
      <c r="AL31" s="174">
        <f ca="1">SUMIF($H$3:$AA$3,AL$3,$H31:$AA31)</f>
        <v>21713.403801600005</v>
      </c>
      <c r="AM31" s="174">
        <f ca="1">AM19-AM29</f>
        <v>23450.476105728012</v>
      </c>
      <c r="AN31" s="174"/>
      <c r="AO31" s="128">
        <f>F31/F$19</f>
        <v>0.38678861035453604</v>
      </c>
      <c r="AP31" s="128">
        <f>G31/G$19</f>
        <v>0.39501802966752092</v>
      </c>
      <c r="AQ31" s="128">
        <f t="shared" ref="AQ31:AV31" ca="1" si="12">AH31/AH$19</f>
        <v>0.41753514359509369</v>
      </c>
      <c r="AR31" s="128">
        <f t="shared" ca="1" si="12"/>
        <v>0.4200000000000001</v>
      </c>
      <c r="AS31" s="128">
        <f t="shared" ca="1" si="12"/>
        <v>0.42</v>
      </c>
      <c r="AT31" s="128">
        <f t="shared" ca="1" si="12"/>
        <v>0.42000000000000004</v>
      </c>
      <c r="AU31" s="128">
        <f t="shared" ca="1" si="12"/>
        <v>0.41999999999999993</v>
      </c>
      <c r="AV31" s="476">
        <f t="shared" ca="1" si="12"/>
        <v>0.42000000000000004</v>
      </c>
    </row>
    <row r="32" spans="1:48" x14ac:dyDescent="0.2">
      <c r="A32" s="479"/>
      <c r="B32" s="480"/>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64"/>
    </row>
    <row r="33" spans="1:48" ht="15" x14ac:dyDescent="0.35">
      <c r="A33" s="481" t="s">
        <v>217</v>
      </c>
      <c r="B33" s="482"/>
      <c r="C33" s="483">
        <f>IFERROR(C31/C19*100,0)</f>
        <v>44.175270731297076</v>
      </c>
      <c r="D33" s="483">
        <f>IFERROR(D31/D19*100,0)</f>
        <v>44.101798467282165</v>
      </c>
      <c r="E33" s="483">
        <f>IFERROR(E31/E19*100,0)</f>
        <v>40.71451394011283</v>
      </c>
      <c r="F33" s="483">
        <f>IFERROR(F31/F19*100,0)</f>
        <v>38.678861035453608</v>
      </c>
      <c r="G33" s="483">
        <f>G31/G19*100</f>
        <v>39.501802966752095</v>
      </c>
      <c r="H33" s="483">
        <f t="shared" ref="H33:AE33" si="13">H31/H19*100</f>
        <v>43.241680477678287</v>
      </c>
      <c r="I33" s="483">
        <f t="shared" si="13"/>
        <v>42.098533928761206</v>
      </c>
      <c r="J33" s="483">
        <f t="shared" si="13"/>
        <v>39.791442391582741</v>
      </c>
      <c r="K33" s="483">
        <f t="shared" ca="1" si="13"/>
        <v>42.000000000000007</v>
      </c>
      <c r="L33" s="483">
        <f t="shared" ca="1" si="13"/>
        <v>42.000000000000014</v>
      </c>
      <c r="M33" s="483">
        <f t="shared" ca="1" si="13"/>
        <v>42.000000000000007</v>
      </c>
      <c r="N33" s="483">
        <f t="shared" ca="1" si="13"/>
        <v>42.000000000000014</v>
      </c>
      <c r="O33" s="483">
        <f t="shared" ca="1" si="13"/>
        <v>42.000000000000007</v>
      </c>
      <c r="P33" s="483">
        <f t="shared" ca="1" si="13"/>
        <v>42.000000000000007</v>
      </c>
      <c r="Q33" s="483">
        <f t="shared" ca="1" si="13"/>
        <v>42.000000000000007</v>
      </c>
      <c r="R33" s="483">
        <f t="shared" ca="1" si="13"/>
        <v>42</v>
      </c>
      <c r="S33" s="483">
        <f t="shared" ca="1" si="13"/>
        <v>42</v>
      </c>
      <c r="T33" s="483">
        <f t="shared" ca="1" si="13"/>
        <v>42</v>
      </c>
      <c r="U33" s="483">
        <f t="shared" ca="1" si="13"/>
        <v>42</v>
      </c>
      <c r="V33" s="483">
        <f t="shared" ca="1" si="13"/>
        <v>42.000000000000007</v>
      </c>
      <c r="W33" s="483">
        <f t="shared" ca="1" si="13"/>
        <v>42.000000000000007</v>
      </c>
      <c r="X33" s="483">
        <f t="shared" ca="1" si="13"/>
        <v>42.000000000000007</v>
      </c>
      <c r="Y33" s="483">
        <f t="shared" ca="1" si="13"/>
        <v>42.000000000000007</v>
      </c>
      <c r="Z33" s="483">
        <f t="shared" ca="1" si="13"/>
        <v>42</v>
      </c>
      <c r="AA33" s="483">
        <f t="shared" ca="1" si="13"/>
        <v>42</v>
      </c>
      <c r="AB33" s="483">
        <f t="shared" ca="1" si="13"/>
        <v>42.000000000000007</v>
      </c>
      <c r="AC33" s="483">
        <f t="shared" ca="1" si="13"/>
        <v>42.000000000000007</v>
      </c>
      <c r="AD33" s="483">
        <f t="shared" ca="1" si="13"/>
        <v>42.000000000000007</v>
      </c>
      <c r="AE33" s="483">
        <f t="shared" ca="1" si="13"/>
        <v>42.000000000000007</v>
      </c>
      <c r="AF33" s="174"/>
      <c r="AG33" s="483">
        <f>G33</f>
        <v>39.501802966752095</v>
      </c>
      <c r="AH33" s="483">
        <f t="shared" ref="AH33:AM33" ca="1" si="14">AH31/AH19*100</f>
        <v>41.753514359509367</v>
      </c>
      <c r="AI33" s="483">
        <f t="shared" ca="1" si="14"/>
        <v>42.000000000000007</v>
      </c>
      <c r="AJ33" s="483">
        <f t="shared" ca="1" si="14"/>
        <v>42</v>
      </c>
      <c r="AK33" s="483">
        <f t="shared" ca="1" si="14"/>
        <v>42.000000000000007</v>
      </c>
      <c r="AL33" s="483">
        <f t="shared" ca="1" si="14"/>
        <v>41.999999999999993</v>
      </c>
      <c r="AM33" s="483">
        <f t="shared" ca="1" si="14"/>
        <v>42.000000000000007</v>
      </c>
      <c r="AN33" s="174"/>
      <c r="AO33" s="484">
        <f>AO31</f>
        <v>0.38678861035453604</v>
      </c>
      <c r="AP33" s="484">
        <f t="shared" ref="AP33:AV33" si="15">AP31</f>
        <v>0.39501802966752092</v>
      </c>
      <c r="AQ33" s="484">
        <f t="shared" ca="1" si="15"/>
        <v>0.41753514359509369</v>
      </c>
      <c r="AR33" s="484">
        <f t="shared" ca="1" si="15"/>
        <v>0.4200000000000001</v>
      </c>
      <c r="AS33" s="484">
        <f t="shared" ca="1" si="15"/>
        <v>0.42</v>
      </c>
      <c r="AT33" s="484">
        <f t="shared" ca="1" si="15"/>
        <v>0.42000000000000004</v>
      </c>
      <c r="AU33" s="484">
        <f t="shared" ca="1" si="15"/>
        <v>0.41999999999999993</v>
      </c>
      <c r="AV33" s="485">
        <f t="shared" ca="1" si="15"/>
        <v>0.42000000000000004</v>
      </c>
    </row>
    <row r="34" spans="1:48" ht="11.25" customHeight="1" x14ac:dyDescent="0.35">
      <c r="A34" s="481"/>
      <c r="B34" s="482"/>
      <c r="C34" s="168"/>
      <c r="D34" s="483"/>
      <c r="E34" s="483"/>
      <c r="F34" s="483"/>
      <c r="G34" s="484"/>
      <c r="H34" s="484"/>
      <c r="I34" s="484"/>
      <c r="J34" s="484"/>
      <c r="K34" s="168"/>
      <c r="L34" s="168"/>
      <c r="M34" s="168"/>
      <c r="N34" s="168"/>
      <c r="O34" s="168"/>
      <c r="P34" s="168"/>
      <c r="Q34" s="168"/>
      <c r="R34" s="168"/>
      <c r="S34" s="168"/>
      <c r="T34" s="168"/>
      <c r="U34" s="168"/>
      <c r="V34" s="168"/>
      <c r="W34" s="168"/>
      <c r="X34" s="168"/>
      <c r="Y34" s="168"/>
      <c r="Z34" s="168"/>
      <c r="AA34" s="168"/>
      <c r="AB34" s="168"/>
      <c r="AC34" s="168"/>
      <c r="AD34" s="168"/>
      <c r="AE34" s="168"/>
      <c r="AF34" s="174"/>
      <c r="AG34" s="483"/>
      <c r="AH34" s="483"/>
      <c r="AI34" s="483"/>
      <c r="AJ34" s="483"/>
      <c r="AK34" s="483"/>
      <c r="AL34" s="483"/>
      <c r="AM34" s="483"/>
      <c r="AN34" s="174"/>
      <c r="AO34" s="484"/>
      <c r="AP34" s="484"/>
      <c r="AQ34" s="483"/>
      <c r="AR34" s="483"/>
      <c r="AS34" s="483"/>
      <c r="AT34" s="483"/>
      <c r="AU34" s="483"/>
      <c r="AV34" s="486"/>
    </row>
    <row r="35" spans="1:48" s="174" customFormat="1" x14ac:dyDescent="0.2">
      <c r="A35" s="465" t="s">
        <v>409</v>
      </c>
      <c r="B35" s="466"/>
      <c r="C35" s="475">
        <v>6435.335</v>
      </c>
      <c r="D35" s="487">
        <f>1582.732-3.24</f>
        <v>1579.492</v>
      </c>
      <c r="E35" s="487">
        <f>3418.47-3.24</f>
        <v>3415.23</v>
      </c>
      <c r="F35" s="487">
        <f>3799.641-3.24-'CL - Aug15 LTM QE'!W34</f>
        <v>3905.4010000000003</v>
      </c>
      <c r="G35" s="475">
        <f>5468.94-3.24-'CL - Aug15 LTM QE'!X34</f>
        <v>5570.7</v>
      </c>
      <c r="H35" s="475">
        <f>1043.98896-'CL - Aug15 LTM QE'!AA34</f>
        <v>1066.9889599999999</v>
      </c>
      <c r="I35" s="475">
        <f>1039.57177-'CL - Aug15 LTM QE'!AB34</f>
        <v>1056.57177</v>
      </c>
      <c r="J35" s="475">
        <v>1148.3386629999995</v>
      </c>
      <c r="K35" s="174">
        <f ca="1">'IS Assumptions'!O30</f>
        <v>2479.8758385000001</v>
      </c>
      <c r="L35" s="174">
        <f ca="1">HLOOKUP(L$4,'IS Assumptions'!$I$4:$L$8,5,FALSE)*HLOOKUP(L$3,'IS Assumptions'!$L$9:$T$75,'IS Assumptions'!$U$30,FALSE)</f>
        <v>1101.5861627162076</v>
      </c>
      <c r="M35" s="174">
        <f ca="1">HLOOKUP(M$4,'IS Assumptions'!$I$4:$L$8,5,FALSE)*HLOOKUP(M$3,'IS Assumptions'!$L$9:$T$75,'IS Assumptions'!$U$30,FALSE)</f>
        <v>1176.5150544522742</v>
      </c>
      <c r="N35" s="174">
        <f ca="1">HLOOKUP(N$4,'IS Assumptions'!$I$4:$L$8,5,FALSE)*HLOOKUP(N$3,'IS Assumptions'!$L$9:$T$75,'IS Assumptions'!$U$30,FALSE)</f>
        <v>1344.1191543882128</v>
      </c>
      <c r="O35" s="174">
        <f ca="1">HLOOKUP(O$4,'IS Assumptions'!$I$4:$L$8,5,FALSE)*HLOOKUP(O$3,'IS Assumptions'!$L$9:$T$75,'IS Assumptions'!$U$30,FALSE)</f>
        <v>2533.7796284433052</v>
      </c>
      <c r="P35" s="174">
        <f ca="1">HLOOKUP(P$4,'IS Assumptions'!$I$4:$L$8,5,FALSE)*HLOOKUP(P$3,'IS Assumptions'!$L$9:$T$75,'IS Assumptions'!$U$30,FALSE)</f>
        <v>1189.7130557335042</v>
      </c>
      <c r="Q35" s="174">
        <f ca="1">HLOOKUP(Q$4,'IS Assumptions'!$I$4:$L$8,5,FALSE)*HLOOKUP(Q$3,'IS Assumptions'!$L$9:$T$75,'IS Assumptions'!$U$30,FALSE)</f>
        <v>1270.6362588084562</v>
      </c>
      <c r="R35" s="174">
        <f ca="1">HLOOKUP(R$4,'IS Assumptions'!$I$4:$L$8,5,FALSE)*HLOOKUP(R$3,'IS Assumptions'!$L$9:$T$75,'IS Assumptions'!$U$30,FALSE)</f>
        <v>1451.6486867392698</v>
      </c>
      <c r="S35" s="174">
        <f ca="1">HLOOKUP(S$4,'IS Assumptions'!$I$4:$L$8,5,FALSE)*HLOOKUP(S$3,'IS Assumptions'!$L$9:$T$75,'IS Assumptions'!$U$30,FALSE)</f>
        <v>2736.4819987187702</v>
      </c>
      <c r="T35" s="174">
        <f ca="1">HLOOKUP(T$4,'IS Assumptions'!$I$4:$L$8,5,FALSE)*HLOOKUP(T$3,'IS Assumptions'!$L$9:$T$75,'IS Assumptions'!$U$30,FALSE)</f>
        <v>1242.0604301857786</v>
      </c>
      <c r="U35" s="174">
        <f ca="1">HLOOKUP(U$4,'IS Assumptions'!$I$4:$L$8,5,FALSE)*HLOOKUP(U$3,'IS Assumptions'!$L$9:$T$75,'IS Assumptions'!$U$30,FALSE)</f>
        <v>1326.5442541960285</v>
      </c>
      <c r="V35" s="174">
        <f ca="1">HLOOKUP(V$4,'IS Assumptions'!$I$4:$L$8,5,FALSE)*HLOOKUP(V$3,'IS Assumptions'!$L$9:$T$75,'IS Assumptions'!$U$30,FALSE)</f>
        <v>1515.5212289557978</v>
      </c>
      <c r="W35" s="174">
        <f ca="1">HLOOKUP(W$4,'IS Assumptions'!$I$4:$L$8,5,FALSE)*HLOOKUP(W$3,'IS Assumptions'!$L$9:$T$75,'IS Assumptions'!$U$30,FALSE)</f>
        <v>2856.8872066623962</v>
      </c>
      <c r="X35" s="174">
        <f ca="1">HLOOKUP(X$4,'IS Assumptions'!$I$4:$L$8,5,FALSE)*HLOOKUP(X$3,'IS Assumptions'!$L$9:$T$75,'IS Assumptions'!$U$30,FALSE)</f>
        <v>1341.425264600641</v>
      </c>
      <c r="Y35" s="174">
        <f ca="1">HLOOKUP(Y$4,'IS Assumptions'!$I$4:$L$8,5,FALSE)*HLOOKUP(Y$3,'IS Assumptions'!$L$9:$T$75,'IS Assumptions'!$U$30,FALSE)</f>
        <v>1432.6677945317108</v>
      </c>
      <c r="Z35" s="174">
        <f ca="1">HLOOKUP(Z$4,'IS Assumptions'!$I$4:$L$8,5,FALSE)*HLOOKUP(Z$3,'IS Assumptions'!$L$9:$T$75,'IS Assumptions'!$U$30,FALSE)</f>
        <v>1636.762927272262</v>
      </c>
      <c r="AA35" s="174">
        <f ca="1">HLOOKUP(AA$4,'IS Assumptions'!$I$4:$L$8,5,FALSE)*HLOOKUP(AA$3,'IS Assumptions'!$L$9:$T$75,'IS Assumptions'!$U$30,FALSE)</f>
        <v>3085.4381831953883</v>
      </c>
      <c r="AB35" s="174">
        <f ca="1">HLOOKUP(AB$4,'IS Assumptions'!$I$4:$L$8,5,FALSE)*HLOOKUP(AB$3,'IS Assumptions'!$L$9:$T$75,'IS Assumptions'!$U$30,FALSE)</f>
        <v>1448.7392857686923</v>
      </c>
      <c r="AC35" s="174">
        <f ca="1">HLOOKUP(AC$4,'IS Assumptions'!$I$4:$L$8,5,FALSE)*HLOOKUP(AC$3,'IS Assumptions'!$L$9:$T$75,'IS Assumptions'!$U$30,FALSE)</f>
        <v>1547.2812180942478</v>
      </c>
      <c r="AD35" s="174">
        <f ca="1">HLOOKUP(AD$4,'IS Assumptions'!$I$4:$L$8,5,FALSE)*HLOOKUP(AD$3,'IS Assumptions'!$L$9:$T$75,'IS Assumptions'!$U$30,FALSE)</f>
        <v>1767.7039614540429</v>
      </c>
      <c r="AE35" s="174">
        <f ca="1">HLOOKUP(AE$4,'IS Assumptions'!$I$4:$L$8,5,FALSE)*HLOOKUP(AE$3,'IS Assumptions'!$L$9:$T$75,'IS Assumptions'!$U$30,FALSE)</f>
        <v>3332.2732378510195</v>
      </c>
      <c r="AG35" s="467">
        <f t="shared" ref="AG35:AG44" si="16">$G35</f>
        <v>5570.7</v>
      </c>
      <c r="AH35" s="174">
        <f t="shared" ref="AH35:AM45" ca="1" si="17">SUMIF($H$3:$AE$3,AH$3,$H35:$AE35)</f>
        <v>5751.7752314999998</v>
      </c>
      <c r="AI35" s="174">
        <f t="shared" ca="1" si="17"/>
        <v>6156</v>
      </c>
      <c r="AJ35" s="174">
        <f t="shared" ca="1" si="17"/>
        <v>6648.4800000000005</v>
      </c>
      <c r="AK35" s="174">
        <f t="shared" ca="1" si="17"/>
        <v>6941.0131200000014</v>
      </c>
      <c r="AL35" s="174">
        <f t="shared" ca="1" si="17"/>
        <v>7496.2941696000016</v>
      </c>
      <c r="AM35" s="174">
        <f t="shared" ca="1" si="17"/>
        <v>8095.9977031680028</v>
      </c>
      <c r="AO35" s="488">
        <f>F35/F$19</f>
        <v>0.15137792873618572</v>
      </c>
      <c r="AP35" s="488">
        <f>G35/G$19</f>
        <v>0.15812629410605081</v>
      </c>
      <c r="AQ35" s="488">
        <f t="shared" ref="AQ35:AQ46" ca="1" si="18">AH35/AH$19</f>
        <v>0.15136250609210525</v>
      </c>
      <c r="AR35" s="488">
        <f t="shared" ref="AR35:AR46" ca="1" si="19">AI35/AI$19</f>
        <v>0.15</v>
      </c>
      <c r="AS35" s="488">
        <f t="shared" ref="AS35:AS46" ca="1" si="20">AJ35/AJ$19</f>
        <v>0.15000000000000002</v>
      </c>
      <c r="AT35" s="488">
        <f t="shared" ref="AT35:AT46" ca="1" si="21">AK35/AK$19</f>
        <v>0.14499999999999999</v>
      </c>
      <c r="AU35" s="488">
        <f t="shared" ref="AU35:AU46" ca="1" si="22">AL35/AL$19</f>
        <v>0.14499999999999999</v>
      </c>
      <c r="AV35" s="489">
        <f t="shared" ref="AV35:AV46" ca="1" si="23">AM35/AM$19</f>
        <v>0.14499999999999999</v>
      </c>
    </row>
    <row r="36" spans="1:48" s="174" customFormat="1" x14ac:dyDescent="0.2">
      <c r="A36" s="465" t="s">
        <v>215</v>
      </c>
      <c r="B36" s="466"/>
      <c r="C36" s="475"/>
      <c r="D36" s="487">
        <f>4624.586-403.266</f>
        <v>4221.3200000000006</v>
      </c>
      <c r="E36" s="487">
        <f>1688.716-562.8</f>
        <v>1125.9159999999999</v>
      </c>
      <c r="F36" s="487">
        <f>1926.012-661.406-SUM('CL - Aug15 LTM QE'!W29:W30,'CL - Aug15 LTM QE'!W32:W33)</f>
        <v>1352.606</v>
      </c>
      <c r="G36" s="475">
        <f>2628.031-1029.258-SUM('CL - Aug15 LTM QE'!X29:X30,'CL - Aug15 LTM QE'!X32:X33)</f>
        <v>1560.7729999999999</v>
      </c>
      <c r="H36" s="475">
        <f>385.27447-'CL - Aug15 LTM QE'!AA29-'CL - Aug15 LTM QE'!AA30</f>
        <v>472.27447000000001</v>
      </c>
      <c r="I36" s="475">
        <f>239.58364-'CL - Aug15 LTM QE'!AB29-'CL - Aug15 LTM QE'!AB30</f>
        <v>357.58364</v>
      </c>
      <c r="J36" s="475">
        <v>430.35775999999976</v>
      </c>
      <c r="K36" s="174">
        <f ca="1">'IS Assumptions'!O36</f>
        <v>826.62527950000003</v>
      </c>
      <c r="L36" s="174">
        <f ca="1">HLOOKUP(L$4,'IS Assumptions'!$I$4:$L$8,5,FALSE)*HLOOKUP(L$3,'IS Assumptions'!$L$9:$T$75,'IS Assumptions'!$U$36,FALSE)</f>
        <v>403.91492632927606</v>
      </c>
      <c r="M36" s="174">
        <f ca="1">HLOOKUP(M$4,'IS Assumptions'!$I$4:$L$8,5,FALSE)*HLOOKUP(M$3,'IS Assumptions'!$L$9:$T$75,'IS Assumptions'!$U$36,FALSE)</f>
        <v>431.38885329916718</v>
      </c>
      <c r="N36" s="174">
        <f ca="1">HLOOKUP(N$4,'IS Assumptions'!$I$4:$L$8,5,FALSE)*HLOOKUP(N$3,'IS Assumptions'!$L$9:$T$75,'IS Assumptions'!$U$36,FALSE)</f>
        <v>492.84368994234461</v>
      </c>
      <c r="O36" s="174">
        <f ca="1">HLOOKUP(O$4,'IS Assumptions'!$I$4:$L$8,5,FALSE)*HLOOKUP(O$3,'IS Assumptions'!$L$9:$T$75,'IS Assumptions'!$U$36,FALSE)</f>
        <v>929.05253042921186</v>
      </c>
      <c r="P36" s="174">
        <f ca="1">HLOOKUP(P$4,'IS Assumptions'!$I$4:$L$8,5,FALSE)*HLOOKUP(P$3,'IS Assumptions'!$L$9:$T$75,'IS Assumptions'!$U$36,FALSE)</f>
        <v>396.57101857783476</v>
      </c>
      <c r="Q36" s="174">
        <f ca="1">HLOOKUP(Q$4,'IS Assumptions'!$I$4:$L$8,5,FALSE)*HLOOKUP(Q$3,'IS Assumptions'!$L$9:$T$75,'IS Assumptions'!$U$36,FALSE)</f>
        <v>423.54541960281875</v>
      </c>
      <c r="R36" s="174">
        <f ca="1">HLOOKUP(R$4,'IS Assumptions'!$I$4:$L$8,5,FALSE)*HLOOKUP(R$3,'IS Assumptions'!$L$9:$T$75,'IS Assumptions'!$U$36,FALSE)</f>
        <v>483.88289557975662</v>
      </c>
      <c r="S36" s="174">
        <f ca="1">HLOOKUP(S$4,'IS Assumptions'!$I$4:$L$8,5,FALSE)*HLOOKUP(S$3,'IS Assumptions'!$L$9:$T$75,'IS Assumptions'!$U$36,FALSE)</f>
        <v>912.16066623959011</v>
      </c>
      <c r="T36" s="174">
        <f ca="1">HLOOKUP(T$4,'IS Assumptions'!$I$4:$L$8,5,FALSE)*HLOOKUP(T$3,'IS Assumptions'!$L$9:$T$75,'IS Assumptions'!$U$36,FALSE)</f>
        <v>428.29670006406155</v>
      </c>
      <c r="U36" s="174">
        <f ca="1">HLOOKUP(U$4,'IS Assumptions'!$I$4:$L$8,5,FALSE)*HLOOKUP(U$3,'IS Assumptions'!$L$9:$T$75,'IS Assumptions'!$U$36,FALSE)</f>
        <v>457.4290531710443</v>
      </c>
      <c r="V36" s="174">
        <f ca="1">HLOOKUP(V$4,'IS Assumptions'!$I$4:$L$8,5,FALSE)*HLOOKUP(V$3,'IS Assumptions'!$L$9:$T$75,'IS Assumptions'!$U$36,FALSE)</f>
        <v>522.59352722613721</v>
      </c>
      <c r="W36" s="174">
        <f ca="1">HLOOKUP(W$4,'IS Assumptions'!$I$4:$L$8,5,FALSE)*HLOOKUP(W$3,'IS Assumptions'!$L$9:$T$75,'IS Assumptions'!$U$36,FALSE)</f>
        <v>985.13351953875735</v>
      </c>
      <c r="X36" s="174">
        <f ca="1">HLOOKUP(X$4,'IS Assumptions'!$I$4:$L$8,5,FALSE)*HLOOKUP(X$3,'IS Assumptions'!$L$9:$T$75,'IS Assumptions'!$U$36,FALSE)</f>
        <v>462.56043606918655</v>
      </c>
      <c r="Y36" s="174">
        <f ca="1">HLOOKUP(Y$4,'IS Assumptions'!$I$4:$L$8,5,FALSE)*HLOOKUP(Y$3,'IS Assumptions'!$L$9:$T$75,'IS Assumptions'!$U$36,FALSE)</f>
        <v>494.02337742472793</v>
      </c>
      <c r="Z36" s="174">
        <f ca="1">HLOOKUP(Z$4,'IS Assumptions'!$I$4:$L$8,5,FALSE)*HLOOKUP(Z$3,'IS Assumptions'!$L$9:$T$75,'IS Assumptions'!$U$36,FALSE)</f>
        <v>564.40100940422826</v>
      </c>
      <c r="AA36" s="174">
        <f ca="1">HLOOKUP(AA$4,'IS Assumptions'!$I$4:$L$8,5,FALSE)*HLOOKUP(AA$3,'IS Assumptions'!$L$9:$T$75,'IS Assumptions'!$U$36,FALSE)</f>
        <v>1063.9442011018582</v>
      </c>
      <c r="AB36" s="174">
        <f ca="1">HLOOKUP(AB$4,'IS Assumptions'!$I$4:$L$8,5,FALSE)*HLOOKUP(AB$3,'IS Assumptions'!$L$9:$T$75,'IS Assumptions'!$U$36,FALSE)</f>
        <v>499.5652709547216</v>
      </c>
      <c r="AC36" s="174">
        <f ca="1">HLOOKUP(AC$4,'IS Assumptions'!$I$4:$L$8,5,FALSE)*HLOOKUP(AC$3,'IS Assumptions'!$L$9:$T$75,'IS Assumptions'!$U$36,FALSE)</f>
        <v>533.54524761870618</v>
      </c>
      <c r="AD36" s="174">
        <f ca="1">HLOOKUP(AD$4,'IS Assumptions'!$I$4:$L$8,5,FALSE)*HLOOKUP(AD$3,'IS Assumptions'!$L$9:$T$75,'IS Assumptions'!$U$36,FALSE)</f>
        <v>609.55309015656667</v>
      </c>
      <c r="AE36" s="174">
        <f ca="1">HLOOKUP(AE$4,'IS Assumptions'!$I$4:$L$8,5,FALSE)*HLOOKUP(AE$3,'IS Assumptions'!$L$9:$T$75,'IS Assumptions'!$U$36,FALSE)</f>
        <v>1149.0597371900069</v>
      </c>
      <c r="AG36" s="467">
        <f t="shared" si="16"/>
        <v>1560.7729999999999</v>
      </c>
      <c r="AH36" s="174">
        <f t="shared" ca="1" si="17"/>
        <v>2086.8411495</v>
      </c>
      <c r="AI36" s="174">
        <f t="shared" ca="1" si="17"/>
        <v>2257.1999999999998</v>
      </c>
      <c r="AJ36" s="174">
        <f t="shared" ca="1" si="17"/>
        <v>2216.1600000000003</v>
      </c>
      <c r="AK36" s="174">
        <f t="shared" ca="1" si="17"/>
        <v>2393.4528000000005</v>
      </c>
      <c r="AL36" s="174">
        <f t="shared" ca="1" si="17"/>
        <v>2584.9290240000009</v>
      </c>
      <c r="AM36" s="174">
        <f t="shared" ca="1" si="17"/>
        <v>2791.7233459200015</v>
      </c>
      <c r="AO36" s="488">
        <f>F36/F$19</f>
        <v>5.2428596878050994E-2</v>
      </c>
      <c r="AP36" s="488">
        <f>G36/G$19</f>
        <v>4.4303094841004406E-2</v>
      </c>
      <c r="AQ36" s="488">
        <f t="shared" ref="AQ36:AV36" ca="1" si="24">AH36/AH$19</f>
        <v>5.4916872355263158E-2</v>
      </c>
      <c r="AR36" s="488">
        <f t="shared" ca="1" si="24"/>
        <v>5.4999999999999993E-2</v>
      </c>
      <c r="AS36" s="488">
        <f t="shared" ca="1" si="24"/>
        <v>5.000000000000001E-2</v>
      </c>
      <c r="AT36" s="488">
        <f t="shared" ca="1" si="24"/>
        <v>4.9999999999999996E-2</v>
      </c>
      <c r="AU36" s="488">
        <f t="shared" ca="1" si="24"/>
        <v>0.05</v>
      </c>
      <c r="AV36" s="489">
        <f t="shared" ca="1" si="24"/>
        <v>5.000000000000001E-2</v>
      </c>
    </row>
    <row r="37" spans="1:48" s="174" customFormat="1" x14ac:dyDescent="0.2">
      <c r="A37" s="465" t="s">
        <v>269</v>
      </c>
      <c r="B37" s="466"/>
      <c r="C37" s="475"/>
      <c r="D37" s="487">
        <f>1700.682-195.96</f>
        <v>1504.722</v>
      </c>
      <c r="E37" s="487">
        <f>1430.225-195.96</f>
        <v>1234.2649999999999</v>
      </c>
      <c r="F37" s="487">
        <f>1712.017-195.96-'CL - Aug15 LTM QE'!W28</f>
        <v>1512.057</v>
      </c>
      <c r="G37" s="475">
        <f>1648.345-195.96-'CL - Aug15 LTM QE'!X28</f>
        <v>1448.385</v>
      </c>
      <c r="H37" s="475">
        <f>449.40387-'CL - Aug15 LTM QE'!AA28</f>
        <v>448.40386999999998</v>
      </c>
      <c r="I37" s="475">
        <f>384.36418-'CL - Aug15 LTM QE'!AB28</f>
        <v>383.36417999999998</v>
      </c>
      <c r="J37" s="475">
        <v>363.05893999999989</v>
      </c>
      <c r="K37" s="174">
        <f>'IS Assumptions'!O42</f>
        <v>800</v>
      </c>
      <c r="L37" s="174">
        <f ca="1">HLOOKUP(L$3,'IS Assumptions'!$L$9:$T$75,'IS Assumptions'!$U$42,FALSE)/4</f>
        <v>623.38343437499998</v>
      </c>
      <c r="M37" s="174">
        <f ca="1">HLOOKUP(M$3,'IS Assumptions'!$L$9:$T$75,'IS Assumptions'!$U$42,FALSE)/4</f>
        <v>623.38343437499998</v>
      </c>
      <c r="N37" s="174">
        <f ca="1">HLOOKUP(N$3,'IS Assumptions'!$L$9:$T$75,'IS Assumptions'!$U$42,FALSE)/4</f>
        <v>623.38343437499998</v>
      </c>
      <c r="O37" s="174">
        <f ca="1">HLOOKUP(O$3,'IS Assumptions'!$L$9:$T$75,'IS Assumptions'!$U$42,FALSE)/4</f>
        <v>623.38343437499998</v>
      </c>
      <c r="P37" s="174">
        <f ca="1">HLOOKUP(P$3,'IS Assumptions'!$L$9:$T$75,'IS Assumptions'!$U$42,FALSE)/4</f>
        <v>654.55260609375</v>
      </c>
      <c r="Q37" s="174">
        <f ca="1">HLOOKUP(Q$3,'IS Assumptions'!$L$9:$T$75,'IS Assumptions'!$U$42,FALSE)/4</f>
        <v>654.55260609375</v>
      </c>
      <c r="R37" s="174">
        <f ca="1">HLOOKUP(R$3,'IS Assumptions'!$L$9:$T$75,'IS Assumptions'!$U$42,FALSE)/4</f>
        <v>654.55260609375</v>
      </c>
      <c r="S37" s="174">
        <f ca="1">HLOOKUP(S$3,'IS Assumptions'!$L$9:$T$75,'IS Assumptions'!$U$42,FALSE)/4</f>
        <v>654.55260609375</v>
      </c>
      <c r="T37" s="174">
        <f ca="1">HLOOKUP(T$3,'IS Assumptions'!$L$9:$T$75,'IS Assumptions'!$U$42,FALSE)/4</f>
        <v>687.28023639843752</v>
      </c>
      <c r="U37" s="174">
        <f ca="1">HLOOKUP(U$3,'IS Assumptions'!$L$9:$T$75,'IS Assumptions'!$U$42,FALSE)/4</f>
        <v>687.28023639843752</v>
      </c>
      <c r="V37" s="174">
        <f ca="1">HLOOKUP(V$3,'IS Assumptions'!$L$9:$T$75,'IS Assumptions'!$U$42,FALSE)/4</f>
        <v>687.28023639843752</v>
      </c>
      <c r="W37" s="174">
        <f ca="1">HLOOKUP(W$3,'IS Assumptions'!$L$9:$T$75,'IS Assumptions'!$U$42,FALSE)/4</f>
        <v>687.28023639843752</v>
      </c>
      <c r="X37" s="174">
        <f ca="1">HLOOKUP(X$3,'IS Assumptions'!$L$9:$T$75,'IS Assumptions'!$U$42,FALSE)/4</f>
        <v>721.64424821835939</v>
      </c>
      <c r="Y37" s="174">
        <f ca="1">HLOOKUP(Y$3,'IS Assumptions'!$L$9:$T$75,'IS Assumptions'!$U$42,FALSE)/4</f>
        <v>721.64424821835939</v>
      </c>
      <c r="Z37" s="174">
        <f ca="1">HLOOKUP(Z$3,'IS Assumptions'!$L$9:$T$75,'IS Assumptions'!$U$42,FALSE)/4</f>
        <v>721.64424821835939</v>
      </c>
      <c r="AA37" s="174">
        <f ca="1">HLOOKUP(AA$3,'IS Assumptions'!$L$9:$T$75,'IS Assumptions'!$U$42,FALSE)/4</f>
        <v>721.64424821835939</v>
      </c>
      <c r="AB37" s="174">
        <f ca="1">HLOOKUP(AB$3,'IS Assumptions'!$L$9:$T$75,'IS Assumptions'!$U$42,FALSE)/4</f>
        <v>757.72646062927743</v>
      </c>
      <c r="AC37" s="174">
        <f ca="1">HLOOKUP(AC$3,'IS Assumptions'!$L$9:$T$75,'IS Assumptions'!$U$42,FALSE)/4</f>
        <v>757.72646062927743</v>
      </c>
      <c r="AD37" s="174">
        <f ca="1">HLOOKUP(AD$3,'IS Assumptions'!$L$9:$T$75,'IS Assumptions'!$U$42,FALSE)/4</f>
        <v>757.72646062927743</v>
      </c>
      <c r="AE37" s="174">
        <f ca="1">HLOOKUP(AE$3,'IS Assumptions'!$L$9:$T$75,'IS Assumptions'!$U$42,FALSE)/4</f>
        <v>757.72646062927743</v>
      </c>
      <c r="AG37" s="467">
        <f t="shared" si="16"/>
        <v>1448.385</v>
      </c>
      <c r="AH37" s="174">
        <f t="shared" si="17"/>
        <v>1994.8269899999998</v>
      </c>
      <c r="AI37" s="174">
        <f t="shared" ca="1" si="17"/>
        <v>2493.5337374999999</v>
      </c>
      <c r="AJ37" s="174">
        <f t="shared" ca="1" si="17"/>
        <v>2618.210424375</v>
      </c>
      <c r="AK37" s="174">
        <f t="shared" ca="1" si="17"/>
        <v>2749.1209455937501</v>
      </c>
      <c r="AL37" s="174">
        <f t="shared" ca="1" si="17"/>
        <v>2886.5769928734376</v>
      </c>
      <c r="AM37" s="174">
        <f t="shared" ca="1" si="17"/>
        <v>3030.9058425171097</v>
      </c>
      <c r="AO37" s="488">
        <f t="shared" ref="AO37:AP40" si="25">F37/F$19</f>
        <v>5.8609104875799123E-2</v>
      </c>
      <c r="AP37" s="488">
        <f t="shared" si="25"/>
        <v>4.1112921623636597E-2</v>
      </c>
      <c r="AQ37" s="488">
        <f t="shared" ca="1" si="18"/>
        <v>5.2495447105263153E-2</v>
      </c>
      <c r="AR37" s="488">
        <f t="shared" ca="1" si="19"/>
        <v>6.0758619334795316E-2</v>
      </c>
      <c r="AS37" s="488">
        <f t="shared" ca="1" si="20"/>
        <v>5.907087990882879E-2</v>
      </c>
      <c r="AT37" s="488">
        <f t="shared" ca="1" si="21"/>
        <v>5.743002213358353E-2</v>
      </c>
      <c r="AU37" s="488">
        <f t="shared" ca="1" si="22"/>
        <v>5.5834743740983982E-2</v>
      </c>
      <c r="AV37" s="489">
        <f t="shared" ca="1" si="23"/>
        <v>5.4283778637067757E-2</v>
      </c>
    </row>
    <row r="38" spans="1:48" s="174" customFormat="1" x14ac:dyDescent="0.2">
      <c r="A38" s="465" t="s">
        <v>188</v>
      </c>
      <c r="B38" s="466"/>
      <c r="C38" s="475"/>
      <c r="D38" s="487"/>
      <c r="E38" s="487"/>
      <c r="F38" s="174">
        <v>0</v>
      </c>
      <c r="G38" s="174">
        <v>0</v>
      </c>
      <c r="H38" s="174">
        <v>0</v>
      </c>
      <c r="I38" s="174">
        <v>0</v>
      </c>
      <c r="J38" s="174">
        <v>0</v>
      </c>
      <c r="K38" s="174">
        <f>'Valuation &amp; Sources &amp; Uses'!$C$14*'Summary Income Statement'!J19</f>
        <v>82.518356999999995</v>
      </c>
      <c r="L38" s="174">
        <f ca="1">'Valuation &amp; Sources &amp; Uses'!$C$14*'Summary Income Statement'!K19</f>
        <v>165.32505590000002</v>
      </c>
      <c r="M38" s="174">
        <f ca="1">'Valuation &amp; Sources &amp; Uses'!$C$14*'Summary Income Statement'!L19</f>
        <v>73.439077514413839</v>
      </c>
      <c r="N38" s="174">
        <f ca="1">'Valuation &amp; Sources &amp; Uses'!$C$14*'Summary Income Statement'!M19</f>
        <v>78.434336963484952</v>
      </c>
      <c r="O38" s="174">
        <f ca="1">'Valuation &amp; Sources &amp; Uses'!$C$14*'Summary Income Statement'!N19</f>
        <v>89.60794362588085</v>
      </c>
      <c r="P38" s="174">
        <f ca="1">'Valuation &amp; Sources &amp; Uses'!$C$14*'Summary Income Statement'!O19</f>
        <v>168.91864189622035</v>
      </c>
      <c r="Q38" s="174">
        <f ca="1">'Valuation &amp; Sources &amp; Uses'!$C$14*'Summary Income Statement'!P19</f>
        <v>79.314203715566947</v>
      </c>
      <c r="R38" s="174">
        <f ca="1">'Valuation &amp; Sources &amp; Uses'!$C$14*'Summary Income Statement'!Q19</f>
        <v>84.709083920563756</v>
      </c>
      <c r="S38" s="174">
        <f ca="1">'Valuation &amp; Sources &amp; Uses'!$C$14*'Summary Income Statement'!R19</f>
        <v>96.776579115951321</v>
      </c>
      <c r="T38" s="174">
        <f ca="1">'Valuation &amp; Sources &amp; Uses'!$C$14*'Summary Income Statement'!S19</f>
        <v>182.43213324791799</v>
      </c>
      <c r="U38" s="174">
        <f ca="1">'Valuation &amp; Sources &amp; Uses'!$C$14*'Summary Income Statement'!T19</f>
        <v>85.659340012812322</v>
      </c>
      <c r="V38" s="174">
        <f ca="1">'Valuation &amp; Sources &amp; Uses'!$C$14*'Summary Income Statement'!U19</f>
        <v>91.48581063420886</v>
      </c>
      <c r="W38" s="174">
        <f ca="1">'Valuation &amp; Sources &amp; Uses'!$C$14*'Summary Income Statement'!V19</f>
        <v>104.51870544522744</v>
      </c>
      <c r="X38" s="174">
        <f ca="1">'Valuation &amp; Sources &amp; Uses'!$C$14*'Summary Income Statement'!W19</f>
        <v>197.02670390775148</v>
      </c>
      <c r="Y38" s="174">
        <f ca="1">'Valuation &amp; Sources &amp; Uses'!$C$14*'Summary Income Statement'!X19</f>
        <v>92.512087213837319</v>
      </c>
      <c r="Z38" s="174">
        <f ca="1">'Valuation &amp; Sources &amp; Uses'!$C$14*'Summary Income Statement'!Y19</f>
        <v>98.804675484945591</v>
      </c>
      <c r="AA38" s="174">
        <f ca="1">'Valuation &amp; Sources &amp; Uses'!$C$14*'Summary Income Statement'!Z19</f>
        <v>112.88020188084566</v>
      </c>
      <c r="AB38" s="174">
        <f ca="1">'Valuation &amp; Sources &amp; Uses'!$C$14*'Summary Income Statement'!AA19</f>
        <v>212.78884022037161</v>
      </c>
      <c r="AC38" s="174">
        <f ca="1">'Valuation &amp; Sources &amp; Uses'!$C$14*'Summary Income Statement'!AB19</f>
        <v>99.913054190944308</v>
      </c>
      <c r="AD38" s="174">
        <f ca="1">'Valuation &amp; Sources &amp; Uses'!$C$14*'Summary Income Statement'!AC19</f>
        <v>106.70904952374123</v>
      </c>
      <c r="AE38" s="174">
        <f ca="1">'Valuation &amp; Sources &amp; Uses'!$C$14*'Summary Income Statement'!AD19</f>
        <v>121.91061803131332</v>
      </c>
      <c r="AG38" s="467">
        <f t="shared" si="16"/>
        <v>0</v>
      </c>
      <c r="AH38" s="174">
        <f t="shared" si="17"/>
        <v>82.518356999999995</v>
      </c>
      <c r="AI38" s="174">
        <f t="shared" ca="1" si="17"/>
        <v>406.80641400377971</v>
      </c>
      <c r="AJ38" s="174">
        <f t="shared" ca="1" si="17"/>
        <v>429.71850864830242</v>
      </c>
      <c r="AK38" s="174">
        <f t="shared" ca="1" si="17"/>
        <v>464.09598934016662</v>
      </c>
      <c r="AL38" s="174">
        <f t="shared" ca="1" si="17"/>
        <v>501.22366848738011</v>
      </c>
      <c r="AM38" s="174">
        <f t="shared" ca="1" si="17"/>
        <v>541.3215619663705</v>
      </c>
      <c r="AO38" s="488">
        <f t="shared" si="25"/>
        <v>0</v>
      </c>
      <c r="AP38" s="488">
        <f t="shared" si="25"/>
        <v>0</v>
      </c>
      <c r="AQ38" s="488">
        <f t="shared" ca="1" si="18"/>
        <v>2.1715357105263158E-3</v>
      </c>
      <c r="AR38" s="488">
        <f t="shared" ca="1" si="19"/>
        <v>9.9124369883961914E-3</v>
      </c>
      <c r="AS38" s="488">
        <f t="shared" ca="1" si="20"/>
        <v>9.6951147175362434E-3</v>
      </c>
      <c r="AT38" s="488">
        <f t="shared" ca="1" si="21"/>
        <v>9.6951147175362417E-3</v>
      </c>
      <c r="AU38" s="488">
        <f t="shared" ca="1" si="22"/>
        <v>9.6951147175362434E-3</v>
      </c>
      <c r="AV38" s="489">
        <f t="shared" ca="1" si="23"/>
        <v>9.6951147175362417E-3</v>
      </c>
    </row>
    <row r="39" spans="1:48" s="174" customFormat="1" x14ac:dyDescent="0.2">
      <c r="A39" s="465" t="s">
        <v>332</v>
      </c>
      <c r="B39" s="466"/>
      <c r="C39" s="475">
        <v>-21</v>
      </c>
      <c r="D39" s="475">
        <v>0</v>
      </c>
      <c r="E39" s="475">
        <v>40.75</v>
      </c>
      <c r="F39" s="475">
        <v>14.494</v>
      </c>
      <c r="G39" s="475">
        <f>115.30248-18</f>
        <v>97.302480000000003</v>
      </c>
      <c r="H39" s="475">
        <v>0</v>
      </c>
      <c r="I39" s="475">
        <v>0</v>
      </c>
      <c r="J39" s="475">
        <v>-27.679873000002303</v>
      </c>
      <c r="K39" s="174">
        <v>0</v>
      </c>
      <c r="L39" s="174">
        <v>0</v>
      </c>
      <c r="M39" s="174">
        <v>0</v>
      </c>
      <c r="N39" s="174">
        <v>0</v>
      </c>
      <c r="O39" s="174">
        <v>0</v>
      </c>
      <c r="P39" s="174">
        <v>0</v>
      </c>
      <c r="Q39" s="174">
        <v>0</v>
      </c>
      <c r="R39" s="174">
        <v>0</v>
      </c>
      <c r="S39" s="174">
        <v>0</v>
      </c>
      <c r="T39" s="174">
        <v>0</v>
      </c>
      <c r="U39" s="174">
        <v>0</v>
      </c>
      <c r="V39" s="174">
        <v>0</v>
      </c>
      <c r="W39" s="174">
        <v>0</v>
      </c>
      <c r="X39" s="174">
        <v>0</v>
      </c>
      <c r="Y39" s="174">
        <v>0</v>
      </c>
      <c r="Z39" s="174">
        <v>0</v>
      </c>
      <c r="AA39" s="174">
        <v>0</v>
      </c>
      <c r="AB39" s="174">
        <v>0</v>
      </c>
      <c r="AC39" s="174">
        <v>0</v>
      </c>
      <c r="AD39" s="174">
        <v>0</v>
      </c>
      <c r="AE39" s="174">
        <v>0</v>
      </c>
      <c r="AG39" s="467">
        <f t="shared" si="16"/>
        <v>97.302480000000003</v>
      </c>
      <c r="AH39" s="174">
        <f t="shared" si="17"/>
        <v>-27.679873000002303</v>
      </c>
      <c r="AI39" s="174">
        <f t="shared" si="17"/>
        <v>0</v>
      </c>
      <c r="AJ39" s="174">
        <f t="shared" si="17"/>
        <v>0</v>
      </c>
      <c r="AK39" s="174">
        <f t="shared" si="17"/>
        <v>0</v>
      </c>
      <c r="AL39" s="174">
        <f t="shared" si="17"/>
        <v>0</v>
      </c>
      <c r="AM39" s="174">
        <f t="shared" si="17"/>
        <v>0</v>
      </c>
      <c r="AO39" s="488">
        <f t="shared" si="25"/>
        <v>5.618044597986931E-4</v>
      </c>
      <c r="AP39" s="488">
        <f t="shared" si="25"/>
        <v>2.7619653849117933E-3</v>
      </c>
      <c r="AQ39" s="488">
        <f t="shared" ca="1" si="18"/>
        <v>-7.2841771052637643E-4</v>
      </c>
      <c r="AR39" s="488">
        <f t="shared" ca="1" si="19"/>
        <v>0</v>
      </c>
      <c r="AS39" s="488">
        <f t="shared" ca="1" si="20"/>
        <v>0</v>
      </c>
      <c r="AT39" s="488">
        <f t="shared" ca="1" si="21"/>
        <v>0</v>
      </c>
      <c r="AU39" s="488">
        <f t="shared" ca="1" si="22"/>
        <v>0</v>
      </c>
      <c r="AV39" s="489">
        <f t="shared" ca="1" si="23"/>
        <v>0</v>
      </c>
    </row>
    <row r="40" spans="1:48" s="174" customFormat="1" x14ac:dyDescent="0.2">
      <c r="A40" s="465" t="s">
        <v>29</v>
      </c>
      <c r="B40" s="466"/>
      <c r="C40" s="475">
        <v>684.97400000000005</v>
      </c>
      <c r="D40" s="487">
        <v>601.59</v>
      </c>
      <c r="E40" s="487">
        <v>756.07100000000003</v>
      </c>
      <c r="F40" s="487">
        <f>195.96+3.24+661.406</f>
        <v>860.60599999999999</v>
      </c>
      <c r="G40" s="487">
        <v>1228.4580000000001</v>
      </c>
      <c r="H40" s="487">
        <v>190.5</v>
      </c>
      <c r="I40" s="487">
        <v>190.5</v>
      </c>
      <c r="J40" s="487">
        <v>190.5</v>
      </c>
      <c r="K40" s="467">
        <f ca="1">'Summary Balance Sheet'!L22/'BS Assumptions'!$I$40/4</f>
        <v>385.53669237500003</v>
      </c>
      <c r="L40" s="467">
        <f ca="1">'Summary Balance Sheet'!M22/'BS Assumptions'!$I$40/4</f>
        <v>394.91169237500003</v>
      </c>
      <c r="M40" s="467">
        <f ca="1">'Summary Balance Sheet'!N22/'BS Assumptions'!$I$40/4</f>
        <v>404.28669237500003</v>
      </c>
      <c r="N40" s="467">
        <f ca="1">'Summary Balance Sheet'!O22/'BS Assumptions'!$I$40/4</f>
        <v>413.66169237499997</v>
      </c>
      <c r="O40" s="467">
        <f ca="1">'Summary Balance Sheet'!P22/'BS Assumptions'!$I$40/4</f>
        <v>423.03669237499997</v>
      </c>
      <c r="P40" s="467">
        <f ca="1">'Summary Balance Sheet'!Q22/'BS Assumptions'!$I$40/4</f>
        <v>432.41169237499997</v>
      </c>
      <c r="Q40" s="467">
        <f ca="1">'Summary Balance Sheet'!R22/'BS Assumptions'!$I$40/4</f>
        <v>441.78669237499997</v>
      </c>
      <c r="R40" s="467">
        <f ca="1">'Summary Balance Sheet'!S22/'BS Assumptions'!$I$40/4</f>
        <v>451.16169237499997</v>
      </c>
      <c r="S40" s="467">
        <f ca="1">'Summary Balance Sheet'!T22/'BS Assumptions'!$I$40/4</f>
        <v>460.53669237499997</v>
      </c>
      <c r="T40" s="467">
        <f ca="1">'Summary Balance Sheet'!U22/'BS Assumptions'!$I$40/4</f>
        <v>469.91169237499997</v>
      </c>
      <c r="U40" s="467">
        <f ca="1">'Summary Balance Sheet'!V22/'BS Assumptions'!$I$40/4</f>
        <v>479.28669237499997</v>
      </c>
      <c r="V40" s="467">
        <f ca="1">'Summary Balance Sheet'!W22/'BS Assumptions'!$I$40/4</f>
        <v>488.66169237499997</v>
      </c>
      <c r="W40" s="467">
        <f ca="1">'Summary Balance Sheet'!X22/'BS Assumptions'!$I$40/4</f>
        <v>498.03669237499997</v>
      </c>
      <c r="X40" s="467">
        <f ca="1">'Summary Balance Sheet'!Y22/'BS Assumptions'!$I$40/4</f>
        <v>507.41169237499997</v>
      </c>
      <c r="Y40" s="467">
        <f ca="1">'Summary Balance Sheet'!Z22/'BS Assumptions'!$I$40/4</f>
        <v>516.78669237500003</v>
      </c>
      <c r="Z40" s="467">
        <f ca="1">'Summary Balance Sheet'!AA22/'BS Assumptions'!$I$40/4</f>
        <v>526.16169237500003</v>
      </c>
      <c r="AA40" s="467">
        <f ca="1">'Summary Balance Sheet'!AB22/'BS Assumptions'!$I$40/4</f>
        <v>535.53669237500003</v>
      </c>
      <c r="AB40" s="467">
        <f ca="1">'Summary Balance Sheet'!AC22/'BS Assumptions'!$I$40/4</f>
        <v>544.91169237500003</v>
      </c>
      <c r="AC40" s="467">
        <f ca="1">'Summary Balance Sheet'!AD22/'BS Assumptions'!$I$40/4</f>
        <v>554.28669237500003</v>
      </c>
      <c r="AD40" s="467">
        <f ca="1">'Summary Balance Sheet'!AE22/'BS Assumptions'!$I$40/4</f>
        <v>563.66169237500003</v>
      </c>
      <c r="AE40" s="467">
        <f ca="1">'Summary Balance Sheet'!AF22/'BS Assumptions'!$I$40/4</f>
        <v>573.03669237500003</v>
      </c>
      <c r="AG40" s="467">
        <f t="shared" si="16"/>
        <v>1228.4580000000001</v>
      </c>
      <c r="AH40" s="467">
        <f t="shared" ca="1" si="17"/>
        <v>957.03669237500003</v>
      </c>
      <c r="AI40" s="467">
        <f t="shared" ca="1" si="17"/>
        <v>1635.8967695000001</v>
      </c>
      <c r="AJ40" s="467">
        <f t="shared" ca="1" si="17"/>
        <v>1785.8967694999999</v>
      </c>
      <c r="AK40" s="467">
        <f t="shared" ca="1" si="17"/>
        <v>1935.8967694999999</v>
      </c>
      <c r="AL40" s="467">
        <f t="shared" ca="1" si="17"/>
        <v>2085.8967695000001</v>
      </c>
      <c r="AM40" s="467">
        <f t="shared" ca="1" si="17"/>
        <v>2235.8967695000001</v>
      </c>
      <c r="AO40" s="488">
        <f t="shared" si="25"/>
        <v>3.3358099139610464E-2</v>
      </c>
      <c r="AP40" s="488">
        <f t="shared" si="25"/>
        <v>3.487021577269122E-2</v>
      </c>
      <c r="AQ40" s="488">
        <f t="shared" ca="1" si="18"/>
        <v>2.5185176115131581E-2</v>
      </c>
      <c r="AR40" s="488">
        <f t="shared" ca="1" si="19"/>
        <v>3.9861032395224177E-2</v>
      </c>
      <c r="AS40" s="488">
        <f t="shared" ca="1" si="20"/>
        <v>4.0292595514313044E-2</v>
      </c>
      <c r="AT40" s="488">
        <f t="shared" ca="1" si="21"/>
        <v>4.0441507129365561E-2</v>
      </c>
      <c r="AU40" s="488">
        <f t="shared" ca="1" si="22"/>
        <v>4.0347273564057429E-2</v>
      </c>
      <c r="AV40" s="489">
        <f t="shared" ca="1" si="23"/>
        <v>4.0045099253256583E-2</v>
      </c>
    </row>
    <row r="41" spans="1:48" s="174" customFormat="1" x14ac:dyDescent="0.2">
      <c r="A41" s="465" t="s">
        <v>408</v>
      </c>
      <c r="B41" s="466"/>
      <c r="C41" s="475">
        <v>219.929</v>
      </c>
      <c r="D41" s="487">
        <v>236.06299999999999</v>
      </c>
      <c r="E41" s="487">
        <v>333.52699999999999</v>
      </c>
      <c r="F41" s="487">
        <v>518.14499999999998</v>
      </c>
      <c r="G41" s="487">
        <v>907.28099999999995</v>
      </c>
      <c r="H41" s="490">
        <f ca="1">G41/G46*H46</f>
        <v>136.62123344677346</v>
      </c>
      <c r="I41" s="490">
        <f ca="1">H41/H46*I46</f>
        <v>163.19066830195186</v>
      </c>
      <c r="J41" s="490">
        <v>327.11495142509222</v>
      </c>
      <c r="K41" s="467">
        <v>0</v>
      </c>
      <c r="L41" s="467">
        <v>0</v>
      </c>
      <c r="M41" s="467">
        <v>0</v>
      </c>
      <c r="N41" s="467">
        <v>0</v>
      </c>
      <c r="O41" s="467">
        <v>0</v>
      </c>
      <c r="P41" s="467">
        <v>0</v>
      </c>
      <c r="Q41" s="467">
        <v>0</v>
      </c>
      <c r="R41" s="467">
        <v>0</v>
      </c>
      <c r="S41" s="467">
        <v>0</v>
      </c>
      <c r="T41" s="467">
        <v>0</v>
      </c>
      <c r="U41" s="467">
        <v>0</v>
      </c>
      <c r="V41" s="467">
        <v>0</v>
      </c>
      <c r="W41" s="467">
        <v>0</v>
      </c>
      <c r="X41" s="467">
        <v>0</v>
      </c>
      <c r="Y41" s="467">
        <v>0</v>
      </c>
      <c r="Z41" s="467">
        <v>0</v>
      </c>
      <c r="AA41" s="467">
        <v>0</v>
      </c>
      <c r="AB41" s="467">
        <v>0</v>
      </c>
      <c r="AC41" s="467">
        <v>0</v>
      </c>
      <c r="AD41" s="467">
        <v>0</v>
      </c>
      <c r="AE41" s="467">
        <v>0</v>
      </c>
      <c r="AG41" s="467">
        <f t="shared" si="16"/>
        <v>907.28099999999995</v>
      </c>
      <c r="AH41" s="467">
        <f t="shared" ca="1" si="17"/>
        <v>626.92685317381756</v>
      </c>
      <c r="AI41" s="467">
        <f t="shared" si="17"/>
        <v>0</v>
      </c>
      <c r="AJ41" s="467">
        <f t="shared" si="17"/>
        <v>0</v>
      </c>
      <c r="AK41" s="467">
        <f t="shared" si="17"/>
        <v>0</v>
      </c>
      <c r="AL41" s="467">
        <f t="shared" si="17"/>
        <v>0</v>
      </c>
      <c r="AM41" s="467">
        <f t="shared" si="17"/>
        <v>0</v>
      </c>
      <c r="AO41" s="488"/>
      <c r="AP41" s="488">
        <f>G41/G$19</f>
        <v>2.5753492782384958E-2</v>
      </c>
      <c r="AQ41" s="488"/>
      <c r="AR41" s="488"/>
      <c r="AS41" s="488"/>
      <c r="AT41" s="488"/>
      <c r="AU41" s="488"/>
      <c r="AV41" s="489"/>
    </row>
    <row r="42" spans="1:48" s="174" customFormat="1" x14ac:dyDescent="0.2">
      <c r="A42" s="465" t="s">
        <v>457</v>
      </c>
      <c r="B42" s="466"/>
      <c r="C42" s="475">
        <v>442.34199999999998</v>
      </c>
      <c r="D42" s="487">
        <v>481.76100000000002</v>
      </c>
      <c r="E42" s="487">
        <f>425.232+9.925</f>
        <v>435.15700000000004</v>
      </c>
      <c r="F42" s="487">
        <f>484.213-14.494</f>
        <v>469.71900000000005</v>
      </c>
      <c r="G42" s="487">
        <f>671.733-10.541</f>
        <v>661.19199999999989</v>
      </c>
      <c r="H42" s="487">
        <v>175.66521</v>
      </c>
      <c r="I42" s="487">
        <v>190.477</v>
      </c>
      <c r="J42" s="487">
        <v>184.64972999999998</v>
      </c>
      <c r="K42" s="467">
        <f>AVERAGE(H42:J42)</f>
        <v>183.59731333333332</v>
      </c>
      <c r="L42" s="467">
        <f ca="1">'Debt and Spec. Dist'!Q31</f>
        <v>19.435754729376441</v>
      </c>
      <c r="M42" s="467">
        <f ca="1">'Debt and Spec. Dist'!R31</f>
        <v>14.045802274506414</v>
      </c>
      <c r="N42" s="467">
        <f ca="1">'Debt and Spec. Dist'!S31</f>
        <v>25.652488245094666</v>
      </c>
      <c r="O42" s="467">
        <f ca="1">'Debt and Spec. Dist'!T31</f>
        <v>30.878085626880356</v>
      </c>
      <c r="P42" s="467">
        <f ca="1">'Debt and Spec. Dist'!U31</f>
        <v>22.817896400601761</v>
      </c>
      <c r="Q42" s="467">
        <f ca="1">'Debt and Spec. Dist'!V31</f>
        <v>20.956199842883951</v>
      </c>
      <c r="R42" s="467">
        <f ca="1">'Debt and Spec. Dist'!W31</f>
        <v>32.168703697375534</v>
      </c>
      <c r="S42" s="467">
        <f ca="1">'Debt and Spec. Dist'!X31</f>
        <v>37.601557946853049</v>
      </c>
      <c r="T42" s="467">
        <f ca="1">'Debt and Spec. Dist'!Y31</f>
        <v>28.78332375115583</v>
      </c>
      <c r="U42" s="467">
        <f ca="1">'Debt and Spec. Dist'!Z31</f>
        <v>26.243438964651304</v>
      </c>
      <c r="V42" s="467">
        <f ca="1">'Debt and Spec. Dist'!AA31</f>
        <v>37.239613515498561</v>
      </c>
      <c r="W42" s="467">
        <f ca="1">'Debt and Spec. Dist'!AB31</f>
        <v>41.658871283876145</v>
      </c>
      <c r="X42" s="467">
        <f ca="1">'Debt and Spec. Dist'!AC31</f>
        <v>31.175016577813757</v>
      </c>
      <c r="Y42" s="467">
        <f ca="1">'Debt and Spec. Dist'!AD31</f>
        <v>28.225626075135985</v>
      </c>
      <c r="Z42" s="467">
        <f ca="1">'Debt and Spec. Dist'!AE31</f>
        <v>39.886919298922578</v>
      </c>
      <c r="AA42" s="467">
        <f ca="1">'Debt and Spec. Dist'!AF31</f>
        <v>47.60684927100548</v>
      </c>
      <c r="AB42" s="467">
        <f ca="1">'Debt and Spec. Dist'!AG31</f>
        <v>47.089383518059769</v>
      </c>
      <c r="AC42" s="467">
        <f ca="1">'Debt and Spec. Dist'!AH31</f>
        <v>51.323897203404726</v>
      </c>
      <c r="AD42" s="467">
        <f ca="1">'Debt and Spec. Dist'!AI31</f>
        <v>64.276437819998719</v>
      </c>
      <c r="AE42" s="467">
        <f ca="1">'Debt and Spec. Dist'!AJ31</f>
        <v>72.402836873379627</v>
      </c>
      <c r="AG42" s="467">
        <f t="shared" si="16"/>
        <v>661.19199999999989</v>
      </c>
      <c r="AH42" s="467">
        <f t="shared" si="17"/>
        <v>734.38925333333327</v>
      </c>
      <c r="AI42" s="467">
        <f t="shared" ca="1" si="17"/>
        <v>90.012130875857878</v>
      </c>
      <c r="AJ42" s="467">
        <f t="shared" ca="1" si="17"/>
        <v>113.5443578877143</v>
      </c>
      <c r="AK42" s="467">
        <f t="shared" ca="1" si="17"/>
        <v>133.92524751518184</v>
      </c>
      <c r="AL42" s="467">
        <f t="shared" ca="1" si="17"/>
        <v>146.89441122287781</v>
      </c>
      <c r="AM42" s="467">
        <f t="shared" ca="1" si="17"/>
        <v>235.09255541484282</v>
      </c>
      <c r="AO42" s="488">
        <f>F42/F$19</f>
        <v>1.8206860014639323E-2</v>
      </c>
      <c r="AP42" s="488">
        <f>G42/G$19</f>
        <v>1.8768169287983187E-2</v>
      </c>
      <c r="AQ42" s="488">
        <f t="shared" ca="1" si="18"/>
        <v>1.9326032982456137E-2</v>
      </c>
      <c r="AR42" s="488">
        <f t="shared" ca="1" si="19"/>
        <v>2.1932780427840613E-3</v>
      </c>
      <c r="AS42" s="488">
        <f t="shared" ca="1" si="20"/>
        <v>2.5617364695625384E-3</v>
      </c>
      <c r="AT42" s="488">
        <f t="shared" ca="1" si="21"/>
        <v>2.7977415622146757E-3</v>
      </c>
      <c r="AU42" s="488">
        <f t="shared" ca="1" si="22"/>
        <v>2.8413625646782508E-3</v>
      </c>
      <c r="AV42" s="489">
        <f t="shared" ca="1" si="23"/>
        <v>4.2105274463965382E-3</v>
      </c>
    </row>
    <row r="43" spans="1:48" s="174" customFormat="1" x14ac:dyDescent="0.2">
      <c r="A43" s="465" t="s">
        <v>333</v>
      </c>
      <c r="B43" s="466"/>
      <c r="C43" s="475"/>
      <c r="D43" s="487"/>
      <c r="E43" s="487"/>
      <c r="F43" s="487"/>
      <c r="G43" s="487"/>
      <c r="H43" s="487"/>
      <c r="I43" s="487"/>
      <c r="J43" s="487"/>
      <c r="K43" s="467">
        <f ca="1">'Debt and Spec. Dist'!P46</f>
        <v>0</v>
      </c>
      <c r="L43" s="467">
        <f ca="1">'Debt and Spec. Dist'!Q46</f>
        <v>91.42927508247358</v>
      </c>
      <c r="M43" s="467">
        <f ca="1">'Debt and Spec. Dist'!R46</f>
        <v>87.28213742928169</v>
      </c>
      <c r="N43" s="467">
        <f ca="1">'Debt and Spec. Dist'!S46</f>
        <v>84.013524160170604</v>
      </c>
      <c r="O43" s="467">
        <f ca="1">'Debt and Spec. Dist'!T46</f>
        <v>79.750170240414931</v>
      </c>
      <c r="P43" s="467">
        <f ca="1">'Debt and Spec. Dist'!U46</f>
        <v>73.798571911765663</v>
      </c>
      <c r="Q43" s="467">
        <f ca="1">'Debt and Spec. Dist'!V46</f>
        <v>70.30966037377334</v>
      </c>
      <c r="R43" s="467">
        <f ca="1">'Debt and Spec. Dist'!W46</f>
        <v>66.692464172171967</v>
      </c>
      <c r="S43" s="467">
        <f ca="1">'Debt and Spec. Dist'!X46</f>
        <v>62.264613226861016</v>
      </c>
      <c r="T43" s="467">
        <f ca="1">'Debt and Spec. Dist'!Y46</f>
        <v>56.53246878095392</v>
      </c>
      <c r="U43" s="467">
        <f ca="1">'Debt and Spec. Dist'!Z46</f>
        <v>52.688626233526797</v>
      </c>
      <c r="V43" s="467">
        <f ca="1">'Debt and Spec. Dist'!AA46</f>
        <v>48.709526950010506</v>
      </c>
      <c r="W43" s="467">
        <f ca="1">'Debt and Spec. Dist'!AB46</f>
        <v>44.110893172364655</v>
      </c>
      <c r="X43" s="467">
        <f ca="1">'Debt and Spec. Dist'!AC46</f>
        <v>38.606588442920994</v>
      </c>
      <c r="Y43" s="467">
        <f ca="1">'Debt and Spec. Dist'!AD46</f>
        <v>34.394252162126122</v>
      </c>
      <c r="Z43" s="467">
        <f ca="1">'Debt and Spec. Dist'!AE46</f>
        <v>30.039420653960065</v>
      </c>
      <c r="AA43" s="467">
        <f ca="1">'Debt and Spec. Dist'!AF46</f>
        <v>25.263478042176512</v>
      </c>
      <c r="AB43" s="467">
        <f ca="1">'Debt and Spec. Dist'!AG46</f>
        <v>20.21893743200523</v>
      </c>
      <c r="AC43" s="467">
        <f ca="1">'Debt and Spec. Dist'!AH46</f>
        <v>15.402905042165033</v>
      </c>
      <c r="AD43" s="467">
        <f ca="1">'Debt and Spec. Dist'!AI46</f>
        <v>10.658026786587492</v>
      </c>
      <c r="AE43" s="467">
        <f ca="1">'Debt and Spec. Dist'!AJ46</f>
        <v>5.6980202869987338</v>
      </c>
      <c r="AG43" s="467">
        <f t="shared" si="16"/>
        <v>0</v>
      </c>
      <c r="AH43" s="467">
        <f t="shared" ca="1" si="17"/>
        <v>0</v>
      </c>
      <c r="AI43" s="467">
        <f t="shared" ca="1" si="17"/>
        <v>342.47510691234083</v>
      </c>
      <c r="AJ43" s="467">
        <f t="shared" ca="1" si="17"/>
        <v>273.06530968457196</v>
      </c>
      <c r="AK43" s="467">
        <f t="shared" ca="1" si="17"/>
        <v>202.04151513685588</v>
      </c>
      <c r="AL43" s="467">
        <f t="shared" ca="1" si="17"/>
        <v>128.3037393011837</v>
      </c>
      <c r="AM43" s="467">
        <f t="shared" ca="1" si="17"/>
        <v>51.97788954775649</v>
      </c>
      <c r="AO43" s="488"/>
      <c r="AP43" s="488"/>
      <c r="AQ43" s="488"/>
      <c r="AR43" s="488"/>
      <c r="AS43" s="488"/>
      <c r="AT43" s="488"/>
      <c r="AU43" s="488"/>
      <c r="AV43" s="489"/>
    </row>
    <row r="44" spans="1:48" s="174" customFormat="1" x14ac:dyDescent="0.2">
      <c r="A44" s="465" t="s">
        <v>458</v>
      </c>
      <c r="B44" s="466"/>
      <c r="C44" s="475"/>
      <c r="D44" s="487"/>
      <c r="E44" s="487"/>
      <c r="F44" s="487"/>
      <c r="G44" s="487"/>
      <c r="H44" s="487"/>
      <c r="I44" s="487"/>
      <c r="J44" s="487"/>
      <c r="K44" s="467">
        <f>'Debt and Spec. Dist'!P63</f>
        <v>0</v>
      </c>
      <c r="L44" s="467">
        <f>'Debt and Spec. Dist'!Q63</f>
        <v>213.92806287206864</v>
      </c>
      <c r="M44" s="467">
        <f ca="1">'Debt and Spec. Dist'!R63</f>
        <v>213.92806287206864</v>
      </c>
      <c r="N44" s="467">
        <f ca="1">'Debt and Spec. Dist'!S63</f>
        <v>216.27892070582763</v>
      </c>
      <c r="O44" s="467">
        <f ca="1">'Debt and Spec. Dist'!T63</f>
        <v>216.27892070582763</v>
      </c>
      <c r="P44" s="467">
        <f ca="1">'Debt and Spec. Dist'!U63</f>
        <v>211.57720503830961</v>
      </c>
      <c r="Q44" s="467">
        <f ca="1">'Debt and Spec. Dist'!V63</f>
        <v>213.92806287206864</v>
      </c>
      <c r="R44" s="467">
        <f ca="1">'Debt and Spec. Dist'!W63</f>
        <v>216.27892070582763</v>
      </c>
      <c r="S44" s="467">
        <f ca="1">'Debt and Spec. Dist'!X63</f>
        <v>216.27892070582763</v>
      </c>
      <c r="T44" s="467">
        <f ca="1">'Debt and Spec. Dist'!Y63</f>
        <v>211.57720503830961</v>
      </c>
      <c r="U44" s="467">
        <f ca="1">'Debt and Spec. Dist'!Z63</f>
        <v>213.92806287206864</v>
      </c>
      <c r="V44" s="467">
        <f ca="1">'Debt and Spec. Dist'!AA63</f>
        <v>216.27892070582763</v>
      </c>
      <c r="W44" s="467">
        <f ca="1">'Debt and Spec. Dist'!AB63</f>
        <v>216.27892070582763</v>
      </c>
      <c r="X44" s="467">
        <f ca="1">'Debt and Spec. Dist'!AC63</f>
        <v>211.57720503830961</v>
      </c>
      <c r="Y44" s="467">
        <f ca="1">'Debt and Spec. Dist'!AD63</f>
        <v>213.92806287206864</v>
      </c>
      <c r="Z44" s="467">
        <f ca="1">'Debt and Spec. Dist'!AE63</f>
        <v>216.27892070582763</v>
      </c>
      <c r="AA44" s="467">
        <f ca="1">'Debt and Spec. Dist'!AF63</f>
        <v>216.27892070582763</v>
      </c>
      <c r="AB44" s="467">
        <f ca="1">'Debt and Spec. Dist'!AG63</f>
        <v>194.01283742385749</v>
      </c>
      <c r="AC44" s="467">
        <f ca="1">'Debt and Spec. Dist'!AH63</f>
        <v>141.15808105235618</v>
      </c>
      <c r="AD44" s="467">
        <f ca="1">'Debt and Spec. Dist'!AI63</f>
        <v>142.70926875622794</v>
      </c>
      <c r="AE44" s="467">
        <f ca="1">'Debt and Spec. Dist'!AJ63</f>
        <v>142.67902218088636</v>
      </c>
      <c r="AG44" s="467">
        <f t="shared" si="16"/>
        <v>0</v>
      </c>
      <c r="AH44" s="467">
        <f t="shared" si="17"/>
        <v>0</v>
      </c>
      <c r="AI44" s="467">
        <f t="shared" ca="1" si="17"/>
        <v>860.41396715579253</v>
      </c>
      <c r="AJ44" s="467">
        <f t="shared" ca="1" si="17"/>
        <v>858.0631093220336</v>
      </c>
      <c r="AK44" s="467">
        <f t="shared" ca="1" si="17"/>
        <v>858.0631093220336</v>
      </c>
      <c r="AL44" s="467">
        <f t="shared" ca="1" si="17"/>
        <v>858.0631093220336</v>
      </c>
      <c r="AM44" s="467">
        <f t="shared" ca="1" si="17"/>
        <v>620.55920941332795</v>
      </c>
      <c r="AO44" s="488"/>
      <c r="AP44" s="488"/>
      <c r="AQ44" s="488"/>
      <c r="AR44" s="488"/>
      <c r="AS44" s="488"/>
      <c r="AT44" s="488"/>
      <c r="AU44" s="488"/>
      <c r="AV44" s="489"/>
    </row>
    <row r="45" spans="1:48" s="174" customFormat="1" ht="15" x14ac:dyDescent="0.35">
      <c r="A45" s="465" t="s">
        <v>405</v>
      </c>
      <c r="B45" s="466"/>
      <c r="C45" s="491" t="s">
        <v>207</v>
      </c>
      <c r="D45" s="491" t="s">
        <v>207</v>
      </c>
      <c r="E45" s="491" t="s">
        <v>207</v>
      </c>
      <c r="F45" s="492">
        <v>0</v>
      </c>
      <c r="G45" s="492">
        <v>0</v>
      </c>
      <c r="H45" s="492">
        <v>0</v>
      </c>
      <c r="I45" s="492">
        <v>0</v>
      </c>
      <c r="J45" s="492">
        <f ca="1">'Debt and Spec. Dist'!O80</f>
        <v>0</v>
      </c>
      <c r="K45" s="470">
        <f>'Debt and Spec. Dist'!P80</f>
        <v>0</v>
      </c>
      <c r="L45" s="470">
        <f ca="1">'Debt and Spec. Dist'!Q80</f>
        <v>39.060159099092004</v>
      </c>
      <c r="M45" s="470">
        <f ca="1">'Debt and Spec. Dist'!R80</f>
        <v>37.382929030288487</v>
      </c>
      <c r="N45" s="470">
        <f ca="1">'Debt and Spec. Dist'!S80</f>
        <v>36.067900757283169</v>
      </c>
      <c r="O45" s="470">
        <f ca="1">'Debt and Spec. Dist'!T80</f>
        <v>34.311100299985839</v>
      </c>
      <c r="P45" s="470">
        <f ca="1">'Debt and Spec. Dist'!U80</f>
        <v>31.804548167197172</v>
      </c>
      <c r="Q45" s="470">
        <f ca="1">'Debt and Spec. Dist'!V80</f>
        <v>30.338089252996312</v>
      </c>
      <c r="R45" s="470">
        <f ca="1">'Debt and Spec. Dist'!W80</f>
        <v>28.801355024904737</v>
      </c>
      <c r="S45" s="470">
        <f ca="1">'Debt and Spec. Dist'!X80</f>
        <v>26.896536808860855</v>
      </c>
      <c r="T45" s="470">
        <f ca="1">'Debt and Spec. Dist'!Y80</f>
        <v>24.405059640943097</v>
      </c>
      <c r="U45" s="470">
        <f ca="1">'Debt and Spec. Dist'!Z80</f>
        <v>22.706485071240664</v>
      </c>
      <c r="V45" s="470">
        <f ca="1">'Debt and Spec. Dist'!AA80</f>
        <v>20.92957900852338</v>
      </c>
      <c r="W45" s="470">
        <f ca="1">'Debt and Spec. Dist'!AB80</f>
        <v>18.864414640922519</v>
      </c>
      <c r="X45" s="470">
        <f ca="1">'Debt and Spec. Dist'!AC80</f>
        <v>16.389268031056567</v>
      </c>
      <c r="Y45" s="470">
        <f ca="1">'Debt and Spec. Dist'!AD80</f>
        <v>14.439244902809678</v>
      </c>
      <c r="Z45" s="470">
        <f ca="1">'Debt and Spec. Dist'!AE80</f>
        <v>12.402163103608288</v>
      </c>
      <c r="AA45" s="470">
        <f ca="1">'Debt and Spec. Dist'!AF80</f>
        <v>10.163297360328873</v>
      </c>
      <c r="AB45" s="470">
        <f ca="1">'Debt and Spec. Dist'!AG80</f>
        <v>7.7923244006988543</v>
      </c>
      <c r="AC45" s="470">
        <f ca="1">'Debt and Spec. Dist'!AH80</f>
        <v>5.4851689483324044</v>
      </c>
      <c r="AD45" s="470">
        <f ca="1">'Debt and Spec. Dist'!AI80</f>
        <v>3.1662962178736178</v>
      </c>
      <c r="AE45" s="470">
        <f ca="1">'Debt and Spec. Dist'!AJ80</f>
        <v>1.9650319019274198</v>
      </c>
      <c r="AG45" s="470">
        <v>0</v>
      </c>
      <c r="AH45" s="470">
        <f t="shared" ca="1" si="17"/>
        <v>0</v>
      </c>
      <c r="AI45" s="470">
        <f t="shared" ca="1" si="17"/>
        <v>146.82208918664952</v>
      </c>
      <c r="AJ45" s="470">
        <f t="shared" ca="1" si="17"/>
        <v>117.84052925395908</v>
      </c>
      <c r="AK45" s="470">
        <f t="shared" ca="1" si="17"/>
        <v>86.905538361629652</v>
      </c>
      <c r="AL45" s="470">
        <f t="shared" ca="1" si="17"/>
        <v>53.393973397803407</v>
      </c>
      <c r="AM45" s="470">
        <f t="shared" ca="1" si="17"/>
        <v>18.408821468832297</v>
      </c>
      <c r="AO45" s="493">
        <f>F45/F$19</f>
        <v>0</v>
      </c>
      <c r="AP45" s="493">
        <f>G45/G$19</f>
        <v>0</v>
      </c>
      <c r="AQ45" s="493">
        <f t="shared" ca="1" si="18"/>
        <v>0</v>
      </c>
      <c r="AR45" s="493">
        <f t="shared" ca="1" si="19"/>
        <v>3.5775362862244036E-3</v>
      </c>
      <c r="AS45" s="493">
        <f t="shared" ca="1" si="20"/>
        <v>2.6586647456401857E-3</v>
      </c>
      <c r="AT45" s="493">
        <f t="shared" ca="1" si="21"/>
        <v>1.8154846914388626E-3</v>
      </c>
      <c r="AU45" s="493">
        <f t="shared" ca="1" si="22"/>
        <v>1.0327938001790835E-3</v>
      </c>
      <c r="AV45" s="494">
        <f t="shared" ca="1" si="23"/>
        <v>3.2970354128635454E-4</v>
      </c>
    </row>
    <row r="46" spans="1:48" ht="13.5" thickBot="1" x14ac:dyDescent="0.25">
      <c r="A46" s="479" t="s">
        <v>5</v>
      </c>
      <c r="B46" s="480"/>
      <c r="C46" s="495">
        <f>C31-SUM(C35:C45)</f>
        <v>359.23599999999897</v>
      </c>
      <c r="D46" s="495">
        <f>D31-SUM(D35:D45)</f>
        <v>335.49399999999878</v>
      </c>
      <c r="E46" s="495">
        <f>E31-SUM(E35:E45)</f>
        <v>1166.0119999999997</v>
      </c>
      <c r="F46" s="495">
        <f>F31-SUM(F35:F45)</f>
        <v>1345.7360000000008</v>
      </c>
      <c r="G46" s="495">
        <f>G31-SUM(G35:G45)</f>
        <v>2442.1705199999997</v>
      </c>
      <c r="H46" s="495">
        <f t="shared" ref="H46:AE46" ca="1" si="26">H31-SUM(H35:H45)</f>
        <v>367.74973655322628</v>
      </c>
      <c r="I46" s="495">
        <f t="shared" ca="1" si="26"/>
        <v>439.26792169804685</v>
      </c>
      <c r="J46" s="495">
        <f t="shared" ca="1" si="26"/>
        <v>667.18427738846913</v>
      </c>
      <c r="K46" s="495">
        <f t="shared" ca="1" si="26"/>
        <v>2185.4988670916682</v>
      </c>
      <c r="L46" s="495">
        <f t="shared" ca="1" si="26"/>
        <v>31.466732126888473</v>
      </c>
      <c r="M46" s="495">
        <f t="shared" ca="1" si="26"/>
        <v>232.59010884436884</v>
      </c>
      <c r="N46" s="495">
        <f t="shared" ca="1" si="26"/>
        <v>449.07849037457936</v>
      </c>
      <c r="O46" s="495">
        <f t="shared" ca="1" si="26"/>
        <v>2134.5044535197503</v>
      </c>
      <c r="P46" s="495">
        <f t="shared" ca="1" si="26"/>
        <v>149.03131985962818</v>
      </c>
      <c r="Q46" s="495">
        <f t="shared" ca="1" si="26"/>
        <v>352.41433172636425</v>
      </c>
      <c r="R46" s="495">
        <f t="shared" ca="1" si="26"/>
        <v>594.71991456133492</v>
      </c>
      <c r="S46" s="495">
        <f t="shared" ca="1" si="26"/>
        <v>2458.5994251810907</v>
      </c>
      <c r="T46" s="495">
        <f t="shared" ca="1" si="26"/>
        <v>266.41303105555926</v>
      </c>
      <c r="U46" s="495">
        <f t="shared" ca="1" si="26"/>
        <v>490.63785734196244</v>
      </c>
      <c r="V46" s="495">
        <f t="shared" ca="1" si="26"/>
        <v>761.08549293011129</v>
      </c>
      <c r="W46" s="495">
        <f t="shared" ca="1" si="26"/>
        <v>2822.3521039027528</v>
      </c>
      <c r="X46" s="495">
        <f t="shared" ca="1" si="26"/>
        <v>357.69123972012812</v>
      </c>
      <c r="Y46" s="495">
        <f t="shared" ca="1" si="26"/>
        <v>601.17498459193939</v>
      </c>
      <c r="Z46" s="495">
        <f t="shared" ca="1" si="26"/>
        <v>894.58650247840342</v>
      </c>
      <c r="AA46" s="495">
        <f t="shared" ca="1" si="26"/>
        <v>3118.3752171048163</v>
      </c>
      <c r="AB46" s="495">
        <f t="shared" ca="1" si="26"/>
        <v>463.50324329697833</v>
      </c>
      <c r="AC46" s="495">
        <f t="shared" ca="1" si="26"/>
        <v>775.65735484269817</v>
      </c>
      <c r="AD46" s="495">
        <f t="shared" ca="1" si="26"/>
        <v>1094.0816735958438</v>
      </c>
      <c r="AE46" s="495">
        <f t="shared" ca="1" si="26"/>
        <v>3495.3501350762499</v>
      </c>
      <c r="AF46" s="174"/>
      <c r="AG46" s="495">
        <f t="shared" ref="AG46:AM46" si="27">AG31-SUM(AG35:AG45)</f>
        <v>2442.1705199999997</v>
      </c>
      <c r="AH46" s="495">
        <f t="shared" ca="1" si="27"/>
        <v>3659.7008027314114</v>
      </c>
      <c r="AI46" s="495">
        <f t="shared" ca="1" si="27"/>
        <v>2847.6397848655815</v>
      </c>
      <c r="AJ46" s="495">
        <f t="shared" ca="1" si="27"/>
        <v>3554.7649913284167</v>
      </c>
      <c r="AK46" s="495">
        <f t="shared" ca="1" si="27"/>
        <v>4340.4884852303858</v>
      </c>
      <c r="AL46" s="495">
        <f t="shared" ca="1" si="27"/>
        <v>4971.827943895285</v>
      </c>
      <c r="AM46" s="495">
        <f t="shared" ca="1" si="27"/>
        <v>5828.5924068117711</v>
      </c>
      <c r="AN46" s="174"/>
      <c r="AO46" s="496">
        <f>F46/F$19</f>
        <v>5.2162307610849626E-2</v>
      </c>
      <c r="AP46" s="496">
        <f>G46/G$19</f>
        <v>6.9321875868857949E-2</v>
      </c>
      <c r="AQ46" s="496">
        <f t="shared" ca="1" si="18"/>
        <v>9.6307915861352927E-2</v>
      </c>
      <c r="AR46" s="496">
        <f t="shared" ca="1" si="19"/>
        <v>6.9386934329083369E-2</v>
      </c>
      <c r="AS46" s="496">
        <f t="shared" ca="1" si="20"/>
        <v>8.0201000634620628E-2</v>
      </c>
      <c r="AT46" s="496">
        <f t="shared" ca="1" si="21"/>
        <v>9.0674202667175741E-2</v>
      </c>
      <c r="AU46" s="496">
        <f t="shared" ca="1" si="22"/>
        <v>9.6169525308701154E-2</v>
      </c>
      <c r="AV46" s="497">
        <f t="shared" ca="1" si="23"/>
        <v>0.1043905803798582</v>
      </c>
    </row>
    <row r="47" spans="1:48" ht="6.75" customHeight="1" thickTop="1" x14ac:dyDescent="0.2">
      <c r="A47" s="125"/>
      <c r="B47" s="111"/>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21"/>
      <c r="AP47" s="174"/>
      <c r="AQ47" s="174"/>
      <c r="AR47" s="174"/>
      <c r="AS47" s="174"/>
      <c r="AT47" s="174"/>
      <c r="AU47" s="174"/>
      <c r="AV47" s="164"/>
    </row>
    <row r="48" spans="1:48" x14ac:dyDescent="0.2">
      <c r="A48" s="417" t="s">
        <v>262</v>
      </c>
      <c r="B48" s="498"/>
      <c r="C48" s="499"/>
      <c r="D48" s="499"/>
      <c r="E48" s="499"/>
      <c r="F48" s="499"/>
      <c r="G48" s="499"/>
      <c r="H48" s="499"/>
      <c r="I48" s="499"/>
      <c r="J48" s="499"/>
      <c r="K48" s="498"/>
      <c r="L48" s="498"/>
      <c r="M48" s="498"/>
      <c r="N48" s="498"/>
      <c r="O48" s="498"/>
      <c r="P48" s="498"/>
      <c r="Q48" s="498"/>
      <c r="R48" s="498"/>
      <c r="S48" s="498"/>
      <c r="T48" s="498"/>
      <c r="U48" s="498"/>
      <c r="V48" s="498"/>
      <c r="W48" s="498"/>
      <c r="X48" s="498"/>
      <c r="Y48" s="498"/>
      <c r="Z48" s="498"/>
      <c r="AA48" s="498"/>
      <c r="AB48" s="498"/>
      <c r="AC48" s="498"/>
      <c r="AD48" s="498"/>
      <c r="AE48" s="498"/>
      <c r="AF48" s="174"/>
      <c r="AG48" s="498"/>
      <c r="AH48" s="498"/>
      <c r="AI48" s="498"/>
      <c r="AJ48" s="498"/>
      <c r="AK48" s="498"/>
      <c r="AL48" s="498"/>
      <c r="AM48" s="498"/>
      <c r="AN48" s="174"/>
      <c r="AO48" s="499"/>
      <c r="AP48" s="499"/>
      <c r="AQ48" s="498"/>
      <c r="AR48" s="498"/>
      <c r="AS48" s="498"/>
      <c r="AT48" s="498"/>
      <c r="AU48" s="498"/>
      <c r="AV48" s="500"/>
    </row>
    <row r="49" spans="1:48" ht="6.75" customHeight="1" x14ac:dyDescent="0.2">
      <c r="A49" s="501"/>
      <c r="B49" s="502"/>
      <c r="C49" s="503"/>
      <c r="D49" s="503"/>
      <c r="E49" s="503"/>
      <c r="F49" s="503"/>
      <c r="G49" s="503"/>
      <c r="H49" s="503"/>
      <c r="I49" s="503"/>
      <c r="J49" s="503"/>
      <c r="K49" s="502"/>
      <c r="L49" s="502"/>
      <c r="M49" s="502"/>
      <c r="N49" s="502"/>
      <c r="O49" s="502"/>
      <c r="P49" s="502"/>
      <c r="Q49" s="502"/>
      <c r="R49" s="502"/>
      <c r="S49" s="502"/>
      <c r="T49" s="502"/>
      <c r="U49" s="502"/>
      <c r="V49" s="502"/>
      <c r="W49" s="502"/>
      <c r="X49" s="502"/>
      <c r="Y49" s="502"/>
      <c r="Z49" s="502"/>
      <c r="AA49" s="502"/>
      <c r="AB49" s="502"/>
      <c r="AC49" s="502"/>
      <c r="AD49" s="502"/>
      <c r="AE49" s="502"/>
      <c r="AF49" s="174"/>
      <c r="AG49" s="502"/>
      <c r="AH49" s="502"/>
      <c r="AI49" s="502"/>
      <c r="AJ49" s="502"/>
      <c r="AK49" s="502"/>
      <c r="AL49" s="502"/>
      <c r="AM49" s="502"/>
      <c r="AN49" s="174"/>
      <c r="AO49" s="503"/>
      <c r="AP49" s="503"/>
      <c r="AQ49" s="502"/>
      <c r="AR49" s="502"/>
      <c r="AS49" s="502"/>
      <c r="AT49" s="502"/>
      <c r="AU49" s="502"/>
      <c r="AV49" s="504"/>
    </row>
    <row r="50" spans="1:48" x14ac:dyDescent="0.2">
      <c r="A50" s="501" t="s">
        <v>5</v>
      </c>
      <c r="B50" s="502"/>
      <c r="C50" s="505">
        <f>C46</f>
        <v>359.23599999999897</v>
      </c>
      <c r="D50" s="505">
        <f>D46</f>
        <v>335.49399999999878</v>
      </c>
      <c r="E50" s="505">
        <f>E46</f>
        <v>1166.0119999999997</v>
      </c>
      <c r="F50" s="505">
        <f>F46</f>
        <v>1345.7360000000008</v>
      </c>
      <c r="G50" s="505">
        <f>G46</f>
        <v>2442.1705199999997</v>
      </c>
      <c r="H50" s="505">
        <f t="shared" ref="H50:AA50" ca="1" si="28">H46</f>
        <v>367.74973655322628</v>
      </c>
      <c r="I50" s="505">
        <f t="shared" ca="1" si="28"/>
        <v>439.26792169804685</v>
      </c>
      <c r="J50" s="505">
        <f t="shared" ca="1" si="28"/>
        <v>667.18427738846913</v>
      </c>
      <c r="K50" s="505">
        <f t="shared" ca="1" si="28"/>
        <v>2185.4988670916682</v>
      </c>
      <c r="L50" s="505">
        <f t="shared" ca="1" si="28"/>
        <v>31.466732126888473</v>
      </c>
      <c r="M50" s="505">
        <f t="shared" ca="1" si="28"/>
        <v>232.59010884436884</v>
      </c>
      <c r="N50" s="505">
        <f t="shared" ca="1" si="28"/>
        <v>449.07849037457936</v>
      </c>
      <c r="O50" s="505">
        <f t="shared" ca="1" si="28"/>
        <v>2134.5044535197503</v>
      </c>
      <c r="P50" s="505">
        <f t="shared" ca="1" si="28"/>
        <v>149.03131985962818</v>
      </c>
      <c r="Q50" s="505">
        <f t="shared" ca="1" si="28"/>
        <v>352.41433172636425</v>
      </c>
      <c r="R50" s="505">
        <f t="shared" ca="1" si="28"/>
        <v>594.71991456133492</v>
      </c>
      <c r="S50" s="505">
        <f t="shared" ca="1" si="28"/>
        <v>2458.5994251810907</v>
      </c>
      <c r="T50" s="505">
        <f t="shared" ca="1" si="28"/>
        <v>266.41303105555926</v>
      </c>
      <c r="U50" s="505">
        <f t="shared" ca="1" si="28"/>
        <v>490.63785734196244</v>
      </c>
      <c r="V50" s="505">
        <f t="shared" ca="1" si="28"/>
        <v>761.08549293011129</v>
      </c>
      <c r="W50" s="505">
        <f t="shared" ca="1" si="28"/>
        <v>2822.3521039027528</v>
      </c>
      <c r="X50" s="505">
        <f t="shared" ca="1" si="28"/>
        <v>357.69123972012812</v>
      </c>
      <c r="Y50" s="505">
        <f t="shared" ca="1" si="28"/>
        <v>601.17498459193939</v>
      </c>
      <c r="Z50" s="505">
        <f t="shared" ca="1" si="28"/>
        <v>894.58650247840342</v>
      </c>
      <c r="AA50" s="505">
        <f t="shared" ca="1" si="28"/>
        <v>3118.3752171048163</v>
      </c>
      <c r="AB50" s="505">
        <f ca="1">AB46</f>
        <v>463.50324329697833</v>
      </c>
      <c r="AC50" s="505">
        <f ca="1">AC46</f>
        <v>775.65735484269817</v>
      </c>
      <c r="AD50" s="505">
        <f ca="1">AD46</f>
        <v>1094.0816735958438</v>
      </c>
      <c r="AE50" s="505">
        <f ca="1">AE46</f>
        <v>3495.3501350762499</v>
      </c>
      <c r="AF50" s="174"/>
      <c r="AG50" s="505">
        <f>G50</f>
        <v>2442.1705199999997</v>
      </c>
      <c r="AH50" s="505">
        <f t="shared" ref="AH50:AM55" ca="1" si="29">SUMIF($H$3:$AE$3,AH$3,$H50:$AE50)</f>
        <v>3659.7008027314105</v>
      </c>
      <c r="AI50" s="505">
        <f t="shared" ca="1" si="29"/>
        <v>2847.639784865587</v>
      </c>
      <c r="AJ50" s="505">
        <f t="shared" ca="1" si="29"/>
        <v>3554.7649913284181</v>
      </c>
      <c r="AK50" s="505">
        <f t="shared" ca="1" si="29"/>
        <v>4340.4884852303858</v>
      </c>
      <c r="AL50" s="505">
        <f t="shared" ca="1" si="29"/>
        <v>4971.8279438952868</v>
      </c>
      <c r="AM50" s="505">
        <f t="shared" ca="1" si="29"/>
        <v>5828.5924068117702</v>
      </c>
      <c r="AN50" s="174"/>
      <c r="AO50" s="506">
        <f t="shared" ref="AO50:AP55" si="30">F50/F$19</f>
        <v>5.2162307610849626E-2</v>
      </c>
      <c r="AP50" s="506">
        <f t="shared" si="30"/>
        <v>6.9321875868857949E-2</v>
      </c>
      <c r="AQ50" s="506">
        <f t="shared" ref="AQ50:AQ55" ca="1" si="31">AH50/AH$19</f>
        <v>9.6307915861352913E-2</v>
      </c>
      <c r="AR50" s="506">
        <f t="shared" ref="AR50:AR55" ca="1" si="32">AI50/AI$19</f>
        <v>6.9386934329083508E-2</v>
      </c>
      <c r="AS50" s="506">
        <f t="shared" ref="AS50:AS55" ca="1" si="33">AJ50/AJ$19</f>
        <v>8.0201000634620656E-2</v>
      </c>
      <c r="AT50" s="506">
        <f t="shared" ref="AT50:AT55" ca="1" si="34">AK50/AK$19</f>
        <v>9.0674202667175741E-2</v>
      </c>
      <c r="AU50" s="506">
        <f t="shared" ref="AU50:AU55" ca="1" si="35">AL50/AL$19</f>
        <v>9.6169525308701181E-2</v>
      </c>
      <c r="AV50" s="507">
        <f t="shared" ref="AV50:AV55" ca="1" si="36">AM50/AM$19</f>
        <v>0.10439058037985818</v>
      </c>
    </row>
    <row r="51" spans="1:48" x14ac:dyDescent="0.2">
      <c r="A51" s="501" t="s">
        <v>68</v>
      </c>
      <c r="B51" s="502"/>
      <c r="C51" s="505">
        <f t="shared" ref="C51:H51" si="37">SUM(C42:C45)</f>
        <v>442.34199999999998</v>
      </c>
      <c r="D51" s="505">
        <f t="shared" si="37"/>
        <v>481.76100000000002</v>
      </c>
      <c r="E51" s="505">
        <f t="shared" si="37"/>
        <v>435.15700000000004</v>
      </c>
      <c r="F51" s="505">
        <f t="shared" si="37"/>
        <v>469.71900000000005</v>
      </c>
      <c r="G51" s="505">
        <f t="shared" si="37"/>
        <v>661.19199999999989</v>
      </c>
      <c r="H51" s="505">
        <f t="shared" si="37"/>
        <v>175.66521</v>
      </c>
      <c r="I51" s="505">
        <f t="shared" ref="I51:AM51" si="38">SUM(I42:I45)</f>
        <v>190.477</v>
      </c>
      <c r="J51" s="505">
        <f t="shared" ca="1" si="38"/>
        <v>184.64972999999998</v>
      </c>
      <c r="K51" s="505">
        <f t="shared" ca="1" si="38"/>
        <v>183.59731333333332</v>
      </c>
      <c r="L51" s="505">
        <f t="shared" ca="1" si="38"/>
        <v>363.85325178301065</v>
      </c>
      <c r="M51" s="505">
        <f t="shared" ca="1" si="38"/>
        <v>352.63893160614526</v>
      </c>
      <c r="N51" s="505">
        <f t="shared" ca="1" si="38"/>
        <v>362.01283386837605</v>
      </c>
      <c r="O51" s="505">
        <f t="shared" ca="1" si="38"/>
        <v>361.21827687310872</v>
      </c>
      <c r="P51" s="505">
        <f t="shared" ca="1" si="38"/>
        <v>339.99822151787424</v>
      </c>
      <c r="Q51" s="505">
        <f t="shared" ca="1" si="38"/>
        <v>335.53201234172224</v>
      </c>
      <c r="R51" s="505">
        <f t="shared" ca="1" si="38"/>
        <v>343.94144360027985</v>
      </c>
      <c r="S51" s="505">
        <f t="shared" ca="1" si="38"/>
        <v>343.04162868840257</v>
      </c>
      <c r="T51" s="505">
        <f t="shared" ca="1" si="38"/>
        <v>321.29805721136245</v>
      </c>
      <c r="U51" s="505">
        <f t="shared" ca="1" si="38"/>
        <v>315.56661314148738</v>
      </c>
      <c r="V51" s="505">
        <f t="shared" ca="1" si="38"/>
        <v>323.15764017986004</v>
      </c>
      <c r="W51" s="505">
        <f t="shared" ca="1" si="38"/>
        <v>320.91309980299093</v>
      </c>
      <c r="X51" s="505">
        <f t="shared" ca="1" si="38"/>
        <v>297.74807809010093</v>
      </c>
      <c r="Y51" s="505">
        <f t="shared" ca="1" si="38"/>
        <v>290.9871860121404</v>
      </c>
      <c r="Z51" s="505">
        <f t="shared" ca="1" si="38"/>
        <v>298.60742376231855</v>
      </c>
      <c r="AA51" s="505">
        <f t="shared" ca="1" si="38"/>
        <v>299.31254537933853</v>
      </c>
      <c r="AB51" s="505">
        <f t="shared" ca="1" si="38"/>
        <v>269.11348277462133</v>
      </c>
      <c r="AC51" s="505">
        <f t="shared" ca="1" si="38"/>
        <v>213.37005224625835</v>
      </c>
      <c r="AD51" s="505">
        <f t="shared" ca="1" si="38"/>
        <v>220.81002958068777</v>
      </c>
      <c r="AE51" s="505">
        <f t="shared" ca="1" si="38"/>
        <v>222.74491124319215</v>
      </c>
      <c r="AF51" s="505"/>
      <c r="AG51" s="505">
        <f t="shared" si="38"/>
        <v>661.19199999999989</v>
      </c>
      <c r="AH51" s="505">
        <f t="shared" ca="1" si="38"/>
        <v>734.38925333333327</v>
      </c>
      <c r="AI51" s="505">
        <f t="shared" ca="1" si="38"/>
        <v>1439.7232941306406</v>
      </c>
      <c r="AJ51" s="505">
        <f t="shared" ca="1" si="38"/>
        <v>1362.5133061482791</v>
      </c>
      <c r="AK51" s="505">
        <f t="shared" ca="1" si="38"/>
        <v>1280.9354103357009</v>
      </c>
      <c r="AL51" s="505">
        <f t="shared" ca="1" si="38"/>
        <v>1186.6552332438985</v>
      </c>
      <c r="AM51" s="505">
        <f t="shared" ca="1" si="38"/>
        <v>926.03847584475955</v>
      </c>
      <c r="AN51" s="174"/>
      <c r="AO51" s="128">
        <f t="shared" si="30"/>
        <v>1.8206860014639323E-2</v>
      </c>
      <c r="AP51" s="506">
        <f t="shared" si="30"/>
        <v>1.8768169287983187E-2</v>
      </c>
      <c r="AQ51" s="506">
        <f t="shared" ca="1" si="31"/>
        <v>1.9326032982456137E-2</v>
      </c>
      <c r="AR51" s="506">
        <f t="shared" ca="1" si="32"/>
        <v>3.5080976952500988E-2</v>
      </c>
      <c r="AS51" s="506">
        <f t="shared" ca="1" si="33"/>
        <v>3.0740409224701268E-2</v>
      </c>
      <c r="AT51" s="506">
        <f t="shared" ca="1" si="34"/>
        <v>2.6759153352338944E-2</v>
      </c>
      <c r="AU51" s="506">
        <f t="shared" ca="1" si="35"/>
        <v>2.2953342668721143E-2</v>
      </c>
      <c r="AV51" s="507">
        <f t="shared" ca="1" si="36"/>
        <v>1.6585427012281322E-2</v>
      </c>
    </row>
    <row r="52" spans="1:48" x14ac:dyDescent="0.2">
      <c r="A52" s="501" t="s">
        <v>102</v>
      </c>
      <c r="B52" s="502"/>
      <c r="C52" s="505">
        <v>0</v>
      </c>
      <c r="D52" s="505">
        <f t="shared" ref="D52:J52" si="39">D41</f>
        <v>236.06299999999999</v>
      </c>
      <c r="E52" s="505">
        <f t="shared" si="39"/>
        <v>333.52699999999999</v>
      </c>
      <c r="F52" s="505">
        <f t="shared" si="39"/>
        <v>518.14499999999998</v>
      </c>
      <c r="G52" s="505">
        <f t="shared" si="39"/>
        <v>907.28099999999995</v>
      </c>
      <c r="H52" s="505">
        <f t="shared" ca="1" si="39"/>
        <v>136.62123344677346</v>
      </c>
      <c r="I52" s="505">
        <f t="shared" ca="1" si="39"/>
        <v>163.19066830195186</v>
      </c>
      <c r="J52" s="505">
        <f t="shared" si="39"/>
        <v>327.11495142509222</v>
      </c>
      <c r="K52" s="505">
        <v>0</v>
      </c>
      <c r="L52" s="505">
        <v>0</v>
      </c>
      <c r="M52" s="505">
        <v>0</v>
      </c>
      <c r="N52" s="505">
        <v>0</v>
      </c>
      <c r="O52" s="505">
        <v>0</v>
      </c>
      <c r="P52" s="505">
        <v>0</v>
      </c>
      <c r="Q52" s="505">
        <v>0</v>
      </c>
      <c r="R52" s="505">
        <v>0</v>
      </c>
      <c r="S52" s="505">
        <v>0</v>
      </c>
      <c r="T52" s="505">
        <v>0</v>
      </c>
      <c r="U52" s="505">
        <v>0</v>
      </c>
      <c r="V52" s="505">
        <v>0</v>
      </c>
      <c r="W52" s="505">
        <v>0</v>
      </c>
      <c r="X52" s="505">
        <v>0</v>
      </c>
      <c r="Y52" s="505">
        <v>0</v>
      </c>
      <c r="Z52" s="505">
        <v>0</v>
      </c>
      <c r="AA52" s="505">
        <v>0</v>
      </c>
      <c r="AB52" s="505">
        <v>0</v>
      </c>
      <c r="AC52" s="505">
        <v>0</v>
      </c>
      <c r="AD52" s="505">
        <v>0</v>
      </c>
      <c r="AE52" s="505">
        <v>0</v>
      </c>
      <c r="AF52" s="505"/>
      <c r="AG52" s="505">
        <f>G52</f>
        <v>907.28099999999995</v>
      </c>
      <c r="AH52" s="505">
        <f t="shared" ca="1" si="29"/>
        <v>626.92685317381756</v>
      </c>
      <c r="AI52" s="505">
        <f t="shared" si="29"/>
        <v>0</v>
      </c>
      <c r="AJ52" s="505">
        <f t="shared" si="29"/>
        <v>0</v>
      </c>
      <c r="AK52" s="505">
        <f t="shared" si="29"/>
        <v>0</v>
      </c>
      <c r="AL52" s="505">
        <f t="shared" si="29"/>
        <v>0</v>
      </c>
      <c r="AM52" s="505">
        <f t="shared" si="29"/>
        <v>0</v>
      </c>
      <c r="AN52" s="174"/>
      <c r="AO52" s="506">
        <f t="shared" si="30"/>
        <v>2.0083908639602167E-2</v>
      </c>
      <c r="AP52" s="506">
        <f t="shared" si="30"/>
        <v>2.5753492782384958E-2</v>
      </c>
      <c r="AQ52" s="506">
        <f t="shared" ca="1" si="31"/>
        <v>1.6498075083521514E-2</v>
      </c>
      <c r="AR52" s="506">
        <f t="shared" ca="1" si="32"/>
        <v>0</v>
      </c>
      <c r="AS52" s="506">
        <f t="shared" ca="1" si="33"/>
        <v>0</v>
      </c>
      <c r="AT52" s="506">
        <f t="shared" ca="1" si="34"/>
        <v>0</v>
      </c>
      <c r="AU52" s="506">
        <f t="shared" ca="1" si="35"/>
        <v>0</v>
      </c>
      <c r="AV52" s="507">
        <f t="shared" ca="1" si="36"/>
        <v>0</v>
      </c>
    </row>
    <row r="53" spans="1:48" x14ac:dyDescent="0.2">
      <c r="A53" s="501" t="s">
        <v>208</v>
      </c>
      <c r="B53" s="502"/>
      <c r="C53" s="505">
        <v>0</v>
      </c>
      <c r="D53" s="505">
        <v>0</v>
      </c>
      <c r="E53" s="505">
        <v>0</v>
      </c>
      <c r="F53" s="505">
        <v>0</v>
      </c>
      <c r="G53" s="505">
        <v>0</v>
      </c>
      <c r="H53" s="505">
        <v>0</v>
      </c>
      <c r="I53" s="505">
        <v>0</v>
      </c>
      <c r="J53" s="505">
        <v>0</v>
      </c>
      <c r="K53" s="505">
        <v>0</v>
      </c>
      <c r="L53" s="505">
        <v>0</v>
      </c>
      <c r="M53" s="505">
        <v>0</v>
      </c>
      <c r="N53" s="505">
        <v>0</v>
      </c>
      <c r="O53" s="505">
        <v>0</v>
      </c>
      <c r="P53" s="505">
        <v>0</v>
      </c>
      <c r="Q53" s="505">
        <v>0</v>
      </c>
      <c r="R53" s="505">
        <v>0</v>
      </c>
      <c r="S53" s="505">
        <v>0</v>
      </c>
      <c r="T53" s="505">
        <v>0</v>
      </c>
      <c r="U53" s="505">
        <v>0</v>
      </c>
      <c r="V53" s="505">
        <v>0</v>
      </c>
      <c r="W53" s="505">
        <v>0</v>
      </c>
      <c r="X53" s="505">
        <v>0</v>
      </c>
      <c r="Y53" s="505">
        <v>0</v>
      </c>
      <c r="Z53" s="505">
        <v>0</v>
      </c>
      <c r="AA53" s="505">
        <v>0</v>
      </c>
      <c r="AB53" s="505">
        <v>0</v>
      </c>
      <c r="AC53" s="505">
        <v>0</v>
      </c>
      <c r="AD53" s="505">
        <v>0</v>
      </c>
      <c r="AE53" s="505">
        <v>0</v>
      </c>
      <c r="AF53" s="505"/>
      <c r="AG53" s="505">
        <f>G53</f>
        <v>0</v>
      </c>
      <c r="AH53" s="505">
        <f t="shared" si="29"/>
        <v>0</v>
      </c>
      <c r="AI53" s="505">
        <f t="shared" si="29"/>
        <v>0</v>
      </c>
      <c r="AJ53" s="505">
        <f t="shared" si="29"/>
        <v>0</v>
      </c>
      <c r="AK53" s="505">
        <f t="shared" si="29"/>
        <v>0</v>
      </c>
      <c r="AL53" s="505">
        <f t="shared" si="29"/>
        <v>0</v>
      </c>
      <c r="AM53" s="505">
        <f t="shared" si="29"/>
        <v>0</v>
      </c>
      <c r="AN53" s="174"/>
      <c r="AO53" s="506">
        <f t="shared" si="30"/>
        <v>0</v>
      </c>
      <c r="AP53" s="506">
        <f t="shared" si="30"/>
        <v>0</v>
      </c>
      <c r="AQ53" s="506">
        <f t="shared" ca="1" si="31"/>
        <v>0</v>
      </c>
      <c r="AR53" s="506">
        <f t="shared" ca="1" si="32"/>
        <v>0</v>
      </c>
      <c r="AS53" s="506">
        <f t="shared" ca="1" si="33"/>
        <v>0</v>
      </c>
      <c r="AT53" s="506">
        <f t="shared" ca="1" si="34"/>
        <v>0</v>
      </c>
      <c r="AU53" s="506">
        <f t="shared" ca="1" si="35"/>
        <v>0</v>
      </c>
      <c r="AV53" s="507">
        <f t="shared" ca="1" si="36"/>
        <v>0</v>
      </c>
    </row>
    <row r="54" spans="1:48" s="174" customFormat="1" x14ac:dyDescent="0.2">
      <c r="A54" s="501" t="s">
        <v>69</v>
      </c>
      <c r="B54" s="502"/>
      <c r="C54" s="505">
        <f t="shared" ref="C54:H54" si="40">C40</f>
        <v>684.97400000000005</v>
      </c>
      <c r="D54" s="508">
        <f t="shared" si="40"/>
        <v>601.59</v>
      </c>
      <c r="E54" s="508">
        <f t="shared" si="40"/>
        <v>756.07100000000003</v>
      </c>
      <c r="F54" s="508">
        <f t="shared" si="40"/>
        <v>860.60599999999999</v>
      </c>
      <c r="G54" s="508">
        <f t="shared" si="40"/>
        <v>1228.4580000000001</v>
      </c>
      <c r="H54" s="508">
        <f t="shared" si="40"/>
        <v>190.5</v>
      </c>
      <c r="I54" s="508">
        <f t="shared" ref="I54:AM54" si="41">I40</f>
        <v>190.5</v>
      </c>
      <c r="J54" s="508">
        <f t="shared" si="41"/>
        <v>190.5</v>
      </c>
      <c r="K54" s="505">
        <f t="shared" ca="1" si="41"/>
        <v>385.53669237500003</v>
      </c>
      <c r="L54" s="505">
        <f t="shared" ca="1" si="41"/>
        <v>394.91169237500003</v>
      </c>
      <c r="M54" s="505">
        <f t="shared" ca="1" si="41"/>
        <v>404.28669237500003</v>
      </c>
      <c r="N54" s="505">
        <f t="shared" ca="1" si="41"/>
        <v>413.66169237499997</v>
      </c>
      <c r="O54" s="505">
        <f t="shared" ca="1" si="41"/>
        <v>423.03669237499997</v>
      </c>
      <c r="P54" s="505">
        <f t="shared" ca="1" si="41"/>
        <v>432.41169237499997</v>
      </c>
      <c r="Q54" s="505">
        <f t="shared" ca="1" si="41"/>
        <v>441.78669237499997</v>
      </c>
      <c r="R54" s="505">
        <f t="shared" ca="1" si="41"/>
        <v>451.16169237499997</v>
      </c>
      <c r="S54" s="505">
        <f t="shared" ca="1" si="41"/>
        <v>460.53669237499997</v>
      </c>
      <c r="T54" s="505">
        <f t="shared" ca="1" si="41"/>
        <v>469.91169237499997</v>
      </c>
      <c r="U54" s="505">
        <f t="shared" ca="1" si="41"/>
        <v>479.28669237499997</v>
      </c>
      <c r="V54" s="505">
        <f t="shared" ca="1" si="41"/>
        <v>488.66169237499997</v>
      </c>
      <c r="W54" s="505">
        <f t="shared" ca="1" si="41"/>
        <v>498.03669237499997</v>
      </c>
      <c r="X54" s="505">
        <f t="shared" ca="1" si="41"/>
        <v>507.41169237499997</v>
      </c>
      <c r="Y54" s="505">
        <f t="shared" ca="1" si="41"/>
        <v>516.78669237500003</v>
      </c>
      <c r="Z54" s="505">
        <f t="shared" ca="1" si="41"/>
        <v>526.16169237500003</v>
      </c>
      <c r="AA54" s="505">
        <f t="shared" ca="1" si="41"/>
        <v>535.53669237500003</v>
      </c>
      <c r="AB54" s="505">
        <f t="shared" ca="1" si="41"/>
        <v>544.91169237500003</v>
      </c>
      <c r="AC54" s="505">
        <f t="shared" ca="1" si="41"/>
        <v>554.28669237500003</v>
      </c>
      <c r="AD54" s="505">
        <f t="shared" ca="1" si="41"/>
        <v>563.66169237500003</v>
      </c>
      <c r="AE54" s="505">
        <f t="shared" ca="1" si="41"/>
        <v>573.03669237500003</v>
      </c>
      <c r="AF54" s="505"/>
      <c r="AG54" s="505">
        <f t="shared" si="41"/>
        <v>1228.4580000000001</v>
      </c>
      <c r="AH54" s="505">
        <f t="shared" ca="1" si="41"/>
        <v>957.03669237500003</v>
      </c>
      <c r="AI54" s="505">
        <f t="shared" ca="1" si="41"/>
        <v>1635.8967695000001</v>
      </c>
      <c r="AJ54" s="505">
        <f t="shared" ca="1" si="41"/>
        <v>1785.8967694999999</v>
      </c>
      <c r="AK54" s="505">
        <f t="shared" ca="1" si="41"/>
        <v>1935.8967694999999</v>
      </c>
      <c r="AL54" s="505">
        <f t="shared" ca="1" si="41"/>
        <v>2085.8967695000001</v>
      </c>
      <c r="AM54" s="505">
        <f t="shared" ca="1" si="41"/>
        <v>2235.8967695000001</v>
      </c>
      <c r="AO54" s="128">
        <f t="shared" si="30"/>
        <v>3.3358099139610464E-2</v>
      </c>
      <c r="AP54" s="506">
        <f t="shared" si="30"/>
        <v>3.487021577269122E-2</v>
      </c>
      <c r="AQ54" s="506">
        <f t="shared" ca="1" si="31"/>
        <v>2.5185176115131581E-2</v>
      </c>
      <c r="AR54" s="506">
        <f t="shared" ca="1" si="32"/>
        <v>3.9861032395224177E-2</v>
      </c>
      <c r="AS54" s="506">
        <f t="shared" ca="1" si="33"/>
        <v>4.0292595514313044E-2</v>
      </c>
      <c r="AT54" s="506">
        <f t="shared" ca="1" si="34"/>
        <v>4.0441507129365561E-2</v>
      </c>
      <c r="AU54" s="506">
        <f t="shared" ca="1" si="35"/>
        <v>4.0347273564057429E-2</v>
      </c>
      <c r="AV54" s="507">
        <f t="shared" ca="1" si="36"/>
        <v>4.0045099253256583E-2</v>
      </c>
    </row>
    <row r="55" spans="1:48" s="174" customFormat="1" x14ac:dyDescent="0.2">
      <c r="A55" s="501" t="s">
        <v>226</v>
      </c>
      <c r="B55" s="502"/>
      <c r="C55" s="509">
        <v>0</v>
      </c>
      <c r="D55" s="509">
        <v>0</v>
      </c>
      <c r="E55" s="509">
        <v>0</v>
      </c>
      <c r="F55" s="509">
        <v>0</v>
      </c>
      <c r="G55" s="509">
        <v>0</v>
      </c>
      <c r="H55" s="509">
        <f>H38</f>
        <v>0</v>
      </c>
      <c r="I55" s="509">
        <f>I38</f>
        <v>0</v>
      </c>
      <c r="J55" s="509">
        <v>0</v>
      </c>
      <c r="K55" s="509">
        <v>0</v>
      </c>
      <c r="L55" s="509">
        <v>0</v>
      </c>
      <c r="M55" s="509">
        <v>0</v>
      </c>
      <c r="N55" s="509">
        <v>0</v>
      </c>
      <c r="O55" s="509">
        <v>0</v>
      </c>
      <c r="P55" s="509">
        <v>0</v>
      </c>
      <c r="Q55" s="509">
        <v>0</v>
      </c>
      <c r="R55" s="509">
        <v>0</v>
      </c>
      <c r="S55" s="509">
        <v>0</v>
      </c>
      <c r="T55" s="509">
        <v>0</v>
      </c>
      <c r="U55" s="509">
        <v>0</v>
      </c>
      <c r="V55" s="509">
        <v>0</v>
      </c>
      <c r="W55" s="509">
        <v>0</v>
      </c>
      <c r="X55" s="509">
        <v>0</v>
      </c>
      <c r="Y55" s="509">
        <v>0</v>
      </c>
      <c r="Z55" s="509">
        <v>0</v>
      </c>
      <c r="AA55" s="509">
        <v>0</v>
      </c>
      <c r="AB55" s="509">
        <v>0</v>
      </c>
      <c r="AC55" s="509">
        <v>0</v>
      </c>
      <c r="AD55" s="509">
        <v>0</v>
      </c>
      <c r="AE55" s="509">
        <v>0</v>
      </c>
      <c r="AF55" s="505"/>
      <c r="AG55" s="509">
        <v>0</v>
      </c>
      <c r="AH55" s="509">
        <f t="shared" si="29"/>
        <v>0</v>
      </c>
      <c r="AI55" s="509">
        <f t="shared" si="29"/>
        <v>0</v>
      </c>
      <c r="AJ55" s="509">
        <f t="shared" si="29"/>
        <v>0</v>
      </c>
      <c r="AK55" s="509">
        <f t="shared" si="29"/>
        <v>0</v>
      </c>
      <c r="AL55" s="509">
        <f t="shared" si="29"/>
        <v>0</v>
      </c>
      <c r="AM55" s="509">
        <f t="shared" si="29"/>
        <v>0</v>
      </c>
      <c r="AO55" s="510">
        <f t="shared" si="30"/>
        <v>0</v>
      </c>
      <c r="AP55" s="510">
        <f t="shared" si="30"/>
        <v>0</v>
      </c>
      <c r="AQ55" s="510">
        <f t="shared" ca="1" si="31"/>
        <v>0</v>
      </c>
      <c r="AR55" s="510">
        <f t="shared" ca="1" si="32"/>
        <v>0</v>
      </c>
      <c r="AS55" s="510">
        <f t="shared" ca="1" si="33"/>
        <v>0</v>
      </c>
      <c r="AT55" s="510">
        <f t="shared" ca="1" si="34"/>
        <v>0</v>
      </c>
      <c r="AU55" s="510">
        <f t="shared" ca="1" si="35"/>
        <v>0</v>
      </c>
      <c r="AV55" s="511">
        <f t="shared" ca="1" si="36"/>
        <v>0</v>
      </c>
    </row>
    <row r="56" spans="1:48" x14ac:dyDescent="0.2">
      <c r="A56" s="501"/>
      <c r="B56" s="502"/>
      <c r="C56" s="503"/>
      <c r="D56" s="503"/>
      <c r="E56" s="503"/>
      <c r="F56" s="503"/>
      <c r="G56" s="503"/>
      <c r="H56" s="503"/>
      <c r="I56" s="503"/>
      <c r="J56" s="503"/>
      <c r="K56" s="503"/>
      <c r="L56" s="503"/>
      <c r="M56" s="503"/>
      <c r="N56" s="503"/>
      <c r="O56" s="503"/>
      <c r="P56" s="503"/>
      <c r="Q56" s="503"/>
      <c r="R56" s="503"/>
      <c r="S56" s="503"/>
      <c r="T56" s="503"/>
      <c r="U56" s="503"/>
      <c r="V56" s="503"/>
      <c r="W56" s="503"/>
      <c r="X56" s="503"/>
      <c r="Y56" s="503"/>
      <c r="Z56" s="503"/>
      <c r="AA56" s="503"/>
      <c r="AB56" s="503"/>
      <c r="AC56" s="503"/>
      <c r="AD56" s="503"/>
      <c r="AE56" s="503"/>
      <c r="AF56" s="503"/>
      <c r="AG56" s="503"/>
      <c r="AH56" s="503"/>
      <c r="AI56" s="503"/>
      <c r="AJ56" s="503"/>
      <c r="AK56" s="503"/>
      <c r="AL56" s="503"/>
      <c r="AM56" s="503"/>
      <c r="AN56" s="174"/>
      <c r="AO56" s="503"/>
      <c r="AP56" s="503"/>
      <c r="AQ56" s="503"/>
      <c r="AR56" s="503"/>
      <c r="AS56" s="503"/>
      <c r="AT56" s="503"/>
      <c r="AU56" s="503"/>
      <c r="AV56" s="512"/>
    </row>
    <row r="57" spans="1:48" x14ac:dyDescent="0.2">
      <c r="A57" s="417" t="s">
        <v>9</v>
      </c>
      <c r="B57" s="498"/>
      <c r="C57" s="499">
        <f>SUM(C50:C55)</f>
        <v>1486.551999999999</v>
      </c>
      <c r="D57" s="499">
        <f>SUM(D50:D55)</f>
        <v>1654.907999999999</v>
      </c>
      <c r="E57" s="499">
        <f>SUM(E50:E55)</f>
        <v>2690.7669999999998</v>
      </c>
      <c r="F57" s="499">
        <f t="shared" ref="F57:AK57" si="42">SUM(F50:F55)</f>
        <v>3194.206000000001</v>
      </c>
      <c r="G57" s="499">
        <f t="shared" si="42"/>
        <v>5239.1015200000002</v>
      </c>
      <c r="H57" s="499">
        <f t="shared" ca="1" si="42"/>
        <v>870.53617999999972</v>
      </c>
      <c r="I57" s="499">
        <f t="shared" ca="1" si="42"/>
        <v>983.43558999999868</v>
      </c>
      <c r="J57" s="499">
        <f t="shared" ca="1" si="42"/>
        <v>1369.4489588135614</v>
      </c>
      <c r="K57" s="499">
        <f t="shared" ca="1" si="42"/>
        <v>2754.6328728000017</v>
      </c>
      <c r="L57" s="499">
        <f t="shared" ca="1" si="42"/>
        <v>790.23167628489909</v>
      </c>
      <c r="M57" s="499">
        <f t="shared" ca="1" si="42"/>
        <v>989.51573282551408</v>
      </c>
      <c r="N57" s="499">
        <f t="shared" ca="1" si="42"/>
        <v>1224.7530166179554</v>
      </c>
      <c r="O57" s="499">
        <f t="shared" ca="1" si="42"/>
        <v>2918.7594227678587</v>
      </c>
      <c r="P57" s="499">
        <f t="shared" ca="1" si="42"/>
        <v>921.4412337525024</v>
      </c>
      <c r="Q57" s="499">
        <f t="shared" ca="1" si="42"/>
        <v>1129.7330364430866</v>
      </c>
      <c r="R57" s="499">
        <f t="shared" ca="1" si="42"/>
        <v>1389.8230505366148</v>
      </c>
      <c r="S57" s="499">
        <f t="shared" ca="1" si="42"/>
        <v>3262.1777462444929</v>
      </c>
      <c r="T57" s="499">
        <f t="shared" ca="1" si="42"/>
        <v>1057.6227806419217</v>
      </c>
      <c r="U57" s="499">
        <f t="shared" ca="1" si="42"/>
        <v>1285.4911628584498</v>
      </c>
      <c r="V57" s="499">
        <f t="shared" ca="1" si="42"/>
        <v>1572.9048254849713</v>
      </c>
      <c r="W57" s="499">
        <f t="shared" ca="1" si="42"/>
        <v>3641.3018960807435</v>
      </c>
      <c r="X57" s="499">
        <f t="shared" ca="1" si="42"/>
        <v>1162.8510101852291</v>
      </c>
      <c r="Y57" s="499">
        <f t="shared" ca="1" si="42"/>
        <v>1408.9488629790799</v>
      </c>
      <c r="Z57" s="499">
        <f t="shared" ca="1" si="42"/>
        <v>1719.3556186157221</v>
      </c>
      <c r="AA57" s="499">
        <f t="shared" ca="1" si="42"/>
        <v>3953.2244548591552</v>
      </c>
      <c r="AB57" s="499">
        <f ca="1">SUM(AB50:AB55)</f>
        <v>1277.5284184465997</v>
      </c>
      <c r="AC57" s="499">
        <f ca="1">SUM(AC50:AC55)</f>
        <v>1543.3140994639566</v>
      </c>
      <c r="AD57" s="499">
        <f ca="1">SUM(AD50:AD55)</f>
        <v>1878.5533955515316</v>
      </c>
      <c r="AE57" s="499">
        <f ca="1">SUM(AE50:AE55)</f>
        <v>4291.131738694442</v>
      </c>
      <c r="AF57" s="499">
        <f t="shared" si="42"/>
        <v>0</v>
      </c>
      <c r="AG57" s="499">
        <f t="shared" si="42"/>
        <v>5239.1015200000002</v>
      </c>
      <c r="AH57" s="499">
        <f t="shared" ca="1" si="42"/>
        <v>5978.053601613562</v>
      </c>
      <c r="AI57" s="499">
        <f t="shared" ca="1" si="42"/>
        <v>5923.2598484962282</v>
      </c>
      <c r="AJ57" s="499">
        <f t="shared" ca="1" si="42"/>
        <v>6703.1750669766971</v>
      </c>
      <c r="AK57" s="499">
        <f t="shared" ca="1" si="42"/>
        <v>7557.3206650660868</v>
      </c>
      <c r="AL57" s="499">
        <f ca="1">SUM(AL50:AL55)</f>
        <v>8244.3799466391865</v>
      </c>
      <c r="AM57" s="499">
        <f ca="1">SUM(AM50:AM55)</f>
        <v>8990.5276521565302</v>
      </c>
      <c r="AN57" s="174"/>
      <c r="AO57" s="214">
        <f>F57/F$19</f>
        <v>0.12381117540470159</v>
      </c>
      <c r="AP57" s="214">
        <f>G57/G$19</f>
        <v>0.14871375371191733</v>
      </c>
      <c r="AQ57" s="214">
        <f t="shared" ref="AQ57:AV57" ca="1" si="43">AH57/AH$19</f>
        <v>0.15731720004246216</v>
      </c>
      <c r="AR57" s="214">
        <f t="shared" ca="1" si="43"/>
        <v>0.14432894367680868</v>
      </c>
      <c r="AS57" s="214">
        <f t="shared" ca="1" si="43"/>
        <v>0.15123400537363496</v>
      </c>
      <c r="AT57" s="214">
        <f t="shared" ca="1" si="43"/>
        <v>0.15787486314888025</v>
      </c>
      <c r="AU57" s="214">
        <f t="shared" ca="1" si="43"/>
        <v>0.15947014154147979</v>
      </c>
      <c r="AV57" s="513">
        <f t="shared" ca="1" si="43"/>
        <v>0.16102110664539609</v>
      </c>
    </row>
    <row r="58" spans="1:48" outlineLevel="1" x14ac:dyDescent="0.2">
      <c r="A58" s="417" t="s">
        <v>202</v>
      </c>
      <c r="B58" s="498" t="s">
        <v>351</v>
      </c>
      <c r="C58" s="499"/>
      <c r="D58" s="499"/>
      <c r="E58" s="499"/>
      <c r="F58" s="499"/>
      <c r="G58" s="499"/>
      <c r="H58" s="499"/>
      <c r="I58" s="499"/>
      <c r="J58" s="499"/>
      <c r="K58" s="499"/>
      <c r="L58" s="499"/>
      <c r="M58" s="499"/>
      <c r="N58" s="499"/>
      <c r="O58" s="499"/>
      <c r="P58" s="499"/>
      <c r="Q58" s="499"/>
      <c r="R58" s="499"/>
      <c r="S58" s="499"/>
      <c r="T58" s="499"/>
      <c r="U58" s="499"/>
      <c r="V58" s="499"/>
      <c r="W58" s="499"/>
      <c r="X58" s="499"/>
      <c r="Y58" s="499"/>
      <c r="Z58" s="499"/>
      <c r="AA58" s="499"/>
      <c r="AB58" s="499"/>
      <c r="AC58" s="499"/>
      <c r="AD58" s="499"/>
      <c r="AE58" s="499"/>
      <c r="AF58" s="499"/>
      <c r="AG58" s="499">
        <f>G58</f>
        <v>0</v>
      </c>
      <c r="AH58" s="499"/>
      <c r="AI58" s="499"/>
      <c r="AJ58" s="499"/>
      <c r="AK58" s="499"/>
      <c r="AL58" s="499"/>
      <c r="AM58" s="499"/>
      <c r="AN58" s="174"/>
      <c r="AO58" s="499"/>
      <c r="AP58" s="499"/>
      <c r="AQ58" s="499"/>
      <c r="AR58" s="499"/>
      <c r="AS58" s="499"/>
      <c r="AT58" s="499"/>
      <c r="AU58" s="499"/>
      <c r="AV58" s="514"/>
    </row>
    <row r="59" spans="1:48" outlineLevel="1" x14ac:dyDescent="0.2">
      <c r="A59" s="501" t="s">
        <v>296</v>
      </c>
      <c r="B59" s="502" t="s">
        <v>269</v>
      </c>
      <c r="C59" s="503"/>
      <c r="D59" s="503"/>
      <c r="E59" s="503"/>
      <c r="F59" s="503">
        <v>0</v>
      </c>
      <c r="G59" s="503">
        <v>0</v>
      </c>
      <c r="H59" s="503"/>
      <c r="I59" s="503"/>
      <c r="J59" s="503"/>
      <c r="K59" s="503"/>
      <c r="L59" s="503"/>
      <c r="M59" s="503"/>
      <c r="N59" s="503"/>
      <c r="O59" s="503"/>
      <c r="P59" s="503"/>
      <c r="Q59" s="503"/>
      <c r="R59" s="503"/>
      <c r="S59" s="503"/>
      <c r="T59" s="503"/>
      <c r="U59" s="503"/>
      <c r="V59" s="503"/>
      <c r="W59" s="503"/>
      <c r="X59" s="503"/>
      <c r="Y59" s="503"/>
      <c r="Z59" s="503"/>
      <c r="AA59" s="503"/>
      <c r="AB59" s="503"/>
      <c r="AC59" s="503"/>
      <c r="AD59" s="503"/>
      <c r="AE59" s="503"/>
      <c r="AF59" s="503"/>
      <c r="AG59" s="503">
        <f>G59</f>
        <v>0</v>
      </c>
      <c r="AH59" s="503"/>
      <c r="AI59" s="503"/>
      <c r="AJ59" s="503"/>
      <c r="AK59" s="503"/>
      <c r="AL59" s="503"/>
      <c r="AM59" s="503"/>
      <c r="AN59" s="174"/>
      <c r="AO59" s="112">
        <f t="shared" ref="AO59:AP71" si="44">F59/F$19</f>
        <v>0</v>
      </c>
      <c r="AP59" s="112">
        <f t="shared" si="44"/>
        <v>0</v>
      </c>
      <c r="AQ59" s="112">
        <f t="shared" ref="AQ59:AV71" ca="1" si="45">AH59/AH$19</f>
        <v>0</v>
      </c>
      <c r="AR59" s="112">
        <f t="shared" ca="1" si="45"/>
        <v>0</v>
      </c>
      <c r="AS59" s="112">
        <f t="shared" ca="1" si="45"/>
        <v>0</v>
      </c>
      <c r="AT59" s="112">
        <f t="shared" ca="1" si="45"/>
        <v>0</v>
      </c>
      <c r="AU59" s="112">
        <f t="shared" ca="1" si="45"/>
        <v>0</v>
      </c>
      <c r="AV59" s="515">
        <f t="shared" ca="1" si="45"/>
        <v>0</v>
      </c>
    </row>
    <row r="60" spans="1:48" outlineLevel="1" x14ac:dyDescent="0.2">
      <c r="A60" s="501"/>
      <c r="B60" s="502"/>
      <c r="C60" s="503"/>
      <c r="D60" s="503"/>
      <c r="E60" s="503"/>
      <c r="F60" s="503"/>
      <c r="G60" s="503"/>
      <c r="H60" s="503"/>
      <c r="I60" s="503"/>
      <c r="J60" s="503"/>
      <c r="K60" s="503"/>
      <c r="L60" s="503"/>
      <c r="M60" s="503"/>
      <c r="N60" s="503"/>
      <c r="O60" s="503"/>
      <c r="P60" s="503"/>
      <c r="Q60" s="503"/>
      <c r="R60" s="503"/>
      <c r="S60" s="503"/>
      <c r="T60" s="503"/>
      <c r="U60" s="503"/>
      <c r="V60" s="503"/>
      <c r="W60" s="503"/>
      <c r="X60" s="503"/>
      <c r="Y60" s="503"/>
      <c r="Z60" s="503"/>
      <c r="AA60" s="503"/>
      <c r="AB60" s="503"/>
      <c r="AC60" s="503"/>
      <c r="AD60" s="503"/>
      <c r="AE60" s="503"/>
      <c r="AF60" s="503"/>
      <c r="AG60" s="503"/>
      <c r="AH60" s="503"/>
      <c r="AI60" s="503"/>
      <c r="AJ60" s="503"/>
      <c r="AK60" s="503"/>
      <c r="AL60" s="503"/>
      <c r="AM60" s="503"/>
      <c r="AN60" s="174"/>
      <c r="AO60" s="112"/>
      <c r="AP60" s="112"/>
      <c r="AQ60" s="112"/>
      <c r="AR60" s="112"/>
      <c r="AS60" s="112"/>
      <c r="AT60" s="112"/>
      <c r="AU60" s="112"/>
      <c r="AV60" s="515"/>
    </row>
    <row r="61" spans="1:48" outlineLevel="1" x14ac:dyDescent="0.2">
      <c r="A61" s="501"/>
      <c r="B61" s="502"/>
      <c r="C61" s="503"/>
      <c r="D61" s="503"/>
      <c r="E61" s="503"/>
      <c r="F61" s="503"/>
      <c r="G61" s="503"/>
      <c r="H61" s="503"/>
      <c r="I61" s="503"/>
      <c r="J61" s="503"/>
      <c r="K61" s="503"/>
      <c r="L61" s="503"/>
      <c r="M61" s="503"/>
      <c r="N61" s="503"/>
      <c r="O61" s="503"/>
      <c r="P61" s="503"/>
      <c r="Q61" s="503"/>
      <c r="R61" s="503"/>
      <c r="S61" s="503"/>
      <c r="T61" s="503"/>
      <c r="U61" s="503"/>
      <c r="V61" s="503"/>
      <c r="W61" s="503"/>
      <c r="X61" s="503"/>
      <c r="Y61" s="503"/>
      <c r="Z61" s="503"/>
      <c r="AA61" s="503"/>
      <c r="AB61" s="503"/>
      <c r="AC61" s="503"/>
      <c r="AD61" s="503"/>
      <c r="AE61" s="503"/>
      <c r="AF61" s="503"/>
      <c r="AG61" s="503"/>
      <c r="AH61" s="503"/>
      <c r="AI61" s="503"/>
      <c r="AJ61" s="503"/>
      <c r="AK61" s="503"/>
      <c r="AL61" s="503"/>
      <c r="AM61" s="503"/>
      <c r="AN61" s="174"/>
      <c r="AO61" s="112"/>
      <c r="AP61" s="112"/>
      <c r="AQ61" s="112"/>
      <c r="AR61" s="112"/>
      <c r="AS61" s="112"/>
      <c r="AT61" s="112"/>
      <c r="AU61" s="112"/>
      <c r="AV61" s="515"/>
    </row>
    <row r="62" spans="1:48" outlineLevel="1" x14ac:dyDescent="0.2">
      <c r="A62" s="501"/>
      <c r="B62" s="502"/>
      <c r="C62" s="503"/>
      <c r="D62" s="503"/>
      <c r="E62" s="503"/>
      <c r="F62" s="503"/>
      <c r="G62" s="503"/>
      <c r="H62" s="503"/>
      <c r="I62" s="503"/>
      <c r="J62" s="503"/>
      <c r="K62" s="503"/>
      <c r="L62" s="503"/>
      <c r="M62" s="503"/>
      <c r="N62" s="503"/>
      <c r="O62" s="503"/>
      <c r="P62" s="503"/>
      <c r="Q62" s="503"/>
      <c r="R62" s="503"/>
      <c r="S62" s="503"/>
      <c r="T62" s="503"/>
      <c r="U62" s="503"/>
      <c r="V62" s="503"/>
      <c r="W62" s="503"/>
      <c r="X62" s="503"/>
      <c r="Y62" s="503"/>
      <c r="Z62" s="503"/>
      <c r="AA62" s="503"/>
      <c r="AB62" s="503"/>
      <c r="AC62" s="503"/>
      <c r="AD62" s="503"/>
      <c r="AE62" s="503"/>
      <c r="AF62" s="503"/>
      <c r="AG62" s="503"/>
      <c r="AH62" s="503"/>
      <c r="AI62" s="503"/>
      <c r="AJ62" s="503"/>
      <c r="AK62" s="503"/>
      <c r="AL62" s="503"/>
      <c r="AM62" s="503"/>
      <c r="AN62" s="174"/>
      <c r="AO62" s="112"/>
      <c r="AP62" s="112"/>
      <c r="AQ62" s="112"/>
      <c r="AR62" s="112"/>
      <c r="AS62" s="112"/>
      <c r="AT62" s="112"/>
      <c r="AU62" s="112"/>
      <c r="AV62" s="515"/>
    </row>
    <row r="63" spans="1:48" outlineLevel="1" x14ac:dyDescent="0.2">
      <c r="A63" s="501"/>
      <c r="B63" s="502"/>
      <c r="C63" s="503"/>
      <c r="D63" s="503"/>
      <c r="E63" s="503"/>
      <c r="F63" s="503"/>
      <c r="G63" s="503"/>
      <c r="H63" s="503"/>
      <c r="I63" s="503"/>
      <c r="J63" s="503"/>
      <c r="K63" s="503"/>
      <c r="L63" s="503"/>
      <c r="M63" s="503"/>
      <c r="N63" s="503"/>
      <c r="O63" s="503"/>
      <c r="P63" s="503"/>
      <c r="Q63" s="503"/>
      <c r="R63" s="503"/>
      <c r="S63" s="503"/>
      <c r="T63" s="503"/>
      <c r="U63" s="503"/>
      <c r="V63" s="503"/>
      <c r="W63" s="503"/>
      <c r="X63" s="503"/>
      <c r="Y63" s="503"/>
      <c r="Z63" s="503"/>
      <c r="AA63" s="503"/>
      <c r="AB63" s="503"/>
      <c r="AC63" s="503"/>
      <c r="AD63" s="503"/>
      <c r="AE63" s="503"/>
      <c r="AF63" s="503"/>
      <c r="AG63" s="503"/>
      <c r="AH63" s="503"/>
      <c r="AI63" s="503"/>
      <c r="AJ63" s="503"/>
      <c r="AK63" s="503"/>
      <c r="AL63" s="503"/>
      <c r="AM63" s="503"/>
      <c r="AN63" s="174"/>
      <c r="AO63" s="112"/>
      <c r="AP63" s="112"/>
      <c r="AQ63" s="112"/>
      <c r="AR63" s="112"/>
      <c r="AS63" s="112"/>
      <c r="AT63" s="112"/>
      <c r="AU63" s="112"/>
      <c r="AV63" s="515"/>
    </row>
    <row r="64" spans="1:48" outlineLevel="1" x14ac:dyDescent="0.2">
      <c r="A64" s="501"/>
      <c r="B64" s="502"/>
      <c r="C64" s="503"/>
      <c r="D64" s="503"/>
      <c r="E64" s="503"/>
      <c r="F64" s="503"/>
      <c r="G64" s="503"/>
      <c r="H64" s="503"/>
      <c r="I64" s="503"/>
      <c r="J64" s="503"/>
      <c r="K64" s="503"/>
      <c r="L64" s="503"/>
      <c r="M64" s="503"/>
      <c r="N64" s="503"/>
      <c r="O64" s="503"/>
      <c r="P64" s="503"/>
      <c r="Q64" s="503"/>
      <c r="R64" s="503"/>
      <c r="S64" s="503"/>
      <c r="T64" s="503"/>
      <c r="U64" s="503"/>
      <c r="V64" s="503"/>
      <c r="W64" s="503"/>
      <c r="X64" s="503"/>
      <c r="Y64" s="503"/>
      <c r="Z64" s="503"/>
      <c r="AA64" s="503"/>
      <c r="AB64" s="503"/>
      <c r="AC64" s="503"/>
      <c r="AD64" s="503"/>
      <c r="AE64" s="503"/>
      <c r="AF64" s="503"/>
      <c r="AG64" s="503"/>
      <c r="AH64" s="503"/>
      <c r="AI64" s="503"/>
      <c r="AJ64" s="503"/>
      <c r="AK64" s="503"/>
      <c r="AL64" s="503"/>
      <c r="AM64" s="503"/>
      <c r="AN64" s="174"/>
      <c r="AO64" s="112"/>
      <c r="AP64" s="112"/>
      <c r="AQ64" s="112"/>
      <c r="AR64" s="112"/>
      <c r="AS64" s="112"/>
      <c r="AT64" s="112"/>
      <c r="AU64" s="112"/>
      <c r="AV64" s="515"/>
    </row>
    <row r="65" spans="1:48" outlineLevel="1" x14ac:dyDescent="0.2">
      <c r="A65" s="501"/>
      <c r="B65" s="502"/>
      <c r="C65" s="503"/>
      <c r="D65" s="503"/>
      <c r="E65" s="503"/>
      <c r="F65" s="503"/>
      <c r="G65" s="503"/>
      <c r="H65" s="503"/>
      <c r="I65" s="503"/>
      <c r="J65" s="503"/>
      <c r="K65" s="503"/>
      <c r="L65" s="503"/>
      <c r="M65" s="503"/>
      <c r="N65" s="503"/>
      <c r="O65" s="503"/>
      <c r="P65" s="503"/>
      <c r="Q65" s="503"/>
      <c r="R65" s="503"/>
      <c r="S65" s="503"/>
      <c r="T65" s="503"/>
      <c r="U65" s="503"/>
      <c r="V65" s="503"/>
      <c r="W65" s="503"/>
      <c r="X65" s="503"/>
      <c r="Y65" s="503"/>
      <c r="Z65" s="503"/>
      <c r="AA65" s="503"/>
      <c r="AB65" s="503"/>
      <c r="AC65" s="503"/>
      <c r="AD65" s="503"/>
      <c r="AE65" s="503"/>
      <c r="AF65" s="503"/>
      <c r="AG65" s="503"/>
      <c r="AH65" s="503"/>
      <c r="AI65" s="503"/>
      <c r="AJ65" s="503"/>
      <c r="AK65" s="503"/>
      <c r="AL65" s="503"/>
      <c r="AM65" s="503"/>
      <c r="AN65" s="174"/>
      <c r="AO65" s="112"/>
      <c r="AP65" s="112"/>
      <c r="AQ65" s="112"/>
      <c r="AR65" s="112"/>
      <c r="AS65" s="112"/>
      <c r="AT65" s="112"/>
      <c r="AU65" s="112"/>
      <c r="AV65" s="515"/>
    </row>
    <row r="66" spans="1:48" outlineLevel="1" x14ac:dyDescent="0.2">
      <c r="A66" s="501"/>
      <c r="B66" s="502"/>
      <c r="C66" s="503"/>
      <c r="D66" s="503"/>
      <c r="E66" s="503"/>
      <c r="F66" s="503"/>
      <c r="G66" s="503"/>
      <c r="H66" s="503"/>
      <c r="I66" s="503"/>
      <c r="J66" s="503"/>
      <c r="K66" s="503"/>
      <c r="L66" s="503"/>
      <c r="M66" s="503"/>
      <c r="N66" s="503"/>
      <c r="O66" s="503"/>
      <c r="P66" s="503"/>
      <c r="Q66" s="503"/>
      <c r="R66" s="503"/>
      <c r="S66" s="503"/>
      <c r="T66" s="503"/>
      <c r="U66" s="503"/>
      <c r="V66" s="503"/>
      <c r="W66" s="503"/>
      <c r="X66" s="503"/>
      <c r="Y66" s="503"/>
      <c r="Z66" s="503"/>
      <c r="AA66" s="503"/>
      <c r="AB66" s="503"/>
      <c r="AC66" s="503"/>
      <c r="AD66" s="503"/>
      <c r="AE66" s="503"/>
      <c r="AF66" s="503"/>
      <c r="AG66" s="503"/>
      <c r="AH66" s="503"/>
      <c r="AI66" s="503"/>
      <c r="AJ66" s="503"/>
      <c r="AK66" s="503"/>
      <c r="AL66" s="503"/>
      <c r="AM66" s="503"/>
      <c r="AN66" s="174"/>
      <c r="AO66" s="112"/>
      <c r="AP66" s="112"/>
      <c r="AQ66" s="112"/>
      <c r="AR66" s="112"/>
      <c r="AS66" s="112"/>
      <c r="AT66" s="112"/>
      <c r="AU66" s="112"/>
      <c r="AV66" s="515"/>
    </row>
    <row r="67" spans="1:48" outlineLevel="1" x14ac:dyDescent="0.2">
      <c r="A67" s="501"/>
      <c r="B67" s="502"/>
      <c r="C67" s="503"/>
      <c r="D67" s="503"/>
      <c r="E67" s="503"/>
      <c r="F67" s="503"/>
      <c r="G67" s="503"/>
      <c r="H67" s="503"/>
      <c r="I67" s="503"/>
      <c r="J67" s="503"/>
      <c r="K67" s="503"/>
      <c r="L67" s="503"/>
      <c r="M67" s="503"/>
      <c r="N67" s="503"/>
      <c r="O67" s="503"/>
      <c r="P67" s="503"/>
      <c r="Q67" s="503"/>
      <c r="R67" s="503"/>
      <c r="S67" s="503"/>
      <c r="T67" s="503"/>
      <c r="U67" s="503"/>
      <c r="V67" s="503"/>
      <c r="W67" s="503"/>
      <c r="X67" s="503"/>
      <c r="Y67" s="503"/>
      <c r="Z67" s="503"/>
      <c r="AA67" s="503"/>
      <c r="AB67" s="503"/>
      <c r="AC67" s="503"/>
      <c r="AD67" s="503"/>
      <c r="AE67" s="503"/>
      <c r="AF67" s="503"/>
      <c r="AG67" s="503"/>
      <c r="AH67" s="503"/>
      <c r="AI67" s="503"/>
      <c r="AJ67" s="503"/>
      <c r="AK67" s="503"/>
      <c r="AL67" s="503"/>
      <c r="AM67" s="503"/>
      <c r="AN67" s="174"/>
      <c r="AO67" s="112"/>
      <c r="AP67" s="112"/>
      <c r="AQ67" s="112"/>
      <c r="AR67" s="112"/>
      <c r="AS67" s="112"/>
      <c r="AT67" s="112"/>
      <c r="AU67" s="112"/>
      <c r="AV67" s="515"/>
    </row>
    <row r="68" spans="1:48" outlineLevel="1" x14ac:dyDescent="0.2">
      <c r="A68" s="501"/>
      <c r="B68" s="502"/>
      <c r="C68" s="503"/>
      <c r="D68" s="503"/>
      <c r="E68" s="503"/>
      <c r="F68" s="503"/>
      <c r="G68" s="503"/>
      <c r="H68" s="503"/>
      <c r="I68" s="503"/>
      <c r="J68" s="503"/>
      <c r="K68" s="503"/>
      <c r="L68" s="503"/>
      <c r="M68" s="503"/>
      <c r="N68" s="503"/>
      <c r="O68" s="503"/>
      <c r="P68" s="503"/>
      <c r="Q68" s="503"/>
      <c r="R68" s="503"/>
      <c r="S68" s="503"/>
      <c r="T68" s="503"/>
      <c r="U68" s="503"/>
      <c r="V68" s="503"/>
      <c r="W68" s="503"/>
      <c r="X68" s="503"/>
      <c r="Y68" s="503"/>
      <c r="Z68" s="503"/>
      <c r="AA68" s="503"/>
      <c r="AB68" s="503"/>
      <c r="AC68" s="503"/>
      <c r="AD68" s="503"/>
      <c r="AE68" s="503"/>
      <c r="AF68" s="503"/>
      <c r="AG68" s="503"/>
      <c r="AH68" s="503"/>
      <c r="AI68" s="503"/>
      <c r="AJ68" s="503"/>
      <c r="AK68" s="503"/>
      <c r="AL68" s="503"/>
      <c r="AM68" s="503"/>
      <c r="AN68" s="174"/>
      <c r="AO68" s="112"/>
      <c r="AP68" s="112"/>
      <c r="AQ68" s="112"/>
      <c r="AR68" s="112"/>
      <c r="AS68" s="112"/>
      <c r="AT68" s="112"/>
      <c r="AU68" s="112"/>
      <c r="AV68" s="515"/>
    </row>
    <row r="69" spans="1:48" outlineLevel="1" x14ac:dyDescent="0.2">
      <c r="A69" s="501" t="s">
        <v>188</v>
      </c>
      <c r="B69" s="502"/>
      <c r="C69" s="503"/>
      <c r="D69" s="503"/>
      <c r="E69" s="503"/>
      <c r="F69" s="503">
        <v>0</v>
      </c>
      <c r="G69" s="503">
        <v>0</v>
      </c>
      <c r="H69" s="503">
        <f>H38</f>
        <v>0</v>
      </c>
      <c r="I69" s="503">
        <f t="shared" ref="I69:AE69" si="46">I38</f>
        <v>0</v>
      </c>
      <c r="J69" s="503">
        <v>0</v>
      </c>
      <c r="K69" s="503">
        <f t="shared" si="46"/>
        <v>82.518356999999995</v>
      </c>
      <c r="L69" s="503">
        <f t="shared" ca="1" si="46"/>
        <v>165.32505590000002</v>
      </c>
      <c r="M69" s="503">
        <f t="shared" ca="1" si="46"/>
        <v>73.439077514413839</v>
      </c>
      <c r="N69" s="503">
        <f t="shared" ca="1" si="46"/>
        <v>78.434336963484952</v>
      </c>
      <c r="O69" s="503">
        <f t="shared" ca="1" si="46"/>
        <v>89.60794362588085</v>
      </c>
      <c r="P69" s="503">
        <f t="shared" ca="1" si="46"/>
        <v>168.91864189622035</v>
      </c>
      <c r="Q69" s="503">
        <f t="shared" ca="1" si="46"/>
        <v>79.314203715566947</v>
      </c>
      <c r="R69" s="503">
        <f t="shared" ca="1" si="46"/>
        <v>84.709083920563756</v>
      </c>
      <c r="S69" s="503">
        <f t="shared" ca="1" si="46"/>
        <v>96.776579115951321</v>
      </c>
      <c r="T69" s="503">
        <f t="shared" ca="1" si="46"/>
        <v>182.43213324791799</v>
      </c>
      <c r="U69" s="503">
        <f t="shared" ca="1" si="46"/>
        <v>85.659340012812322</v>
      </c>
      <c r="V69" s="503">
        <f t="shared" ca="1" si="46"/>
        <v>91.48581063420886</v>
      </c>
      <c r="W69" s="503">
        <f t="shared" ca="1" si="46"/>
        <v>104.51870544522744</v>
      </c>
      <c r="X69" s="503">
        <f t="shared" ca="1" si="46"/>
        <v>197.02670390775148</v>
      </c>
      <c r="Y69" s="503">
        <f t="shared" ca="1" si="46"/>
        <v>92.512087213837319</v>
      </c>
      <c r="Z69" s="503">
        <f t="shared" ca="1" si="46"/>
        <v>98.804675484945591</v>
      </c>
      <c r="AA69" s="503">
        <f t="shared" ca="1" si="46"/>
        <v>112.88020188084566</v>
      </c>
      <c r="AB69" s="503">
        <f t="shared" ca="1" si="46"/>
        <v>212.78884022037161</v>
      </c>
      <c r="AC69" s="503">
        <f t="shared" ca="1" si="46"/>
        <v>99.913054190944308</v>
      </c>
      <c r="AD69" s="503">
        <f t="shared" ca="1" si="46"/>
        <v>106.70904952374123</v>
      </c>
      <c r="AE69" s="503">
        <f t="shared" ca="1" si="46"/>
        <v>121.91061803131332</v>
      </c>
      <c r="AF69" s="503"/>
      <c r="AG69" s="503">
        <f t="shared" ref="AG69:AM69" si="47">AG38</f>
        <v>0</v>
      </c>
      <c r="AH69" s="503">
        <f t="shared" si="47"/>
        <v>82.518356999999995</v>
      </c>
      <c r="AI69" s="503">
        <f t="shared" ca="1" si="47"/>
        <v>406.80641400377971</v>
      </c>
      <c r="AJ69" s="503">
        <f t="shared" ca="1" si="47"/>
        <v>429.71850864830242</v>
      </c>
      <c r="AK69" s="503">
        <f t="shared" ca="1" si="47"/>
        <v>464.09598934016662</v>
      </c>
      <c r="AL69" s="503">
        <f t="shared" ca="1" si="47"/>
        <v>501.22366848738011</v>
      </c>
      <c r="AM69" s="503">
        <f t="shared" ca="1" si="47"/>
        <v>541.3215619663705</v>
      </c>
      <c r="AN69" s="174"/>
      <c r="AO69" s="112">
        <f t="shared" si="44"/>
        <v>0</v>
      </c>
      <c r="AP69" s="112">
        <f t="shared" si="44"/>
        <v>0</v>
      </c>
      <c r="AQ69" s="112">
        <f t="shared" ca="1" si="45"/>
        <v>2.1715357105263158E-3</v>
      </c>
      <c r="AR69" s="112">
        <f t="shared" ca="1" si="45"/>
        <v>9.9124369883961914E-3</v>
      </c>
      <c r="AS69" s="112">
        <f t="shared" ca="1" si="45"/>
        <v>9.6951147175362434E-3</v>
      </c>
      <c r="AT69" s="112">
        <f t="shared" ca="1" si="45"/>
        <v>9.6951147175362417E-3</v>
      </c>
      <c r="AU69" s="112">
        <f t="shared" ca="1" si="45"/>
        <v>9.6951147175362434E-3</v>
      </c>
      <c r="AV69" s="515">
        <f t="shared" ca="1" si="45"/>
        <v>9.6951147175362417E-3</v>
      </c>
    </row>
    <row r="70" spans="1:48" outlineLevel="1" x14ac:dyDescent="0.2">
      <c r="A70" s="501" t="s">
        <v>350</v>
      </c>
      <c r="B70" s="502"/>
      <c r="C70" s="516"/>
      <c r="D70" s="516"/>
      <c r="E70" s="516"/>
      <c r="F70" s="516">
        <v>0</v>
      </c>
      <c r="G70" s="516">
        <v>0</v>
      </c>
      <c r="H70" s="516"/>
      <c r="I70" s="516"/>
      <c r="J70" s="516"/>
      <c r="K70" s="516"/>
      <c r="L70" s="516"/>
      <c r="M70" s="516"/>
      <c r="N70" s="516"/>
      <c r="O70" s="516"/>
      <c r="P70" s="516"/>
      <c r="Q70" s="516"/>
      <c r="R70" s="516"/>
      <c r="S70" s="516"/>
      <c r="T70" s="516"/>
      <c r="U70" s="516"/>
      <c r="V70" s="516"/>
      <c r="W70" s="516"/>
      <c r="X70" s="516"/>
      <c r="Y70" s="516"/>
      <c r="Z70" s="516"/>
      <c r="AA70" s="516"/>
      <c r="AB70" s="516"/>
      <c r="AC70" s="516"/>
      <c r="AD70" s="516"/>
      <c r="AE70" s="516"/>
      <c r="AF70" s="516"/>
      <c r="AG70" s="516">
        <f>G70</f>
        <v>0</v>
      </c>
      <c r="AH70" s="516"/>
      <c r="AI70" s="516"/>
      <c r="AJ70" s="516"/>
      <c r="AK70" s="516"/>
      <c r="AL70" s="516"/>
      <c r="AM70" s="516"/>
      <c r="AN70" s="174"/>
      <c r="AO70" s="517">
        <f t="shared" si="44"/>
        <v>0</v>
      </c>
      <c r="AP70" s="517">
        <f t="shared" si="44"/>
        <v>0</v>
      </c>
      <c r="AQ70" s="517">
        <f t="shared" ca="1" si="45"/>
        <v>0</v>
      </c>
      <c r="AR70" s="517">
        <f t="shared" ca="1" si="45"/>
        <v>0</v>
      </c>
      <c r="AS70" s="517">
        <f t="shared" ca="1" si="45"/>
        <v>0</v>
      </c>
      <c r="AT70" s="517">
        <f t="shared" ca="1" si="45"/>
        <v>0</v>
      </c>
      <c r="AU70" s="517">
        <f t="shared" ca="1" si="45"/>
        <v>0</v>
      </c>
      <c r="AV70" s="518">
        <f t="shared" ca="1" si="45"/>
        <v>0</v>
      </c>
    </row>
    <row r="71" spans="1:48" ht="13.5" outlineLevel="1" thickBot="1" x14ac:dyDescent="0.25">
      <c r="A71" s="417" t="s">
        <v>70</v>
      </c>
      <c r="B71" s="498"/>
      <c r="C71" s="519">
        <f>SUM(C57:C70)</f>
        <v>1486.551999999999</v>
      </c>
      <c r="D71" s="519">
        <f>SUM(D57:D70)</f>
        <v>1654.907999999999</v>
      </c>
      <c r="E71" s="519">
        <f>SUM(E57:E70)</f>
        <v>2690.7669999999998</v>
      </c>
      <c r="F71" s="519">
        <f>SUM(F57:F70)</f>
        <v>3194.206000000001</v>
      </c>
      <c r="G71" s="519">
        <f>SUM(G57:G70)</f>
        <v>5239.1015200000002</v>
      </c>
      <c r="H71" s="519">
        <f t="shared" ref="H71:AE71" ca="1" si="48">SUM(H57:H69)</f>
        <v>870.53617999999972</v>
      </c>
      <c r="I71" s="519">
        <f t="shared" ca="1" si="48"/>
        <v>983.43558999999868</v>
      </c>
      <c r="J71" s="519">
        <f t="shared" ca="1" si="48"/>
        <v>1369.4489588135614</v>
      </c>
      <c r="K71" s="519">
        <f t="shared" ca="1" si="48"/>
        <v>2837.1512298000016</v>
      </c>
      <c r="L71" s="519">
        <f t="shared" ca="1" si="48"/>
        <v>955.55673218489915</v>
      </c>
      <c r="M71" s="519">
        <f t="shared" ca="1" si="48"/>
        <v>1062.9548103399279</v>
      </c>
      <c r="N71" s="519">
        <f t="shared" ca="1" si="48"/>
        <v>1303.1873535814402</v>
      </c>
      <c r="O71" s="519">
        <f t="shared" ca="1" si="48"/>
        <v>3008.3673663937398</v>
      </c>
      <c r="P71" s="519">
        <f t="shared" ca="1" si="48"/>
        <v>1090.3598756487227</v>
      </c>
      <c r="Q71" s="519">
        <f t="shared" ca="1" si="48"/>
        <v>1209.0472401586535</v>
      </c>
      <c r="R71" s="519">
        <f t="shared" ca="1" si="48"/>
        <v>1474.5321344571785</v>
      </c>
      <c r="S71" s="519">
        <f t="shared" ca="1" si="48"/>
        <v>3358.9543253604443</v>
      </c>
      <c r="T71" s="519">
        <f t="shared" ca="1" si="48"/>
        <v>1240.0549138898398</v>
      </c>
      <c r="U71" s="519">
        <f t="shared" ca="1" si="48"/>
        <v>1371.1505028712622</v>
      </c>
      <c r="V71" s="519">
        <f t="shared" ca="1" si="48"/>
        <v>1664.3906361191803</v>
      </c>
      <c r="W71" s="519">
        <f t="shared" ca="1" si="48"/>
        <v>3745.8206015259711</v>
      </c>
      <c r="X71" s="519">
        <f t="shared" ca="1" si="48"/>
        <v>1359.8777140929806</v>
      </c>
      <c r="Y71" s="519">
        <f t="shared" ca="1" si="48"/>
        <v>1501.4609501929172</v>
      </c>
      <c r="Z71" s="519">
        <f t="shared" ca="1" si="48"/>
        <v>1818.1602941006677</v>
      </c>
      <c r="AA71" s="519">
        <f t="shared" ca="1" si="48"/>
        <v>4066.1046567400008</v>
      </c>
      <c r="AB71" s="519">
        <f t="shared" ca="1" si="48"/>
        <v>1490.3172586669714</v>
      </c>
      <c r="AC71" s="519">
        <f t="shared" ca="1" si="48"/>
        <v>1643.227153654901</v>
      </c>
      <c r="AD71" s="519">
        <f t="shared" ca="1" si="48"/>
        <v>1985.2624450752728</v>
      </c>
      <c r="AE71" s="519">
        <f t="shared" ca="1" si="48"/>
        <v>4413.0423567257549</v>
      </c>
      <c r="AF71" s="519"/>
      <c r="AG71" s="519">
        <f>SUM(AG57:AG69)</f>
        <v>5239.1015200000002</v>
      </c>
      <c r="AH71" s="519">
        <f t="shared" ref="AH71:AM71" ca="1" si="49">SUM(AH57:AH69)</f>
        <v>6060.5719586135619</v>
      </c>
      <c r="AI71" s="519">
        <f t="shared" ca="1" si="49"/>
        <v>6330.0662625000077</v>
      </c>
      <c r="AJ71" s="519">
        <f t="shared" ca="1" si="49"/>
        <v>7132.8935756249994</v>
      </c>
      <c r="AK71" s="519">
        <f t="shared" ca="1" si="49"/>
        <v>8021.4166544062537</v>
      </c>
      <c r="AL71" s="519">
        <f t="shared" ca="1" si="49"/>
        <v>8745.6036151265671</v>
      </c>
      <c r="AM71" s="519">
        <f t="shared" ca="1" si="49"/>
        <v>9531.8492141228999</v>
      </c>
      <c r="AN71" s="174"/>
      <c r="AO71" s="496">
        <f t="shared" si="44"/>
        <v>0.12381117540470159</v>
      </c>
      <c r="AP71" s="496">
        <f t="shared" si="44"/>
        <v>0.14871375371191733</v>
      </c>
      <c r="AQ71" s="496">
        <f t="shared" ca="1" si="45"/>
        <v>0.15948873575298847</v>
      </c>
      <c r="AR71" s="496">
        <f t="shared" ca="1" si="45"/>
        <v>0.15424138066520487</v>
      </c>
      <c r="AS71" s="496">
        <f t="shared" ca="1" si="45"/>
        <v>0.16092912009117122</v>
      </c>
      <c r="AT71" s="496">
        <f t="shared" ca="1" si="45"/>
        <v>0.1675699778664165</v>
      </c>
      <c r="AU71" s="496">
        <f t="shared" ca="1" si="45"/>
        <v>0.16916525625901602</v>
      </c>
      <c r="AV71" s="497">
        <f t="shared" ca="1" si="45"/>
        <v>0.17071622136293232</v>
      </c>
    </row>
    <row r="72" spans="1:48" ht="6" customHeight="1" thickTop="1" x14ac:dyDescent="0.2">
      <c r="A72" s="501"/>
      <c r="B72" s="502"/>
      <c r="C72" s="499"/>
      <c r="D72" s="499"/>
      <c r="E72" s="499"/>
      <c r="F72" s="499"/>
      <c r="G72" s="499"/>
      <c r="H72" s="499"/>
      <c r="I72" s="499"/>
      <c r="J72" s="499"/>
      <c r="K72" s="499"/>
      <c r="L72" s="499"/>
      <c r="M72" s="499"/>
      <c r="N72" s="499"/>
      <c r="O72" s="499"/>
      <c r="P72" s="499"/>
      <c r="Q72" s="499"/>
      <c r="R72" s="499"/>
      <c r="S72" s="499"/>
      <c r="T72" s="499"/>
      <c r="U72" s="499"/>
      <c r="V72" s="499"/>
      <c r="W72" s="499"/>
      <c r="X72" s="499"/>
      <c r="Y72" s="499"/>
      <c r="Z72" s="499"/>
      <c r="AA72" s="499"/>
      <c r="AB72" s="499"/>
      <c r="AC72" s="499"/>
      <c r="AD72" s="499"/>
      <c r="AE72" s="499"/>
      <c r="AF72" s="499"/>
      <c r="AG72" s="499"/>
      <c r="AH72" s="499"/>
      <c r="AI72" s="499"/>
      <c r="AJ72" s="499"/>
      <c r="AK72" s="499"/>
      <c r="AL72" s="499"/>
      <c r="AM72" s="499"/>
      <c r="AN72" s="174"/>
      <c r="AO72" s="499"/>
      <c r="AP72" s="499"/>
      <c r="AQ72" s="499"/>
      <c r="AR72" s="499"/>
      <c r="AS72" s="499"/>
      <c r="AT72" s="499"/>
      <c r="AU72" s="499"/>
      <c r="AV72" s="514"/>
    </row>
    <row r="73" spans="1:48" ht="6" customHeight="1" x14ac:dyDescent="0.2">
      <c r="A73" s="417"/>
      <c r="B73" s="498"/>
      <c r="C73" s="499"/>
      <c r="D73" s="499"/>
      <c r="E73" s="499"/>
      <c r="F73" s="499"/>
      <c r="G73" s="499"/>
      <c r="H73" s="499"/>
      <c r="I73" s="499"/>
      <c r="J73" s="499"/>
      <c r="K73" s="499"/>
      <c r="L73" s="499"/>
      <c r="M73" s="499"/>
      <c r="N73" s="499"/>
      <c r="O73" s="499"/>
      <c r="P73" s="499"/>
      <c r="Q73" s="499"/>
      <c r="R73" s="499"/>
      <c r="S73" s="499"/>
      <c r="T73" s="499"/>
      <c r="U73" s="499"/>
      <c r="V73" s="499"/>
      <c r="W73" s="499"/>
      <c r="X73" s="499"/>
      <c r="Y73" s="499"/>
      <c r="Z73" s="499"/>
      <c r="AA73" s="499"/>
      <c r="AB73" s="499"/>
      <c r="AC73" s="499"/>
      <c r="AD73" s="499"/>
      <c r="AE73" s="499"/>
      <c r="AF73" s="499"/>
      <c r="AG73" s="499"/>
      <c r="AH73" s="499"/>
      <c r="AI73" s="499"/>
      <c r="AJ73" s="499"/>
      <c r="AK73" s="499"/>
      <c r="AL73" s="499"/>
      <c r="AM73" s="499"/>
      <c r="AN73" s="174"/>
      <c r="AO73" s="499"/>
      <c r="AP73" s="499"/>
      <c r="AQ73" s="499"/>
      <c r="AR73" s="499"/>
      <c r="AS73" s="499"/>
      <c r="AT73" s="499"/>
      <c r="AU73" s="499"/>
      <c r="AV73" s="514"/>
    </row>
    <row r="74" spans="1:48" ht="13.5" thickBot="1" x14ac:dyDescent="0.25">
      <c r="A74" s="520" t="s">
        <v>115</v>
      </c>
      <c r="B74" s="521"/>
      <c r="C74" s="522">
        <f>IFERROR(C57/C19*100,0)</f>
        <v>8.0864825722133222</v>
      </c>
      <c r="D74" s="522">
        <f>IFERROR(D57/D19*100,0)</f>
        <v>8.1451806839319936</v>
      </c>
      <c r="E74" s="522">
        <f>IFERROR(E57/E19*100,0)</f>
        <v>12.878123634183289</v>
      </c>
      <c r="F74" s="522">
        <f>IFERROR(F57/F19*100,0)</f>
        <v>12.381117540470159</v>
      </c>
      <c r="G74" s="522">
        <f>IFERROR(G57/G19*100,0)</f>
        <v>14.871375371191734</v>
      </c>
      <c r="H74" s="522">
        <f t="shared" ref="H74:AM74" ca="1" si="50">IFERROR(H57/H19*100,0)</f>
        <v>13.170317510011087</v>
      </c>
      <c r="I74" s="522">
        <f t="shared" ca="1" si="50"/>
        <v>14.887401584216207</v>
      </c>
      <c r="J74" s="522">
        <f t="shared" ca="1" si="50"/>
        <v>16.595688627362776</v>
      </c>
      <c r="K74" s="522">
        <f t="shared" ca="1" si="50"/>
        <v>16.661920105239179</v>
      </c>
      <c r="L74" s="522">
        <f t="shared" ca="1" si="50"/>
        <v>10.760370405385347</v>
      </c>
      <c r="M74" s="522">
        <f t="shared" ca="1" si="50"/>
        <v>12.615848761317158</v>
      </c>
      <c r="N74" s="522">
        <f t="shared" ca="1" si="50"/>
        <v>13.667906739734828</v>
      </c>
      <c r="O74" s="522">
        <f t="shared" ca="1" si="50"/>
        <v>17.27908412004091</v>
      </c>
      <c r="P74" s="522">
        <f t="shared" ca="1" si="50"/>
        <v>11.617606816768076</v>
      </c>
      <c r="Q74" s="522">
        <f t="shared" ca="1" si="50"/>
        <v>13.336622049914951</v>
      </c>
      <c r="R74" s="522">
        <f t="shared" ca="1" si="50"/>
        <v>14.361150840756837</v>
      </c>
      <c r="S74" s="522">
        <f t="shared" ca="1" si="50"/>
        <v>17.881596230699795</v>
      </c>
      <c r="T74" s="522">
        <f t="shared" ca="1" si="50"/>
        <v>12.346847179580534</v>
      </c>
      <c r="U74" s="522">
        <f t="shared" ca="1" si="50"/>
        <v>14.051262747162804</v>
      </c>
      <c r="V74" s="522">
        <f t="shared" ca="1" si="50"/>
        <v>15.049027050083824</v>
      </c>
      <c r="W74" s="522">
        <f t="shared" ca="1" si="50"/>
        <v>18.481260782729294</v>
      </c>
      <c r="X74" s="522">
        <f t="shared" ca="1" si="50"/>
        <v>12.569719754537093</v>
      </c>
      <c r="Y74" s="522">
        <f t="shared" ca="1" si="50"/>
        <v>14.259941202820459</v>
      </c>
      <c r="Z74" s="522">
        <f t="shared" ca="1" si="50"/>
        <v>15.231684475818385</v>
      </c>
      <c r="AA74" s="522">
        <f t="shared" ca="1" si="50"/>
        <v>18.578156874980177</v>
      </c>
      <c r="AB74" s="522">
        <f t="shared" ca="1" si="50"/>
        <v>12.786401424633754</v>
      </c>
      <c r="AC74" s="522">
        <f t="shared" ca="1" si="50"/>
        <v>14.46282303470983</v>
      </c>
      <c r="AD74" s="522">
        <f t="shared" ca="1" si="50"/>
        <v>15.40926808417144</v>
      </c>
      <c r="AE74" s="522">
        <f t="shared" ca="1" si="50"/>
        <v>18.672361409113002</v>
      </c>
      <c r="AF74" s="522">
        <f t="shared" si="50"/>
        <v>0</v>
      </c>
      <c r="AG74" s="522">
        <f t="shared" si="50"/>
        <v>14.871375371191734</v>
      </c>
      <c r="AH74" s="522">
        <f t="shared" ca="1" si="50"/>
        <v>15.731720004246217</v>
      </c>
      <c r="AI74" s="522">
        <f t="shared" ca="1" si="50"/>
        <v>14.432894367680868</v>
      </c>
      <c r="AJ74" s="522">
        <f t="shared" ca="1" si="50"/>
        <v>15.123400537363496</v>
      </c>
      <c r="AK74" s="522">
        <f t="shared" ca="1" si="50"/>
        <v>15.787486314888024</v>
      </c>
      <c r="AL74" s="522">
        <f t="shared" ca="1" si="50"/>
        <v>15.947014154147979</v>
      </c>
      <c r="AM74" s="522">
        <f t="shared" ca="1" si="50"/>
        <v>16.102110664539609</v>
      </c>
      <c r="AN74" s="523"/>
      <c r="AO74" s="524">
        <v>7.4240999202279362E-2</v>
      </c>
      <c r="AP74" s="524">
        <v>8.021628864488782E-2</v>
      </c>
      <c r="AQ74" s="524">
        <v>0.10384853127780488</v>
      </c>
      <c r="AR74" s="524">
        <v>0.12756235172969194</v>
      </c>
      <c r="AS74" s="524">
        <v>0.13006235172969188</v>
      </c>
      <c r="AT74" s="524">
        <v>0.13506235172969203</v>
      </c>
      <c r="AU74" s="524">
        <v>0.15006235172969196</v>
      </c>
      <c r="AV74" s="525">
        <v>0.15256235172969193</v>
      </c>
    </row>
    <row r="75" spans="1:48" x14ac:dyDescent="0.2">
      <c r="A75" s="526"/>
      <c r="B75" s="502"/>
      <c r="C75" s="502"/>
      <c r="D75" s="503"/>
      <c r="E75" s="503"/>
      <c r="F75" s="503"/>
      <c r="G75" s="503"/>
      <c r="H75" s="502"/>
      <c r="I75" s="502"/>
      <c r="J75" s="502"/>
      <c r="K75" s="502"/>
      <c r="L75" s="502"/>
      <c r="M75" s="502"/>
      <c r="N75" s="502"/>
      <c r="O75" s="502"/>
      <c r="P75" s="502"/>
      <c r="Q75" s="502"/>
      <c r="R75" s="502"/>
      <c r="S75" s="502"/>
      <c r="T75" s="502"/>
      <c r="U75" s="502"/>
      <c r="V75" s="502"/>
      <c r="W75" s="502"/>
      <c r="X75" s="502"/>
      <c r="Y75" s="502"/>
      <c r="Z75" s="502"/>
      <c r="AA75" s="502"/>
      <c r="AB75" s="502"/>
      <c r="AC75" s="502"/>
      <c r="AD75" s="502"/>
      <c r="AE75" s="502"/>
      <c r="AG75" s="502"/>
      <c r="AH75" s="502"/>
      <c r="AI75" s="502"/>
      <c r="AJ75" s="502"/>
      <c r="AK75" s="502"/>
      <c r="AM75" s="174"/>
      <c r="AO75" s="503"/>
      <c r="AP75" s="503"/>
      <c r="AQ75" s="502"/>
      <c r="AR75" s="502"/>
      <c r="AS75" s="502"/>
      <c r="AT75" s="502"/>
      <c r="AV75" s="174"/>
    </row>
    <row r="76" spans="1:48" x14ac:dyDescent="0.2">
      <c r="AI76" s="527"/>
    </row>
    <row r="77" spans="1:48" x14ac:dyDescent="0.2">
      <c r="F77" s="229">
        <f>F71-SUM('CL - Aug15 LTM QE'!W9,'CL - Aug15 LTM QE'!W25)</f>
        <v>-192.79399999999896</v>
      </c>
    </row>
    <row r="78" spans="1:48" x14ac:dyDescent="0.2">
      <c r="G78" s="528"/>
    </row>
  </sheetData>
  <pageMargins left="0.25" right="0.25" top="0.75" bottom="0.75" header="0.3" footer="0.3"/>
  <pageSetup paperSize="5" scale="30" orientation="landscape" r:id="rId1"/>
  <colBreaks count="1" manualBreakCount="1">
    <brk id="15" max="62" man="1"/>
  </colBreaks>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447"/>
  <sheetViews>
    <sheetView showGridLines="0" zoomScale="90" zoomScaleNormal="90" workbookViewId="0">
      <selection activeCell="G141" sqref="G141"/>
    </sheetView>
  </sheetViews>
  <sheetFormatPr defaultColWidth="9.140625" defaultRowHeight="12" customHeight="1" x14ac:dyDescent="0.2"/>
  <cols>
    <col min="1" max="1" width="40.42578125" style="873" customWidth="1"/>
    <col min="2" max="4" width="10.7109375" style="873" customWidth="1"/>
    <col min="5" max="5" width="10.5703125" style="873" customWidth="1"/>
    <col min="6" max="16384" width="9.140625" style="873"/>
  </cols>
  <sheetData>
    <row r="1" spans="1:18" ht="12" customHeight="1" x14ac:dyDescent="0.2">
      <c r="A1" s="869"/>
      <c r="B1" s="869"/>
      <c r="C1" s="869"/>
      <c r="D1" s="869"/>
      <c r="E1" s="869"/>
      <c r="F1" s="870"/>
      <c r="G1" s="870"/>
      <c r="H1" s="870"/>
      <c r="I1" s="870"/>
      <c r="J1" s="870"/>
      <c r="K1" s="870"/>
      <c r="L1" s="870"/>
      <c r="M1" s="871"/>
      <c r="N1" s="870"/>
      <c r="O1" s="870"/>
      <c r="P1" s="870"/>
      <c r="Q1" s="870"/>
      <c r="R1" s="872"/>
    </row>
    <row r="2" spans="1:18" ht="12" customHeight="1" x14ac:dyDescent="0.2">
      <c r="A2" s="869"/>
      <c r="B2" s="869"/>
      <c r="C2" s="869"/>
      <c r="D2" s="869"/>
      <c r="E2" s="869"/>
      <c r="F2" s="870"/>
      <c r="G2" s="870"/>
      <c r="H2" s="870"/>
      <c r="I2" s="870"/>
      <c r="J2" s="870"/>
      <c r="K2" s="870"/>
      <c r="L2" s="870"/>
      <c r="M2" s="871"/>
      <c r="N2" s="870"/>
      <c r="O2" s="870"/>
      <c r="P2" s="870"/>
      <c r="Q2" s="870"/>
      <c r="R2" s="870"/>
    </row>
    <row r="3" spans="1:18" ht="12" customHeight="1" x14ac:dyDescent="0.2">
      <c r="A3" s="869"/>
    </row>
    <row r="5" spans="1:18" ht="12" customHeight="1" x14ac:dyDescent="0.2">
      <c r="A5" s="850" t="s">
        <v>645</v>
      </c>
      <c r="B5" s="851"/>
      <c r="C5" s="851"/>
      <c r="D5" s="851"/>
      <c r="F5" s="873" t="s">
        <v>646</v>
      </c>
    </row>
    <row r="6" spans="1:18" ht="12" customHeight="1" x14ac:dyDescent="0.2">
      <c r="A6" s="850" t="s">
        <v>620</v>
      </c>
      <c r="B6" s="874">
        <v>42247</v>
      </c>
      <c r="C6" s="874">
        <v>42004</v>
      </c>
      <c r="D6" s="874">
        <v>41639</v>
      </c>
    </row>
    <row r="7" spans="1:18" ht="12" customHeight="1" x14ac:dyDescent="0.2">
      <c r="A7" s="875"/>
      <c r="B7" s="875"/>
      <c r="C7" s="875"/>
      <c r="D7" s="875"/>
      <c r="F7" s="876"/>
      <c r="G7" s="876"/>
      <c r="H7" s="876"/>
      <c r="I7" s="876"/>
      <c r="J7" s="876"/>
      <c r="K7" s="876"/>
      <c r="L7" s="876"/>
      <c r="M7" s="876"/>
    </row>
    <row r="8" spans="1:18" ht="12" customHeight="1" x14ac:dyDescent="0.2">
      <c r="A8" s="877" t="s">
        <v>121</v>
      </c>
      <c r="B8" s="875"/>
      <c r="C8" s="875"/>
      <c r="D8" s="875"/>
      <c r="F8" s="876"/>
      <c r="G8" s="876"/>
      <c r="H8" s="876"/>
      <c r="I8" s="876"/>
      <c r="J8" s="876"/>
      <c r="K8" s="876"/>
      <c r="L8" s="876"/>
      <c r="M8" s="876"/>
    </row>
    <row r="9" spans="1:18" ht="12" customHeight="1" x14ac:dyDescent="0.2">
      <c r="A9" s="878" t="s">
        <v>647</v>
      </c>
      <c r="B9" s="879">
        <f>'CL - Monthly Financials'!AM82</f>
        <v>47</v>
      </c>
      <c r="C9" s="879">
        <f>'CL - Monthly Financials'!AL82</f>
        <v>168</v>
      </c>
      <c r="D9" s="879">
        <f>'CL - Monthly Financials'!AK82</f>
        <v>54</v>
      </c>
      <c r="F9" s="876"/>
      <c r="G9" s="876"/>
      <c r="H9" s="876"/>
      <c r="I9" s="876"/>
      <c r="J9" s="876"/>
      <c r="K9" s="876"/>
      <c r="L9" s="876"/>
      <c r="M9" s="876"/>
    </row>
    <row r="10" spans="1:18" ht="12" customHeight="1" x14ac:dyDescent="0.2">
      <c r="A10" s="878" t="s">
        <v>648</v>
      </c>
      <c r="B10" s="880">
        <f>'CL - Monthly Financials'!AM83</f>
        <v>3518</v>
      </c>
      <c r="C10" s="880">
        <f>'CL - Monthly Financials'!AL83</f>
        <v>6415</v>
      </c>
      <c r="D10" s="880">
        <f>'CL - Monthly Financials'!AK83</f>
        <v>4144</v>
      </c>
      <c r="F10" s="876"/>
      <c r="G10" s="876"/>
      <c r="H10" s="876"/>
      <c r="I10" s="876"/>
      <c r="J10" s="876"/>
      <c r="K10" s="876"/>
      <c r="L10" s="876"/>
      <c r="M10" s="876"/>
    </row>
    <row r="11" spans="1:18" ht="12" customHeight="1" x14ac:dyDescent="0.2">
      <c r="A11" s="878" t="s">
        <v>410</v>
      </c>
      <c r="B11" s="881">
        <f>'CL - Monthly Financials'!AM84</f>
        <v>583</v>
      </c>
      <c r="C11" s="881">
        <f>'CL - Monthly Financials'!AL84</f>
        <v>374</v>
      </c>
      <c r="D11" s="881">
        <f>'CL - Monthly Financials'!AK84</f>
        <v>307</v>
      </c>
      <c r="F11" s="876"/>
      <c r="G11" s="876"/>
      <c r="H11" s="876"/>
      <c r="I11" s="876"/>
      <c r="J11" s="876"/>
      <c r="K11" s="876"/>
      <c r="L11" s="876"/>
      <c r="M11" s="876"/>
    </row>
    <row r="12" spans="1:18" ht="12" customHeight="1" x14ac:dyDescent="0.2">
      <c r="A12" s="878" t="s">
        <v>649</v>
      </c>
      <c r="B12" s="881">
        <f>SUM('CL - Monthly Financials'!AM86:AM90)</f>
        <v>8998</v>
      </c>
      <c r="C12" s="881">
        <f>SUM('CL - Monthly Financials'!AL86:AL90)</f>
        <v>9752</v>
      </c>
      <c r="D12" s="881">
        <f>SUM('CL - Monthly Financials'!AK86:AK90)</f>
        <v>6790</v>
      </c>
      <c r="F12" s="876"/>
      <c r="G12" s="876"/>
      <c r="H12" s="876"/>
      <c r="I12" s="876"/>
      <c r="J12" s="876"/>
      <c r="K12" s="876"/>
      <c r="L12" s="876"/>
      <c r="M12" s="876"/>
    </row>
    <row r="13" spans="1:18" ht="12" customHeight="1" x14ac:dyDescent="0.2">
      <c r="A13" s="882" t="s">
        <v>650</v>
      </c>
      <c r="B13" s="881">
        <f>'CL - Monthly Financials'!AM91</f>
        <v>969</v>
      </c>
      <c r="C13" s="881">
        <f>'CL - Monthly Financials'!AL91</f>
        <v>560</v>
      </c>
      <c r="D13" s="881">
        <f>'CL - Monthly Financials'!AK91</f>
        <v>392</v>
      </c>
      <c r="F13" s="876"/>
      <c r="G13" s="876"/>
      <c r="H13" s="876"/>
      <c r="I13" s="876"/>
      <c r="J13" s="876"/>
      <c r="K13" s="876"/>
      <c r="L13" s="876"/>
      <c r="M13" s="876"/>
    </row>
    <row r="14" spans="1:18" ht="12" customHeight="1" x14ac:dyDescent="0.2">
      <c r="A14" s="883" t="s">
        <v>585</v>
      </c>
      <c r="B14" s="884">
        <f>SUM(B9:B13)</f>
        <v>14115</v>
      </c>
      <c r="C14" s="884">
        <f t="shared" ref="C14:D14" si="0">SUM(C9:C13)</f>
        <v>17269</v>
      </c>
      <c r="D14" s="884">
        <f t="shared" si="0"/>
        <v>11687</v>
      </c>
      <c r="F14" s="876"/>
      <c r="G14" s="876"/>
      <c r="H14" s="876"/>
      <c r="I14" s="876"/>
      <c r="J14" s="876"/>
      <c r="K14" s="876"/>
      <c r="L14" s="876"/>
      <c r="M14" s="876"/>
    </row>
    <row r="15" spans="1:18" ht="12" customHeight="1" x14ac:dyDescent="0.2">
      <c r="A15" s="885"/>
      <c r="B15" s="886"/>
      <c r="C15" s="887"/>
      <c r="D15" s="887"/>
      <c r="F15" s="876"/>
      <c r="G15" s="876"/>
      <c r="H15" s="876"/>
      <c r="I15" s="876"/>
      <c r="J15" s="876"/>
      <c r="K15" s="876"/>
      <c r="L15" s="876"/>
      <c r="M15" s="876"/>
    </row>
    <row r="16" spans="1:18" ht="12" customHeight="1" x14ac:dyDescent="0.2">
      <c r="A16" s="877" t="s">
        <v>651</v>
      </c>
      <c r="B16" s="875"/>
      <c r="C16" s="875"/>
      <c r="D16" s="875"/>
      <c r="F16" s="876"/>
      <c r="G16" s="876"/>
      <c r="H16" s="876"/>
      <c r="I16" s="876"/>
      <c r="J16" s="876"/>
      <c r="K16" s="876"/>
      <c r="L16" s="876"/>
      <c r="M16" s="876"/>
    </row>
    <row r="17" spans="1:13" ht="12" customHeight="1" x14ac:dyDescent="0.2">
      <c r="A17" s="888" t="s">
        <v>652</v>
      </c>
      <c r="B17" s="880">
        <f>SUM('CL - Monthly Financials'!AM94:AM95)</f>
        <v>9130</v>
      </c>
      <c r="C17" s="880">
        <f>SUM('CL - Monthly Financials'!AL94:AL95)</f>
        <v>7963</v>
      </c>
      <c r="D17" s="880">
        <f>SUM('CL - Monthly Financials'!AK94:AK95)</f>
        <v>5221</v>
      </c>
      <c r="F17" s="876"/>
      <c r="G17" s="876"/>
      <c r="H17" s="876"/>
      <c r="I17" s="876"/>
      <c r="J17" s="876"/>
      <c r="K17" s="876"/>
      <c r="L17" s="876"/>
      <c r="M17" s="876"/>
    </row>
    <row r="18" spans="1:13" ht="12" hidden="1" customHeight="1" x14ac:dyDescent="0.2">
      <c r="A18" s="888" t="s">
        <v>653</v>
      </c>
      <c r="B18" s="880"/>
      <c r="C18" s="880"/>
      <c r="D18" s="880"/>
      <c r="F18" s="876"/>
      <c r="G18" s="876"/>
      <c r="H18" s="876"/>
      <c r="I18" s="876"/>
      <c r="J18" s="876"/>
      <c r="K18" s="876"/>
      <c r="L18" s="876"/>
      <c r="M18" s="876"/>
    </row>
    <row r="19" spans="1:13" ht="12" customHeight="1" x14ac:dyDescent="0.2">
      <c r="A19" s="888" t="s">
        <v>654</v>
      </c>
      <c r="B19" s="880">
        <f>'CL - Monthly Financials'!AM96</f>
        <v>206</v>
      </c>
      <c r="C19" s="880">
        <f>'CL - Monthly Financials'!AL96</f>
        <v>174</v>
      </c>
      <c r="D19" s="880">
        <f>'CL - Monthly Financials'!AK96</f>
        <v>47</v>
      </c>
      <c r="F19" s="876"/>
      <c r="G19" s="876"/>
      <c r="H19" s="876"/>
      <c r="I19" s="876"/>
      <c r="J19" s="876"/>
      <c r="K19" s="876"/>
      <c r="L19" s="876"/>
      <c r="M19" s="876"/>
    </row>
    <row r="20" spans="1:13" ht="12" customHeight="1" x14ac:dyDescent="0.2">
      <c r="A20" s="885"/>
      <c r="B20" s="886"/>
      <c r="C20" s="887"/>
      <c r="D20" s="887"/>
      <c r="F20" s="876"/>
      <c r="G20" s="876"/>
      <c r="H20" s="876"/>
      <c r="I20" s="876"/>
      <c r="J20" s="876"/>
      <c r="K20" s="876"/>
      <c r="L20" s="876"/>
      <c r="M20" s="876"/>
    </row>
    <row r="21" spans="1:13" ht="12" customHeight="1" thickBot="1" x14ac:dyDescent="0.25">
      <c r="A21" s="889" t="s">
        <v>1</v>
      </c>
      <c r="B21" s="890">
        <f>SUM(B14:B20)</f>
        <v>23451</v>
      </c>
      <c r="C21" s="891">
        <f>SUM(C14:C20)</f>
        <v>25406</v>
      </c>
      <c r="D21" s="891">
        <f>SUM(D14:D20)</f>
        <v>16955</v>
      </c>
      <c r="F21" s="876"/>
      <c r="G21" s="876"/>
      <c r="H21" s="876"/>
      <c r="I21" s="876"/>
      <c r="J21" s="876"/>
      <c r="K21" s="876"/>
      <c r="L21" s="876"/>
      <c r="M21" s="876"/>
    </row>
    <row r="22" spans="1:13" ht="12" customHeight="1" thickTop="1" x14ac:dyDescent="0.2">
      <c r="A22" s="885"/>
      <c r="B22" s="886"/>
      <c r="C22" s="887"/>
      <c r="D22" s="892"/>
      <c r="F22" s="876"/>
      <c r="G22" s="876"/>
      <c r="H22" s="876"/>
      <c r="I22" s="876"/>
      <c r="J22" s="876"/>
      <c r="K22" s="876"/>
      <c r="L22" s="876"/>
      <c r="M22" s="876"/>
    </row>
    <row r="23" spans="1:13" ht="12" customHeight="1" x14ac:dyDescent="0.2">
      <c r="A23" s="877" t="s">
        <v>277</v>
      </c>
      <c r="B23" s="875"/>
      <c r="C23" s="875"/>
      <c r="D23" s="875"/>
      <c r="F23" s="876"/>
      <c r="G23" s="876"/>
      <c r="H23" s="876"/>
      <c r="I23" s="876"/>
      <c r="J23" s="876"/>
      <c r="K23" s="876"/>
      <c r="L23" s="876"/>
      <c r="M23" s="876"/>
    </row>
    <row r="24" spans="1:13" ht="12" customHeight="1" x14ac:dyDescent="0.2">
      <c r="A24" s="888" t="s">
        <v>6</v>
      </c>
      <c r="B24" s="879">
        <f>'CL - Monthly Financials'!AM100</f>
        <v>3197</v>
      </c>
      <c r="C24" s="879">
        <f>'CL - Monthly Financials'!AL100</f>
        <v>5768</v>
      </c>
      <c r="D24" s="879">
        <f>'CL - Monthly Financials'!AK100</f>
        <v>3459</v>
      </c>
      <c r="F24" s="876"/>
      <c r="G24" s="876"/>
      <c r="H24" s="876"/>
      <c r="I24" s="876"/>
      <c r="J24" s="876"/>
      <c r="K24" s="876"/>
      <c r="L24" s="876"/>
      <c r="M24" s="876"/>
    </row>
    <row r="25" spans="1:13" ht="12" customHeight="1" x14ac:dyDescent="0.2">
      <c r="A25" s="888" t="s">
        <v>655</v>
      </c>
      <c r="B25" s="880">
        <f>'CL - Monthly Financials'!AM101</f>
        <v>7615</v>
      </c>
      <c r="C25" s="880">
        <f>'CL - Monthly Financials'!AL101</f>
        <v>7376</v>
      </c>
      <c r="D25" s="880">
        <f>'CL - Monthly Financials'!AK101</f>
        <v>4927</v>
      </c>
      <c r="F25" s="876"/>
      <c r="G25" s="876"/>
      <c r="H25" s="876"/>
      <c r="I25" s="876"/>
      <c r="J25" s="876"/>
      <c r="K25" s="876"/>
      <c r="L25" s="876"/>
      <c r="M25" s="876"/>
    </row>
    <row r="26" spans="1:13" ht="12" customHeight="1" x14ac:dyDescent="0.2">
      <c r="A26" s="888" t="s">
        <v>656</v>
      </c>
      <c r="B26" s="880">
        <f>SUM('CL - Monthly Financials'!AM102:AM107)</f>
        <v>183</v>
      </c>
      <c r="C26" s="880">
        <f>SUM('CL - Monthly Financials'!AL102:AL107)</f>
        <v>537</v>
      </c>
      <c r="D26" s="880">
        <f>SUM('CL - Monthly Financials'!AK102:AK107)</f>
        <v>378</v>
      </c>
      <c r="F26" s="876"/>
      <c r="G26" s="876"/>
      <c r="H26" s="876"/>
      <c r="I26" s="876"/>
      <c r="J26" s="876"/>
      <c r="K26" s="876"/>
      <c r="L26" s="876"/>
      <c r="M26" s="876"/>
    </row>
    <row r="27" spans="1:13" ht="12" customHeight="1" x14ac:dyDescent="0.2">
      <c r="A27" s="883" t="s">
        <v>372</v>
      </c>
      <c r="B27" s="893">
        <f>SUM(B24:B26)</f>
        <v>10995</v>
      </c>
      <c r="C27" s="893">
        <f>SUM(C24:C26)</f>
        <v>13681</v>
      </c>
      <c r="D27" s="893">
        <f>SUM(D24:D26)</f>
        <v>8764</v>
      </c>
      <c r="F27" s="876"/>
      <c r="G27" s="876"/>
      <c r="H27" s="876"/>
      <c r="I27" s="876"/>
      <c r="J27" s="876"/>
      <c r="K27" s="876"/>
      <c r="L27" s="876"/>
      <c r="M27" s="876"/>
    </row>
    <row r="28" spans="1:13" ht="12" customHeight="1" x14ac:dyDescent="0.2">
      <c r="A28" s="888"/>
      <c r="B28" s="894"/>
      <c r="C28" s="894"/>
      <c r="D28" s="894"/>
      <c r="F28" s="876"/>
      <c r="G28" s="876"/>
      <c r="H28" s="876"/>
      <c r="I28" s="876"/>
      <c r="J28" s="876"/>
      <c r="K28" s="876"/>
      <c r="L28" s="876"/>
      <c r="M28" s="876"/>
    </row>
    <row r="29" spans="1:13" ht="12" customHeight="1" x14ac:dyDescent="0.2">
      <c r="A29" s="877" t="s">
        <v>657</v>
      </c>
      <c r="B29" s="894"/>
      <c r="C29" s="894"/>
      <c r="D29" s="894"/>
      <c r="F29" s="876"/>
      <c r="G29" s="876"/>
      <c r="H29" s="876"/>
      <c r="I29" s="876"/>
      <c r="J29" s="876"/>
      <c r="K29" s="876"/>
      <c r="L29" s="876"/>
      <c r="M29" s="876"/>
    </row>
    <row r="30" spans="1:13" ht="12" customHeight="1" x14ac:dyDescent="0.2">
      <c r="A30" s="888" t="s">
        <v>658</v>
      </c>
      <c r="B30" s="880">
        <f>'CL - Monthly Financials'!AM110</f>
        <v>2997</v>
      </c>
      <c r="C30" s="880">
        <f>'CL - Monthly Financials'!AL110</f>
        <v>3133</v>
      </c>
      <c r="D30" s="880">
        <f>'CL - Monthly Financials'!AK110</f>
        <v>1772</v>
      </c>
      <c r="F30" s="876"/>
      <c r="G30" s="876"/>
      <c r="H30" s="876"/>
      <c r="I30" s="876"/>
      <c r="J30" s="876"/>
      <c r="K30" s="876"/>
      <c r="L30" s="876"/>
      <c r="M30" s="876"/>
    </row>
    <row r="31" spans="1:13" ht="12" customHeight="1" x14ac:dyDescent="0.2">
      <c r="A31" s="888" t="s">
        <v>659</v>
      </c>
      <c r="B31" s="880">
        <f>'CL - Monthly Financials'!AM111</f>
        <v>2094</v>
      </c>
      <c r="C31" s="880">
        <f>'CL - Monthly Financials'!AL111</f>
        <v>2094</v>
      </c>
      <c r="D31" s="880">
        <f>'CL - Monthly Financials'!AK111</f>
        <v>1422</v>
      </c>
      <c r="F31" s="876"/>
      <c r="G31" s="876"/>
      <c r="H31" s="876"/>
      <c r="I31" s="876"/>
      <c r="J31" s="876"/>
      <c r="K31" s="876"/>
      <c r="L31" s="876"/>
      <c r="M31" s="876"/>
    </row>
    <row r="32" spans="1:13" ht="12" customHeight="1" x14ac:dyDescent="0.2">
      <c r="A32" s="888"/>
      <c r="B32" s="894"/>
      <c r="C32" s="894"/>
      <c r="D32" s="894"/>
      <c r="F32" s="876"/>
      <c r="G32" s="876"/>
      <c r="H32" s="876"/>
      <c r="I32" s="876"/>
      <c r="J32" s="876"/>
      <c r="K32" s="876"/>
      <c r="L32" s="876"/>
      <c r="M32" s="876"/>
    </row>
    <row r="33" spans="1:13" ht="12" customHeight="1" thickBot="1" x14ac:dyDescent="0.25">
      <c r="A33" s="895" t="s">
        <v>2</v>
      </c>
      <c r="B33" s="890">
        <f>SUM(B27:B31)</f>
        <v>16086</v>
      </c>
      <c r="C33" s="890">
        <f t="shared" ref="C33:D33" si="1">SUM(C27:C31)</f>
        <v>18908</v>
      </c>
      <c r="D33" s="890">
        <f t="shared" si="1"/>
        <v>11958</v>
      </c>
      <c r="F33" s="876"/>
      <c r="G33" s="876"/>
      <c r="H33" s="876"/>
      <c r="I33" s="876"/>
      <c r="J33" s="876"/>
      <c r="K33" s="876"/>
      <c r="L33" s="876"/>
      <c r="M33" s="876"/>
    </row>
    <row r="34" spans="1:13" ht="12" customHeight="1" thickTop="1" x14ac:dyDescent="0.2">
      <c r="A34" s="885"/>
      <c r="B34" s="886"/>
      <c r="C34" s="887"/>
      <c r="D34" s="887"/>
      <c r="F34" s="876"/>
      <c r="G34" s="876"/>
      <c r="H34" s="876"/>
      <c r="I34" s="876"/>
      <c r="J34" s="876"/>
      <c r="K34" s="876"/>
      <c r="L34" s="876"/>
      <c r="M34" s="876"/>
    </row>
    <row r="35" spans="1:13" ht="12" customHeight="1" x14ac:dyDescent="0.2">
      <c r="A35" s="888" t="s">
        <v>42</v>
      </c>
      <c r="B35" s="880">
        <f>'CL - Monthly Financials'!AM115</f>
        <v>7365</v>
      </c>
      <c r="C35" s="880">
        <f>'CL - Monthly Financials'!AL115</f>
        <v>6498</v>
      </c>
      <c r="D35" s="880">
        <f>'CL - Monthly Financials'!AK115</f>
        <v>4997</v>
      </c>
      <c r="F35" s="876"/>
      <c r="G35" s="876"/>
      <c r="H35" s="876"/>
      <c r="I35" s="876"/>
      <c r="J35" s="876"/>
      <c r="K35" s="876"/>
      <c r="L35" s="876"/>
      <c r="M35" s="876"/>
    </row>
    <row r="36" spans="1:13" ht="12" customHeight="1" x14ac:dyDescent="0.2">
      <c r="A36" s="885"/>
      <c r="B36" s="886"/>
      <c r="C36" s="887"/>
      <c r="D36" s="887"/>
      <c r="F36" s="876"/>
      <c r="G36" s="876"/>
      <c r="H36" s="876"/>
      <c r="I36" s="876"/>
      <c r="J36" s="876"/>
      <c r="K36" s="876"/>
      <c r="L36" s="876"/>
      <c r="M36" s="876"/>
    </row>
    <row r="37" spans="1:13" ht="12" customHeight="1" thickBot="1" x14ac:dyDescent="0.25">
      <c r="A37" s="889" t="s">
        <v>660</v>
      </c>
      <c r="B37" s="890">
        <f>SUM(B33:B35)</f>
        <v>23451</v>
      </c>
      <c r="C37" s="890">
        <f>SUM(C33:C35)</f>
        <v>25406</v>
      </c>
      <c r="D37" s="890">
        <f>SUM(D33:D35)</f>
        <v>16955</v>
      </c>
    </row>
    <row r="38" spans="1:13" ht="12" customHeight="1" thickTop="1" x14ac:dyDescent="0.2"/>
    <row r="39" spans="1:13" ht="12" customHeight="1" x14ac:dyDescent="0.2">
      <c r="A39" s="896" t="s">
        <v>661</v>
      </c>
      <c r="B39" s="897">
        <f>B21-B37</f>
        <v>0</v>
      </c>
      <c r="C39" s="897">
        <f t="shared" ref="C39:D39" si="2">C21-C37</f>
        <v>0</v>
      </c>
      <c r="D39" s="897">
        <f t="shared" si="2"/>
        <v>0</v>
      </c>
    </row>
    <row r="46" spans="1:13" ht="12" customHeight="1" x14ac:dyDescent="0.2">
      <c r="A46" s="850" t="s">
        <v>662</v>
      </c>
      <c r="B46" s="851" t="s">
        <v>619</v>
      </c>
      <c r="C46" s="851" t="s">
        <v>663</v>
      </c>
      <c r="D46" s="851" t="s">
        <v>663</v>
      </c>
      <c r="F46" s="873" t="s">
        <v>664</v>
      </c>
    </row>
    <row r="47" spans="1:13" ht="12" customHeight="1" x14ac:dyDescent="0.2">
      <c r="A47" s="850" t="s">
        <v>620</v>
      </c>
      <c r="B47" s="851">
        <f>B102</f>
        <v>2015</v>
      </c>
      <c r="C47" s="851">
        <f t="shared" ref="C47:D47" si="3">C102</f>
        <v>2014</v>
      </c>
      <c r="D47" s="851">
        <f t="shared" si="3"/>
        <v>2013</v>
      </c>
    </row>
    <row r="48" spans="1:13" ht="12" customHeight="1" x14ac:dyDescent="0.2">
      <c r="A48" s="898"/>
      <c r="B48" s="898"/>
      <c r="C48" s="898"/>
      <c r="D48" s="898"/>
    </row>
    <row r="49" spans="1:5" ht="12" customHeight="1" x14ac:dyDescent="0.2">
      <c r="A49" s="899" t="s">
        <v>118</v>
      </c>
      <c r="B49" s="900">
        <f>'CL - Monthly Financials'!AM7</f>
        <v>34887</v>
      </c>
      <c r="C49" s="900">
        <f>'CL - Monthly Financials'!AL7</f>
        <v>35230</v>
      </c>
      <c r="D49" s="900">
        <f>'CL - Monthly Financials'!AK7</f>
        <v>25800</v>
      </c>
    </row>
    <row r="50" spans="1:5" ht="12" customHeight="1" x14ac:dyDescent="0.2">
      <c r="A50" s="901" t="s">
        <v>665</v>
      </c>
      <c r="B50" s="886">
        <f>'CL - Monthly Financials'!AM19</f>
        <v>28109</v>
      </c>
      <c r="C50" s="886">
        <f>'CL - Monthly Financials'!AL19</f>
        <v>28444</v>
      </c>
      <c r="D50" s="886">
        <f>'CL - Monthly Financials'!AK19</f>
        <v>20291</v>
      </c>
    </row>
    <row r="51" spans="1:5" ht="12" customHeight="1" x14ac:dyDescent="0.2">
      <c r="A51" s="902" t="s">
        <v>572</v>
      </c>
      <c r="B51" s="903">
        <f>B49-B50</f>
        <v>6778</v>
      </c>
      <c r="C51" s="903">
        <f>C49-C50</f>
        <v>6786</v>
      </c>
      <c r="D51" s="903">
        <f>D49-D50</f>
        <v>5509</v>
      </c>
    </row>
    <row r="52" spans="1:5" ht="12" customHeight="1" x14ac:dyDescent="0.2">
      <c r="A52" s="904" t="s">
        <v>264</v>
      </c>
      <c r="B52" s="905">
        <f>B51/B49</f>
        <v>0.194284403932697</v>
      </c>
      <c r="C52" s="905">
        <f>C51/C49</f>
        <v>0.19261992619926199</v>
      </c>
      <c r="D52" s="905">
        <f>D51/D49</f>
        <v>0.21352713178294574</v>
      </c>
    </row>
    <row r="53" spans="1:5" ht="12" customHeight="1" x14ac:dyDescent="0.2">
      <c r="A53" s="906"/>
      <c r="B53" s="907"/>
      <c r="C53" s="907"/>
      <c r="D53" s="907"/>
    </row>
    <row r="54" spans="1:5" ht="12" customHeight="1" x14ac:dyDescent="0.2">
      <c r="A54" s="901" t="s">
        <v>666</v>
      </c>
      <c r="B54" s="908">
        <f>'CL - Monthly Financials'!AM25</f>
        <v>1170</v>
      </c>
      <c r="C54" s="908">
        <f>'CL - Monthly Financials'!AL25</f>
        <v>1079</v>
      </c>
      <c r="D54" s="908">
        <f>'CL - Monthly Financials'!AK25</f>
        <v>1051</v>
      </c>
      <c r="E54" s="908">
        <f>'CL - Monthly Financials'!AM28</f>
        <v>0</v>
      </c>
    </row>
    <row r="55" spans="1:5" ht="12" customHeight="1" x14ac:dyDescent="0.2">
      <c r="A55" s="909" t="s">
        <v>667</v>
      </c>
      <c r="B55" s="910">
        <f>SUM('CL - Monthly Financials'!AM26:AM39)</f>
        <v>2610</v>
      </c>
      <c r="C55" s="910">
        <f>SUM('CL - Monthly Financials'!AL26:AL39)</f>
        <v>2511</v>
      </c>
      <c r="D55" s="910">
        <f>SUM('CL - Monthly Financials'!AK26:AK39)</f>
        <v>2722</v>
      </c>
      <c r="E55" s="911"/>
    </row>
    <row r="56" spans="1:5" ht="12" customHeight="1" x14ac:dyDescent="0.2">
      <c r="A56" s="901" t="s">
        <v>668</v>
      </c>
      <c r="B56" s="912">
        <f>SUM(B54:B55)</f>
        <v>3780</v>
      </c>
      <c r="C56" s="912">
        <f>SUM(C54:C55)</f>
        <v>3590</v>
      </c>
      <c r="D56" s="912">
        <f>SUM(D54:D55)</f>
        <v>3773</v>
      </c>
    </row>
    <row r="57" spans="1:5" ht="12" customHeight="1" x14ac:dyDescent="0.2">
      <c r="A57" s="913" t="s">
        <v>669</v>
      </c>
      <c r="B57" s="914">
        <f>B56/B49</f>
        <v>0.10834981511737897</v>
      </c>
      <c r="C57" s="914">
        <f>C56/C49</f>
        <v>0.10190178824865172</v>
      </c>
      <c r="D57" s="914">
        <f>D56/D49</f>
        <v>0.14624031007751939</v>
      </c>
    </row>
    <row r="58" spans="1:5" ht="12" customHeight="1" x14ac:dyDescent="0.2">
      <c r="A58" s="906"/>
      <c r="B58" s="915"/>
      <c r="C58" s="915"/>
      <c r="D58" s="915"/>
    </row>
    <row r="59" spans="1:5" ht="12" customHeight="1" x14ac:dyDescent="0.2">
      <c r="A59" s="898" t="s">
        <v>50</v>
      </c>
      <c r="B59" s="908">
        <f>'CL - Monthly Financials'!AM43</f>
        <v>-761</v>
      </c>
      <c r="C59" s="908">
        <f>'CL - Monthly Financials'!AL43</f>
        <v>-672</v>
      </c>
      <c r="D59" s="908">
        <f>'CL - Monthly Financials'!AK43</f>
        <v>-470</v>
      </c>
    </row>
    <row r="60" spans="1:5" ht="12" customHeight="1" x14ac:dyDescent="0.2">
      <c r="A60" s="898" t="s">
        <v>102</v>
      </c>
      <c r="B60" s="908">
        <f>'CL - Monthly Financials'!AM44</f>
        <v>-907</v>
      </c>
      <c r="C60" s="908">
        <f>'CL - Monthly Financials'!AL44</f>
        <v>-907</v>
      </c>
      <c r="D60" s="908">
        <f>'CL - Monthly Financials'!AK44</f>
        <v>-518</v>
      </c>
    </row>
    <row r="61" spans="1:5" ht="12" customHeight="1" x14ac:dyDescent="0.2">
      <c r="A61" s="898" t="s">
        <v>670</v>
      </c>
      <c r="B61" s="908">
        <f>'CL - Monthly Financials'!AM45</f>
        <v>-60</v>
      </c>
      <c r="C61" s="908">
        <f>'CL - Monthly Financials'!AL45</f>
        <v>-115</v>
      </c>
      <c r="D61" s="908">
        <f>'CL - Monthly Financials'!AK45</f>
        <v>-15</v>
      </c>
    </row>
    <row r="62" spans="1:5" ht="12" customHeight="1" x14ac:dyDescent="0.2">
      <c r="A62" s="916" t="s">
        <v>671</v>
      </c>
      <c r="B62" s="917">
        <f>SUM(B59:B61)</f>
        <v>-1728</v>
      </c>
      <c r="C62" s="917">
        <f>SUM(C59:C61)</f>
        <v>-1694</v>
      </c>
      <c r="D62" s="917">
        <f>SUM(D59:D61)</f>
        <v>-1003</v>
      </c>
    </row>
    <row r="63" spans="1:5" ht="12" customHeight="1" x14ac:dyDescent="0.2">
      <c r="A63" s="898"/>
      <c r="B63" s="918"/>
      <c r="C63" s="918"/>
      <c r="D63" s="918"/>
    </row>
    <row r="64" spans="1:5" ht="12" customHeight="1" thickBot="1" x14ac:dyDescent="0.25">
      <c r="A64" s="919" t="s">
        <v>5</v>
      </c>
      <c r="B64" s="920">
        <f>B51-B56+B62</f>
        <v>1270</v>
      </c>
      <c r="C64" s="920">
        <f>C51-C56+C62</f>
        <v>1502</v>
      </c>
      <c r="D64" s="920">
        <f>D51-D56+D62</f>
        <v>733</v>
      </c>
    </row>
    <row r="65" spans="1:6" ht="12" customHeight="1" thickTop="1" x14ac:dyDescent="0.2">
      <c r="A65" s="898"/>
      <c r="B65" s="921">
        <f>B64/B49</f>
        <v>3.640324476165907E-2</v>
      </c>
      <c r="C65" s="921">
        <f>C64/C49</f>
        <v>4.2634118648878797E-2</v>
      </c>
      <c r="D65" s="921">
        <f>D64/D49</f>
        <v>2.8410852713178295E-2</v>
      </c>
    </row>
    <row r="66" spans="1:6" ht="12" customHeight="1" x14ac:dyDescent="0.2">
      <c r="A66" s="898"/>
      <c r="B66" s="922"/>
      <c r="C66" s="922"/>
      <c r="D66" s="922"/>
    </row>
    <row r="67" spans="1:6" ht="12" customHeight="1" x14ac:dyDescent="0.2">
      <c r="A67" s="898" t="s">
        <v>50</v>
      </c>
      <c r="B67" s="923">
        <f>'CL - Monthly Financials'!AM50</f>
        <v>761</v>
      </c>
      <c r="C67" s="923">
        <f>'CL - Monthly Financials'!AL50</f>
        <v>672</v>
      </c>
      <c r="D67" s="923">
        <f>'CL - Monthly Financials'!AK50</f>
        <v>470</v>
      </c>
    </row>
    <row r="68" spans="1:6" ht="12" customHeight="1" x14ac:dyDescent="0.2">
      <c r="A68" s="898" t="s">
        <v>102</v>
      </c>
      <c r="B68" s="923">
        <f>'CL - Monthly Financials'!AM51</f>
        <v>907</v>
      </c>
      <c r="C68" s="923">
        <f>'CL - Monthly Financials'!AL51</f>
        <v>907</v>
      </c>
      <c r="D68" s="923">
        <f>'CL - Monthly Financials'!AK51</f>
        <v>518</v>
      </c>
    </row>
    <row r="69" spans="1:6" ht="12" customHeight="1" x14ac:dyDescent="0.2">
      <c r="A69" s="898" t="s">
        <v>672</v>
      </c>
      <c r="B69" s="923">
        <f>'CL - Monthly Financials'!AM52</f>
        <v>1228</v>
      </c>
      <c r="C69" s="923">
        <f>'CL - Monthly Financials'!AL52</f>
        <v>1228</v>
      </c>
      <c r="D69" s="923">
        <f>'CL - Monthly Financials'!AK52</f>
        <v>861</v>
      </c>
    </row>
    <row r="70" spans="1:6" ht="12" customHeight="1" thickBot="1" x14ac:dyDescent="0.25">
      <c r="A70" s="919" t="s">
        <v>623</v>
      </c>
      <c r="B70" s="920">
        <f>SUM(B64:B69)</f>
        <v>4166.0364032447615</v>
      </c>
      <c r="C70" s="920">
        <f t="shared" ref="C70" si="4">SUM(C64:C69)</f>
        <v>4309.0426341186485</v>
      </c>
      <c r="D70" s="920">
        <f>SUM(D64:D69)</f>
        <v>2582.028410852713</v>
      </c>
    </row>
    <row r="71" spans="1:6" ht="12" customHeight="1" thickTop="1" x14ac:dyDescent="0.2">
      <c r="A71" s="924" t="s">
        <v>673</v>
      </c>
      <c r="B71" s="925">
        <f>+B70/B49</f>
        <v>0.11941515186874084</v>
      </c>
      <c r="C71" s="925">
        <f>+C70/C49</f>
        <v>0.12231174096277742</v>
      </c>
      <c r="D71" s="925">
        <f>+D70/D49</f>
        <v>0.10007862057568655</v>
      </c>
    </row>
    <row r="72" spans="1:6" ht="12" customHeight="1" x14ac:dyDescent="0.2">
      <c r="A72" s="898"/>
      <c r="B72" s="898"/>
      <c r="C72" s="898"/>
      <c r="D72" s="898"/>
    </row>
    <row r="73" spans="1:6" ht="12" customHeight="1" x14ac:dyDescent="0.2">
      <c r="A73" s="898"/>
      <c r="B73" s="898"/>
      <c r="C73" s="898"/>
      <c r="D73" s="898"/>
    </row>
    <row r="79" spans="1:6" ht="12" customHeight="1" x14ac:dyDescent="0.2">
      <c r="A79" s="850" t="s">
        <v>645</v>
      </c>
      <c r="B79" s="851"/>
      <c r="C79" s="851"/>
      <c r="D79" s="851"/>
      <c r="F79" s="873" t="s">
        <v>674</v>
      </c>
    </row>
    <row r="80" spans="1:6" ht="12" customHeight="1" x14ac:dyDescent="0.2">
      <c r="A80" s="850" t="s">
        <v>620</v>
      </c>
      <c r="B80" s="874">
        <f>B6</f>
        <v>42247</v>
      </c>
      <c r="C80" s="874">
        <f>C6</f>
        <v>42004</v>
      </c>
      <c r="D80" s="874">
        <f>D6</f>
        <v>41639</v>
      </c>
    </row>
    <row r="81" spans="1:4" ht="12" customHeight="1" x14ac:dyDescent="0.2">
      <c r="A81" s="873" t="str">
        <f t="shared" ref="A81:D82" si="5">A9</f>
        <v xml:space="preserve">Cash </v>
      </c>
      <c r="B81" s="926">
        <f t="shared" si="5"/>
        <v>47</v>
      </c>
      <c r="C81" s="926">
        <f t="shared" si="5"/>
        <v>168</v>
      </c>
      <c r="D81" s="926">
        <f t="shared" si="5"/>
        <v>54</v>
      </c>
    </row>
    <row r="82" spans="1:4" ht="12" customHeight="1" x14ac:dyDescent="0.2">
      <c r="A82" s="873" t="str">
        <f t="shared" si="5"/>
        <v>Accounts Receivable, net</v>
      </c>
      <c r="B82" s="927">
        <f t="shared" si="5"/>
        <v>3518</v>
      </c>
      <c r="C82" s="927">
        <f t="shared" si="5"/>
        <v>6415</v>
      </c>
      <c r="D82" s="927">
        <f t="shared" si="5"/>
        <v>4144</v>
      </c>
    </row>
    <row r="83" spans="1:4" ht="12" customHeight="1" x14ac:dyDescent="0.2">
      <c r="A83" s="873" t="s">
        <v>410</v>
      </c>
      <c r="B83" s="927">
        <f>B11</f>
        <v>583</v>
      </c>
      <c r="C83" s="927">
        <f>C11</f>
        <v>374</v>
      </c>
      <c r="D83" s="927">
        <f>D11</f>
        <v>307</v>
      </c>
    </row>
    <row r="84" spans="1:4" ht="12" customHeight="1" x14ac:dyDescent="0.2">
      <c r="A84" s="873" t="str">
        <f t="shared" ref="A84:D84" si="6">A12</f>
        <v>Inventory, net</v>
      </c>
      <c r="B84" s="927">
        <f t="shared" si="6"/>
        <v>8998</v>
      </c>
      <c r="C84" s="927">
        <f t="shared" si="6"/>
        <v>9752</v>
      </c>
      <c r="D84" s="927">
        <f t="shared" si="6"/>
        <v>6790</v>
      </c>
    </row>
    <row r="85" spans="1:4" ht="12" customHeight="1" x14ac:dyDescent="0.2">
      <c r="A85" s="873" t="s">
        <v>650</v>
      </c>
      <c r="B85" s="927">
        <f>B13</f>
        <v>969</v>
      </c>
      <c r="C85" s="927">
        <f>C13</f>
        <v>560</v>
      </c>
      <c r="D85" s="927">
        <f>D13</f>
        <v>392</v>
      </c>
    </row>
    <row r="86" spans="1:4" ht="12" customHeight="1" x14ac:dyDescent="0.2">
      <c r="A86" s="873" t="str">
        <f>A17</f>
        <v>Property and Equipment, net</v>
      </c>
      <c r="B86" s="927">
        <f>B17</f>
        <v>9130</v>
      </c>
      <c r="C86" s="927">
        <f>C17</f>
        <v>7963</v>
      </c>
      <c r="D86" s="927">
        <f>D17</f>
        <v>5221</v>
      </c>
    </row>
    <row r="87" spans="1:4" ht="12" customHeight="1" x14ac:dyDescent="0.2">
      <c r="A87" s="873" t="str">
        <f>A19</f>
        <v>Other Non-Current Assets</v>
      </c>
      <c r="B87" s="927">
        <f>B19</f>
        <v>206</v>
      </c>
      <c r="C87" s="927">
        <f>C19</f>
        <v>174</v>
      </c>
      <c r="D87" s="927">
        <f>D19</f>
        <v>47</v>
      </c>
    </row>
    <row r="88" spans="1:4" ht="12" customHeight="1" thickBot="1" x14ac:dyDescent="0.25">
      <c r="A88" s="889" t="s">
        <v>1</v>
      </c>
      <c r="B88" s="890">
        <f>SUM(B81:B87)</f>
        <v>23451</v>
      </c>
      <c r="C88" s="891">
        <f>SUM(C81:C87)</f>
        <v>25406</v>
      </c>
      <c r="D88" s="891">
        <f>SUM(D81:D87)</f>
        <v>16955</v>
      </c>
    </row>
    <row r="89" spans="1:4" ht="12" customHeight="1" thickTop="1" x14ac:dyDescent="0.2"/>
    <row r="90" spans="1:4" ht="12" customHeight="1" x14ac:dyDescent="0.2">
      <c r="A90" s="873" t="s">
        <v>277</v>
      </c>
      <c r="B90" s="926">
        <f>B27</f>
        <v>10995</v>
      </c>
      <c r="C90" s="926">
        <f>C27</f>
        <v>13681</v>
      </c>
      <c r="D90" s="926">
        <f>D27</f>
        <v>8764</v>
      </c>
    </row>
    <row r="91" spans="1:4" ht="12" customHeight="1" x14ac:dyDescent="0.2">
      <c r="A91" s="873" t="s">
        <v>675</v>
      </c>
      <c r="B91" s="927">
        <f>SUM(B30:B31)</f>
        <v>5091</v>
      </c>
      <c r="C91" s="927">
        <f>SUM(C30:C31)</f>
        <v>5227</v>
      </c>
      <c r="D91" s="927">
        <f>SUM(D30:D31)</f>
        <v>3194</v>
      </c>
    </row>
    <row r="92" spans="1:4" ht="12" customHeight="1" x14ac:dyDescent="0.2">
      <c r="A92" s="873" t="s">
        <v>42</v>
      </c>
      <c r="B92" s="927">
        <f>B35</f>
        <v>7365</v>
      </c>
      <c r="C92" s="927">
        <f>C35</f>
        <v>6498</v>
      </c>
      <c r="D92" s="927">
        <f>D35</f>
        <v>4997</v>
      </c>
    </row>
    <row r="93" spans="1:4" ht="12" customHeight="1" thickBot="1" x14ac:dyDescent="0.25">
      <c r="A93" s="889" t="s">
        <v>676</v>
      </c>
      <c r="B93" s="890">
        <f>SUM(B90:B92)</f>
        <v>23451</v>
      </c>
      <c r="C93" s="891">
        <f>SUM(C90:C92)</f>
        <v>25406</v>
      </c>
      <c r="D93" s="891">
        <f>SUM(D90:D92)</f>
        <v>16955</v>
      </c>
    </row>
    <row r="94" spans="1:4" ht="12" customHeight="1" thickTop="1" x14ac:dyDescent="0.2"/>
    <row r="95" spans="1:4" ht="12" customHeight="1" x14ac:dyDescent="0.25">
      <c r="A95"/>
      <c r="B95"/>
      <c r="C95"/>
      <c r="D95"/>
    </row>
    <row r="96" spans="1:4" ht="12" hidden="1" customHeight="1" x14ac:dyDescent="0.2"/>
    <row r="97" spans="1:6" ht="12" hidden="1" customHeight="1" x14ac:dyDescent="0.2"/>
    <row r="98" spans="1:6" ht="12" hidden="1" customHeight="1" x14ac:dyDescent="0.2"/>
    <row r="99" spans="1:6" ht="12" hidden="1" customHeight="1" x14ac:dyDescent="0.2"/>
    <row r="101" spans="1:6" ht="12" customHeight="1" x14ac:dyDescent="0.2">
      <c r="A101" s="850" t="s">
        <v>677</v>
      </c>
      <c r="B101" s="851" t="s">
        <v>619</v>
      </c>
      <c r="C101" s="851" t="s">
        <v>663</v>
      </c>
      <c r="D101" s="851" t="s">
        <v>663</v>
      </c>
      <c r="F101" s="873" t="s">
        <v>674</v>
      </c>
    </row>
    <row r="102" spans="1:6" ht="12" customHeight="1" x14ac:dyDescent="0.2">
      <c r="A102" s="850" t="s">
        <v>620</v>
      </c>
      <c r="B102" s="851">
        <v>2015</v>
      </c>
      <c r="C102" s="851">
        <v>2014</v>
      </c>
      <c r="D102" s="851">
        <v>2013</v>
      </c>
    </row>
    <row r="103" spans="1:6" ht="12" customHeight="1" x14ac:dyDescent="0.2">
      <c r="A103" s="898"/>
      <c r="B103" s="898"/>
      <c r="C103" s="898"/>
      <c r="D103" s="898"/>
    </row>
    <row r="104" spans="1:6" ht="12" customHeight="1" x14ac:dyDescent="0.2">
      <c r="A104" s="899" t="s">
        <v>118</v>
      </c>
      <c r="B104" s="900">
        <f t="shared" ref="B104:D105" si="7">B49</f>
        <v>34887</v>
      </c>
      <c r="C104" s="900">
        <f t="shared" si="7"/>
        <v>35230</v>
      </c>
      <c r="D104" s="900">
        <f t="shared" si="7"/>
        <v>25800</v>
      </c>
    </row>
    <row r="105" spans="1:6" ht="12" customHeight="1" x14ac:dyDescent="0.2">
      <c r="A105" s="909" t="s">
        <v>665</v>
      </c>
      <c r="B105" s="923">
        <f t="shared" si="7"/>
        <v>28109</v>
      </c>
      <c r="C105" s="923">
        <f t="shared" si="7"/>
        <v>28444</v>
      </c>
      <c r="D105" s="923">
        <f t="shared" si="7"/>
        <v>20291</v>
      </c>
    </row>
    <row r="106" spans="1:6" ht="12" customHeight="1" x14ac:dyDescent="0.2">
      <c r="A106" s="902" t="s">
        <v>572</v>
      </c>
      <c r="B106" s="903">
        <f t="shared" ref="B106:D106" si="8">B104-B105</f>
        <v>6778</v>
      </c>
      <c r="C106" s="903">
        <f t="shared" si="8"/>
        <v>6786</v>
      </c>
      <c r="D106" s="903">
        <f t="shared" si="8"/>
        <v>5509</v>
      </c>
    </row>
    <row r="107" spans="1:6" ht="12" customHeight="1" x14ac:dyDescent="0.2">
      <c r="A107" s="904" t="s">
        <v>264</v>
      </c>
      <c r="B107" s="928">
        <f>B106/B104</f>
        <v>0.194284403932697</v>
      </c>
      <c r="C107" s="928">
        <f t="shared" ref="C107:D107" si="9">C106/C104</f>
        <v>0.19261992619926199</v>
      </c>
      <c r="D107" s="928">
        <f t="shared" si="9"/>
        <v>0.21352713178294574</v>
      </c>
    </row>
    <row r="108" spans="1:6" ht="12" customHeight="1" x14ac:dyDescent="0.2">
      <c r="A108" s="929" t="s">
        <v>215</v>
      </c>
      <c r="B108" s="930">
        <f>B56</f>
        <v>3780</v>
      </c>
      <c r="C108" s="930">
        <f>C56</f>
        <v>3590</v>
      </c>
      <c r="D108" s="930">
        <f>D56</f>
        <v>3773</v>
      </c>
    </row>
    <row r="109" spans="1:6" ht="12" customHeight="1" x14ac:dyDescent="0.2">
      <c r="A109" s="913" t="s">
        <v>669</v>
      </c>
      <c r="B109" s="914">
        <f>B108/B104</f>
        <v>0.10834981511737897</v>
      </c>
      <c r="C109" s="914">
        <f t="shared" ref="C109:D109" si="10">C108/C104</f>
        <v>0.10190178824865172</v>
      </c>
      <c r="D109" s="914">
        <f t="shared" si="10"/>
        <v>0.14624031007751939</v>
      </c>
    </row>
    <row r="110" spans="1:6" ht="12" customHeight="1" x14ac:dyDescent="0.2">
      <c r="A110" s="906"/>
      <c r="B110" s="915"/>
      <c r="C110" s="915"/>
      <c r="D110" s="915"/>
    </row>
    <row r="111" spans="1:6" ht="12" customHeight="1" x14ac:dyDescent="0.2">
      <c r="A111" s="898" t="str">
        <f t="shared" ref="A111:D113" si="11">A59</f>
        <v>Interest Expense</v>
      </c>
      <c r="B111" s="931">
        <f>B59</f>
        <v>-761</v>
      </c>
      <c r="C111" s="931">
        <f t="shared" si="11"/>
        <v>-672</v>
      </c>
      <c r="D111" s="931">
        <f t="shared" si="11"/>
        <v>-470</v>
      </c>
    </row>
    <row r="112" spans="1:6" ht="12" customHeight="1" x14ac:dyDescent="0.2">
      <c r="A112" s="898" t="str">
        <f t="shared" si="11"/>
        <v>Income Taxes</v>
      </c>
      <c r="B112" s="931">
        <f t="shared" si="11"/>
        <v>-907</v>
      </c>
      <c r="C112" s="931">
        <f t="shared" si="11"/>
        <v>-907</v>
      </c>
      <c r="D112" s="931">
        <f t="shared" si="11"/>
        <v>-518</v>
      </c>
    </row>
    <row r="113" spans="1:11" ht="12" customHeight="1" x14ac:dyDescent="0.2">
      <c r="A113" s="898" t="str">
        <f t="shared" si="11"/>
        <v>Other Expense</v>
      </c>
      <c r="B113" s="931">
        <f t="shared" si="11"/>
        <v>-60</v>
      </c>
      <c r="C113" s="931">
        <f t="shared" si="11"/>
        <v>-115</v>
      </c>
      <c r="D113" s="931">
        <f t="shared" si="11"/>
        <v>-15</v>
      </c>
    </row>
    <row r="114" spans="1:11" ht="12" customHeight="1" thickBot="1" x14ac:dyDescent="0.25">
      <c r="A114" s="919" t="s">
        <v>5</v>
      </c>
      <c r="B114" s="920">
        <f>B106-B108+SUM(B111:B113)</f>
        <v>1270</v>
      </c>
      <c r="C114" s="920">
        <f>C106-C108+SUM(C111:C113)</f>
        <v>1502</v>
      </c>
      <c r="D114" s="920">
        <f>D106-D108+SUM(D111:D113)</f>
        <v>733</v>
      </c>
      <c r="H114" s="932" t="s">
        <v>678</v>
      </c>
      <c r="I114" s="933">
        <f>B108-SUM(B111:B113)</f>
        <v>5508</v>
      </c>
      <c r="J114" s="933">
        <f t="shared" ref="J114:K114" si="12">C108-SUM(C111:C113)</f>
        <v>5284</v>
      </c>
      <c r="K114" s="933">
        <f t="shared" si="12"/>
        <v>4776</v>
      </c>
    </row>
    <row r="115" spans="1:11" ht="12" customHeight="1" thickTop="1" x14ac:dyDescent="0.2">
      <c r="A115" s="898"/>
      <c r="B115" s="918"/>
      <c r="C115" s="918"/>
      <c r="D115" s="918"/>
    </row>
    <row r="116" spans="1:11" ht="12" customHeight="1" thickBot="1" x14ac:dyDescent="0.25">
      <c r="A116" s="919" t="s">
        <v>623</v>
      </c>
      <c r="B116" s="934">
        <f>B70</f>
        <v>4166.0364032447615</v>
      </c>
      <c r="C116" s="934">
        <f>C70</f>
        <v>4309.0426341186485</v>
      </c>
      <c r="D116" s="934">
        <f>D70</f>
        <v>2582.028410852713</v>
      </c>
    </row>
    <row r="117" spans="1:11" ht="12" customHeight="1" thickTop="1" x14ac:dyDescent="0.2">
      <c r="A117" s="906" t="s">
        <v>679</v>
      </c>
      <c r="B117" s="935">
        <f>B116/B104</f>
        <v>0.11941515186874084</v>
      </c>
      <c r="C117" s="935">
        <f>C116/C104</f>
        <v>0.12231174096277742</v>
      </c>
      <c r="D117" s="935">
        <f>D116/D104</f>
        <v>0.10007862057568655</v>
      </c>
    </row>
    <row r="118" spans="1:11" ht="12" customHeight="1" x14ac:dyDescent="0.2">
      <c r="A118" s="901"/>
      <c r="B118" s="936"/>
      <c r="C118" s="936"/>
      <c r="D118" s="936"/>
    </row>
    <row r="119" spans="1:11" ht="12" customHeight="1" thickBot="1" x14ac:dyDescent="0.25">
      <c r="A119" s="919" t="s">
        <v>680</v>
      </c>
      <c r="B119" s="920">
        <f>B170</f>
        <v>5495</v>
      </c>
      <c r="C119" s="920">
        <f>C170</f>
        <v>5239</v>
      </c>
      <c r="D119" s="920">
        <f>D170</f>
        <v>3194</v>
      </c>
    </row>
    <row r="120" spans="1:11" ht="12" customHeight="1" thickTop="1" x14ac:dyDescent="0.2">
      <c r="A120" s="924" t="s">
        <v>681</v>
      </c>
      <c r="B120" s="937">
        <f>+B119/B104</f>
        <v>0.15750852753174535</v>
      </c>
      <c r="C120" s="937">
        <f>+C119/C104</f>
        <v>0.14870848708487086</v>
      </c>
      <c r="D120" s="937">
        <f>+D119/D104</f>
        <v>0.12379844961240311</v>
      </c>
    </row>
    <row r="121" spans="1:11" ht="12" customHeight="1" x14ac:dyDescent="0.2">
      <c r="A121" s="898"/>
      <c r="B121" s="898"/>
      <c r="C121" s="898"/>
      <c r="D121" s="898"/>
    </row>
    <row r="122" spans="1:11" ht="12" customHeight="1" x14ac:dyDescent="0.2">
      <c r="A122" s="898"/>
      <c r="B122" s="898"/>
      <c r="C122" s="898"/>
      <c r="D122" s="898"/>
    </row>
    <row r="123" spans="1:11" ht="12" customHeight="1" x14ac:dyDescent="0.2">
      <c r="A123" s="898"/>
      <c r="B123" s="898"/>
      <c r="C123" s="898"/>
      <c r="D123" s="898"/>
    </row>
    <row r="124" spans="1:11" ht="12" customHeight="1" x14ac:dyDescent="0.2">
      <c r="A124" s="938"/>
      <c r="B124" s="938"/>
      <c r="C124" s="938"/>
      <c r="D124" s="938"/>
    </row>
    <row r="126" spans="1:11" ht="12" customHeight="1" x14ac:dyDescent="0.2">
      <c r="A126" s="850" t="s">
        <v>682</v>
      </c>
      <c r="B126" s="851" t="s">
        <v>619</v>
      </c>
      <c r="C126" s="851" t="s">
        <v>663</v>
      </c>
      <c r="D126" s="851" t="s">
        <v>663</v>
      </c>
      <c r="F126" s="873" t="s">
        <v>683</v>
      </c>
    </row>
    <row r="127" spans="1:11" ht="12" customHeight="1" x14ac:dyDescent="0.2">
      <c r="A127" s="850" t="s">
        <v>620</v>
      </c>
      <c r="B127" s="851">
        <f>B102</f>
        <v>2015</v>
      </c>
      <c r="C127" s="851">
        <f t="shared" ref="C127:D127" si="13">C102</f>
        <v>2014</v>
      </c>
      <c r="D127" s="851">
        <f t="shared" si="13"/>
        <v>2013</v>
      </c>
      <c r="F127" s="939">
        <v>2014</v>
      </c>
      <c r="G127" s="939">
        <v>2013</v>
      </c>
    </row>
    <row r="128" spans="1:11" ht="12" customHeight="1" x14ac:dyDescent="0.2">
      <c r="A128" s="940"/>
      <c r="B128" s="941"/>
      <c r="C128" s="941"/>
      <c r="D128" s="942"/>
      <c r="H128" s="873" t="s">
        <v>684</v>
      </c>
    </row>
    <row r="129" spans="1:12" ht="12" customHeight="1" x14ac:dyDescent="0.2">
      <c r="A129" s="943" t="s">
        <v>5</v>
      </c>
      <c r="B129" s="944">
        <f>B114</f>
        <v>1270</v>
      </c>
      <c r="C129" s="944">
        <f t="shared" ref="C129:D129" si="14">C114</f>
        <v>1502</v>
      </c>
      <c r="D129" s="944">
        <f t="shared" si="14"/>
        <v>733</v>
      </c>
      <c r="F129" s="927">
        <v>1502</v>
      </c>
      <c r="G129" s="927">
        <v>734</v>
      </c>
    </row>
    <row r="130" spans="1:12" ht="12" customHeight="1" x14ac:dyDescent="0.2">
      <c r="A130" s="945" t="s">
        <v>50</v>
      </c>
      <c r="B130" s="946">
        <f t="shared" ref="B130:D132" si="15">B67</f>
        <v>761</v>
      </c>
      <c r="C130" s="946">
        <f t="shared" si="15"/>
        <v>672</v>
      </c>
      <c r="D130" s="946">
        <f t="shared" si="15"/>
        <v>470</v>
      </c>
      <c r="F130" s="927">
        <v>672</v>
      </c>
      <c r="G130" s="927">
        <v>469</v>
      </c>
      <c r="J130" s="873" t="s">
        <v>685</v>
      </c>
      <c r="K130" s="947">
        <f>B130-C130</f>
        <v>89</v>
      </c>
      <c r="L130" s="947">
        <f>C130-D130</f>
        <v>202</v>
      </c>
    </row>
    <row r="131" spans="1:12" ht="12" customHeight="1" x14ac:dyDescent="0.2">
      <c r="A131" s="945" t="s">
        <v>102</v>
      </c>
      <c r="B131" s="946">
        <f t="shared" si="15"/>
        <v>907</v>
      </c>
      <c r="C131" s="946">
        <f t="shared" si="15"/>
        <v>907</v>
      </c>
      <c r="D131" s="946">
        <f t="shared" si="15"/>
        <v>518</v>
      </c>
      <c r="F131" s="927">
        <v>907</v>
      </c>
      <c r="G131" s="927">
        <v>518</v>
      </c>
      <c r="J131" s="873" t="s">
        <v>685</v>
      </c>
      <c r="K131" s="947">
        <f t="shared" ref="K131:L132" si="16">B131-C131</f>
        <v>0</v>
      </c>
      <c r="L131" s="947">
        <f t="shared" si="16"/>
        <v>389</v>
      </c>
    </row>
    <row r="132" spans="1:12" ht="12" customHeight="1" x14ac:dyDescent="0.2">
      <c r="A132" s="945" t="s">
        <v>622</v>
      </c>
      <c r="B132" s="948">
        <f t="shared" si="15"/>
        <v>1228</v>
      </c>
      <c r="C132" s="948">
        <f t="shared" si="15"/>
        <v>1228</v>
      </c>
      <c r="D132" s="948">
        <f t="shared" si="15"/>
        <v>861</v>
      </c>
      <c r="F132" s="927">
        <v>1228</v>
      </c>
      <c r="G132" s="927">
        <v>861</v>
      </c>
      <c r="J132" s="873" t="s">
        <v>685</v>
      </c>
      <c r="K132" s="947">
        <f t="shared" si="16"/>
        <v>0</v>
      </c>
      <c r="L132" s="947">
        <f t="shared" si="16"/>
        <v>367</v>
      </c>
    </row>
    <row r="133" spans="1:12" ht="12" customHeight="1" x14ac:dyDescent="0.2">
      <c r="A133" s="949" t="s">
        <v>623</v>
      </c>
      <c r="B133" s="950">
        <f>SUM(B129:B132)</f>
        <v>4166</v>
      </c>
      <c r="C133" s="950">
        <f>SUM(C129:C132)</f>
        <v>4309</v>
      </c>
      <c r="D133" s="950">
        <f t="shared" ref="D133" si="17">SUM(D129:D132)</f>
        <v>2582</v>
      </c>
      <c r="F133" s="951">
        <f>SUM(F129:F132)</f>
        <v>4309</v>
      </c>
      <c r="G133" s="951">
        <f>SUM(G129:G132)</f>
        <v>2582</v>
      </c>
    </row>
    <row r="134" spans="1:12" ht="12" customHeight="1" x14ac:dyDescent="0.2">
      <c r="A134" s="952" t="s">
        <v>686</v>
      </c>
      <c r="B134" s="953">
        <f>B133/B49</f>
        <v>0.11941410840714306</v>
      </c>
      <c r="C134" s="953">
        <f>C133/C49</f>
        <v>0.12231053079761567</v>
      </c>
      <c r="D134" s="953">
        <f>D133/D49</f>
        <v>0.10007751937984496</v>
      </c>
      <c r="F134" s="954">
        <f>F133-C133</f>
        <v>0</v>
      </c>
      <c r="G134" s="954">
        <f>G133-D133</f>
        <v>0</v>
      </c>
      <c r="H134" s="873" t="s">
        <v>687</v>
      </c>
    </row>
    <row r="135" spans="1:12" ht="6.6" customHeight="1" x14ac:dyDescent="0.2">
      <c r="A135" s="952"/>
      <c r="B135" s="953"/>
      <c r="C135" s="953"/>
      <c r="D135" s="953"/>
      <c r="F135" s="954"/>
      <c r="G135" s="954"/>
    </row>
    <row r="136" spans="1:12" ht="12" customHeight="1" x14ac:dyDescent="0.2">
      <c r="A136" s="955" t="s">
        <v>624</v>
      </c>
      <c r="B136" s="956"/>
      <c r="C136" s="956"/>
      <c r="D136" s="956"/>
    </row>
    <row r="137" spans="1:12" ht="12" customHeight="1" x14ac:dyDescent="0.2">
      <c r="A137" s="957" t="s">
        <v>688</v>
      </c>
      <c r="B137" s="958">
        <v>70</v>
      </c>
      <c r="C137" s="958">
        <f>124-42</f>
        <v>82</v>
      </c>
      <c r="D137" s="958">
        <f>143-42</f>
        <v>101</v>
      </c>
      <c r="F137" s="959" t="s">
        <v>689</v>
      </c>
    </row>
    <row r="138" spans="1:12" ht="12" customHeight="1" x14ac:dyDescent="0.2">
      <c r="A138" s="957" t="s">
        <v>690</v>
      </c>
      <c r="B138" s="958">
        <v>68</v>
      </c>
      <c r="C138" s="958">
        <v>42</v>
      </c>
      <c r="D138" s="958">
        <v>42</v>
      </c>
      <c r="F138" s="959" t="s">
        <v>691</v>
      </c>
      <c r="H138" s="876"/>
    </row>
    <row r="139" spans="1:12" ht="12" customHeight="1" x14ac:dyDescent="0.2">
      <c r="A139" s="957" t="s">
        <v>692</v>
      </c>
      <c r="B139" s="958">
        <v>17</v>
      </c>
      <c r="C139" s="960">
        <v>0</v>
      </c>
      <c r="D139" s="960">
        <v>0</v>
      </c>
      <c r="F139" s="961" t="s">
        <v>693</v>
      </c>
      <c r="H139" s="876"/>
      <c r="I139" s="876"/>
    </row>
    <row r="140" spans="1:12" ht="12" customHeight="1" x14ac:dyDescent="0.2">
      <c r="A140" s="957" t="s">
        <v>694</v>
      </c>
      <c r="B140" s="958">
        <v>131</v>
      </c>
      <c r="C140" s="958">
        <f>128+100</f>
        <v>228</v>
      </c>
      <c r="D140" s="960">
        <v>0</v>
      </c>
      <c r="F140" s="961" t="s">
        <v>695</v>
      </c>
    </row>
    <row r="141" spans="1:12" ht="12" customHeight="1" x14ac:dyDescent="0.2">
      <c r="A141" s="957" t="s">
        <v>696</v>
      </c>
      <c r="B141" s="958">
        <v>450</v>
      </c>
      <c r="C141" s="960">
        <v>0</v>
      </c>
      <c r="D141" s="960">
        <v>0</v>
      </c>
      <c r="F141" s="961" t="s">
        <v>697</v>
      </c>
    </row>
    <row r="142" spans="1:12" ht="12" customHeight="1" x14ac:dyDescent="0.2">
      <c r="A142" s="957" t="s">
        <v>698</v>
      </c>
      <c r="B142" s="960">
        <v>0</v>
      </c>
      <c r="C142" s="960">
        <v>0</v>
      </c>
      <c r="D142" s="958">
        <v>331</v>
      </c>
      <c r="F142" s="959" t="s">
        <v>699</v>
      </c>
    </row>
    <row r="143" spans="1:12" ht="12" customHeight="1" x14ac:dyDescent="0.2">
      <c r="A143" s="957" t="s">
        <v>700</v>
      </c>
      <c r="B143" s="958">
        <v>205</v>
      </c>
      <c r="C143" s="958">
        <v>205</v>
      </c>
      <c r="D143" s="960">
        <v>0</v>
      </c>
      <c r="F143" s="959" t="s">
        <v>701</v>
      </c>
      <c r="H143" s="876"/>
    </row>
    <row r="144" spans="1:12" ht="12" customHeight="1" x14ac:dyDescent="0.2">
      <c r="A144" s="962" t="s">
        <v>702</v>
      </c>
      <c r="B144" s="960">
        <v>0</v>
      </c>
      <c r="C144" s="958">
        <v>277</v>
      </c>
      <c r="D144" s="960">
        <v>0</v>
      </c>
      <c r="F144" s="959" t="s">
        <v>703</v>
      </c>
      <c r="H144" s="876"/>
    </row>
    <row r="145" spans="1:14" ht="12" customHeight="1" x14ac:dyDescent="0.2">
      <c r="A145" s="962" t="s">
        <v>704</v>
      </c>
      <c r="B145" s="880">
        <v>15</v>
      </c>
      <c r="C145" s="880">
        <v>34</v>
      </c>
      <c r="D145" s="880">
        <v>46</v>
      </c>
      <c r="F145" s="959" t="s">
        <v>705</v>
      </c>
      <c r="H145" s="876"/>
    </row>
    <row r="146" spans="1:14" ht="12" customHeight="1" x14ac:dyDescent="0.2">
      <c r="A146" s="962" t="s">
        <v>706</v>
      </c>
      <c r="B146" s="958">
        <v>179</v>
      </c>
      <c r="C146" s="958">
        <v>297</v>
      </c>
      <c r="D146" s="880">
        <v>176</v>
      </c>
      <c r="F146" s="959" t="s">
        <v>707</v>
      </c>
      <c r="H146" s="876"/>
    </row>
    <row r="147" spans="1:14" ht="12" customHeight="1" x14ac:dyDescent="0.2">
      <c r="A147" s="962" t="s">
        <v>708</v>
      </c>
      <c r="B147" s="958">
        <v>57</v>
      </c>
      <c r="C147" s="880">
        <v>0</v>
      </c>
      <c r="D147" s="880">
        <v>0</v>
      </c>
      <c r="F147" s="959" t="s">
        <v>709</v>
      </c>
    </row>
    <row r="148" spans="1:14" ht="12" customHeight="1" x14ac:dyDescent="0.2">
      <c r="A148" s="962" t="s">
        <v>710</v>
      </c>
      <c r="B148" s="958">
        <v>79</v>
      </c>
      <c r="C148" s="958">
        <v>105</v>
      </c>
      <c r="D148" s="958">
        <v>109</v>
      </c>
      <c r="F148" s="959" t="s">
        <v>711</v>
      </c>
      <c r="H148" s="876"/>
    </row>
    <row r="149" spans="1:14" ht="12" customHeight="1" x14ac:dyDescent="0.2">
      <c r="A149" s="962" t="s">
        <v>712</v>
      </c>
      <c r="B149" s="963">
        <v>516</v>
      </c>
      <c r="C149" s="963" t="s">
        <v>638</v>
      </c>
      <c r="D149" s="963" t="s">
        <v>638</v>
      </c>
      <c r="F149" s="961" t="s">
        <v>713</v>
      </c>
      <c r="H149" s="964"/>
      <c r="I149" s="938"/>
      <c r="J149" s="938"/>
      <c r="K149" s="938"/>
      <c r="L149" s="938"/>
      <c r="M149" s="938"/>
      <c r="N149" s="938"/>
    </row>
    <row r="150" spans="1:14" ht="12" customHeight="1" x14ac:dyDescent="0.2">
      <c r="A150" s="962" t="s">
        <v>714</v>
      </c>
      <c r="B150" s="963">
        <v>306</v>
      </c>
      <c r="C150" s="963" t="s">
        <v>638</v>
      </c>
      <c r="D150" s="963" t="s">
        <v>638</v>
      </c>
      <c r="F150" s="961"/>
      <c r="H150" s="964"/>
      <c r="I150" s="938"/>
      <c r="J150" s="938"/>
      <c r="K150" s="938"/>
      <c r="L150" s="938"/>
      <c r="M150" s="938"/>
      <c r="N150" s="938"/>
    </row>
    <row r="151" spans="1:14" ht="12" customHeight="1" x14ac:dyDescent="0.2">
      <c r="A151" s="965"/>
      <c r="B151" s="966"/>
      <c r="C151" s="966"/>
      <c r="D151" s="966"/>
    </row>
    <row r="152" spans="1:14" ht="12" customHeight="1" x14ac:dyDescent="0.2">
      <c r="A152" s="955" t="s">
        <v>715</v>
      </c>
      <c r="B152" s="893">
        <f>SUM(B137:B150)</f>
        <v>2093</v>
      </c>
      <c r="C152" s="893">
        <f>SUM(C137:C149)</f>
        <v>1270</v>
      </c>
      <c r="D152" s="893">
        <f>SUM(D137:D149)</f>
        <v>805</v>
      </c>
      <c r="J152" s="873" t="s">
        <v>685</v>
      </c>
      <c r="K152" s="947">
        <f>B152-C152</f>
        <v>823</v>
      </c>
      <c r="L152" s="947">
        <f>C152-D152</f>
        <v>465</v>
      </c>
    </row>
    <row r="153" spans="1:14" ht="12" customHeight="1" x14ac:dyDescent="0.2">
      <c r="A153" s="967"/>
      <c r="B153" s="968"/>
      <c r="C153" s="968"/>
      <c r="D153" s="968"/>
    </row>
    <row r="154" spans="1:14" ht="12" customHeight="1" thickBot="1" x14ac:dyDescent="0.25">
      <c r="A154" s="955" t="s">
        <v>716</v>
      </c>
      <c r="B154" s="969">
        <f>B133+B152</f>
        <v>6259</v>
      </c>
      <c r="C154" s="969">
        <f>C133+C152</f>
        <v>5579</v>
      </c>
      <c r="D154" s="969">
        <f>D133+D152</f>
        <v>3387</v>
      </c>
    </row>
    <row r="155" spans="1:14" ht="12" customHeight="1" thickTop="1" x14ac:dyDescent="0.2">
      <c r="A155" s="952" t="s">
        <v>686</v>
      </c>
      <c r="B155" s="970">
        <f>B154/B104</f>
        <v>0.17940780233324735</v>
      </c>
      <c r="C155" s="970">
        <f>C154/C104</f>
        <v>0.15835935282429747</v>
      </c>
      <c r="D155" s="970">
        <f>D154/D104</f>
        <v>0.13127906976744186</v>
      </c>
    </row>
    <row r="156" spans="1:14" ht="6.6" customHeight="1" x14ac:dyDescent="0.2">
      <c r="A156" s="971"/>
      <c r="B156" s="970"/>
      <c r="C156" s="970"/>
      <c r="D156" s="970"/>
    </row>
    <row r="157" spans="1:14" ht="12" customHeight="1" x14ac:dyDescent="0.2">
      <c r="A157" s="955" t="s">
        <v>640</v>
      </c>
      <c r="B157" s="972"/>
      <c r="C157" s="972"/>
      <c r="D157" s="972"/>
    </row>
    <row r="158" spans="1:14" ht="12" customHeight="1" x14ac:dyDescent="0.2">
      <c r="A158" s="957" t="s">
        <v>717</v>
      </c>
      <c r="B158" s="973">
        <v>4</v>
      </c>
      <c r="C158" s="973">
        <v>4</v>
      </c>
      <c r="D158" s="973">
        <v>4</v>
      </c>
      <c r="E158" s="974"/>
      <c r="F158" s="959" t="s">
        <v>718</v>
      </c>
    </row>
    <row r="159" spans="1:14" ht="12" customHeight="1" x14ac:dyDescent="0.2">
      <c r="A159" s="957" t="s">
        <v>719</v>
      </c>
      <c r="B159" s="973">
        <v>-238</v>
      </c>
      <c r="C159" s="973">
        <v>0</v>
      </c>
      <c r="D159" s="973">
        <v>0</v>
      </c>
      <c r="E159" s="974"/>
      <c r="F159" s="961" t="s">
        <v>697</v>
      </c>
    </row>
    <row r="160" spans="1:14" ht="12" customHeight="1" x14ac:dyDescent="0.2">
      <c r="A160" s="957" t="s">
        <v>720</v>
      </c>
      <c r="B160" s="973">
        <v>134</v>
      </c>
      <c r="C160" s="973">
        <v>140</v>
      </c>
      <c r="D160" s="973">
        <v>0</v>
      </c>
      <c r="F160" s="959" t="s">
        <v>721</v>
      </c>
    </row>
    <row r="161" spans="1:12" ht="12" customHeight="1" x14ac:dyDescent="0.2">
      <c r="A161" s="962" t="s">
        <v>722</v>
      </c>
      <c r="B161" s="973">
        <f t="shared" ref="B161:D161" si="18">-B144</f>
        <v>0</v>
      </c>
      <c r="C161" s="973">
        <f t="shared" si="18"/>
        <v>-277</v>
      </c>
      <c r="D161" s="973">
        <f t="shared" si="18"/>
        <v>0</v>
      </c>
      <c r="F161" s="959" t="s">
        <v>703</v>
      </c>
    </row>
    <row r="162" spans="1:12" ht="12" customHeight="1" x14ac:dyDescent="0.2">
      <c r="A162" s="957" t="s">
        <v>723</v>
      </c>
      <c r="B162" s="973">
        <v>0</v>
      </c>
      <c r="C162" s="973">
        <v>47</v>
      </c>
      <c r="D162" s="973">
        <v>0</v>
      </c>
      <c r="F162" s="959" t="s">
        <v>724</v>
      </c>
      <c r="G162" s="975" t="s">
        <v>725</v>
      </c>
    </row>
    <row r="163" spans="1:12" ht="12" customHeight="1" x14ac:dyDescent="0.2">
      <c r="A163" s="957" t="s">
        <v>726</v>
      </c>
      <c r="B163" s="973">
        <v>-89</v>
      </c>
      <c r="C163" s="973">
        <v>-149</v>
      </c>
      <c r="D163" s="973">
        <v>-88</v>
      </c>
      <c r="F163" s="959" t="s">
        <v>707</v>
      </c>
    </row>
    <row r="164" spans="1:12" ht="12" customHeight="1" x14ac:dyDescent="0.2">
      <c r="A164" s="957" t="s">
        <v>727</v>
      </c>
      <c r="B164" s="973">
        <f>-B148</f>
        <v>-79</v>
      </c>
      <c r="C164" s="973">
        <f>-C148</f>
        <v>-105</v>
      </c>
      <c r="D164" s="973">
        <f>-D148</f>
        <v>-109</v>
      </c>
      <c r="F164" s="959" t="s">
        <v>711</v>
      </c>
    </row>
    <row r="165" spans="1:12" ht="12" customHeight="1" x14ac:dyDescent="0.2">
      <c r="A165" s="957" t="s">
        <v>728</v>
      </c>
      <c r="B165" s="976">
        <v>-371</v>
      </c>
      <c r="C165" s="963" t="s">
        <v>638</v>
      </c>
      <c r="D165" s="963" t="s">
        <v>638</v>
      </c>
      <c r="F165" s="961" t="s">
        <v>713</v>
      </c>
    </row>
    <row r="166" spans="1:12" ht="12" customHeight="1" x14ac:dyDescent="0.2">
      <c r="A166" s="957" t="s">
        <v>729</v>
      </c>
      <c r="B166" s="976">
        <v>-125</v>
      </c>
      <c r="C166" s="963" t="s">
        <v>638</v>
      </c>
      <c r="D166" s="963" t="s">
        <v>638</v>
      </c>
      <c r="F166" s="961"/>
    </row>
    <row r="167" spans="1:12" ht="12" customHeight="1" x14ac:dyDescent="0.2">
      <c r="B167" s="974"/>
      <c r="C167" s="974"/>
      <c r="D167" s="974"/>
    </row>
    <row r="168" spans="1:12" ht="12" customHeight="1" x14ac:dyDescent="0.2">
      <c r="A168" s="955" t="s">
        <v>680</v>
      </c>
      <c r="B168" s="893">
        <f>SUM(B158:B166)</f>
        <v>-764</v>
      </c>
      <c r="C168" s="893">
        <f>SUM(C158:C165)</f>
        <v>-340</v>
      </c>
      <c r="D168" s="893">
        <f>SUM(D158:D165)</f>
        <v>-193</v>
      </c>
      <c r="J168" s="873" t="s">
        <v>685</v>
      </c>
      <c r="K168" s="947">
        <f>B168-C168</f>
        <v>-424</v>
      </c>
      <c r="L168" s="947">
        <f>C168-D168</f>
        <v>-147</v>
      </c>
    </row>
    <row r="169" spans="1:12" ht="12" customHeight="1" x14ac:dyDescent="0.2">
      <c r="A169" s="967"/>
      <c r="B169" s="968"/>
      <c r="C169" s="968"/>
      <c r="D169" s="968"/>
    </row>
    <row r="170" spans="1:12" ht="12" customHeight="1" thickBot="1" x14ac:dyDescent="0.25">
      <c r="A170" s="955" t="s">
        <v>730</v>
      </c>
      <c r="B170" s="969">
        <f>B154+B168</f>
        <v>5495</v>
      </c>
      <c r="C170" s="969">
        <f>C154+C168</f>
        <v>5239</v>
      </c>
      <c r="D170" s="969">
        <f>D154+D168</f>
        <v>3194</v>
      </c>
      <c r="J170" s="873" t="s">
        <v>685</v>
      </c>
      <c r="K170" s="947">
        <f>B170-C170</f>
        <v>256</v>
      </c>
      <c r="L170" s="947">
        <f>C170-D170</f>
        <v>2045</v>
      </c>
    </row>
    <row r="171" spans="1:12" ht="12" customHeight="1" thickTop="1" x14ac:dyDescent="0.2">
      <c r="A171" s="952" t="s">
        <v>686</v>
      </c>
      <c r="B171" s="970">
        <f>B170/B104</f>
        <v>0.15750852753174535</v>
      </c>
      <c r="C171" s="970">
        <f>C170/C104</f>
        <v>0.14870848708487086</v>
      </c>
      <c r="D171" s="970">
        <f>D170/D104</f>
        <v>0.12379844961240311</v>
      </c>
    </row>
    <row r="173" spans="1:12" ht="12" customHeight="1" x14ac:dyDescent="0.2">
      <c r="B173" s="947"/>
      <c r="C173" s="947"/>
    </row>
    <row r="174" spans="1:12" ht="12" customHeight="1" x14ac:dyDescent="0.2">
      <c r="B174" s="947"/>
    </row>
    <row r="179" spans="1:6" ht="12" customHeight="1" x14ac:dyDescent="0.2">
      <c r="A179" s="977" t="s">
        <v>271</v>
      </c>
      <c r="B179" s="874"/>
      <c r="C179" s="874"/>
      <c r="D179" s="874"/>
      <c r="F179" s="873" t="s">
        <v>731</v>
      </c>
    </row>
    <row r="180" spans="1:6" ht="12" customHeight="1" x14ac:dyDescent="0.2">
      <c r="A180" s="977" t="s">
        <v>732</v>
      </c>
      <c r="B180" s="874">
        <f>B80</f>
        <v>42247</v>
      </c>
      <c r="C180" s="874">
        <f>C80</f>
        <v>42004</v>
      </c>
      <c r="D180" s="874">
        <f>D80</f>
        <v>41639</v>
      </c>
    </row>
    <row r="181" spans="1:6" ht="12" customHeight="1" x14ac:dyDescent="0.2">
      <c r="A181" s="978"/>
      <c r="B181" s="978"/>
      <c r="C181" s="978"/>
      <c r="D181" s="978"/>
    </row>
    <row r="182" spans="1:6" ht="12" customHeight="1" x14ac:dyDescent="0.2">
      <c r="A182" s="967" t="s">
        <v>733</v>
      </c>
      <c r="B182" s="979">
        <f>B10</f>
        <v>3518</v>
      </c>
      <c r="C182" s="979">
        <f>C10</f>
        <v>6415</v>
      </c>
      <c r="D182" s="979">
        <f>D10</f>
        <v>4144</v>
      </c>
    </row>
    <row r="183" spans="1:6" ht="12" customHeight="1" x14ac:dyDescent="0.2">
      <c r="A183" s="967"/>
      <c r="B183" s="979"/>
      <c r="C183" s="979"/>
      <c r="D183" s="979"/>
    </row>
    <row r="184" spans="1:6" ht="12" customHeight="1" x14ac:dyDescent="0.2">
      <c r="A184" s="967" t="s">
        <v>734</v>
      </c>
      <c r="B184" s="980">
        <f>B182/B186</f>
        <v>0.10083985438702095</v>
      </c>
      <c r="C184" s="980">
        <f t="shared" ref="C184:D184" si="19">C182/C186</f>
        <v>0.18208912858359352</v>
      </c>
      <c r="D184" s="980">
        <f t="shared" si="19"/>
        <v>0.16062015503875968</v>
      </c>
    </row>
    <row r="185" spans="1:6" ht="12" customHeight="1" x14ac:dyDescent="0.2">
      <c r="A185" s="967"/>
      <c r="B185" s="981"/>
      <c r="C185" s="981"/>
      <c r="D185" s="981"/>
    </row>
    <row r="186" spans="1:6" ht="12" customHeight="1" x14ac:dyDescent="0.2">
      <c r="A186" s="982" t="s">
        <v>735</v>
      </c>
      <c r="B186" s="983">
        <f>B49</f>
        <v>34887</v>
      </c>
      <c r="C186" s="983">
        <f>C49</f>
        <v>35230</v>
      </c>
      <c r="D186" s="983">
        <f>D49</f>
        <v>25800</v>
      </c>
    </row>
    <row r="187" spans="1:6" ht="12" customHeight="1" x14ac:dyDescent="0.2">
      <c r="A187" s="982"/>
      <c r="B187" s="982"/>
      <c r="C187" s="982"/>
      <c r="D187" s="982"/>
    </row>
    <row r="188" spans="1:6" ht="12" customHeight="1" x14ac:dyDescent="0.2">
      <c r="A188" s="982" t="s">
        <v>736</v>
      </c>
      <c r="B188" s="984">
        <f>B186/((B182+B182)/2)</f>
        <v>9.9167140420693585</v>
      </c>
      <c r="C188" s="984">
        <f>C186/((C182+C182)/2)</f>
        <v>5.4918160561184726</v>
      </c>
      <c r="D188" s="984">
        <f>D186/((D182+D182)/2)</f>
        <v>6.2258687258687262</v>
      </c>
    </row>
    <row r="189" spans="1:6" ht="12" customHeight="1" x14ac:dyDescent="0.2">
      <c r="A189" s="985" t="s">
        <v>737</v>
      </c>
      <c r="B189" s="986">
        <f>365/B188</f>
        <v>36.806546851262645</v>
      </c>
      <c r="C189" s="986">
        <f>365/C188</f>
        <v>66.462531933011633</v>
      </c>
      <c r="D189" s="986">
        <f>365/D188</f>
        <v>58.626356589147285</v>
      </c>
    </row>
    <row r="195" spans="1:11" ht="12" customHeight="1" x14ac:dyDescent="0.2">
      <c r="A195" s="977" t="s">
        <v>738</v>
      </c>
      <c r="B195" s="977"/>
      <c r="C195" s="977"/>
      <c r="D195" s="977"/>
      <c r="F195" s="873" t="s">
        <v>731</v>
      </c>
    </row>
    <row r="196" spans="1:11" ht="12" customHeight="1" x14ac:dyDescent="0.2">
      <c r="A196" s="977" t="s">
        <v>732</v>
      </c>
      <c r="B196" s="874">
        <f>B180</f>
        <v>42247</v>
      </c>
      <c r="C196" s="874">
        <f t="shared" ref="C196:D196" si="20">C180</f>
        <v>42004</v>
      </c>
      <c r="D196" s="874">
        <f t="shared" si="20"/>
        <v>41639</v>
      </c>
    </row>
    <row r="197" spans="1:11" ht="12" customHeight="1" x14ac:dyDescent="0.2">
      <c r="A197" s="987" t="s">
        <v>739</v>
      </c>
      <c r="B197" s="988">
        <f>2105+65+3</f>
        <v>2173</v>
      </c>
      <c r="C197" s="988">
        <f>3594+56+11</f>
        <v>3661</v>
      </c>
      <c r="D197" s="988">
        <f>2699+42+10</f>
        <v>2751</v>
      </c>
    </row>
    <row r="198" spans="1:11" ht="12" customHeight="1" x14ac:dyDescent="0.2">
      <c r="A198" s="987" t="s">
        <v>740</v>
      </c>
      <c r="B198" s="989">
        <v>977</v>
      </c>
      <c r="C198" s="989">
        <v>2291</v>
      </c>
      <c r="D198" s="989">
        <v>1107</v>
      </c>
      <c r="F198" s="938"/>
      <c r="G198" s="938"/>
      <c r="H198" s="938"/>
      <c r="I198" s="938"/>
      <c r="J198" s="938"/>
      <c r="K198" s="938"/>
    </row>
    <row r="199" spans="1:11" ht="12" customHeight="1" x14ac:dyDescent="0.2">
      <c r="A199" s="987" t="s">
        <v>741</v>
      </c>
      <c r="B199" s="989">
        <v>463</v>
      </c>
      <c r="C199" s="989">
        <v>485</v>
      </c>
      <c r="D199" s="989">
        <v>320</v>
      </c>
    </row>
    <row r="200" spans="1:11" ht="12" customHeight="1" x14ac:dyDescent="0.2">
      <c r="A200" s="987" t="s">
        <v>742</v>
      </c>
      <c r="B200" s="989">
        <v>5</v>
      </c>
      <c r="C200" s="989">
        <v>42</v>
      </c>
      <c r="D200" s="989">
        <v>66</v>
      </c>
    </row>
    <row r="201" spans="1:11" ht="12" customHeight="1" x14ac:dyDescent="0.2">
      <c r="A201" s="987" t="s">
        <v>743</v>
      </c>
      <c r="B201" s="989">
        <v>40</v>
      </c>
      <c r="C201" s="989">
        <v>75</v>
      </c>
      <c r="D201" s="989">
        <v>35</v>
      </c>
    </row>
    <row r="202" spans="1:11" ht="12" customHeight="1" x14ac:dyDescent="0.2">
      <c r="A202" s="990" t="s">
        <v>43</v>
      </c>
      <c r="B202" s="991">
        <f>SUM(B197:B201)</f>
        <v>3658</v>
      </c>
      <c r="C202" s="991">
        <f>SUM(C197:C201)</f>
        <v>6554</v>
      </c>
      <c r="D202" s="991">
        <f>SUM(D197:D201)</f>
        <v>4279</v>
      </c>
    </row>
    <row r="203" spans="1:11" ht="12" customHeight="1" x14ac:dyDescent="0.2">
      <c r="A203" s="992" t="s">
        <v>744</v>
      </c>
      <c r="B203" s="993">
        <v>-140</v>
      </c>
      <c r="C203" s="993">
        <v>-139</v>
      </c>
      <c r="D203" s="993">
        <v>-135</v>
      </c>
      <c r="F203" s="994"/>
      <c r="G203" s="995"/>
      <c r="H203" s="995"/>
    </row>
    <row r="204" spans="1:11" ht="12" customHeight="1" x14ac:dyDescent="0.2">
      <c r="A204" s="990" t="s">
        <v>745</v>
      </c>
      <c r="B204" s="991">
        <f>SUM(B202:B203)</f>
        <v>3518</v>
      </c>
      <c r="C204" s="991">
        <f>SUM(C202:C203)</f>
        <v>6415</v>
      </c>
      <c r="D204" s="991">
        <f>SUM(D202:D203)</f>
        <v>4144</v>
      </c>
      <c r="F204" s="994">
        <f>B204-B82</f>
        <v>0</v>
      </c>
      <c r="G204" s="994">
        <f>C204-C82</f>
        <v>0</v>
      </c>
      <c r="H204" s="994">
        <f>D204-D82</f>
        <v>0</v>
      </c>
      <c r="I204" s="873" t="s">
        <v>746</v>
      </c>
    </row>
    <row r="205" spans="1:11" ht="12" customHeight="1" x14ac:dyDescent="0.2">
      <c r="A205" s="977" t="s">
        <v>747</v>
      </c>
      <c r="B205" s="977"/>
      <c r="C205" s="977"/>
      <c r="D205" s="977"/>
      <c r="F205" s="873" t="s">
        <v>731</v>
      </c>
    </row>
    <row r="206" spans="1:11" ht="12" hidden="1" customHeight="1" x14ac:dyDescent="0.2">
      <c r="A206" s="977"/>
      <c r="B206" s="874">
        <f>B196</f>
        <v>42247</v>
      </c>
      <c r="C206" s="874">
        <f>C196</f>
        <v>42004</v>
      </c>
      <c r="D206" s="874">
        <f>D196</f>
        <v>41639</v>
      </c>
    </row>
    <row r="207" spans="1:11" ht="12" customHeight="1" x14ac:dyDescent="0.2">
      <c r="A207" s="996" t="str">
        <f>A197</f>
        <v>Current</v>
      </c>
      <c r="B207" s="997">
        <f>B197/B$202</f>
        <v>0.59404045926735927</v>
      </c>
      <c r="C207" s="997">
        <f>C197/C$202</f>
        <v>0.55859017393957888</v>
      </c>
      <c r="D207" s="997">
        <f>D197/D$202</f>
        <v>0.64290722131339095</v>
      </c>
    </row>
    <row r="208" spans="1:11" ht="12" customHeight="1" x14ac:dyDescent="0.2">
      <c r="A208" s="996" t="str">
        <f>A198</f>
        <v>0-30</v>
      </c>
      <c r="B208" s="997">
        <f t="shared" ref="B208:D211" si="21">B198/B$202</f>
        <v>0.26708583925642426</v>
      </c>
      <c r="C208" s="997">
        <f t="shared" si="21"/>
        <v>0.34955752212389379</v>
      </c>
      <c r="D208" s="997">
        <f t="shared" si="21"/>
        <v>0.25870530497779853</v>
      </c>
    </row>
    <row r="209" spans="1:6" ht="12" customHeight="1" x14ac:dyDescent="0.2">
      <c r="A209" s="996" t="str">
        <f>A199</f>
        <v>31-60</v>
      </c>
      <c r="B209" s="997">
        <f t="shared" si="21"/>
        <v>0.12657189721159104</v>
      </c>
      <c r="C209" s="997">
        <f t="shared" si="21"/>
        <v>7.4000610314311877E-2</v>
      </c>
      <c r="D209" s="997">
        <f t="shared" si="21"/>
        <v>7.4783827997195601E-2</v>
      </c>
    </row>
    <row r="210" spans="1:6" ht="12" customHeight="1" x14ac:dyDescent="0.2">
      <c r="A210" s="996" t="str">
        <f>A200</f>
        <v>61-90</v>
      </c>
      <c r="B210" s="997">
        <f t="shared" si="21"/>
        <v>1.366867140513942E-3</v>
      </c>
      <c r="C210" s="997">
        <f t="shared" si="21"/>
        <v>6.4083002746414403E-3</v>
      </c>
      <c r="D210" s="997">
        <f t="shared" si="21"/>
        <v>1.5424164524421594E-2</v>
      </c>
    </row>
    <row r="211" spans="1:6" ht="12" customHeight="1" x14ac:dyDescent="0.2">
      <c r="A211" s="985" t="str">
        <f>A201</f>
        <v>Over 90</v>
      </c>
      <c r="B211" s="998">
        <f t="shared" si="21"/>
        <v>1.0934937124111536E-2</v>
      </c>
      <c r="C211" s="998">
        <f t="shared" si="21"/>
        <v>1.1443393347574E-2</v>
      </c>
      <c r="D211" s="998">
        <f t="shared" si="21"/>
        <v>8.1794811871932702E-3</v>
      </c>
    </row>
    <row r="218" spans="1:6" ht="12" customHeight="1" x14ac:dyDescent="0.2">
      <c r="A218" s="977" t="s">
        <v>748</v>
      </c>
      <c r="B218" s="977"/>
      <c r="C218" s="977"/>
      <c r="D218" s="977"/>
      <c r="F218" s="873" t="s">
        <v>731</v>
      </c>
    </row>
    <row r="219" spans="1:6" ht="12" customHeight="1" x14ac:dyDescent="0.2">
      <c r="A219" s="977" t="s">
        <v>732</v>
      </c>
      <c r="B219" s="874">
        <f>B196</f>
        <v>42247</v>
      </c>
      <c r="C219" s="874">
        <f>C196</f>
        <v>42004</v>
      </c>
      <c r="D219" s="874">
        <f>D196</f>
        <v>41639</v>
      </c>
    </row>
    <row r="220" spans="1:6" ht="12" customHeight="1" x14ac:dyDescent="0.2">
      <c r="A220" s="999" t="s">
        <v>749</v>
      </c>
      <c r="B220" s="1000">
        <f>B82</f>
        <v>3518</v>
      </c>
      <c r="C220" s="1001">
        <f>C82</f>
        <v>6415</v>
      </c>
      <c r="D220" s="1001">
        <f>D82</f>
        <v>4144</v>
      </c>
    </row>
    <row r="221" spans="1:6" ht="12" customHeight="1" x14ac:dyDescent="0.2">
      <c r="A221" s="999" t="s">
        <v>748</v>
      </c>
      <c r="B221" s="1002">
        <v>-139</v>
      </c>
      <c r="C221" s="993">
        <v>-139</v>
      </c>
      <c r="D221" s="993">
        <v>-135</v>
      </c>
    </row>
    <row r="222" spans="1:6" ht="12" customHeight="1" x14ac:dyDescent="0.2">
      <c r="A222" s="999" t="s">
        <v>750</v>
      </c>
      <c r="B222" s="1003">
        <f>-B221/B220</f>
        <v>3.9511085844229674E-2</v>
      </c>
      <c r="C222" s="1003">
        <f t="shared" ref="C222:D222" si="22">-C221/C220</f>
        <v>2.1667965705378021E-2</v>
      </c>
      <c r="D222" s="1003">
        <f t="shared" si="22"/>
        <v>3.2577220077220075E-2</v>
      </c>
    </row>
    <row r="223" spans="1:6" ht="12" customHeight="1" x14ac:dyDescent="0.2">
      <c r="A223" s="999"/>
      <c r="B223" s="999"/>
      <c r="C223" s="999"/>
      <c r="D223" s="999"/>
    </row>
    <row r="224" spans="1:6" ht="12" customHeight="1" x14ac:dyDescent="0.2">
      <c r="A224" s="999" t="s">
        <v>751</v>
      </c>
      <c r="B224" s="973">
        <f>'CL - Monthly Financials'!AM38</f>
        <v>0</v>
      </c>
      <c r="C224" s="973">
        <f>'CL - Monthly Financials'!AL38</f>
        <v>0</v>
      </c>
      <c r="D224" s="973">
        <f>'CL - Monthly Financials'!AK38</f>
        <v>0</v>
      </c>
    </row>
    <row r="225" spans="1:9" ht="12" customHeight="1" x14ac:dyDescent="0.2">
      <c r="A225" s="1004" t="s">
        <v>752</v>
      </c>
      <c r="B225" s="1005">
        <f>B224/B220</f>
        <v>0</v>
      </c>
      <c r="C225" s="1005">
        <f>C224/C220</f>
        <v>0</v>
      </c>
      <c r="D225" s="1005">
        <f>D224/D220</f>
        <v>0</v>
      </c>
    </row>
    <row r="230" spans="1:9" ht="12" customHeight="1" x14ac:dyDescent="0.2">
      <c r="E230" s="938"/>
      <c r="F230" s="938"/>
      <c r="G230" s="938"/>
      <c r="H230" s="938"/>
    </row>
    <row r="231" spans="1:9" ht="12" customHeight="1" x14ac:dyDescent="0.2">
      <c r="A231" s="1006" t="s">
        <v>753</v>
      </c>
      <c r="B231" s="1006"/>
      <c r="C231" s="1006"/>
      <c r="D231" s="1006"/>
      <c r="E231" s="1007"/>
      <c r="F231" s="873" t="s">
        <v>754</v>
      </c>
      <c r="G231" s="1007"/>
      <c r="H231" s="982"/>
    </row>
    <row r="232" spans="1:9" ht="12" customHeight="1" x14ac:dyDescent="0.25">
      <c r="A232" s="977" t="s">
        <v>732</v>
      </c>
      <c r="B232" s="874">
        <f>B219</f>
        <v>42247</v>
      </c>
      <c r="C232" s="874">
        <f t="shared" ref="C232:D232" si="23">C219</f>
        <v>42004</v>
      </c>
      <c r="D232" s="874">
        <f t="shared" si="23"/>
        <v>41639</v>
      </c>
      <c r="E232" s="1008"/>
      <c r="F232" s="938"/>
      <c r="G232" s="1007"/>
      <c r="H232" s="1009"/>
    </row>
    <row r="233" spans="1:9" ht="12" customHeight="1" x14ac:dyDescent="0.25">
      <c r="A233" s="1010"/>
      <c r="B233" s="1011"/>
      <c r="C233" s="1011"/>
      <c r="D233" s="1010"/>
      <c r="E233" s="1012"/>
      <c r="F233" s="938"/>
      <c r="G233" s="1012"/>
      <c r="H233" s="1009"/>
    </row>
    <row r="234" spans="1:9" ht="12" customHeight="1" x14ac:dyDescent="0.25">
      <c r="A234" s="1010" t="s">
        <v>755</v>
      </c>
      <c r="B234" s="1013">
        <f>SUM('CL - Monthly Financials'!AM86:AM88)</f>
        <v>8661</v>
      </c>
      <c r="C234" s="1013">
        <f>SUM('CL - Monthly Financials'!AL86:AL88)</f>
        <v>9454</v>
      </c>
      <c r="D234" s="1013">
        <f>SUM('CL - Monthly Financials'!AK86:AK88)</f>
        <v>6761</v>
      </c>
      <c r="E234" s="1014"/>
      <c r="G234" s="1014"/>
      <c r="H234" s="1015"/>
    </row>
    <row r="235" spans="1:9" ht="12" customHeight="1" x14ac:dyDescent="0.25">
      <c r="A235" s="1010" t="s">
        <v>756</v>
      </c>
      <c r="B235" s="989">
        <f>'CL - Monthly Financials'!AM89</f>
        <v>641</v>
      </c>
      <c r="C235" s="989">
        <f>'CL - Monthly Financials'!AL89</f>
        <v>602</v>
      </c>
      <c r="D235" s="989">
        <f>'CL - Monthly Financials'!AK89</f>
        <v>333</v>
      </c>
      <c r="E235" s="1014"/>
      <c r="G235" s="1014"/>
      <c r="H235" s="1015"/>
    </row>
    <row r="236" spans="1:9" ht="12" customHeight="1" x14ac:dyDescent="0.25">
      <c r="A236" s="1010" t="s">
        <v>757</v>
      </c>
      <c r="B236" s="989">
        <f>'CL - Monthly Financials'!AM90</f>
        <v>-304</v>
      </c>
      <c r="C236" s="989">
        <f>'CL - Monthly Financials'!AL90</f>
        <v>-304</v>
      </c>
      <c r="D236" s="989">
        <f>'CL - Monthly Financials'!AK90</f>
        <v>-304</v>
      </c>
      <c r="E236" s="1014"/>
      <c r="G236" s="1014"/>
      <c r="H236" s="1015"/>
    </row>
    <row r="237" spans="1:9" ht="12" customHeight="1" thickBot="1" x14ac:dyDescent="0.25">
      <c r="A237" s="1016" t="s">
        <v>758</v>
      </c>
      <c r="B237" s="1017">
        <f>SUM(B234:B236)</f>
        <v>8998</v>
      </c>
      <c r="C237" s="1017">
        <f>SUM(C234:C236)</f>
        <v>9752</v>
      </c>
      <c r="D237" s="1017">
        <f>SUM(D234:D236)</f>
        <v>6790</v>
      </c>
      <c r="E237" s="1014"/>
      <c r="F237" s="947">
        <f>B237-B84</f>
        <v>0</v>
      </c>
      <c r="G237" s="947">
        <f>C237-C84</f>
        <v>0</v>
      </c>
      <c r="H237" s="947">
        <f>D237-D84</f>
        <v>0</v>
      </c>
      <c r="I237" s="873" t="s">
        <v>746</v>
      </c>
    </row>
    <row r="238" spans="1:9" ht="8.1" customHeight="1" thickTop="1" x14ac:dyDescent="0.25">
      <c r="A238" s="1010"/>
      <c r="B238" s="1018"/>
      <c r="C238" s="1019"/>
      <c r="D238" s="1019"/>
      <c r="E238" s="1014"/>
      <c r="G238" s="1014"/>
      <c r="H238" s="1015"/>
    </row>
    <row r="239" spans="1:9" ht="12" customHeight="1" x14ac:dyDescent="0.25">
      <c r="A239" s="1010" t="s">
        <v>759</v>
      </c>
      <c r="B239" s="1020">
        <f>(B237-C237)/C237</f>
        <v>-7.7317473338802303E-2</v>
      </c>
      <c r="C239" s="1020">
        <f>(C237-D237)/D237</f>
        <v>0.43622974963181149</v>
      </c>
      <c r="D239" s="1020"/>
      <c r="E239" s="1014"/>
      <c r="G239" s="1014"/>
      <c r="H239" s="1015"/>
    </row>
    <row r="240" spans="1:9" ht="8.1" customHeight="1" x14ac:dyDescent="0.25">
      <c r="A240" s="1010"/>
      <c r="B240" s="1018"/>
      <c r="C240" s="1019"/>
      <c r="D240" s="1019"/>
      <c r="E240" s="1014"/>
      <c r="G240" s="1014"/>
      <c r="H240" s="1015"/>
    </row>
    <row r="241" spans="1:8" ht="12" customHeight="1" x14ac:dyDescent="0.25">
      <c r="A241" s="1010" t="s">
        <v>735</v>
      </c>
      <c r="B241" s="1018">
        <f>B49</f>
        <v>34887</v>
      </c>
      <c r="C241" s="1018">
        <f>C49</f>
        <v>35230</v>
      </c>
      <c r="D241" s="1018">
        <f>D49</f>
        <v>25800</v>
      </c>
      <c r="E241" s="1014"/>
      <c r="G241" s="1014"/>
      <c r="H241" s="1015"/>
    </row>
    <row r="242" spans="1:8" ht="8.1" customHeight="1" x14ac:dyDescent="0.25">
      <c r="A242" s="1010"/>
      <c r="B242" s="1018"/>
      <c r="C242" s="1018"/>
      <c r="D242" s="1018"/>
      <c r="E242" s="1014"/>
      <c r="G242" s="1014"/>
      <c r="H242" s="1015"/>
    </row>
    <row r="243" spans="1:8" ht="12" customHeight="1" x14ac:dyDescent="0.25">
      <c r="A243" s="1010" t="s">
        <v>665</v>
      </c>
      <c r="B243" s="1018">
        <f>B50</f>
        <v>28109</v>
      </c>
      <c r="C243" s="1018">
        <f>C50</f>
        <v>28444</v>
      </c>
      <c r="D243" s="1018">
        <f>D50</f>
        <v>20291</v>
      </c>
      <c r="E243" s="1014"/>
      <c r="G243" s="1014"/>
      <c r="H243" s="1015"/>
    </row>
    <row r="244" spans="1:8" ht="8.1" customHeight="1" x14ac:dyDescent="0.25">
      <c r="A244" s="1010"/>
      <c r="B244" s="1018"/>
      <c r="C244" s="1018"/>
      <c r="D244" s="1018"/>
      <c r="E244" s="1014"/>
      <c r="G244" s="1014"/>
      <c r="H244" s="1015"/>
    </row>
    <row r="245" spans="1:8" ht="12" customHeight="1" x14ac:dyDescent="0.25">
      <c r="A245" s="1010" t="s">
        <v>572</v>
      </c>
      <c r="B245" s="1018">
        <f>B241-B243</f>
        <v>6778</v>
      </c>
      <c r="C245" s="1018">
        <f>C241-C243</f>
        <v>6786</v>
      </c>
      <c r="D245" s="1018">
        <f>D241-D243</f>
        <v>5509</v>
      </c>
      <c r="E245" s="1014"/>
      <c r="G245" s="1014"/>
      <c r="H245" s="1015"/>
    </row>
    <row r="246" spans="1:8" ht="8.1" customHeight="1" x14ac:dyDescent="0.2">
      <c r="A246" s="1010"/>
      <c r="B246" s="1010"/>
      <c r="C246" s="1010"/>
      <c r="D246" s="1010"/>
      <c r="E246" s="1021"/>
      <c r="G246" s="1021"/>
      <c r="H246" s="1010"/>
    </row>
    <row r="247" spans="1:8" ht="12" customHeight="1" x14ac:dyDescent="0.25">
      <c r="A247" s="1010" t="s">
        <v>760</v>
      </c>
      <c r="B247" s="1022">
        <f>B243/B237</f>
        <v>3.1239164258724159</v>
      </c>
      <c r="C247" s="1022">
        <f>C243/C237</f>
        <v>2.916735028712059</v>
      </c>
      <c r="D247" s="1022">
        <f>D243/D237</f>
        <v>2.9883652430044183</v>
      </c>
      <c r="E247" s="1023"/>
      <c r="G247" s="1023"/>
      <c r="H247" s="1024"/>
    </row>
    <row r="248" spans="1:8" ht="8.1" customHeight="1" x14ac:dyDescent="0.25">
      <c r="A248" s="1010"/>
      <c r="B248" s="1022"/>
      <c r="C248" s="1022"/>
      <c r="D248" s="1022"/>
      <c r="E248" s="1023"/>
      <c r="G248" s="1023"/>
      <c r="H248" s="1024"/>
    </row>
    <row r="249" spans="1:8" ht="12" customHeight="1" x14ac:dyDescent="0.25">
      <c r="A249" s="1010" t="s">
        <v>761</v>
      </c>
      <c r="B249" s="1025">
        <f>365/B247</f>
        <v>116.84051371446868</v>
      </c>
      <c r="C249" s="1025">
        <f>365/C247</f>
        <v>125.13992406131347</v>
      </c>
      <c r="D249" s="1025">
        <f>365/D247</f>
        <v>122.14035779409591</v>
      </c>
      <c r="E249" s="1026"/>
      <c r="G249" s="1027"/>
      <c r="H249" s="1015"/>
    </row>
    <row r="250" spans="1:8" ht="12" customHeight="1" x14ac:dyDescent="0.2">
      <c r="A250" s="1010"/>
      <c r="B250" s="1010"/>
      <c r="C250" s="1027"/>
      <c r="D250" s="1010"/>
      <c r="E250" s="1027"/>
      <c r="F250" s="1010"/>
      <c r="G250" s="1027"/>
      <c r="H250" s="1010"/>
    </row>
    <row r="254" spans="1:8" ht="12" customHeight="1" x14ac:dyDescent="0.2">
      <c r="A254" s="1209" t="s">
        <v>276</v>
      </c>
      <c r="B254" s="1209"/>
      <c r="C254" s="1209"/>
      <c r="D254" s="1209"/>
      <c r="F254" s="938" t="s">
        <v>762</v>
      </c>
    </row>
    <row r="255" spans="1:8" ht="12" customHeight="1" x14ac:dyDescent="0.2">
      <c r="A255" s="977" t="s">
        <v>732</v>
      </c>
      <c r="B255" s="874">
        <f>B232</f>
        <v>42247</v>
      </c>
      <c r="C255" s="874">
        <f>C232</f>
        <v>42004</v>
      </c>
      <c r="D255" s="874">
        <f>D232</f>
        <v>41639</v>
      </c>
      <c r="F255" s="938"/>
    </row>
    <row r="256" spans="1:8" ht="12" customHeight="1" x14ac:dyDescent="0.2">
      <c r="A256" s="967" t="s">
        <v>763</v>
      </c>
      <c r="B256" s="979">
        <v>193</v>
      </c>
      <c r="C256" s="979">
        <v>255</v>
      </c>
      <c r="D256" s="979">
        <v>237</v>
      </c>
      <c r="F256" s="938"/>
    </row>
    <row r="257" spans="1:8" ht="12" hidden="1" customHeight="1" x14ac:dyDescent="0.2">
      <c r="A257" s="967" t="s">
        <v>764</v>
      </c>
      <c r="B257" s="1028">
        <v>0</v>
      </c>
      <c r="C257" s="1028">
        <v>0</v>
      </c>
      <c r="D257" s="1028">
        <v>0</v>
      </c>
      <c r="F257" s="938"/>
    </row>
    <row r="258" spans="1:8" ht="12" hidden="1" customHeight="1" x14ac:dyDescent="0.2">
      <c r="A258" s="967" t="s">
        <v>765</v>
      </c>
      <c r="B258" s="1028">
        <v>0</v>
      </c>
      <c r="C258" s="1028">
        <v>0</v>
      </c>
      <c r="D258" s="1028">
        <v>0</v>
      </c>
      <c r="F258" s="938"/>
    </row>
    <row r="259" spans="1:8" ht="12" customHeight="1" x14ac:dyDescent="0.2">
      <c r="A259" s="967" t="s">
        <v>766</v>
      </c>
      <c r="B259" s="1029">
        <v>15</v>
      </c>
      <c r="C259" s="1030">
        <v>30</v>
      </c>
      <c r="D259" s="1030">
        <v>12</v>
      </c>
      <c r="F259" s="938"/>
      <c r="G259" s="938"/>
      <c r="H259" s="938"/>
    </row>
    <row r="260" spans="1:8" ht="12" customHeight="1" x14ac:dyDescent="0.2">
      <c r="A260" s="967" t="s">
        <v>767</v>
      </c>
      <c r="B260" s="1029">
        <v>53</v>
      </c>
      <c r="C260" s="1030">
        <v>60</v>
      </c>
      <c r="D260" s="1030">
        <v>39</v>
      </c>
      <c r="F260" s="938"/>
    </row>
    <row r="261" spans="1:8" ht="12" customHeight="1" x14ac:dyDescent="0.2">
      <c r="A261" s="967" t="s">
        <v>768</v>
      </c>
      <c r="B261" s="1029">
        <v>100</v>
      </c>
      <c r="C261" s="1030">
        <v>148</v>
      </c>
      <c r="D261" s="1030">
        <v>50</v>
      </c>
      <c r="F261" s="938"/>
    </row>
    <row r="262" spans="1:8" ht="12" customHeight="1" x14ac:dyDescent="0.2">
      <c r="A262" s="967" t="s">
        <v>769</v>
      </c>
      <c r="B262" s="1031">
        <v>-170</v>
      </c>
      <c r="C262" s="1030">
        <v>36</v>
      </c>
      <c r="D262" s="1030">
        <v>33</v>
      </c>
      <c r="F262" s="938"/>
    </row>
    <row r="263" spans="1:8" ht="12" customHeight="1" x14ac:dyDescent="0.2">
      <c r="A263" s="967" t="s">
        <v>411</v>
      </c>
      <c r="B263" s="1031">
        <v>-15</v>
      </c>
      <c r="C263" s="1028">
        <v>0</v>
      </c>
      <c r="D263" s="1028">
        <v>0</v>
      </c>
      <c r="F263" s="938"/>
    </row>
    <row r="264" spans="1:8" ht="12" customHeight="1" x14ac:dyDescent="0.2">
      <c r="A264" s="967" t="s">
        <v>770</v>
      </c>
      <c r="B264" s="1032">
        <v>7</v>
      </c>
      <c r="C264" s="1032">
        <v>8</v>
      </c>
      <c r="D264" s="1032">
        <v>7</v>
      </c>
      <c r="F264" s="938"/>
    </row>
    <row r="265" spans="1:8" ht="12" customHeight="1" x14ac:dyDescent="0.2">
      <c r="A265" s="1033" t="s">
        <v>372</v>
      </c>
      <c r="B265" s="1034">
        <f>SUM(B256:B264)</f>
        <v>183</v>
      </c>
      <c r="C265" s="1034">
        <f>SUM(C256:C264)</f>
        <v>537</v>
      </c>
      <c r="D265" s="1034">
        <f>SUM(D256:D264)</f>
        <v>378</v>
      </c>
      <c r="F265" s="938"/>
    </row>
    <row r="266" spans="1:8" ht="12" customHeight="1" x14ac:dyDescent="0.2">
      <c r="A266" s="982"/>
      <c r="B266" s="982"/>
      <c r="C266" s="982"/>
      <c r="D266" s="982"/>
    </row>
    <row r="268" spans="1:8" ht="12" customHeight="1" x14ac:dyDescent="0.2">
      <c r="B268" s="947">
        <f>B265-B26</f>
        <v>0</v>
      </c>
      <c r="C268" s="947">
        <f>C265-C26</f>
        <v>0</v>
      </c>
      <c r="D268" s="947">
        <f>D265-D26</f>
        <v>0</v>
      </c>
      <c r="E268" s="873" t="s">
        <v>746</v>
      </c>
    </row>
    <row r="273" spans="1:6" ht="12" customHeight="1" x14ac:dyDescent="0.2">
      <c r="A273" s="977" t="s">
        <v>6</v>
      </c>
      <c r="B273" s="874"/>
      <c r="C273" s="874"/>
      <c r="D273" s="874"/>
      <c r="F273" s="873" t="s">
        <v>771</v>
      </c>
    </row>
    <row r="274" spans="1:6" ht="12" customHeight="1" x14ac:dyDescent="0.2">
      <c r="A274" s="977" t="s">
        <v>732</v>
      </c>
      <c r="B274" s="874">
        <f>B255</f>
        <v>42247</v>
      </c>
      <c r="C274" s="874">
        <f t="shared" ref="C274:D274" si="24">C255</f>
        <v>42004</v>
      </c>
      <c r="D274" s="874">
        <f t="shared" si="24"/>
        <v>41639</v>
      </c>
    </row>
    <row r="275" spans="1:6" ht="12" customHeight="1" x14ac:dyDescent="0.2">
      <c r="A275" s="978"/>
      <c r="B275" s="978"/>
      <c r="C275" s="978"/>
      <c r="D275" s="978"/>
    </row>
    <row r="276" spans="1:6" ht="12" customHeight="1" x14ac:dyDescent="0.2">
      <c r="A276" s="967" t="s">
        <v>6</v>
      </c>
      <c r="B276" s="979">
        <f>B24</f>
        <v>3197</v>
      </c>
      <c r="C276" s="979">
        <f>C24</f>
        <v>5768</v>
      </c>
      <c r="D276" s="979">
        <f>D24</f>
        <v>3459</v>
      </c>
    </row>
    <row r="277" spans="1:6" ht="12" customHeight="1" x14ac:dyDescent="0.2">
      <c r="A277" s="967"/>
      <c r="B277" s="979"/>
      <c r="C277" s="979"/>
      <c r="D277" s="979"/>
    </row>
    <row r="278" spans="1:6" ht="12" customHeight="1" x14ac:dyDescent="0.2">
      <c r="A278" s="982" t="s">
        <v>665</v>
      </c>
      <c r="B278" s="983">
        <f>B50</f>
        <v>28109</v>
      </c>
      <c r="C278" s="983">
        <f>C50</f>
        <v>28444</v>
      </c>
      <c r="D278" s="983">
        <f>D50</f>
        <v>20291</v>
      </c>
    </row>
    <row r="279" spans="1:6" ht="12" customHeight="1" x14ac:dyDescent="0.2">
      <c r="A279" s="982"/>
      <c r="B279" s="982"/>
      <c r="C279" s="982"/>
      <c r="D279" s="982"/>
    </row>
    <row r="280" spans="1:6" ht="12" customHeight="1" x14ac:dyDescent="0.2">
      <c r="A280" s="982" t="s">
        <v>736</v>
      </c>
      <c r="B280" s="984">
        <f>B278/((B276+B276)/2)</f>
        <v>8.7923052862058171</v>
      </c>
      <c r="C280" s="984">
        <f>C278/((C276+C276)/2)</f>
        <v>4.931345353675451</v>
      </c>
      <c r="D280" s="984">
        <f>D278/((D276+D276)/2)</f>
        <v>5.8661462850534836</v>
      </c>
    </row>
    <row r="281" spans="1:6" ht="12" customHeight="1" x14ac:dyDescent="0.2">
      <c r="A281" s="985" t="s">
        <v>133</v>
      </c>
      <c r="B281" s="986">
        <f>365/B280</f>
        <v>41.513572165498601</v>
      </c>
      <c r="C281" s="986">
        <f>365/C280</f>
        <v>74.016312754886798</v>
      </c>
      <c r="D281" s="986">
        <f>365/D280</f>
        <v>62.22142821940762</v>
      </c>
    </row>
    <row r="282" spans="1:6" ht="12" customHeight="1" x14ac:dyDescent="0.2">
      <c r="A282" s="999"/>
      <c r="B282" s="999"/>
      <c r="C282" s="982"/>
      <c r="D282" s="982"/>
    </row>
    <row r="283" spans="1:6" ht="12" customHeight="1" x14ac:dyDescent="0.2">
      <c r="A283" s="999"/>
      <c r="B283" s="999"/>
      <c r="C283" s="982"/>
      <c r="D283" s="982"/>
    </row>
    <row r="284" spans="1:6" ht="12" customHeight="1" x14ac:dyDescent="0.2">
      <c r="A284" s="999"/>
      <c r="B284" s="999"/>
      <c r="C284" s="982"/>
      <c r="D284" s="982"/>
    </row>
    <row r="285" spans="1:6" ht="12" customHeight="1" x14ac:dyDescent="0.2">
      <c r="A285" s="999"/>
      <c r="B285" s="999"/>
      <c r="C285" s="982"/>
      <c r="D285" s="982"/>
    </row>
    <row r="286" spans="1:6" ht="12" customHeight="1" x14ac:dyDescent="0.2">
      <c r="A286" s="999"/>
      <c r="B286" s="999"/>
      <c r="C286" s="999"/>
      <c r="D286" s="999"/>
    </row>
    <row r="287" spans="1:6" ht="12" customHeight="1" x14ac:dyDescent="0.2">
      <c r="A287" s="999"/>
      <c r="B287" s="999"/>
      <c r="C287" s="999"/>
      <c r="D287" s="999"/>
    </row>
    <row r="288" spans="1:6" ht="12" customHeight="1" x14ac:dyDescent="0.2">
      <c r="A288" s="999"/>
      <c r="B288" s="999"/>
      <c r="C288" s="999"/>
      <c r="D288" s="999"/>
    </row>
    <row r="289" spans="1:9" ht="12" customHeight="1" x14ac:dyDescent="0.2">
      <c r="A289" s="977" t="s">
        <v>772</v>
      </c>
      <c r="B289" s="977"/>
      <c r="C289" s="977"/>
      <c r="D289" s="977"/>
      <c r="F289" s="873" t="s">
        <v>771</v>
      </c>
    </row>
    <row r="290" spans="1:9" ht="12" customHeight="1" x14ac:dyDescent="0.2">
      <c r="A290" s="977" t="s">
        <v>732</v>
      </c>
      <c r="B290" s="874">
        <f>B274</f>
        <v>42247</v>
      </c>
      <c r="C290" s="874">
        <f>C274</f>
        <v>42004</v>
      </c>
      <c r="D290" s="874">
        <f>D274</f>
        <v>41639</v>
      </c>
    </row>
    <row r="291" spans="1:9" ht="12" customHeight="1" x14ac:dyDescent="0.2">
      <c r="A291" s="987" t="s">
        <v>739</v>
      </c>
      <c r="B291" s="1013">
        <v>1310</v>
      </c>
      <c r="C291" s="988">
        <f>2859-19</f>
        <v>2840</v>
      </c>
      <c r="D291" s="988">
        <v>2131</v>
      </c>
    </row>
    <row r="292" spans="1:9" ht="12" customHeight="1" x14ac:dyDescent="0.2">
      <c r="A292" s="987" t="s">
        <v>740</v>
      </c>
      <c r="B292" s="1029">
        <v>1199</v>
      </c>
      <c r="C292" s="1030">
        <v>1391</v>
      </c>
      <c r="D292" s="1030">
        <v>853</v>
      </c>
    </row>
    <row r="293" spans="1:9" ht="12" customHeight="1" x14ac:dyDescent="0.2">
      <c r="A293" s="987" t="s">
        <v>741</v>
      </c>
      <c r="B293" s="1029">
        <v>282</v>
      </c>
      <c r="C293" s="1030">
        <v>769</v>
      </c>
      <c r="D293" s="1030">
        <v>200</v>
      </c>
    </row>
    <row r="294" spans="1:9" ht="12" customHeight="1" x14ac:dyDescent="0.2">
      <c r="A294" s="987" t="s">
        <v>742</v>
      </c>
      <c r="B294" s="1029">
        <v>93</v>
      </c>
      <c r="C294" s="1030">
        <v>317</v>
      </c>
      <c r="D294" s="1030">
        <v>182</v>
      </c>
    </row>
    <row r="295" spans="1:9" ht="12" customHeight="1" x14ac:dyDescent="0.2">
      <c r="A295" s="987" t="s">
        <v>743</v>
      </c>
      <c r="B295" s="1035">
        <v>313</v>
      </c>
      <c r="C295" s="1032">
        <v>451</v>
      </c>
      <c r="D295" s="1032">
        <v>93</v>
      </c>
    </row>
    <row r="296" spans="1:9" ht="12" customHeight="1" x14ac:dyDescent="0.2">
      <c r="A296" s="985" t="s">
        <v>43</v>
      </c>
      <c r="B296" s="1036">
        <f>SUM(B291:B295)</f>
        <v>3197</v>
      </c>
      <c r="C296" s="1036">
        <f>SUM(C291:C295)</f>
        <v>5768</v>
      </c>
      <c r="D296" s="1036">
        <f>SUM(D291:D295)</f>
        <v>3459</v>
      </c>
      <c r="F296" s="995">
        <f>B296-B24</f>
        <v>0</v>
      </c>
      <c r="G296" s="995">
        <f>C296-C24</f>
        <v>0</v>
      </c>
      <c r="H296" s="995">
        <f>D296-D24</f>
        <v>0</v>
      </c>
      <c r="I296" s="873" t="s">
        <v>746</v>
      </c>
    </row>
    <row r="297" spans="1:9" ht="12" customHeight="1" x14ac:dyDescent="0.2">
      <c r="A297" s="977" t="s">
        <v>773</v>
      </c>
      <c r="B297" s="977"/>
      <c r="C297" s="977"/>
      <c r="D297" s="977"/>
    </row>
    <row r="298" spans="1:9" ht="12" hidden="1" customHeight="1" x14ac:dyDescent="0.2">
      <c r="A298" s="977"/>
      <c r="B298" s="874">
        <f>B290</f>
        <v>42247</v>
      </c>
      <c r="C298" s="874">
        <f>C290</f>
        <v>42004</v>
      </c>
      <c r="D298" s="874">
        <f>D290</f>
        <v>41639</v>
      </c>
    </row>
    <row r="299" spans="1:9" ht="12" customHeight="1" x14ac:dyDescent="0.2">
      <c r="A299" s="996" t="str">
        <f>A291</f>
        <v>Current</v>
      </c>
      <c r="B299" s="1037">
        <f t="shared" ref="B299:B303" si="25">B291/$B$296</f>
        <v>0.40975914920237722</v>
      </c>
      <c r="C299" s="1037">
        <f>C291/$C$296</f>
        <v>0.49237170596393898</v>
      </c>
      <c r="D299" s="1037">
        <f>D291/$D$296</f>
        <v>0.6160740098294305</v>
      </c>
    </row>
    <row r="300" spans="1:9" ht="12" customHeight="1" x14ac:dyDescent="0.2">
      <c r="A300" s="996" t="str">
        <f>A292</f>
        <v>0-30</v>
      </c>
      <c r="B300" s="1037">
        <f t="shared" si="25"/>
        <v>0.37503909915545824</v>
      </c>
      <c r="C300" s="1037">
        <f t="shared" ref="C300:C303" si="26">C292/$C$296</f>
        <v>0.24115811373092927</v>
      </c>
      <c r="D300" s="1037">
        <f t="shared" ref="D300:D303" si="27">D292/$D$296</f>
        <v>0.24660306446949987</v>
      </c>
    </row>
    <row r="301" spans="1:9" ht="12" customHeight="1" x14ac:dyDescent="0.2">
      <c r="A301" s="996" t="str">
        <f>A293</f>
        <v>31-60</v>
      </c>
      <c r="B301" s="1037">
        <f t="shared" si="25"/>
        <v>8.820769471379418E-2</v>
      </c>
      <c r="C301" s="1037">
        <f t="shared" si="26"/>
        <v>0.13332177531206657</v>
      </c>
      <c r="D301" s="1037">
        <f t="shared" si="27"/>
        <v>5.7820179242555649E-2</v>
      </c>
    </row>
    <row r="302" spans="1:9" ht="12" customHeight="1" x14ac:dyDescent="0.2">
      <c r="A302" s="996" t="str">
        <f>A294</f>
        <v>61-90</v>
      </c>
      <c r="B302" s="1037">
        <f t="shared" si="25"/>
        <v>2.9089771660932125E-2</v>
      </c>
      <c r="C302" s="1037">
        <f t="shared" si="26"/>
        <v>5.495839112343967E-2</v>
      </c>
      <c r="D302" s="1037">
        <f t="shared" si="27"/>
        <v>5.2616363110725643E-2</v>
      </c>
    </row>
    <row r="303" spans="1:9" ht="12" customHeight="1" x14ac:dyDescent="0.2">
      <c r="A303" s="1038" t="str">
        <f>A295</f>
        <v>Over 90</v>
      </c>
      <c r="B303" s="1039">
        <f t="shared" si="25"/>
        <v>9.7904285267438218E-2</v>
      </c>
      <c r="C303" s="1039">
        <f t="shared" si="26"/>
        <v>7.8190013869625527E-2</v>
      </c>
      <c r="D303" s="1039">
        <f t="shared" si="27"/>
        <v>2.6886383347788378E-2</v>
      </c>
    </row>
    <row r="304" spans="1:9" ht="12" customHeight="1" x14ac:dyDescent="0.2">
      <c r="A304" s="1040"/>
      <c r="B304" s="1040"/>
      <c r="C304" s="1040"/>
      <c r="D304" s="1040"/>
    </row>
    <row r="311" spans="1:9" ht="12" customHeight="1" x14ac:dyDescent="0.2">
      <c r="A311" s="850" t="s">
        <v>774</v>
      </c>
      <c r="B311" s="851"/>
      <c r="C311" s="851" t="s">
        <v>775</v>
      </c>
      <c r="D311" s="851"/>
      <c r="E311" s="851"/>
      <c r="F311" s="873" t="s">
        <v>776</v>
      </c>
    </row>
    <row r="312" spans="1:9" ht="12" customHeight="1" x14ac:dyDescent="0.2">
      <c r="A312" s="850" t="s">
        <v>620</v>
      </c>
      <c r="B312" s="874">
        <f>B290</f>
        <v>42247</v>
      </c>
      <c r="C312" s="874" t="s">
        <v>777</v>
      </c>
      <c r="D312" s="851" t="s">
        <v>202</v>
      </c>
      <c r="E312" s="851" t="s">
        <v>778</v>
      </c>
    </row>
    <row r="313" spans="1:9" ht="12" customHeight="1" x14ac:dyDescent="0.2">
      <c r="A313" s="875"/>
      <c r="B313" s="875"/>
      <c r="C313" s="875"/>
      <c r="D313" s="875"/>
      <c r="E313" s="875"/>
    </row>
    <row r="314" spans="1:9" ht="12" customHeight="1" x14ac:dyDescent="0.2">
      <c r="A314" s="877" t="s">
        <v>121</v>
      </c>
      <c r="B314" s="875"/>
      <c r="C314" s="875"/>
      <c r="D314" s="875"/>
      <c r="E314" s="875"/>
    </row>
    <row r="315" spans="1:9" ht="12" customHeight="1" x14ac:dyDescent="0.2">
      <c r="A315" s="878" t="s">
        <v>647</v>
      </c>
      <c r="B315" s="1041">
        <f>B9</f>
        <v>47</v>
      </c>
      <c r="C315" s="1042">
        <v>0</v>
      </c>
      <c r="D315" s="1042">
        <v>0</v>
      </c>
      <c r="E315" s="1043">
        <f>SUM(B315:D315)</f>
        <v>47</v>
      </c>
    </row>
    <row r="316" spans="1:9" ht="12" customHeight="1" x14ac:dyDescent="0.2">
      <c r="A316" s="878" t="s">
        <v>648</v>
      </c>
      <c r="B316" s="881">
        <f>B10</f>
        <v>3518</v>
      </c>
      <c r="C316" s="973">
        <v>0</v>
      </c>
      <c r="D316" s="973">
        <v>0</v>
      </c>
      <c r="E316" s="946">
        <f>SUM(B316:D316)</f>
        <v>3518</v>
      </c>
    </row>
    <row r="317" spans="1:9" ht="12" customHeight="1" x14ac:dyDescent="0.2">
      <c r="A317" s="878" t="s">
        <v>410</v>
      </c>
      <c r="B317" s="881">
        <f>B11</f>
        <v>583</v>
      </c>
      <c r="C317" s="1029">
        <f>-B317</f>
        <v>-583</v>
      </c>
      <c r="D317" s="973">
        <v>0</v>
      </c>
      <c r="E317" s="973">
        <f>SUM(B317:D317)</f>
        <v>0</v>
      </c>
      <c r="G317" s="954">
        <v>0</v>
      </c>
      <c r="H317" s="873" t="s">
        <v>746</v>
      </c>
      <c r="I317" s="873" t="s">
        <v>779</v>
      </c>
    </row>
    <row r="318" spans="1:9" ht="12" customHeight="1" x14ac:dyDescent="0.2">
      <c r="A318" s="878" t="s">
        <v>649</v>
      </c>
      <c r="B318" s="881">
        <f>B12</f>
        <v>8998</v>
      </c>
      <c r="C318" s="973">
        <v>0</v>
      </c>
      <c r="D318" s="976" t="s">
        <v>638</v>
      </c>
      <c r="E318" s="946">
        <f>SUM(B318:D318)</f>
        <v>8998</v>
      </c>
    </row>
    <row r="319" spans="1:9" ht="12" customHeight="1" x14ac:dyDescent="0.2">
      <c r="A319" s="882" t="s">
        <v>650</v>
      </c>
      <c r="B319" s="881">
        <f>B13</f>
        <v>969</v>
      </c>
      <c r="C319" s="1044">
        <v>0</v>
      </c>
      <c r="D319" s="1044">
        <v>0</v>
      </c>
      <c r="E319" s="946">
        <f>SUM(B319:D319)</f>
        <v>969</v>
      </c>
    </row>
    <row r="320" spans="1:9" ht="12" customHeight="1" x14ac:dyDescent="0.2">
      <c r="A320" s="883" t="s">
        <v>585</v>
      </c>
      <c r="B320" s="884">
        <f>SUM(B315:B319)</f>
        <v>14115</v>
      </c>
      <c r="C320" s="884">
        <f t="shared" ref="C320:E320" si="28">SUM(C315:C319)</f>
        <v>-583</v>
      </c>
      <c r="D320" s="1045">
        <f t="shared" si="28"/>
        <v>0</v>
      </c>
      <c r="E320" s="884">
        <f t="shared" si="28"/>
        <v>13532</v>
      </c>
    </row>
    <row r="321" spans="1:9" ht="12" customHeight="1" x14ac:dyDescent="0.2">
      <c r="A321" s="885"/>
      <c r="B321" s="886"/>
      <c r="C321" s="887"/>
      <c r="D321" s="887"/>
      <c r="E321" s="887"/>
    </row>
    <row r="322" spans="1:9" ht="12" customHeight="1" x14ac:dyDescent="0.2">
      <c r="A322" s="877" t="s">
        <v>651</v>
      </c>
      <c r="B322" s="875"/>
      <c r="C322" s="875"/>
      <c r="D322" s="875"/>
      <c r="E322" s="875"/>
    </row>
    <row r="323" spans="1:9" ht="12" customHeight="1" x14ac:dyDescent="0.2">
      <c r="A323" s="888" t="s">
        <v>652</v>
      </c>
      <c r="B323" s="1046">
        <f>B17</f>
        <v>9130</v>
      </c>
      <c r="C323" s="973">
        <v>0</v>
      </c>
      <c r="D323" s="973">
        <v>0</v>
      </c>
      <c r="E323" s="946">
        <f>SUM(B323:D323)</f>
        <v>9130</v>
      </c>
    </row>
    <row r="324" spans="1:9" ht="12" customHeight="1" x14ac:dyDescent="0.2">
      <c r="A324" s="888" t="s">
        <v>654</v>
      </c>
      <c r="B324" s="1046">
        <f>B19</f>
        <v>206</v>
      </c>
      <c r="C324" s="973">
        <v>0</v>
      </c>
      <c r="D324" s="946">
        <v>-40</v>
      </c>
      <c r="E324" s="946">
        <f>SUM(B324:D324)</f>
        <v>166</v>
      </c>
      <c r="I324" s="873" t="s">
        <v>780</v>
      </c>
    </row>
    <row r="325" spans="1:9" ht="12" customHeight="1" x14ac:dyDescent="0.2">
      <c r="A325" s="885"/>
      <c r="B325" s="886"/>
      <c r="C325" s="887"/>
      <c r="D325" s="887"/>
      <c r="E325" s="887"/>
    </row>
    <row r="326" spans="1:9" ht="12" customHeight="1" thickBot="1" x14ac:dyDescent="0.25">
      <c r="A326" s="889" t="s">
        <v>1</v>
      </c>
      <c r="B326" s="890">
        <f>SUM(B320:B325)</f>
        <v>23451</v>
      </c>
      <c r="C326" s="891">
        <f>SUM(C320:C325)</f>
        <v>-583</v>
      </c>
      <c r="D326" s="891">
        <f>SUM(D320:D325)</f>
        <v>-40</v>
      </c>
      <c r="E326" s="891">
        <f>SUM(E320:E325)</f>
        <v>22828</v>
      </c>
    </row>
    <row r="327" spans="1:9" ht="12" customHeight="1" thickTop="1" x14ac:dyDescent="0.2">
      <c r="A327" s="885"/>
      <c r="B327" s="886"/>
      <c r="C327" s="887"/>
      <c r="D327" s="887"/>
      <c r="E327" s="887"/>
    </row>
    <row r="328" spans="1:9" ht="12" customHeight="1" x14ac:dyDescent="0.2">
      <c r="A328" s="877" t="s">
        <v>277</v>
      </c>
      <c r="B328" s="875"/>
      <c r="C328" s="875"/>
      <c r="D328" s="875"/>
      <c r="E328" s="875"/>
    </row>
    <row r="329" spans="1:9" ht="12" customHeight="1" x14ac:dyDescent="0.2">
      <c r="A329" s="888" t="s">
        <v>6</v>
      </c>
      <c r="B329" s="1043">
        <f>B24</f>
        <v>3197</v>
      </c>
      <c r="C329" s="1043">
        <v>0</v>
      </c>
      <c r="D329" s="1042">
        <v>0</v>
      </c>
      <c r="E329" s="1043">
        <f>SUM(B329:D329)</f>
        <v>3197</v>
      </c>
    </row>
    <row r="330" spans="1:9" ht="12" customHeight="1" x14ac:dyDescent="0.2">
      <c r="A330" s="888" t="s">
        <v>655</v>
      </c>
      <c r="B330" s="894">
        <f>B25</f>
        <v>7615</v>
      </c>
      <c r="C330" s="1047">
        <f>-B330</f>
        <v>-7615</v>
      </c>
      <c r="D330" s="973">
        <v>0</v>
      </c>
      <c r="E330" s="894">
        <f>SUM(B330:D330)</f>
        <v>0</v>
      </c>
    </row>
    <row r="331" spans="1:9" ht="12" customHeight="1" x14ac:dyDescent="0.2">
      <c r="A331" s="888" t="s">
        <v>656</v>
      </c>
      <c r="B331" s="894">
        <f>B26</f>
        <v>183</v>
      </c>
      <c r="C331" s="1047">
        <v>-38</v>
      </c>
      <c r="D331" s="1048" t="s">
        <v>638</v>
      </c>
      <c r="E331" s="894">
        <f>SUM(B331:D331)</f>
        <v>145</v>
      </c>
      <c r="G331" s="933">
        <v>0</v>
      </c>
      <c r="H331" s="873" t="s">
        <v>746</v>
      </c>
      <c r="I331" s="873" t="s">
        <v>781</v>
      </c>
    </row>
    <row r="332" spans="1:9" ht="12" customHeight="1" x14ac:dyDescent="0.2">
      <c r="A332" s="883" t="s">
        <v>372</v>
      </c>
      <c r="B332" s="1049">
        <f>SUM(B329:B331)</f>
        <v>10995</v>
      </c>
      <c r="C332" s="1049">
        <f>SUM(C329:C331)</f>
        <v>-7653</v>
      </c>
      <c r="D332" s="973">
        <f>SUM(D329:D331)</f>
        <v>0</v>
      </c>
      <c r="E332" s="1049">
        <f>SUM(E329:E331)</f>
        <v>3342</v>
      </c>
    </row>
    <row r="333" spans="1:9" ht="12" customHeight="1" x14ac:dyDescent="0.2">
      <c r="A333" s="888"/>
      <c r="B333" s="894"/>
      <c r="C333" s="894"/>
      <c r="D333" s="894"/>
      <c r="E333" s="894"/>
    </row>
    <row r="334" spans="1:9" ht="12" customHeight="1" x14ac:dyDescent="0.2">
      <c r="A334" s="877" t="s">
        <v>657</v>
      </c>
      <c r="B334" s="894"/>
      <c r="C334" s="894"/>
      <c r="D334" s="894"/>
      <c r="E334" s="973"/>
    </row>
    <row r="335" spans="1:9" ht="12" customHeight="1" x14ac:dyDescent="0.2">
      <c r="A335" s="888" t="s">
        <v>658</v>
      </c>
      <c r="B335" s="946">
        <f>B30</f>
        <v>2997</v>
      </c>
      <c r="C335" s="1029">
        <f>-B335</f>
        <v>-2997</v>
      </c>
      <c r="D335" s="973">
        <f>SUM(B335:C335)</f>
        <v>0</v>
      </c>
      <c r="E335" s="973">
        <f>SUM(B335:D335)</f>
        <v>0</v>
      </c>
    </row>
    <row r="336" spans="1:9" ht="12" customHeight="1" x14ac:dyDescent="0.2">
      <c r="A336" s="888" t="s">
        <v>659</v>
      </c>
      <c r="B336" s="946">
        <f>B31</f>
        <v>2094</v>
      </c>
      <c r="C336" s="973">
        <f>-B336</f>
        <v>-2094</v>
      </c>
      <c r="D336" s="973">
        <v>0</v>
      </c>
      <c r="E336" s="973">
        <f>SUM(B336:D336)</f>
        <v>0</v>
      </c>
      <c r="I336" s="873" t="s">
        <v>782</v>
      </c>
    </row>
    <row r="337" spans="1:9" ht="12" customHeight="1" x14ac:dyDescent="0.2">
      <c r="A337" s="888"/>
      <c r="B337" s="894"/>
      <c r="C337" s="894"/>
      <c r="D337" s="894"/>
      <c r="E337" s="894"/>
    </row>
    <row r="338" spans="1:9" ht="12" customHeight="1" thickBot="1" x14ac:dyDescent="0.25">
      <c r="A338" s="895" t="s">
        <v>2</v>
      </c>
      <c r="B338" s="890">
        <f>SUM(B332:B336)</f>
        <v>16086</v>
      </c>
      <c r="C338" s="890">
        <f>SUM(C332:C336)</f>
        <v>-12744</v>
      </c>
      <c r="D338" s="1050">
        <f t="shared" ref="D338:E338" si="29">SUM(D332:D336)</f>
        <v>0</v>
      </c>
      <c r="E338" s="890">
        <f t="shared" si="29"/>
        <v>3342</v>
      </c>
    </row>
    <row r="339" spans="1:9" ht="12" customHeight="1" thickTop="1" x14ac:dyDescent="0.2">
      <c r="A339" s="885"/>
      <c r="B339" s="886"/>
      <c r="C339" s="887"/>
      <c r="D339" s="887"/>
      <c r="E339" s="887"/>
      <c r="I339" s="947"/>
    </row>
    <row r="340" spans="1:9" ht="12" customHeight="1" x14ac:dyDescent="0.2">
      <c r="A340" s="888" t="s">
        <v>42</v>
      </c>
      <c r="B340" s="946">
        <f>B35</f>
        <v>7365</v>
      </c>
      <c r="C340" s="946">
        <f>-C338+C326</f>
        <v>12161</v>
      </c>
      <c r="D340" s="946">
        <f>-D338+D326</f>
        <v>-40</v>
      </c>
      <c r="E340" s="946">
        <f>SUM(B340:D340)</f>
        <v>19486</v>
      </c>
    </row>
    <row r="341" spans="1:9" ht="12" customHeight="1" x14ac:dyDescent="0.2">
      <c r="A341" s="885"/>
      <c r="B341" s="886"/>
      <c r="C341" s="887"/>
      <c r="D341" s="946"/>
      <c r="E341" s="887"/>
    </row>
    <row r="342" spans="1:9" ht="12" customHeight="1" thickBot="1" x14ac:dyDescent="0.25">
      <c r="A342" s="889" t="s">
        <v>660</v>
      </c>
      <c r="B342" s="890">
        <f>SUM(B338:B340)</f>
        <v>23451</v>
      </c>
      <c r="C342" s="890">
        <f>SUM(C338:C340)</f>
        <v>-583</v>
      </c>
      <c r="D342" s="890">
        <f>SUM(D338:D340)</f>
        <v>-40</v>
      </c>
      <c r="E342" s="890">
        <f>SUM(E338:E340)</f>
        <v>22828</v>
      </c>
    </row>
    <row r="343" spans="1:9" ht="12" customHeight="1" thickTop="1" x14ac:dyDescent="0.2"/>
    <row r="347" spans="1:9" ht="12" customHeight="1" x14ac:dyDescent="0.2">
      <c r="B347" s="947">
        <f>B342-B326</f>
        <v>0</v>
      </c>
      <c r="C347" s="947">
        <f>C342-C326</f>
        <v>0</v>
      </c>
      <c r="D347" s="947">
        <f>D342-D326</f>
        <v>0</v>
      </c>
      <c r="E347" s="947">
        <f>E342-E326</f>
        <v>0</v>
      </c>
      <c r="F347" s="873" t="s">
        <v>746</v>
      </c>
    </row>
    <row r="350" spans="1:9" ht="12" customHeight="1" x14ac:dyDescent="0.2">
      <c r="A350" s="850" t="s">
        <v>783</v>
      </c>
      <c r="B350" s="851" t="s">
        <v>619</v>
      </c>
      <c r="C350" s="851" t="s">
        <v>663</v>
      </c>
      <c r="D350" s="851" t="s">
        <v>663</v>
      </c>
      <c r="F350" s="873" t="s">
        <v>784</v>
      </c>
    </row>
    <row r="351" spans="1:9" ht="12" customHeight="1" x14ac:dyDescent="0.2">
      <c r="A351" s="850" t="s">
        <v>620</v>
      </c>
      <c r="B351" s="851">
        <v>2015</v>
      </c>
      <c r="C351" s="851">
        <v>2014</v>
      </c>
      <c r="D351" s="851">
        <v>2013</v>
      </c>
    </row>
    <row r="353" spans="1:4" ht="12" customHeight="1" x14ac:dyDescent="0.2">
      <c r="A353" s="873" t="s">
        <v>99</v>
      </c>
      <c r="B353" s="1051">
        <v>126.08333333333333</v>
      </c>
      <c r="C353" s="1051">
        <v>128</v>
      </c>
      <c r="D353" s="1051">
        <v>76.75</v>
      </c>
    </row>
    <row r="354" spans="1:4" ht="12" customHeight="1" x14ac:dyDescent="0.2">
      <c r="A354" s="873" t="s">
        <v>648</v>
      </c>
      <c r="B354" s="927">
        <v>4020.0833333333335</v>
      </c>
      <c r="C354" s="927">
        <v>3701.75</v>
      </c>
      <c r="D354" s="927">
        <v>2412.3333333333335</v>
      </c>
    </row>
    <row r="355" spans="1:4" ht="12" customHeight="1" x14ac:dyDescent="0.2">
      <c r="A355" s="873" t="s">
        <v>785</v>
      </c>
      <c r="B355" s="927">
        <v>443.91666666666669</v>
      </c>
      <c r="C355" s="927">
        <v>351.08333333333331</v>
      </c>
      <c r="D355" s="927">
        <v>303.91666666666669</v>
      </c>
    </row>
    <row r="356" spans="1:4" ht="12" customHeight="1" x14ac:dyDescent="0.2">
      <c r="A356" s="873" t="s">
        <v>649</v>
      </c>
      <c r="B356" s="927">
        <v>9800.8333333333339</v>
      </c>
      <c r="C356" s="927">
        <v>8625.5</v>
      </c>
      <c r="D356" s="927">
        <v>7187.583333333333</v>
      </c>
    </row>
    <row r="357" spans="1:4" ht="12" customHeight="1" x14ac:dyDescent="0.2">
      <c r="A357" s="873" t="s">
        <v>650</v>
      </c>
      <c r="B357" s="927">
        <v>789.58333333333337</v>
      </c>
      <c r="C357" s="927">
        <v>1532.4166666666667</v>
      </c>
      <c r="D357" s="927">
        <v>830.75</v>
      </c>
    </row>
    <row r="358" spans="1:4" ht="12" customHeight="1" x14ac:dyDescent="0.2">
      <c r="A358" s="1052" t="s">
        <v>585</v>
      </c>
      <c r="B358" s="893">
        <f>SUM(B353:B357)</f>
        <v>15180.500000000002</v>
      </c>
      <c r="C358" s="893">
        <f>SUM(C353:C357)</f>
        <v>14338.749999999998</v>
      </c>
      <c r="D358" s="893">
        <f>SUM(D353:D357)</f>
        <v>10811.333333333332</v>
      </c>
    </row>
    <row r="360" spans="1:4" ht="12" customHeight="1" x14ac:dyDescent="0.2">
      <c r="A360" s="873" t="s">
        <v>6</v>
      </c>
      <c r="B360" s="1051">
        <v>3709.9166666666665</v>
      </c>
      <c r="C360" s="1051">
        <v>3666.8333333333335</v>
      </c>
      <c r="D360" s="1051">
        <v>2236</v>
      </c>
    </row>
    <row r="361" spans="1:4" ht="12" customHeight="1" x14ac:dyDescent="0.2">
      <c r="A361" s="873" t="s">
        <v>656</v>
      </c>
      <c r="B361" s="927">
        <v>384.16666666666669</v>
      </c>
      <c r="C361" s="927">
        <v>685.16666666666663</v>
      </c>
      <c r="D361" s="927">
        <v>437.5</v>
      </c>
    </row>
    <row r="362" spans="1:4" ht="12" customHeight="1" x14ac:dyDescent="0.2">
      <c r="A362" s="1052" t="s">
        <v>372</v>
      </c>
      <c r="B362" s="893">
        <f>SUM(B360:B361)</f>
        <v>4094.083333333333</v>
      </c>
      <c r="C362" s="893">
        <f>SUM(C360:C361)</f>
        <v>4352</v>
      </c>
      <c r="D362" s="893">
        <f>SUM(D360:D361)</f>
        <v>2673.5</v>
      </c>
    </row>
    <row r="364" spans="1:4" ht="12" customHeight="1" x14ac:dyDescent="0.2">
      <c r="A364" s="1053" t="s">
        <v>786</v>
      </c>
      <c r="B364" s="900">
        <f>B358-B362</f>
        <v>11086.416666666668</v>
      </c>
      <c r="C364" s="900">
        <f>C358-C362</f>
        <v>9986.7499999999982</v>
      </c>
      <c r="D364" s="900">
        <f>D358-D362</f>
        <v>8137.8333333333321</v>
      </c>
    </row>
    <row r="366" spans="1:4" ht="12" customHeight="1" x14ac:dyDescent="0.2">
      <c r="A366" s="1054" t="s">
        <v>787</v>
      </c>
      <c r="B366" s="933">
        <v>54.583333333333336</v>
      </c>
      <c r="C366" s="933">
        <v>47.583333333333336</v>
      </c>
      <c r="D366" s="933">
        <v>32.666666666666664</v>
      </c>
    </row>
    <row r="367" spans="1:4" ht="12" customHeight="1" x14ac:dyDescent="0.2">
      <c r="A367" s="1054" t="s">
        <v>788</v>
      </c>
      <c r="B367" s="933">
        <v>51.25</v>
      </c>
      <c r="C367" s="933">
        <v>19.583333333333332</v>
      </c>
      <c r="D367" s="933">
        <v>0</v>
      </c>
    </row>
    <row r="368" spans="1:4" ht="12" customHeight="1" x14ac:dyDescent="0.2">
      <c r="A368" s="1054" t="s">
        <v>789</v>
      </c>
      <c r="B368" s="933">
        <v>-18.666666666666668</v>
      </c>
      <c r="C368" s="933">
        <v>-22.916666666666668</v>
      </c>
      <c r="D368" s="933">
        <v>-11.25</v>
      </c>
    </row>
    <row r="369" spans="1:9" ht="12" customHeight="1" x14ac:dyDescent="0.2">
      <c r="A369" s="1054" t="s">
        <v>790</v>
      </c>
      <c r="B369" s="933">
        <v>-425.16666666666669</v>
      </c>
      <c r="C369" s="933">
        <v>-328.16666666666669</v>
      </c>
      <c r="D369" s="933">
        <v>-292.66666666666669</v>
      </c>
    </row>
    <row r="370" spans="1:9" ht="12" hidden="1" customHeight="1" x14ac:dyDescent="0.2"/>
    <row r="371" spans="1:9" ht="12" customHeight="1" thickBot="1" x14ac:dyDescent="0.25">
      <c r="A371" s="1053" t="s">
        <v>791</v>
      </c>
      <c r="B371" s="1055">
        <f>SUM(B364:B369)</f>
        <v>10748.41666666667</v>
      </c>
      <c r="C371" s="1055">
        <f>SUM(C364:C369)</f>
        <v>9702.8333333333339</v>
      </c>
      <c r="D371" s="1055">
        <f>SUM(D364:D369)</f>
        <v>7866.5833333333321</v>
      </c>
    </row>
    <row r="372" spans="1:9" ht="12" hidden="1" customHeight="1" thickTop="1" x14ac:dyDescent="0.2"/>
    <row r="373" spans="1:9" ht="12" customHeight="1" thickTop="1" x14ac:dyDescent="0.2"/>
    <row r="376" spans="1:9" ht="12" customHeight="1" x14ac:dyDescent="0.2">
      <c r="A376" s="850" t="s">
        <v>792</v>
      </c>
      <c r="B376" s="851" t="s">
        <v>619</v>
      </c>
      <c r="C376" s="851" t="s">
        <v>663</v>
      </c>
      <c r="D376" s="851" t="s">
        <v>663</v>
      </c>
    </row>
    <row r="377" spans="1:9" ht="12" customHeight="1" x14ac:dyDescent="0.2">
      <c r="A377" s="850" t="s">
        <v>620</v>
      </c>
      <c r="B377" s="851">
        <v>2015</v>
      </c>
      <c r="C377" s="851">
        <v>2014</v>
      </c>
      <c r="D377" s="851">
        <v>2013</v>
      </c>
    </row>
    <row r="379" spans="1:9" ht="12" customHeight="1" x14ac:dyDescent="0.2">
      <c r="A379" s="873" t="s">
        <v>793</v>
      </c>
      <c r="B379" s="1051">
        <v>17105</v>
      </c>
      <c r="C379" s="1051">
        <v>17811</v>
      </c>
      <c r="D379" s="1051">
        <v>13664</v>
      </c>
    </row>
    <row r="380" spans="1:9" ht="12" customHeight="1" x14ac:dyDescent="0.2">
      <c r="A380" s="873" t="s">
        <v>794</v>
      </c>
      <c r="B380" s="927">
        <v>4212</v>
      </c>
      <c r="C380" s="927">
        <v>4107</v>
      </c>
      <c r="D380" s="927">
        <v>2773</v>
      </c>
    </row>
    <row r="381" spans="1:9" ht="12" customHeight="1" x14ac:dyDescent="0.2">
      <c r="A381" s="873" t="s">
        <v>795</v>
      </c>
      <c r="B381" s="927">
        <v>6792</v>
      </c>
      <c r="C381" s="927">
        <v>6526</v>
      </c>
      <c r="D381" s="927">
        <v>3854</v>
      </c>
    </row>
    <row r="382" spans="1:9" ht="12" customHeight="1" x14ac:dyDescent="0.2">
      <c r="A382" s="1052" t="s">
        <v>214</v>
      </c>
      <c r="B382" s="1056">
        <f>SUM(B379:B381)</f>
        <v>28109</v>
      </c>
      <c r="C382" s="1056">
        <f>SUM(C379:C381)</f>
        <v>28444</v>
      </c>
      <c r="D382" s="1056">
        <f>SUM(D379:D381)</f>
        <v>20291</v>
      </c>
      <c r="F382" s="947">
        <f>B382-B50</f>
        <v>0</v>
      </c>
      <c r="G382" s="947">
        <f>C382-C50</f>
        <v>0</v>
      </c>
      <c r="H382" s="947">
        <f>D382-D50</f>
        <v>0</v>
      </c>
      <c r="I382" s="873" t="s">
        <v>746</v>
      </c>
    </row>
    <row r="383" spans="1:9" ht="12" customHeight="1" x14ac:dyDescent="0.2">
      <c r="A383" s="977" t="s">
        <v>796</v>
      </c>
      <c r="B383" s="977"/>
      <c r="C383" s="977"/>
      <c r="D383" s="977"/>
    </row>
    <row r="384" spans="1:9" ht="12" customHeight="1" x14ac:dyDescent="0.2">
      <c r="A384" s="873" t="s">
        <v>793</v>
      </c>
      <c r="B384" s="1037">
        <f>B379/B$104</f>
        <v>0.49029724539226643</v>
      </c>
      <c r="C384" s="1037">
        <f t="shared" ref="B384:D386" si="30">C379/C$104</f>
        <v>0.50556344024978717</v>
      </c>
      <c r="D384" s="1037">
        <f t="shared" si="30"/>
        <v>0.52961240310077518</v>
      </c>
      <c r="E384" s="1037"/>
    </row>
    <row r="385" spans="1:5" ht="12" customHeight="1" x14ac:dyDescent="0.2">
      <c r="A385" s="873" t="s">
        <v>797</v>
      </c>
      <c r="B385" s="1037">
        <f t="shared" si="30"/>
        <v>0.12073265113079371</v>
      </c>
      <c r="C385" s="1037">
        <f t="shared" si="30"/>
        <v>0.11657678115242691</v>
      </c>
      <c r="D385" s="1037">
        <f t="shared" si="30"/>
        <v>0.10748062015503876</v>
      </c>
      <c r="E385" s="1037"/>
    </row>
    <row r="386" spans="1:5" ht="12" customHeight="1" x14ac:dyDescent="0.2">
      <c r="A386" s="1057" t="s">
        <v>795</v>
      </c>
      <c r="B386" s="1039">
        <f t="shared" si="30"/>
        <v>0.19468569954424284</v>
      </c>
      <c r="C386" s="1039">
        <f t="shared" si="30"/>
        <v>0.18523985239852397</v>
      </c>
      <c r="D386" s="1039">
        <f t="shared" si="30"/>
        <v>0.14937984496124032</v>
      </c>
      <c r="E386" s="1037"/>
    </row>
    <row r="390" spans="1:5" ht="12" customHeight="1" x14ac:dyDescent="0.25">
      <c r="A390"/>
      <c r="B390"/>
      <c r="C390"/>
      <c r="D390"/>
      <c r="E390"/>
    </row>
    <row r="391" spans="1:5" ht="12" hidden="1" customHeight="1" x14ac:dyDescent="0.2"/>
    <row r="392" spans="1:5" ht="12" hidden="1" customHeight="1" x14ac:dyDescent="0.2"/>
    <row r="393" spans="1:5" ht="12" hidden="1" customHeight="1" x14ac:dyDescent="0.2"/>
    <row r="394" spans="1:5" ht="12" hidden="1" customHeight="1" x14ac:dyDescent="0.2">
      <c r="A394" s="850" t="s">
        <v>798</v>
      </c>
      <c r="B394" s="977"/>
      <c r="C394" s="977"/>
      <c r="D394" s="977"/>
    </row>
    <row r="395" spans="1:5" ht="12" hidden="1" customHeight="1" x14ac:dyDescent="0.2">
      <c r="A395" s="850" t="s">
        <v>620</v>
      </c>
      <c r="B395" s="874">
        <f>B377</f>
        <v>2015</v>
      </c>
      <c r="C395" s="874">
        <f>C377</f>
        <v>2014</v>
      </c>
      <c r="D395" s="874">
        <f>D377</f>
        <v>2013</v>
      </c>
    </row>
    <row r="396" spans="1:5" ht="12" hidden="1" customHeight="1" x14ac:dyDescent="0.2"/>
    <row r="397" spans="1:5" ht="12" hidden="1" customHeight="1" x14ac:dyDescent="0.2">
      <c r="A397" s="873" t="s">
        <v>118</v>
      </c>
      <c r="B397" s="933">
        <f>B104</f>
        <v>34887</v>
      </c>
      <c r="C397" s="933">
        <f>C104</f>
        <v>35230</v>
      </c>
      <c r="D397" s="933">
        <f>D104</f>
        <v>25800</v>
      </c>
    </row>
    <row r="398" spans="1:5" ht="12" hidden="1" customHeight="1" x14ac:dyDescent="0.2">
      <c r="A398" s="873" t="s">
        <v>793</v>
      </c>
      <c r="B398" s="1058">
        <f>B379</f>
        <v>17105</v>
      </c>
      <c r="C398" s="1058">
        <f>C379</f>
        <v>17811</v>
      </c>
      <c r="D398" s="1058">
        <f>D379</f>
        <v>13664</v>
      </c>
    </row>
    <row r="399" spans="1:5" ht="12" hidden="1" customHeight="1" x14ac:dyDescent="0.2">
      <c r="A399" s="1052" t="s">
        <v>798</v>
      </c>
      <c r="B399" s="1058">
        <f>B397-B398</f>
        <v>17782</v>
      </c>
      <c r="C399" s="1058">
        <f>C397-C398</f>
        <v>17419</v>
      </c>
      <c r="D399" s="1058">
        <f>D397-D398</f>
        <v>12136</v>
      </c>
    </row>
    <row r="400" spans="1:5" ht="12" hidden="1" customHeight="1" x14ac:dyDescent="0.2"/>
    <row r="401" spans="1:4" ht="12" hidden="1" customHeight="1" x14ac:dyDescent="0.2">
      <c r="A401" s="873" t="s">
        <v>799</v>
      </c>
      <c r="B401" s="933">
        <v>100</v>
      </c>
      <c r="C401" s="933">
        <v>100</v>
      </c>
      <c r="D401" s="933">
        <v>100</v>
      </c>
    </row>
    <row r="402" spans="1:4" ht="12" hidden="1" customHeight="1" x14ac:dyDescent="0.2">
      <c r="B402" s="933"/>
      <c r="C402" s="933"/>
      <c r="D402" s="933"/>
    </row>
    <row r="403" spans="1:4" ht="12" hidden="1" customHeight="1" x14ac:dyDescent="0.2">
      <c r="A403" s="873" t="s">
        <v>800</v>
      </c>
      <c r="B403" s="933">
        <f>B399/B401</f>
        <v>177.82</v>
      </c>
      <c r="C403" s="933">
        <f>C399/C401</f>
        <v>174.19</v>
      </c>
      <c r="D403" s="933">
        <f>D399/D401</f>
        <v>121.36</v>
      </c>
    </row>
    <row r="404" spans="1:4" ht="12" hidden="1" customHeight="1" x14ac:dyDescent="0.2">
      <c r="B404" s="933"/>
      <c r="C404" s="933"/>
      <c r="D404" s="933"/>
    </row>
    <row r="405" spans="1:4" ht="12" hidden="1" customHeight="1" x14ac:dyDescent="0.2">
      <c r="A405" s="873" t="s">
        <v>801</v>
      </c>
      <c r="B405" s="933">
        <f>B397/B401</f>
        <v>348.87</v>
      </c>
      <c r="C405" s="933">
        <f>C397/C401</f>
        <v>352.3</v>
      </c>
      <c r="D405" s="933">
        <f>D397/D401</f>
        <v>258</v>
      </c>
    </row>
    <row r="406" spans="1:4" ht="12" hidden="1" customHeight="1" x14ac:dyDescent="0.2">
      <c r="B406" s="933"/>
      <c r="C406" s="933"/>
      <c r="D406" s="933"/>
    </row>
    <row r="407" spans="1:4" ht="12" hidden="1" customHeight="1" x14ac:dyDescent="0.2">
      <c r="A407" s="873" t="s">
        <v>802</v>
      </c>
      <c r="B407" s="1059">
        <f>B399/'CL - Monthly Financials'!AM94</f>
        <v>1.1671042268311893</v>
      </c>
      <c r="C407" s="933">
        <f>C399/'CL - Monthly Financials'!AL94</f>
        <v>1.2844922940786079</v>
      </c>
      <c r="D407" s="933">
        <f>D399/'CL - Monthly Financials'!AK94</f>
        <v>1.2725175631750025</v>
      </c>
    </row>
    <row r="408" spans="1:4" ht="12" hidden="1" customHeight="1" x14ac:dyDescent="0.2"/>
    <row r="409" spans="1:4" ht="12" hidden="1" customHeight="1" x14ac:dyDescent="0.2"/>
    <row r="410" spans="1:4" ht="12" hidden="1" customHeight="1" x14ac:dyDescent="0.2"/>
    <row r="411" spans="1:4" ht="12" hidden="1" customHeight="1" x14ac:dyDescent="0.2"/>
    <row r="412" spans="1:4" ht="12" hidden="1" customHeight="1" x14ac:dyDescent="0.2"/>
    <row r="414" spans="1:4" ht="12" customHeight="1" x14ac:dyDescent="0.2">
      <c r="A414" s="850" t="s">
        <v>215</v>
      </c>
      <c r="B414" s="851" t="s">
        <v>619</v>
      </c>
      <c r="C414" s="851" t="s">
        <v>663</v>
      </c>
      <c r="D414" s="851" t="s">
        <v>663</v>
      </c>
    </row>
    <row r="415" spans="1:4" ht="12" customHeight="1" x14ac:dyDescent="0.2">
      <c r="A415" s="850" t="s">
        <v>620</v>
      </c>
      <c r="B415" s="851">
        <v>2015</v>
      </c>
      <c r="C415" s="851">
        <v>2014</v>
      </c>
      <c r="D415" s="851">
        <v>2013</v>
      </c>
    </row>
    <row r="416" spans="1:4" ht="12" customHeight="1" x14ac:dyDescent="0.2">
      <c r="A416" s="873" t="s">
        <v>803</v>
      </c>
      <c r="B416" s="1051">
        <f>'CL - Monthly Financials'!AM25</f>
        <v>1170</v>
      </c>
      <c r="C416" s="1051">
        <f>'CL - Monthly Financials'!AL25</f>
        <v>1079</v>
      </c>
      <c r="D416" s="1051">
        <f>'CL - Monthly Financials'!AK25</f>
        <v>1051</v>
      </c>
    </row>
    <row r="417" spans="1:9" ht="12" customHeight="1" x14ac:dyDescent="0.2">
      <c r="A417" s="873" t="s">
        <v>804</v>
      </c>
      <c r="B417" s="933">
        <f>'CL - Monthly Financials'!AM30</f>
        <v>645</v>
      </c>
      <c r="C417" s="933">
        <f>'CL - Monthly Financials'!AL30</f>
        <v>623</v>
      </c>
      <c r="D417" s="933">
        <f>'CL - Monthly Financials'!AK30</f>
        <v>668</v>
      </c>
    </row>
    <row r="418" spans="1:9" ht="12" customHeight="1" x14ac:dyDescent="0.2">
      <c r="A418" s="873" t="s">
        <v>805</v>
      </c>
      <c r="B418" s="933">
        <f>'CL - Monthly Financials'!AM29</f>
        <v>561</v>
      </c>
      <c r="C418" s="933">
        <f>'CL - Monthly Financials'!AL29</f>
        <v>419</v>
      </c>
      <c r="D418" s="1060">
        <f>'CL - Monthly Financials'!AK29</f>
        <v>384</v>
      </c>
    </row>
    <row r="419" spans="1:9" ht="12" customHeight="1" x14ac:dyDescent="0.2">
      <c r="A419" s="873" t="s">
        <v>806</v>
      </c>
      <c r="B419" s="933">
        <f>'CL - Monthly Financials'!AM35</f>
        <v>272</v>
      </c>
      <c r="C419" s="933">
        <f>'CL - Monthly Financials'!AL35</f>
        <v>270</v>
      </c>
      <c r="D419" s="1060">
        <f>'CL - Monthly Financials'!AK35</f>
        <v>283</v>
      </c>
    </row>
    <row r="420" spans="1:9" ht="12" customHeight="1" x14ac:dyDescent="0.2">
      <c r="A420" s="873" t="s">
        <v>807</v>
      </c>
      <c r="B420" s="933">
        <f>'CL - Monthly Financials'!AM31</f>
        <v>218</v>
      </c>
      <c r="C420" s="933">
        <f>'CL - Monthly Financials'!AL31</f>
        <v>215</v>
      </c>
      <c r="D420" s="1060">
        <f>'CL - Monthly Financials'!AK31</f>
        <v>161</v>
      </c>
    </row>
    <row r="421" spans="1:9" ht="12" customHeight="1" x14ac:dyDescent="0.2">
      <c r="A421" s="873" t="s">
        <v>672</v>
      </c>
      <c r="B421" s="933">
        <f>'CL - Monthly Financials'!AM36</f>
        <v>200</v>
      </c>
      <c r="C421" s="933">
        <f>'CL - Monthly Financials'!AL36</f>
        <v>199</v>
      </c>
      <c r="D421" s="1060">
        <f>'CL - Monthly Financials'!AK36</f>
        <v>200</v>
      </c>
    </row>
    <row r="422" spans="1:9" ht="12" customHeight="1" x14ac:dyDescent="0.2">
      <c r="A422" s="873" t="s">
        <v>808</v>
      </c>
      <c r="B422" s="933">
        <f>'CL - Monthly Financials'!AM27</f>
        <v>192</v>
      </c>
      <c r="C422" s="933">
        <f>'CL - Monthly Financials'!AL27</f>
        <v>197</v>
      </c>
      <c r="D422" s="1060">
        <f>'CL - Monthly Financials'!AK27</f>
        <v>189</v>
      </c>
    </row>
    <row r="423" spans="1:9" ht="12" customHeight="1" x14ac:dyDescent="0.2">
      <c r="A423" s="873" t="s">
        <v>809</v>
      </c>
      <c r="B423" s="933">
        <f>'CL - Monthly Financials'!AM26</f>
        <v>165</v>
      </c>
      <c r="C423" s="933">
        <f>'CL - Monthly Financials'!AL26</f>
        <v>184</v>
      </c>
      <c r="D423" s="1060">
        <f>'CL - Monthly Financials'!AK26</f>
        <v>356</v>
      </c>
    </row>
    <row r="424" spans="1:9" ht="12" customHeight="1" x14ac:dyDescent="0.2">
      <c r="A424" s="873" t="s">
        <v>810</v>
      </c>
      <c r="B424" s="933">
        <f>'CL - Monthly Financials'!AM34</f>
        <v>129</v>
      </c>
      <c r="C424" s="933">
        <f>'CL - Monthly Financials'!AL34</f>
        <v>176</v>
      </c>
      <c r="D424" s="1060">
        <f>'CL - Monthly Financials'!AK34</f>
        <v>141</v>
      </c>
    </row>
    <row r="425" spans="1:9" ht="12" customHeight="1" x14ac:dyDescent="0.2">
      <c r="A425" s="873" t="s">
        <v>770</v>
      </c>
      <c r="B425" s="1061">
        <f>'CL - Monthly Financials'!AM39</f>
        <v>136</v>
      </c>
      <c r="C425" s="1061">
        <f>'CL - Monthly Financials'!AL39</f>
        <v>105</v>
      </c>
      <c r="D425" s="1062">
        <f>'CL - Monthly Financials'!AK39</f>
        <v>83</v>
      </c>
    </row>
    <row r="426" spans="1:9" ht="12" customHeight="1" x14ac:dyDescent="0.2">
      <c r="A426" s="873" t="s">
        <v>811</v>
      </c>
      <c r="B426" s="933">
        <f>'CL - Monthly Financials'!AM33</f>
        <v>44</v>
      </c>
      <c r="C426" s="933">
        <f>'CL - Monthly Financials'!AL33</f>
        <v>82</v>
      </c>
      <c r="D426" s="1060">
        <f>'CL - Monthly Financials'!AK33</f>
        <v>200</v>
      </c>
    </row>
    <row r="427" spans="1:9" ht="12" customHeight="1" x14ac:dyDescent="0.2">
      <c r="A427" s="873" t="s">
        <v>812</v>
      </c>
      <c r="B427" s="933">
        <f>'CL - Monthly Financials'!AM37</f>
        <v>48</v>
      </c>
      <c r="C427" s="933">
        <f>'CL - Monthly Financials'!AL37</f>
        <v>41</v>
      </c>
      <c r="D427" s="933">
        <f>'CL - Monthly Financials'!AK37</f>
        <v>46</v>
      </c>
    </row>
    <row r="428" spans="1:9" ht="12" customHeight="1" x14ac:dyDescent="0.2">
      <c r="A428" s="873" t="s">
        <v>813</v>
      </c>
      <c r="B428" s="933">
        <f>'CL - Monthly Financials'!AM32</f>
        <v>0</v>
      </c>
      <c r="C428" s="933">
        <f>'CL - Monthly Financials'!AL32</f>
        <v>0</v>
      </c>
      <c r="D428" s="933">
        <f>'CL - Monthly Financials'!AK32</f>
        <v>11</v>
      </c>
    </row>
    <row r="429" spans="1:9" ht="12" customHeight="1" x14ac:dyDescent="0.2">
      <c r="A429" s="911" t="s">
        <v>814</v>
      </c>
      <c r="B429" s="1058">
        <f>'CL - Monthly Financials'!AM38</f>
        <v>0</v>
      </c>
      <c r="C429" s="1058">
        <f>'CL - Monthly Financials'!AL38</f>
        <v>0</v>
      </c>
      <c r="D429" s="1058">
        <f>'CL - Monthly Financials'!AK38</f>
        <v>0</v>
      </c>
    </row>
    <row r="430" spans="1:9" ht="12" customHeight="1" x14ac:dyDescent="0.2">
      <c r="A430" s="911" t="s">
        <v>668</v>
      </c>
      <c r="B430" s="1063">
        <f>SUM(B416:B429)</f>
        <v>3780</v>
      </c>
      <c r="C430" s="1063">
        <f>SUM(C416:C429)</f>
        <v>3590</v>
      </c>
      <c r="D430" s="1063">
        <f>SUM(D416:D429)</f>
        <v>3773</v>
      </c>
      <c r="F430" s="947">
        <f>B430-B56</f>
        <v>0</v>
      </c>
      <c r="G430" s="947">
        <f>C430-C56</f>
        <v>0</v>
      </c>
      <c r="H430" s="947">
        <f>D430-D56</f>
        <v>0</v>
      </c>
      <c r="I430" s="873" t="s">
        <v>746</v>
      </c>
    </row>
    <row r="431" spans="1:9" ht="12" customHeight="1" x14ac:dyDescent="0.2">
      <c r="A431" s="977" t="s">
        <v>815</v>
      </c>
      <c r="B431" s="977"/>
      <c r="C431" s="977"/>
      <c r="D431" s="977"/>
    </row>
    <row r="432" spans="1:9" ht="12" customHeight="1" x14ac:dyDescent="0.2">
      <c r="A432" s="996" t="str">
        <f>A416</f>
        <v>Salaries and Benefits</v>
      </c>
      <c r="B432" s="1037">
        <f t="shared" ref="B432:D445" si="31">B416/B$430</f>
        <v>0.30952380952380953</v>
      </c>
      <c r="C432" s="1037">
        <f t="shared" si="31"/>
        <v>0.30055710306406686</v>
      </c>
      <c r="D432" s="1037">
        <f t="shared" si="31"/>
        <v>0.2785581765173602</v>
      </c>
    </row>
    <row r="433" spans="1:4" ht="12" customHeight="1" x14ac:dyDescent="0.2">
      <c r="A433" s="996" t="str">
        <f>A417</f>
        <v>Rent</v>
      </c>
      <c r="B433" s="1037">
        <f t="shared" si="31"/>
        <v>0.17063492063492064</v>
      </c>
      <c r="C433" s="1037">
        <f t="shared" si="31"/>
        <v>0.17353760445682451</v>
      </c>
      <c r="D433" s="1037">
        <f t="shared" si="31"/>
        <v>0.17704744235356482</v>
      </c>
    </row>
    <row r="434" spans="1:4" ht="12" customHeight="1" x14ac:dyDescent="0.2">
      <c r="A434" s="996" t="str">
        <f>A418</f>
        <v>Legal and Professional</v>
      </c>
      <c r="B434" s="1037">
        <f t="shared" si="31"/>
        <v>0.14841269841269841</v>
      </c>
      <c r="C434" s="1037">
        <f t="shared" si="31"/>
        <v>0.11671309192200557</v>
      </c>
      <c r="D434" s="1037">
        <f t="shared" si="31"/>
        <v>0.101775775245163</v>
      </c>
    </row>
    <row r="435" spans="1:4" ht="12" customHeight="1" x14ac:dyDescent="0.2">
      <c r="A435" s="996" t="str">
        <f t="shared" ref="A435:A445" si="32">A419</f>
        <v>Credit Card Discounts</v>
      </c>
      <c r="B435" s="1037">
        <f t="shared" si="31"/>
        <v>7.1957671957671956E-2</v>
      </c>
      <c r="C435" s="1037">
        <f t="shared" si="31"/>
        <v>7.5208913649025072E-2</v>
      </c>
      <c r="D435" s="1037">
        <f t="shared" si="31"/>
        <v>7.5006626027034187E-2</v>
      </c>
    </row>
    <row r="436" spans="1:4" ht="12" customHeight="1" x14ac:dyDescent="0.2">
      <c r="A436" s="996" t="str">
        <f t="shared" si="32"/>
        <v>Supplies</v>
      </c>
      <c r="B436" s="1037">
        <f t="shared" si="31"/>
        <v>5.7671957671957673E-2</v>
      </c>
      <c r="C436" s="1037">
        <f t="shared" si="31"/>
        <v>5.9888579387186627E-2</v>
      </c>
      <c r="D436" s="1037">
        <f t="shared" si="31"/>
        <v>4.267161410018553E-2</v>
      </c>
    </row>
    <row r="437" spans="1:4" ht="12" customHeight="1" x14ac:dyDescent="0.2">
      <c r="A437" s="996" t="str">
        <f t="shared" si="32"/>
        <v>Depreciation and Amortization</v>
      </c>
      <c r="B437" s="1037">
        <f t="shared" si="31"/>
        <v>5.2910052910052907E-2</v>
      </c>
      <c r="C437" s="1037">
        <f t="shared" si="31"/>
        <v>5.5431754874651809E-2</v>
      </c>
      <c r="D437" s="1037">
        <f t="shared" si="31"/>
        <v>5.3008216273522396E-2</v>
      </c>
    </row>
    <row r="438" spans="1:4" ht="12" customHeight="1" x14ac:dyDescent="0.2">
      <c r="A438" s="996" t="str">
        <f t="shared" si="32"/>
        <v>Utilities</v>
      </c>
      <c r="B438" s="1037">
        <f t="shared" si="31"/>
        <v>5.0793650793650794E-2</v>
      </c>
      <c r="C438" s="1037">
        <f t="shared" si="31"/>
        <v>5.4874651810584957E-2</v>
      </c>
      <c r="D438" s="1037">
        <f t="shared" si="31"/>
        <v>5.0092764378478663E-2</v>
      </c>
    </row>
    <row r="439" spans="1:4" ht="12" customHeight="1" x14ac:dyDescent="0.2">
      <c r="A439" s="996" t="str">
        <f t="shared" si="32"/>
        <v>Travel and Entertainment</v>
      </c>
      <c r="B439" s="1037">
        <f t="shared" si="31"/>
        <v>4.3650793650793648E-2</v>
      </c>
      <c r="C439" s="1037">
        <f t="shared" si="31"/>
        <v>5.1253481894150417E-2</v>
      </c>
      <c r="D439" s="1037">
        <f t="shared" si="31"/>
        <v>9.435462496686986E-2</v>
      </c>
    </row>
    <row r="440" spans="1:4" ht="12" customHeight="1" x14ac:dyDescent="0.2">
      <c r="A440" s="996" t="str">
        <f t="shared" si="32"/>
        <v>Sales Samples &amp; Displays / Sales Literature</v>
      </c>
      <c r="B440" s="1037">
        <f t="shared" si="31"/>
        <v>3.4126984126984124E-2</v>
      </c>
      <c r="C440" s="1037">
        <f t="shared" si="31"/>
        <v>4.9025069637883008E-2</v>
      </c>
      <c r="D440" s="1037">
        <f t="shared" si="31"/>
        <v>3.7370792472833286E-2</v>
      </c>
    </row>
    <row r="441" spans="1:4" ht="12" customHeight="1" x14ac:dyDescent="0.2">
      <c r="A441" s="996" t="str">
        <f t="shared" si="32"/>
        <v>Other</v>
      </c>
      <c r="B441" s="1037">
        <f t="shared" si="31"/>
        <v>3.5978835978835978E-2</v>
      </c>
      <c r="C441" s="1037">
        <f t="shared" si="31"/>
        <v>2.9247910863509748E-2</v>
      </c>
      <c r="D441" s="1037">
        <f t="shared" si="31"/>
        <v>2.1998409753511795E-2</v>
      </c>
    </row>
    <row r="442" spans="1:4" ht="12" customHeight="1" x14ac:dyDescent="0.2">
      <c r="A442" s="996" t="str">
        <f t="shared" si="32"/>
        <v>Conventions</v>
      </c>
      <c r="B442" s="1037">
        <f t="shared" si="31"/>
        <v>1.164021164021164E-2</v>
      </c>
      <c r="C442" s="1037">
        <f t="shared" si="31"/>
        <v>2.2841225626740947E-2</v>
      </c>
      <c r="D442" s="1037">
        <f t="shared" si="31"/>
        <v>5.3008216273522396E-2</v>
      </c>
    </row>
    <row r="443" spans="1:4" ht="12" customHeight="1" x14ac:dyDescent="0.2">
      <c r="A443" s="996" t="str">
        <f t="shared" si="32"/>
        <v>Insurance</v>
      </c>
      <c r="B443" s="1037">
        <f t="shared" si="31"/>
        <v>1.2698412698412698E-2</v>
      </c>
      <c r="C443" s="1037">
        <f t="shared" si="31"/>
        <v>1.1420612813370474E-2</v>
      </c>
      <c r="D443" s="1037">
        <f t="shared" si="31"/>
        <v>1.2191889742910151E-2</v>
      </c>
    </row>
    <row r="444" spans="1:4" ht="12" customHeight="1" x14ac:dyDescent="0.2">
      <c r="A444" s="996" t="str">
        <f t="shared" si="32"/>
        <v>Repair and Maintenance</v>
      </c>
      <c r="B444" s="1037">
        <f t="shared" si="31"/>
        <v>0</v>
      </c>
      <c r="C444" s="1037">
        <f t="shared" si="31"/>
        <v>0</v>
      </c>
      <c r="D444" s="1037">
        <f t="shared" si="31"/>
        <v>2.9154518950437317E-3</v>
      </c>
    </row>
    <row r="445" spans="1:4" ht="12" customHeight="1" x14ac:dyDescent="0.2">
      <c r="A445" s="1038" t="str">
        <f t="shared" si="32"/>
        <v>Bad Debts</v>
      </c>
      <c r="B445" s="1039">
        <f t="shared" si="31"/>
        <v>0</v>
      </c>
      <c r="C445" s="1039">
        <f t="shared" si="31"/>
        <v>0</v>
      </c>
      <c r="D445" s="1039">
        <f t="shared" si="31"/>
        <v>0</v>
      </c>
    </row>
    <row r="446" spans="1:4" ht="12" customHeight="1" x14ac:dyDescent="0.2">
      <c r="A446" s="996"/>
      <c r="B446" s="1064"/>
    </row>
    <row r="447" spans="1:4" ht="12" customHeight="1" x14ac:dyDescent="0.2">
      <c r="A447" s="996"/>
    </row>
  </sheetData>
  <mergeCells count="1">
    <mergeCell ref="A254:D254"/>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M120"/>
  <sheetViews>
    <sheetView zoomScale="70" zoomScaleNormal="70" workbookViewId="0">
      <pane xSplit="1" ySplit="6" topLeftCell="F56" activePane="bottomRight" state="frozen"/>
      <selection activeCell="Y37" sqref="Y37:Y38"/>
      <selection pane="topRight" activeCell="Y37" sqref="Y37:Y38"/>
      <selection pane="bottomLeft" activeCell="Y37" sqref="Y37:Y38"/>
      <selection pane="bottomRight" activeCell="AH82" sqref="AH82"/>
    </sheetView>
  </sheetViews>
  <sheetFormatPr defaultColWidth="9.140625" defaultRowHeight="12.75" x14ac:dyDescent="0.2"/>
  <cols>
    <col min="1" max="1" width="38.42578125" style="1098" bestFit="1" customWidth="1"/>
    <col min="2" max="2" width="10.85546875" style="1060" bestFit="1" customWidth="1"/>
    <col min="3" max="3" width="11.7109375" style="1060" bestFit="1" customWidth="1"/>
    <col min="4" max="4" width="10.140625" style="1060" bestFit="1" customWidth="1"/>
    <col min="5" max="5" width="10" style="1060" bestFit="1" customWidth="1"/>
    <col min="6" max="9" width="10.140625" style="1060" bestFit="1" customWidth="1"/>
    <col min="10" max="10" width="9.28515625" style="1060" customWidth="1"/>
    <col min="11" max="11" width="11" style="1060" bestFit="1" customWidth="1"/>
    <col min="12" max="12" width="12.85546875" style="1060" bestFit="1" customWidth="1"/>
    <col min="13" max="13" width="13" style="1060" bestFit="1" customWidth="1"/>
    <col min="14" max="14" width="10.85546875" style="1060" customWidth="1"/>
    <col min="15" max="15" width="11.7109375" style="1060" customWidth="1"/>
    <col min="16" max="16" width="10.5703125" style="1060" customWidth="1"/>
    <col min="17" max="17" width="10.140625" style="1060" customWidth="1"/>
    <col min="18" max="18" width="10.5703125" style="1060" customWidth="1"/>
    <col min="19" max="20" width="10" style="1060" customWidth="1"/>
    <col min="21" max="21" width="10.140625" style="1060" customWidth="1"/>
    <col min="22" max="22" width="13.7109375" style="1060" customWidth="1"/>
    <col min="23" max="23" width="11" style="1060" customWidth="1"/>
    <col min="24" max="24" width="12.85546875" style="1060" customWidth="1"/>
    <col min="25" max="34" width="13" style="1060" customWidth="1"/>
    <col min="35" max="35" width="2" style="1062" customWidth="1"/>
    <col min="36" max="36" width="13.85546875" style="1062" hidden="1" customWidth="1"/>
    <col min="37" max="39" width="13.85546875" style="1062" customWidth="1"/>
    <col min="40" max="16384" width="9.140625" style="1066"/>
  </cols>
  <sheetData>
    <row r="1" spans="1:39" x14ac:dyDescent="0.2">
      <c r="A1" s="869"/>
      <c r="B1" s="1065"/>
      <c r="C1" s="1065"/>
      <c r="D1" s="1065"/>
      <c r="E1" s="1065"/>
      <c r="F1" s="1065"/>
      <c r="G1" s="1065"/>
      <c r="H1" s="1065"/>
      <c r="I1" s="1065"/>
      <c r="J1" s="1065"/>
      <c r="K1" s="1065"/>
      <c r="L1" s="1065"/>
      <c r="M1" s="1065"/>
    </row>
    <row r="2" spans="1:39" ht="18.75" x14ac:dyDescent="0.3">
      <c r="A2" s="1067" t="s">
        <v>662</v>
      </c>
    </row>
    <row r="3" spans="1:39" x14ac:dyDescent="0.2">
      <c r="A3" s="869"/>
    </row>
    <row r="4" spans="1:39" ht="15.75" customHeight="1" x14ac:dyDescent="0.2">
      <c r="A4" s="1068"/>
      <c r="B4" s="1210">
        <v>2013</v>
      </c>
      <c r="C4" s="1211"/>
      <c r="D4" s="1211"/>
      <c r="E4" s="1211"/>
      <c r="F4" s="1211"/>
      <c r="G4" s="1211"/>
      <c r="H4" s="1211"/>
      <c r="I4" s="1211"/>
      <c r="J4" s="1211"/>
      <c r="K4" s="1211"/>
      <c r="L4" s="1211"/>
      <c r="M4" s="1212"/>
      <c r="N4" s="1213">
        <v>2014</v>
      </c>
      <c r="O4" s="1214"/>
      <c r="P4" s="1214"/>
      <c r="Q4" s="1214"/>
      <c r="R4" s="1214"/>
      <c r="S4" s="1214"/>
      <c r="T4" s="1214"/>
      <c r="U4" s="1214"/>
      <c r="V4" s="1214"/>
      <c r="W4" s="1214"/>
      <c r="X4" s="1214"/>
      <c r="Y4" s="1214"/>
      <c r="Z4" s="1215">
        <v>2015</v>
      </c>
      <c r="AA4" s="1215"/>
      <c r="AB4" s="1215"/>
      <c r="AC4" s="1215"/>
      <c r="AD4" s="1215"/>
      <c r="AE4" s="1215"/>
      <c r="AF4" s="1069"/>
      <c r="AG4" s="1069"/>
      <c r="AH4" s="1070"/>
    </row>
    <row r="5" spans="1:39" ht="15" customHeight="1" x14ac:dyDescent="0.2">
      <c r="A5" s="1068"/>
      <c r="B5" s="1071"/>
      <c r="C5" s="1071"/>
      <c r="D5" s="1071"/>
      <c r="E5" s="1071"/>
      <c r="F5" s="1071"/>
      <c r="G5" s="1071"/>
      <c r="H5" s="1071"/>
      <c r="I5" s="1071"/>
      <c r="J5" s="1071"/>
      <c r="K5" s="1071"/>
      <c r="L5" s="1071"/>
      <c r="M5" s="1071"/>
      <c r="N5" s="1071"/>
      <c r="O5" s="1071"/>
      <c r="P5" s="1071"/>
      <c r="Q5" s="1071"/>
      <c r="R5" s="1071"/>
      <c r="S5" s="1071"/>
      <c r="T5" s="1071"/>
      <c r="U5" s="1071"/>
      <c r="V5" s="1071"/>
      <c r="W5" s="1071"/>
      <c r="X5" s="1071"/>
      <c r="Y5" s="1071"/>
      <c r="Z5" s="1071"/>
      <c r="AA5" s="1071"/>
      <c r="AB5" s="1071"/>
      <c r="AC5" s="1071"/>
      <c r="AD5" s="1071"/>
      <c r="AE5" s="1071"/>
      <c r="AF5" s="1071"/>
      <c r="AG5" s="1071"/>
      <c r="AH5" s="1071"/>
      <c r="AJ5" s="1072" t="s">
        <v>816</v>
      </c>
      <c r="AK5" s="1072" t="s">
        <v>816</v>
      </c>
      <c r="AL5" s="1072" t="s">
        <v>816</v>
      </c>
      <c r="AM5" s="1072" t="s">
        <v>619</v>
      </c>
    </row>
    <row r="6" spans="1:39" x14ac:dyDescent="0.2">
      <c r="A6" s="1073"/>
      <c r="B6" s="1074" t="s">
        <v>817</v>
      </c>
      <c r="C6" s="1074" t="s">
        <v>818</v>
      </c>
      <c r="D6" s="1074" t="s">
        <v>819</v>
      </c>
      <c r="E6" s="1074" t="s">
        <v>820</v>
      </c>
      <c r="F6" s="1074" t="s">
        <v>821</v>
      </c>
      <c r="G6" s="1074" t="s">
        <v>822</v>
      </c>
      <c r="H6" s="1074" t="s">
        <v>823</v>
      </c>
      <c r="I6" s="1074" t="s">
        <v>824</v>
      </c>
      <c r="J6" s="1074" t="s">
        <v>825</v>
      </c>
      <c r="K6" s="1074" t="s">
        <v>826</v>
      </c>
      <c r="L6" s="1074" t="s">
        <v>827</v>
      </c>
      <c r="M6" s="1074" t="s">
        <v>828</v>
      </c>
      <c r="N6" s="1074" t="s">
        <v>817</v>
      </c>
      <c r="O6" s="1074" t="s">
        <v>818</v>
      </c>
      <c r="P6" s="1074" t="s">
        <v>819</v>
      </c>
      <c r="Q6" s="1074" t="s">
        <v>820</v>
      </c>
      <c r="R6" s="1074" t="s">
        <v>821</v>
      </c>
      <c r="S6" s="1074" t="s">
        <v>822</v>
      </c>
      <c r="T6" s="1074" t="s">
        <v>823</v>
      </c>
      <c r="U6" s="1074" t="s">
        <v>824</v>
      </c>
      <c r="V6" s="1074" t="s">
        <v>825</v>
      </c>
      <c r="W6" s="1074" t="s">
        <v>826</v>
      </c>
      <c r="X6" s="1074" t="s">
        <v>827</v>
      </c>
      <c r="Y6" s="1074" t="s">
        <v>828</v>
      </c>
      <c r="Z6" s="1074" t="s">
        <v>817</v>
      </c>
      <c r="AA6" s="1074" t="s">
        <v>818</v>
      </c>
      <c r="AB6" s="1074" t="s">
        <v>819</v>
      </c>
      <c r="AC6" s="1074" t="s">
        <v>820</v>
      </c>
      <c r="AD6" s="1074" t="s">
        <v>821</v>
      </c>
      <c r="AE6" s="1074" t="s">
        <v>822</v>
      </c>
      <c r="AF6" s="1074" t="s">
        <v>823</v>
      </c>
      <c r="AG6" s="1074" t="s">
        <v>824</v>
      </c>
      <c r="AH6" s="1074" t="s">
        <v>825</v>
      </c>
      <c r="AJ6" s="1075" t="e">
        <v>#REF!</v>
      </c>
      <c r="AK6" s="1075">
        <v>2013</v>
      </c>
      <c r="AL6" s="1075">
        <v>2014</v>
      </c>
      <c r="AM6" s="1075">
        <v>2015</v>
      </c>
    </row>
    <row r="7" spans="1:39" x14ac:dyDescent="0.2">
      <c r="A7" s="1068" t="s">
        <v>26</v>
      </c>
      <c r="B7" s="1076">
        <v>1704</v>
      </c>
      <c r="C7" s="1076">
        <v>1766</v>
      </c>
      <c r="D7" s="1076">
        <v>1997</v>
      </c>
      <c r="E7" s="1076">
        <v>1755</v>
      </c>
      <c r="F7" s="1076">
        <v>1932</v>
      </c>
      <c r="G7" s="1076">
        <v>1798</v>
      </c>
      <c r="H7" s="1076">
        <v>1530</v>
      </c>
      <c r="I7" s="1076">
        <v>1719</v>
      </c>
      <c r="J7" s="1076">
        <v>1917</v>
      </c>
      <c r="K7" s="1076">
        <v>2290</v>
      </c>
      <c r="L7" s="1076">
        <v>3163</v>
      </c>
      <c r="M7" s="1076">
        <v>4229</v>
      </c>
      <c r="N7" s="1076">
        <v>2417</v>
      </c>
      <c r="O7" s="1076">
        <v>1932</v>
      </c>
      <c r="P7" s="1076">
        <v>2419</v>
      </c>
      <c r="Q7" s="1076">
        <v>2146</v>
      </c>
      <c r="R7" s="1076">
        <v>2848</v>
      </c>
      <c r="S7" s="1076">
        <v>2138</v>
      </c>
      <c r="T7" s="1076">
        <v>2450</v>
      </c>
      <c r="U7" s="1076">
        <v>2326</v>
      </c>
      <c r="V7" s="1076">
        <v>2639</v>
      </c>
      <c r="W7" s="1076">
        <v>2939</v>
      </c>
      <c r="X7" s="1076">
        <v>4519</v>
      </c>
      <c r="Y7" s="1076">
        <v>6457</v>
      </c>
      <c r="Z7" s="1076">
        <v>2550</v>
      </c>
      <c r="AA7" s="1076">
        <v>2019</v>
      </c>
      <c r="AB7" s="1076">
        <v>2041</v>
      </c>
      <c r="AC7" s="1076">
        <v>2347</v>
      </c>
      <c r="AD7" s="1076">
        <v>2192</v>
      </c>
      <c r="AE7" s="1076">
        <v>2066</v>
      </c>
      <c r="AF7" s="1076">
        <v>2466</v>
      </c>
      <c r="AG7" s="1076">
        <v>2652</v>
      </c>
      <c r="AH7" s="1076">
        <v>3133.4690000000001</v>
      </c>
      <c r="AJ7" s="1077" t="e">
        <f>SUM(#REF!)</f>
        <v>#REF!</v>
      </c>
      <c r="AK7" s="1077">
        <f>SUM(B7:M7)</f>
        <v>25800</v>
      </c>
      <c r="AL7" s="1077">
        <f>SUM(N7:Y7)</f>
        <v>35230</v>
      </c>
      <c r="AM7" s="1077">
        <f>SUM(V7:AG7)</f>
        <v>34887</v>
      </c>
    </row>
    <row r="8" spans="1:39" x14ac:dyDescent="0.2">
      <c r="A8" s="1068" t="s">
        <v>792</v>
      </c>
      <c r="B8" s="1076"/>
      <c r="C8" s="1076"/>
      <c r="D8" s="1076"/>
      <c r="E8" s="1076"/>
      <c r="F8" s="1076"/>
      <c r="G8" s="1076"/>
      <c r="H8" s="1076"/>
      <c r="I8" s="1076"/>
      <c r="J8" s="1076"/>
      <c r="K8" s="1076"/>
      <c r="L8" s="1076"/>
      <c r="M8" s="1076"/>
      <c r="N8" s="1076"/>
      <c r="O8" s="1076"/>
      <c r="P8" s="1076"/>
      <c r="Q8" s="1076"/>
      <c r="R8" s="1076"/>
      <c r="S8" s="1076"/>
      <c r="T8" s="1076"/>
      <c r="U8" s="1076"/>
      <c r="V8" s="1076"/>
      <c r="W8" s="1076"/>
      <c r="X8" s="1076"/>
      <c r="Y8" s="1076"/>
      <c r="Z8" s="1076"/>
      <c r="AA8" s="1076"/>
      <c r="AB8" s="1076"/>
      <c r="AC8" s="1076"/>
      <c r="AD8" s="1076"/>
      <c r="AE8" s="1076"/>
      <c r="AF8" s="1076"/>
      <c r="AG8" s="1076"/>
      <c r="AH8" s="1076"/>
      <c r="AJ8" s="1077"/>
      <c r="AK8" s="1077"/>
      <c r="AL8" s="1077"/>
      <c r="AM8" s="1077"/>
    </row>
    <row r="9" spans="1:39" x14ac:dyDescent="0.2">
      <c r="A9" s="1078" t="s">
        <v>829</v>
      </c>
      <c r="B9" s="1076">
        <v>118</v>
      </c>
      <c r="C9" s="1076">
        <v>145</v>
      </c>
      <c r="D9" s="1076">
        <v>206</v>
      </c>
      <c r="E9" s="1076">
        <v>192</v>
      </c>
      <c r="F9" s="1076">
        <v>218</v>
      </c>
      <c r="G9" s="1076">
        <v>217</v>
      </c>
      <c r="H9" s="1076">
        <v>196</v>
      </c>
      <c r="I9" s="1076">
        <v>226</v>
      </c>
      <c r="J9" s="1076">
        <v>192</v>
      </c>
      <c r="K9" s="1076">
        <v>187</v>
      </c>
      <c r="L9" s="1076">
        <v>336</v>
      </c>
      <c r="M9" s="1076">
        <v>540</v>
      </c>
      <c r="N9" s="1076">
        <v>290</v>
      </c>
      <c r="O9" s="1076">
        <v>216</v>
      </c>
      <c r="P9" s="1076">
        <v>263</v>
      </c>
      <c r="Q9" s="1076">
        <v>240</v>
      </c>
      <c r="R9" s="1076">
        <v>398</v>
      </c>
      <c r="S9" s="1076">
        <v>325</v>
      </c>
      <c r="T9" s="1076">
        <v>260</v>
      </c>
      <c r="U9" s="1076">
        <v>281</v>
      </c>
      <c r="V9" s="1076">
        <v>275</v>
      </c>
      <c r="W9" s="1076">
        <v>310</v>
      </c>
      <c r="X9" s="1076">
        <v>468</v>
      </c>
      <c r="Y9" s="1076">
        <v>782</v>
      </c>
      <c r="Z9" s="1076">
        <v>294</v>
      </c>
      <c r="AA9" s="1076">
        <v>229</v>
      </c>
      <c r="AB9" s="1076">
        <v>197</v>
      </c>
      <c r="AC9" s="1076">
        <v>231</v>
      </c>
      <c r="AD9" s="1076">
        <v>426</v>
      </c>
      <c r="AE9" s="1076">
        <v>283</v>
      </c>
      <c r="AF9" s="1076">
        <v>368</v>
      </c>
      <c r="AG9" s="1076">
        <v>349</v>
      </c>
      <c r="AH9" s="1076">
        <v>426.94254999999998</v>
      </c>
      <c r="AJ9" s="1077" t="e">
        <f>SUM(#REF!)</f>
        <v>#REF!</v>
      </c>
      <c r="AK9" s="1077">
        <f>SUM(B9:M9)</f>
        <v>2773</v>
      </c>
      <c r="AL9" s="1077">
        <f t="shared" ref="AL9:AL17" si="0">SUM(N9:Y9)</f>
        <v>4108</v>
      </c>
      <c r="AM9" s="1077">
        <f t="shared" ref="AM9:AM19" si="1">SUM(V9:AG9)</f>
        <v>4212</v>
      </c>
    </row>
    <row r="10" spans="1:39" x14ac:dyDescent="0.2">
      <c r="A10" s="1078" t="s">
        <v>830</v>
      </c>
      <c r="B10" s="1076">
        <v>204</v>
      </c>
      <c r="C10" s="1076">
        <v>236</v>
      </c>
      <c r="D10" s="1076">
        <v>238</v>
      </c>
      <c r="E10" s="1076">
        <v>240</v>
      </c>
      <c r="F10" s="1076">
        <v>269</v>
      </c>
      <c r="G10" s="1076">
        <v>189</v>
      </c>
      <c r="H10" s="1076">
        <v>212</v>
      </c>
      <c r="I10" s="1076">
        <v>185</v>
      </c>
      <c r="J10" s="1076">
        <v>238</v>
      </c>
      <c r="K10" s="1076">
        <v>283</v>
      </c>
      <c r="L10" s="1076">
        <v>457</v>
      </c>
      <c r="M10" s="1076">
        <v>691</v>
      </c>
      <c r="N10" s="1076">
        <v>431</v>
      </c>
      <c r="O10" s="1076">
        <v>311</v>
      </c>
      <c r="P10" s="1076">
        <v>466</v>
      </c>
      <c r="Q10" s="1076">
        <v>366</v>
      </c>
      <c r="R10" s="1076">
        <v>508</v>
      </c>
      <c r="S10" s="1076">
        <v>303</v>
      </c>
      <c r="T10" s="1076">
        <v>471</v>
      </c>
      <c r="U10" s="1076">
        <v>424</v>
      </c>
      <c r="V10" s="1076">
        <v>504</v>
      </c>
      <c r="W10" s="1076">
        <v>470</v>
      </c>
      <c r="X10" s="1076">
        <v>745</v>
      </c>
      <c r="Y10" s="1076">
        <v>824</v>
      </c>
      <c r="Z10" s="1076">
        <v>438</v>
      </c>
      <c r="AA10" s="1076">
        <v>314</v>
      </c>
      <c r="AB10" s="1076">
        <v>276</v>
      </c>
      <c r="AC10" s="1076">
        <v>381</v>
      </c>
      <c r="AD10" s="1076">
        <v>420</v>
      </c>
      <c r="AE10" s="1076">
        <v>299</v>
      </c>
      <c r="AF10" s="1076">
        <v>399</v>
      </c>
      <c r="AG10" s="1076">
        <v>516</v>
      </c>
      <c r="AH10" s="1076">
        <v>443.51026000000002</v>
      </c>
      <c r="AJ10" s="1077" t="e">
        <f>SUM(#REF!)</f>
        <v>#REF!</v>
      </c>
      <c r="AK10" s="1077">
        <f>SUM(B10:M10)</f>
        <v>3442</v>
      </c>
      <c r="AL10" s="1077">
        <f t="shared" si="0"/>
        <v>5823</v>
      </c>
      <c r="AM10" s="1077">
        <f t="shared" si="1"/>
        <v>5586</v>
      </c>
    </row>
    <row r="11" spans="1:39" x14ac:dyDescent="0.2">
      <c r="A11" s="1078" t="s">
        <v>804</v>
      </c>
      <c r="B11" s="1076">
        <v>48</v>
      </c>
      <c r="C11" s="1076">
        <v>48</v>
      </c>
      <c r="D11" s="1076">
        <v>40</v>
      </c>
      <c r="E11" s="1076">
        <v>48</v>
      </c>
      <c r="F11" s="1076">
        <v>48</v>
      </c>
      <c r="G11" s="1076">
        <v>48</v>
      </c>
      <c r="H11" s="1076">
        <v>48</v>
      </c>
      <c r="I11" s="1076">
        <v>48</v>
      </c>
      <c r="J11" s="1076">
        <v>48</v>
      </c>
      <c r="K11" s="1076">
        <v>48</v>
      </c>
      <c r="L11" s="1076">
        <v>48</v>
      </c>
      <c r="M11" s="1076">
        <v>48</v>
      </c>
      <c r="N11" s="1076">
        <v>49</v>
      </c>
      <c r="O11" s="1076">
        <v>49</v>
      </c>
      <c r="P11" s="1076">
        <v>47</v>
      </c>
      <c r="Q11" s="1076">
        <v>48</v>
      </c>
      <c r="R11" s="1076">
        <v>48</v>
      </c>
      <c r="S11" s="1076">
        <v>49</v>
      </c>
      <c r="T11" s="1076">
        <v>67</v>
      </c>
      <c r="U11" s="1076">
        <v>59</v>
      </c>
      <c r="V11" s="1076">
        <v>75</v>
      </c>
      <c r="W11" s="1076">
        <v>84</v>
      </c>
      <c r="X11" s="1076">
        <v>84</v>
      </c>
      <c r="Y11" s="1076">
        <v>94</v>
      </c>
      <c r="Z11" s="1076">
        <v>85</v>
      </c>
      <c r="AA11" s="1076">
        <v>82</v>
      </c>
      <c r="AB11" s="1076">
        <v>91</v>
      </c>
      <c r="AC11" s="1076">
        <v>172</v>
      </c>
      <c r="AD11" s="1076">
        <v>105</v>
      </c>
      <c r="AE11" s="1076">
        <v>119</v>
      </c>
      <c r="AF11" s="1076">
        <v>84</v>
      </c>
      <c r="AG11" s="1076">
        <v>84</v>
      </c>
      <c r="AH11" s="1076">
        <v>78.731529999999992</v>
      </c>
      <c r="AJ11" s="1077"/>
      <c r="AK11" s="1077">
        <f>SUM(B11:M11)</f>
        <v>568</v>
      </c>
      <c r="AL11" s="1077">
        <f>SUM(N11:Y11)</f>
        <v>753</v>
      </c>
      <c r="AM11" s="1077">
        <f t="shared" si="1"/>
        <v>1159</v>
      </c>
    </row>
    <row r="12" spans="1:39" x14ac:dyDescent="0.2">
      <c r="A12" s="1078" t="s">
        <v>831</v>
      </c>
      <c r="B12" s="1076">
        <v>12</v>
      </c>
      <c r="C12" s="1076">
        <v>15</v>
      </c>
      <c r="D12" s="1076">
        <v>11</v>
      </c>
      <c r="E12" s="1076">
        <v>14</v>
      </c>
      <c r="F12" s="1076">
        <v>14</v>
      </c>
      <c r="G12" s="1076">
        <v>18</v>
      </c>
      <c r="H12" s="1076">
        <v>19</v>
      </c>
      <c r="I12" s="1076">
        <v>19</v>
      </c>
      <c r="J12" s="1076">
        <v>19</v>
      </c>
      <c r="K12" s="1076">
        <v>19</v>
      </c>
      <c r="L12" s="1076">
        <v>20</v>
      </c>
      <c r="M12" s="1076">
        <v>27</v>
      </c>
      <c r="N12" s="1076">
        <v>21</v>
      </c>
      <c r="O12" s="1076">
        <v>20</v>
      </c>
      <c r="P12" s="1076">
        <v>20</v>
      </c>
      <c r="Q12" s="1076">
        <v>21</v>
      </c>
      <c r="R12" s="1076">
        <v>22</v>
      </c>
      <c r="S12" s="1076">
        <v>25</v>
      </c>
      <c r="T12" s="1076">
        <v>23</v>
      </c>
      <c r="U12" s="1076">
        <v>24</v>
      </c>
      <c r="V12" s="1076">
        <v>21</v>
      </c>
      <c r="W12" s="1076">
        <v>21</v>
      </c>
      <c r="X12" s="1076">
        <v>22</v>
      </c>
      <c r="Y12" s="1076">
        <v>40</v>
      </c>
      <c r="Z12" s="1076">
        <v>26</v>
      </c>
      <c r="AA12" s="1076">
        <v>14</v>
      </c>
      <c r="AB12" s="1076">
        <v>21</v>
      </c>
      <c r="AC12" s="1076">
        <v>18</v>
      </c>
      <c r="AD12" s="1076">
        <v>25</v>
      </c>
      <c r="AE12" s="1076">
        <v>24</v>
      </c>
      <c r="AF12" s="1076">
        <v>27</v>
      </c>
      <c r="AG12" s="1076">
        <v>22</v>
      </c>
      <c r="AH12" s="1076">
        <v>27.33079</v>
      </c>
      <c r="AJ12" s="1077"/>
      <c r="AK12" s="1077">
        <f t="shared" ref="AK12:AK18" si="2">SUM(B12:M12)</f>
        <v>207</v>
      </c>
      <c r="AL12" s="1077">
        <f>SUM(N12:Y12)</f>
        <v>280</v>
      </c>
      <c r="AM12" s="1077">
        <f t="shared" si="1"/>
        <v>281</v>
      </c>
    </row>
    <row r="13" spans="1:39" x14ac:dyDescent="0.2">
      <c r="A13" s="1078" t="s">
        <v>29</v>
      </c>
      <c r="B13" s="1076">
        <v>47</v>
      </c>
      <c r="C13" s="1076">
        <v>47</v>
      </c>
      <c r="D13" s="1076">
        <v>47</v>
      </c>
      <c r="E13" s="1076">
        <v>47</v>
      </c>
      <c r="F13" s="1076">
        <v>47</v>
      </c>
      <c r="G13" s="1076">
        <v>47</v>
      </c>
      <c r="H13" s="1076">
        <v>47</v>
      </c>
      <c r="I13" s="1076">
        <v>47</v>
      </c>
      <c r="J13" s="1076">
        <v>47</v>
      </c>
      <c r="K13" s="1076">
        <v>47</v>
      </c>
      <c r="L13" s="1076">
        <v>46</v>
      </c>
      <c r="M13" s="1076">
        <v>145</v>
      </c>
      <c r="N13" s="1076">
        <v>47</v>
      </c>
      <c r="O13" s="1076">
        <v>47</v>
      </c>
      <c r="P13" s="1076">
        <v>47</v>
      </c>
      <c r="Q13" s="1076">
        <v>47</v>
      </c>
      <c r="R13" s="1076">
        <v>47</v>
      </c>
      <c r="S13" s="1076">
        <v>47</v>
      </c>
      <c r="T13" s="1076">
        <v>47</v>
      </c>
      <c r="U13" s="1076">
        <v>47</v>
      </c>
      <c r="V13" s="1076">
        <v>47</v>
      </c>
      <c r="W13" s="1076">
        <v>47</v>
      </c>
      <c r="X13" s="1076">
        <v>46</v>
      </c>
      <c r="Y13" s="1076">
        <v>513</v>
      </c>
      <c r="Z13" s="1076">
        <v>47</v>
      </c>
      <c r="AA13" s="1076">
        <v>47</v>
      </c>
      <c r="AB13" s="1076">
        <v>47</v>
      </c>
      <c r="AC13" s="1076">
        <v>47</v>
      </c>
      <c r="AD13" s="1076">
        <v>46</v>
      </c>
      <c r="AE13" s="1076">
        <v>47</v>
      </c>
      <c r="AF13" s="1076">
        <v>47</v>
      </c>
      <c r="AG13" s="1076">
        <v>47</v>
      </c>
      <c r="AH13" s="1076">
        <v>46.9</v>
      </c>
      <c r="AJ13" s="1077"/>
      <c r="AK13" s="1077">
        <f t="shared" si="2"/>
        <v>661</v>
      </c>
      <c r="AL13" s="1077">
        <f t="shared" si="0"/>
        <v>1029</v>
      </c>
      <c r="AM13" s="1077">
        <f t="shared" si="1"/>
        <v>1028</v>
      </c>
    </row>
    <row r="14" spans="1:39" x14ac:dyDescent="0.2">
      <c r="A14" s="1078" t="s">
        <v>832</v>
      </c>
      <c r="B14" s="1076">
        <v>21</v>
      </c>
      <c r="C14" s="1076">
        <v>38</v>
      </c>
      <c r="D14" s="1076">
        <v>64</v>
      </c>
      <c r="E14" s="1076">
        <v>32</v>
      </c>
      <c r="F14" s="1076">
        <v>64</v>
      </c>
      <c r="G14" s="1076">
        <v>38</v>
      </c>
      <c r="H14" s="1076">
        <v>29</v>
      </c>
      <c r="I14" s="1076">
        <v>48</v>
      </c>
      <c r="J14" s="1076">
        <v>35</v>
      </c>
      <c r="K14" s="1076">
        <v>9</v>
      </c>
      <c r="L14" s="1076">
        <v>30</v>
      </c>
      <c r="M14" s="1076">
        <v>26</v>
      </c>
      <c r="N14" s="1076">
        <v>8</v>
      </c>
      <c r="O14" s="1076">
        <v>6</v>
      </c>
      <c r="P14" s="1076">
        <v>24</v>
      </c>
      <c r="Q14" s="1076">
        <v>22</v>
      </c>
      <c r="R14" s="1076">
        <v>40</v>
      </c>
      <c r="S14" s="1076">
        <v>28</v>
      </c>
      <c r="T14" s="1076">
        <v>40</v>
      </c>
      <c r="U14" s="1076">
        <v>24</v>
      </c>
      <c r="V14" s="1076">
        <v>26</v>
      </c>
      <c r="W14" s="1076">
        <v>41</v>
      </c>
      <c r="X14" s="1076">
        <v>62</v>
      </c>
      <c r="Y14" s="1076">
        <v>29</v>
      </c>
      <c r="Z14" s="1076">
        <v>46</v>
      </c>
      <c r="AA14" s="1076">
        <v>32</v>
      </c>
      <c r="AB14" s="1076">
        <v>45</v>
      </c>
      <c r="AC14" s="1076">
        <v>33</v>
      </c>
      <c r="AD14" s="1076">
        <v>37</v>
      </c>
      <c r="AE14" s="1076">
        <v>13</v>
      </c>
      <c r="AF14" s="1076">
        <v>12</v>
      </c>
      <c r="AG14" s="1076">
        <v>30</v>
      </c>
      <c r="AH14" s="1076">
        <v>25.323130000000003</v>
      </c>
      <c r="AJ14" s="1077"/>
      <c r="AK14" s="1077">
        <f t="shared" si="2"/>
        <v>434</v>
      </c>
      <c r="AL14" s="1077">
        <f t="shared" si="0"/>
        <v>350</v>
      </c>
      <c r="AM14" s="1077">
        <f t="shared" si="1"/>
        <v>406</v>
      </c>
    </row>
    <row r="15" spans="1:39" x14ac:dyDescent="0.2">
      <c r="A15" s="1078" t="s">
        <v>805</v>
      </c>
      <c r="B15" s="1076">
        <v>0</v>
      </c>
      <c r="C15" s="1076">
        <v>0</v>
      </c>
      <c r="D15" s="1076">
        <v>1</v>
      </c>
      <c r="E15" s="1076">
        <v>0</v>
      </c>
      <c r="F15" s="1076">
        <v>6</v>
      </c>
      <c r="G15" s="1076">
        <v>0</v>
      </c>
      <c r="H15" s="1076">
        <v>0</v>
      </c>
      <c r="I15" s="1076">
        <v>0</v>
      </c>
      <c r="J15" s="1076">
        <v>4</v>
      </c>
      <c r="K15" s="1076">
        <v>1</v>
      </c>
      <c r="L15" s="1076">
        <v>5</v>
      </c>
      <c r="M15" s="1076">
        <v>1</v>
      </c>
      <c r="N15" s="1076">
        <v>0</v>
      </c>
      <c r="O15" s="1076">
        <v>27</v>
      </c>
      <c r="P15" s="1076">
        <v>0</v>
      </c>
      <c r="Q15" s="1076">
        <v>19</v>
      </c>
      <c r="R15" s="1076">
        <v>14</v>
      </c>
      <c r="S15" s="1076">
        <v>22</v>
      </c>
      <c r="T15" s="1076">
        <v>14</v>
      </c>
      <c r="U15" s="1076">
        <v>21</v>
      </c>
      <c r="V15" s="1076">
        <v>9</v>
      </c>
      <c r="W15" s="1076">
        <v>16</v>
      </c>
      <c r="X15" s="1076">
        <v>0</v>
      </c>
      <c r="Y15" s="1076">
        <v>12</v>
      </c>
      <c r="Z15" s="1076">
        <v>18</v>
      </c>
      <c r="AA15" s="1076">
        <v>14</v>
      </c>
      <c r="AB15" s="1076">
        <v>14</v>
      </c>
      <c r="AC15" s="1076">
        <v>0</v>
      </c>
      <c r="AD15" s="1076">
        <v>14</v>
      </c>
      <c r="AE15" s="1076">
        <v>0</v>
      </c>
      <c r="AF15" s="1076">
        <v>0</v>
      </c>
      <c r="AG15" s="1076">
        <v>0</v>
      </c>
      <c r="AH15" s="1076">
        <v>0</v>
      </c>
      <c r="AJ15" s="1077"/>
      <c r="AK15" s="1077">
        <f t="shared" si="2"/>
        <v>18</v>
      </c>
      <c r="AL15" s="1077">
        <f t="shared" si="0"/>
        <v>154</v>
      </c>
      <c r="AM15" s="1077">
        <f t="shared" si="1"/>
        <v>97</v>
      </c>
    </row>
    <row r="16" spans="1:39" x14ac:dyDescent="0.2">
      <c r="A16" s="1078" t="s">
        <v>833</v>
      </c>
      <c r="B16" s="1076">
        <v>2</v>
      </c>
      <c r="C16" s="1076">
        <v>3</v>
      </c>
      <c r="D16" s="1076">
        <v>1</v>
      </c>
      <c r="E16" s="1076">
        <v>1</v>
      </c>
      <c r="F16" s="1076">
        <v>0</v>
      </c>
      <c r="G16" s="1076">
        <v>0</v>
      </c>
      <c r="H16" s="1076">
        <v>2</v>
      </c>
      <c r="I16" s="1076">
        <v>1</v>
      </c>
      <c r="J16" s="1076">
        <v>0</v>
      </c>
      <c r="K16" s="1076">
        <v>0</v>
      </c>
      <c r="L16" s="1076">
        <v>0</v>
      </c>
      <c r="M16" s="1076">
        <v>0</v>
      </c>
      <c r="N16" s="1076">
        <v>2</v>
      </c>
      <c r="O16" s="1076">
        <v>0</v>
      </c>
      <c r="P16" s="1076">
        <v>2</v>
      </c>
      <c r="Q16" s="1076">
        <v>2</v>
      </c>
      <c r="R16" s="1076">
        <v>3</v>
      </c>
      <c r="S16" s="1076">
        <v>1</v>
      </c>
      <c r="T16" s="1076">
        <v>3</v>
      </c>
      <c r="U16" s="1076">
        <v>1</v>
      </c>
      <c r="V16" s="1076">
        <v>4</v>
      </c>
      <c r="W16" s="1076">
        <v>4</v>
      </c>
      <c r="X16" s="1076">
        <v>0</v>
      </c>
      <c r="Y16" s="1076">
        <v>1</v>
      </c>
      <c r="Z16" s="1076">
        <v>3</v>
      </c>
      <c r="AA16" s="1076">
        <v>4</v>
      </c>
      <c r="AB16" s="1076">
        <v>1</v>
      </c>
      <c r="AC16" s="1076">
        <v>2</v>
      </c>
      <c r="AD16" s="1076">
        <v>1</v>
      </c>
      <c r="AE16" s="1076">
        <v>1</v>
      </c>
      <c r="AF16" s="1076">
        <v>1</v>
      </c>
      <c r="AG16" s="1076">
        <v>0</v>
      </c>
      <c r="AH16" s="1076">
        <v>0</v>
      </c>
      <c r="AJ16" s="1077"/>
      <c r="AK16" s="1077">
        <f t="shared" si="2"/>
        <v>10</v>
      </c>
      <c r="AL16" s="1077">
        <f t="shared" si="0"/>
        <v>23</v>
      </c>
      <c r="AM16" s="1077">
        <f t="shared" si="1"/>
        <v>22</v>
      </c>
    </row>
    <row r="17" spans="1:39" x14ac:dyDescent="0.2">
      <c r="A17" s="1078" t="s">
        <v>834</v>
      </c>
      <c r="B17" s="1076">
        <v>6</v>
      </c>
      <c r="C17" s="1076">
        <v>6</v>
      </c>
      <c r="D17" s="1076">
        <v>6</v>
      </c>
      <c r="E17" s="1076">
        <v>5</v>
      </c>
      <c r="F17" s="1076">
        <v>0</v>
      </c>
      <c r="G17" s="1076">
        <v>6</v>
      </c>
      <c r="H17" s="1076">
        <v>8</v>
      </c>
      <c r="I17" s="1076">
        <v>7</v>
      </c>
      <c r="J17" s="1076">
        <v>8</v>
      </c>
      <c r="K17" s="1076">
        <v>5</v>
      </c>
      <c r="L17" s="1076">
        <v>8</v>
      </c>
      <c r="M17" s="1076">
        <v>7</v>
      </c>
      <c r="N17" s="1076">
        <v>9</v>
      </c>
      <c r="O17" s="1076">
        <v>9</v>
      </c>
      <c r="P17" s="1076">
        <v>6</v>
      </c>
      <c r="Q17" s="1076">
        <v>9</v>
      </c>
      <c r="R17" s="1076">
        <v>7</v>
      </c>
      <c r="S17" s="1076">
        <v>9</v>
      </c>
      <c r="T17" s="1076">
        <v>8</v>
      </c>
      <c r="U17" s="1076">
        <v>11</v>
      </c>
      <c r="V17" s="1076">
        <v>7</v>
      </c>
      <c r="W17" s="1076">
        <v>9</v>
      </c>
      <c r="X17" s="1076">
        <v>8</v>
      </c>
      <c r="Y17" s="1076">
        <v>86</v>
      </c>
      <c r="Z17" s="1076">
        <v>13</v>
      </c>
      <c r="AA17" s="1076">
        <v>12</v>
      </c>
      <c r="AB17" s="1076">
        <v>10</v>
      </c>
      <c r="AC17" s="1076">
        <v>12</v>
      </c>
      <c r="AD17" s="1076">
        <v>10</v>
      </c>
      <c r="AE17" s="1076">
        <v>10</v>
      </c>
      <c r="AF17" s="1076">
        <v>11</v>
      </c>
      <c r="AG17" s="1076">
        <v>13</v>
      </c>
      <c r="AH17" s="1076">
        <v>13.280049999999999</v>
      </c>
      <c r="AJ17" s="1077"/>
      <c r="AK17" s="1077">
        <f t="shared" si="2"/>
        <v>72</v>
      </c>
      <c r="AL17" s="1077">
        <f t="shared" si="0"/>
        <v>178</v>
      </c>
      <c r="AM17" s="1077">
        <f t="shared" si="1"/>
        <v>201</v>
      </c>
    </row>
    <row r="18" spans="1:39" x14ac:dyDescent="0.2">
      <c r="A18" s="1078" t="s">
        <v>835</v>
      </c>
      <c r="B18" s="1079">
        <v>847</v>
      </c>
      <c r="C18" s="1079">
        <v>840</v>
      </c>
      <c r="D18" s="1079">
        <v>852</v>
      </c>
      <c r="E18" s="1079">
        <v>717</v>
      </c>
      <c r="F18" s="1079">
        <v>744</v>
      </c>
      <c r="G18" s="1079">
        <v>708</v>
      </c>
      <c r="H18" s="1079">
        <v>620</v>
      </c>
      <c r="I18" s="1079">
        <v>722</v>
      </c>
      <c r="J18" s="1079">
        <v>882</v>
      </c>
      <c r="K18" s="1079">
        <v>1077</v>
      </c>
      <c r="L18" s="1079">
        <v>1529</v>
      </c>
      <c r="M18" s="1079">
        <v>2568</v>
      </c>
      <c r="N18" s="1079">
        <v>1077</v>
      </c>
      <c r="O18" s="1079">
        <v>839</v>
      </c>
      <c r="P18" s="1079">
        <v>1056</v>
      </c>
      <c r="Q18" s="1079">
        <v>922</v>
      </c>
      <c r="R18" s="1079">
        <v>1242</v>
      </c>
      <c r="S18" s="1079">
        <v>886</v>
      </c>
      <c r="T18" s="1079">
        <v>1039</v>
      </c>
      <c r="U18" s="1079">
        <v>891</v>
      </c>
      <c r="V18" s="1079">
        <v>1127</v>
      </c>
      <c r="W18" s="1079">
        <v>1341</v>
      </c>
      <c r="X18" s="1079">
        <v>2127</v>
      </c>
      <c r="Y18" s="1079">
        <v>3199</v>
      </c>
      <c r="Z18" s="1079">
        <v>978</v>
      </c>
      <c r="AA18" s="1079">
        <v>852</v>
      </c>
      <c r="AB18" s="1079">
        <v>825</v>
      </c>
      <c r="AC18" s="1079">
        <v>934</v>
      </c>
      <c r="AD18" s="1079">
        <v>874</v>
      </c>
      <c r="AE18" s="1079">
        <v>843</v>
      </c>
      <c r="AF18" s="1079">
        <f>836+229</f>
        <v>1065</v>
      </c>
      <c r="AG18" s="1079">
        <v>952</v>
      </c>
      <c r="AH18" s="1079">
        <v>1295.9697900000001</v>
      </c>
      <c r="AJ18" s="1080" t="e">
        <f>SUM(#REF!)</f>
        <v>#REF!</v>
      </c>
      <c r="AK18" s="1080">
        <f t="shared" si="2"/>
        <v>12106</v>
      </c>
      <c r="AL18" s="1080">
        <f>SUM(N18:Y18)</f>
        <v>15746</v>
      </c>
      <c r="AM18" s="1080">
        <f t="shared" si="1"/>
        <v>15117</v>
      </c>
    </row>
    <row r="19" spans="1:39" x14ac:dyDescent="0.2">
      <c r="A19" s="1068" t="s">
        <v>214</v>
      </c>
      <c r="B19" s="1081">
        <f>SUM(B9:B18)</f>
        <v>1305</v>
      </c>
      <c r="C19" s="1081">
        <f t="shared" ref="C19:AE19" si="3">SUM(C9:C18)</f>
        <v>1378</v>
      </c>
      <c r="D19" s="1081">
        <f t="shared" si="3"/>
        <v>1466</v>
      </c>
      <c r="E19" s="1081">
        <f t="shared" si="3"/>
        <v>1296</v>
      </c>
      <c r="F19" s="1081">
        <f t="shared" si="3"/>
        <v>1410</v>
      </c>
      <c r="G19" s="1081">
        <f t="shared" si="3"/>
        <v>1271</v>
      </c>
      <c r="H19" s="1081">
        <f t="shared" si="3"/>
        <v>1181</v>
      </c>
      <c r="I19" s="1081">
        <f t="shared" si="3"/>
        <v>1303</v>
      </c>
      <c r="J19" s="1081">
        <f t="shared" si="3"/>
        <v>1473</v>
      </c>
      <c r="K19" s="1081">
        <f t="shared" si="3"/>
        <v>1676</v>
      </c>
      <c r="L19" s="1081">
        <f t="shared" si="3"/>
        <v>2479</v>
      </c>
      <c r="M19" s="1081">
        <f t="shared" si="3"/>
        <v>4053</v>
      </c>
      <c r="N19" s="1081">
        <f t="shared" si="3"/>
        <v>1934</v>
      </c>
      <c r="O19" s="1081">
        <f t="shared" si="3"/>
        <v>1524</v>
      </c>
      <c r="P19" s="1081">
        <f t="shared" si="3"/>
        <v>1931</v>
      </c>
      <c r="Q19" s="1081">
        <f t="shared" si="3"/>
        <v>1696</v>
      </c>
      <c r="R19" s="1081">
        <f t="shared" si="3"/>
        <v>2329</v>
      </c>
      <c r="S19" s="1081">
        <f t="shared" si="3"/>
        <v>1695</v>
      </c>
      <c r="T19" s="1081">
        <f t="shared" si="3"/>
        <v>1972</v>
      </c>
      <c r="U19" s="1081">
        <f t="shared" si="3"/>
        <v>1783</v>
      </c>
      <c r="V19" s="1081">
        <f t="shared" si="3"/>
        <v>2095</v>
      </c>
      <c r="W19" s="1081">
        <f t="shared" si="3"/>
        <v>2343</v>
      </c>
      <c r="X19" s="1081">
        <f t="shared" si="3"/>
        <v>3562</v>
      </c>
      <c r="Y19" s="1081">
        <f t="shared" si="3"/>
        <v>5580</v>
      </c>
      <c r="Z19" s="1081">
        <f t="shared" si="3"/>
        <v>1948</v>
      </c>
      <c r="AA19" s="1081">
        <f t="shared" si="3"/>
        <v>1600</v>
      </c>
      <c r="AB19" s="1081">
        <f t="shared" si="3"/>
        <v>1527</v>
      </c>
      <c r="AC19" s="1081">
        <f t="shared" si="3"/>
        <v>1830</v>
      </c>
      <c r="AD19" s="1081">
        <f t="shared" si="3"/>
        <v>1958</v>
      </c>
      <c r="AE19" s="1081">
        <f t="shared" si="3"/>
        <v>1639</v>
      </c>
      <c r="AF19" s="1081">
        <f>SUM(AF9:AF18)</f>
        <v>2014</v>
      </c>
      <c r="AG19" s="1081">
        <f t="shared" ref="AG19:AH19" si="4">SUM(AG9:AG18)</f>
        <v>2013</v>
      </c>
      <c r="AH19" s="1081">
        <f t="shared" si="4"/>
        <v>2357.9881000000005</v>
      </c>
      <c r="AJ19" s="1082" t="e">
        <f>SUM(#REF!)</f>
        <v>#REF!</v>
      </c>
      <c r="AK19" s="1082">
        <f>SUM(B19:M19)</f>
        <v>20291</v>
      </c>
      <c r="AL19" s="1082">
        <f>SUM(N19:Y19)</f>
        <v>28444</v>
      </c>
      <c r="AM19" s="1082">
        <f t="shared" si="1"/>
        <v>28109</v>
      </c>
    </row>
    <row r="20" spans="1:39" x14ac:dyDescent="0.2">
      <c r="A20" s="1068"/>
      <c r="B20" s="1083">
        <f t="shared" ref="B20:AG20" si="5">(B7-B19)/B7</f>
        <v>0.23415492957746478</v>
      </c>
      <c r="C20" s="1083">
        <f t="shared" si="5"/>
        <v>0.21970554926387317</v>
      </c>
      <c r="D20" s="1083">
        <f t="shared" si="5"/>
        <v>0.26589884827240862</v>
      </c>
      <c r="E20" s="1083">
        <f t="shared" si="5"/>
        <v>0.26153846153846155</v>
      </c>
      <c r="F20" s="1083">
        <f t="shared" si="5"/>
        <v>0.27018633540372672</v>
      </c>
      <c r="G20" s="1083">
        <f t="shared" si="5"/>
        <v>0.29310344827586204</v>
      </c>
      <c r="H20" s="1083">
        <f t="shared" si="5"/>
        <v>0.22810457516339869</v>
      </c>
      <c r="I20" s="1083">
        <f t="shared" si="5"/>
        <v>0.24200116346713205</v>
      </c>
      <c r="J20" s="1083">
        <f t="shared" si="5"/>
        <v>0.23161189358372458</v>
      </c>
      <c r="K20" s="1083">
        <f t="shared" si="5"/>
        <v>0.26812227074235806</v>
      </c>
      <c r="L20" s="1083">
        <f t="shared" si="5"/>
        <v>0.21625039519443567</v>
      </c>
      <c r="M20" s="1083">
        <f t="shared" si="5"/>
        <v>4.1617403641522818E-2</v>
      </c>
      <c r="N20" s="1083">
        <f t="shared" si="5"/>
        <v>0.1998345055854365</v>
      </c>
      <c r="O20" s="1083">
        <f t="shared" si="5"/>
        <v>0.21118012422360249</v>
      </c>
      <c r="P20" s="1083">
        <f t="shared" si="5"/>
        <v>0.2017362546506821</v>
      </c>
      <c r="Q20" s="1083">
        <f t="shared" si="5"/>
        <v>0.2096924510717614</v>
      </c>
      <c r="R20" s="1083">
        <f t="shared" si="5"/>
        <v>0.18223314606741572</v>
      </c>
      <c r="S20" s="1083">
        <f t="shared" si="5"/>
        <v>0.20720299345182414</v>
      </c>
      <c r="T20" s="1083">
        <f t="shared" si="5"/>
        <v>0.19510204081632654</v>
      </c>
      <c r="U20" s="1083">
        <f t="shared" si="5"/>
        <v>0.23344797936371453</v>
      </c>
      <c r="V20" s="1083">
        <f t="shared" si="5"/>
        <v>0.20613868889730957</v>
      </c>
      <c r="W20" s="1083">
        <f t="shared" si="5"/>
        <v>0.20279006464783941</v>
      </c>
      <c r="X20" s="1083">
        <f t="shared" si="5"/>
        <v>0.21177251604337244</v>
      </c>
      <c r="Y20" s="1083">
        <f t="shared" si="5"/>
        <v>0.13582158897320737</v>
      </c>
      <c r="Z20" s="1083">
        <f t="shared" si="5"/>
        <v>0.23607843137254902</v>
      </c>
      <c r="AA20" s="1083">
        <f t="shared" si="5"/>
        <v>0.20752847944526995</v>
      </c>
      <c r="AB20" s="1083">
        <f t="shared" si="5"/>
        <v>0.25183733463988239</v>
      </c>
      <c r="AC20" s="1083">
        <f t="shared" si="5"/>
        <v>0.22028121005538986</v>
      </c>
      <c r="AD20" s="1083">
        <f t="shared" si="5"/>
        <v>0.10675182481751824</v>
      </c>
      <c r="AE20" s="1083">
        <f t="shared" si="5"/>
        <v>0.20667957405614715</v>
      </c>
      <c r="AF20" s="1083">
        <f t="shared" si="5"/>
        <v>0.18329278183292783</v>
      </c>
      <c r="AG20" s="1083">
        <f t="shared" si="5"/>
        <v>0.2409502262443439</v>
      </c>
      <c r="AH20" s="1083">
        <f t="shared" ref="AH20" si="6">(AH7-AH19)/AH7</f>
        <v>0.24748318875980568</v>
      </c>
      <c r="AJ20" s="1082"/>
      <c r="AK20" s="1082"/>
      <c r="AL20" s="1082"/>
      <c r="AM20" s="1082"/>
    </row>
    <row r="21" spans="1:39" x14ac:dyDescent="0.2">
      <c r="A21" s="1068"/>
      <c r="B21" s="1083"/>
      <c r="C21" s="1083"/>
      <c r="D21" s="1083"/>
      <c r="E21" s="1083"/>
      <c r="F21" s="1083"/>
      <c r="G21" s="1083"/>
      <c r="H21" s="1083"/>
      <c r="I21" s="1083"/>
      <c r="J21" s="1083"/>
      <c r="K21" s="1083"/>
      <c r="L21" s="1083"/>
      <c r="M21" s="1083"/>
      <c r="N21" s="1083"/>
      <c r="O21" s="1083"/>
      <c r="P21" s="1083"/>
      <c r="Q21" s="1083"/>
      <c r="R21" s="1083"/>
      <c r="S21" s="1083"/>
      <c r="T21" s="1083"/>
      <c r="U21" s="1083"/>
      <c r="V21" s="1083"/>
      <c r="W21" s="1083"/>
      <c r="X21" s="1083"/>
      <c r="Y21" s="1083"/>
      <c r="Z21" s="1083"/>
      <c r="AA21" s="1083"/>
      <c r="AB21" s="1083"/>
      <c r="AC21" s="1083"/>
      <c r="AD21" s="1083"/>
      <c r="AE21" s="1083"/>
      <c r="AF21" s="1083"/>
      <c r="AG21" s="1083"/>
      <c r="AH21" s="1083"/>
      <c r="AJ21" s="1082"/>
      <c r="AK21" s="1082"/>
      <c r="AL21" s="1082"/>
      <c r="AM21" s="1082"/>
    </row>
    <row r="22" spans="1:39" x14ac:dyDescent="0.2">
      <c r="A22" s="1068" t="s">
        <v>572</v>
      </c>
      <c r="C22" s="1083"/>
      <c r="D22" s="1083"/>
      <c r="E22" s="1083"/>
      <c r="F22" s="1083"/>
      <c r="G22" s="1083"/>
      <c r="H22" s="1083"/>
      <c r="I22" s="1083"/>
      <c r="J22" s="1083"/>
      <c r="K22" s="1083"/>
      <c r="L22" s="1083"/>
      <c r="M22" s="1083"/>
      <c r="N22" s="1083"/>
      <c r="O22" s="1083"/>
      <c r="P22" s="1083"/>
      <c r="Q22" s="1083"/>
      <c r="R22" s="1083"/>
      <c r="S22" s="1083"/>
      <c r="T22" s="1083"/>
      <c r="U22" s="1083"/>
      <c r="V22" s="1083"/>
      <c r="W22" s="1083"/>
      <c r="X22" s="1083"/>
      <c r="Y22" s="1083"/>
      <c r="Z22" s="1083"/>
      <c r="AA22" s="1083"/>
      <c r="AB22" s="1083"/>
      <c r="AC22" s="1083"/>
      <c r="AD22" s="1083"/>
      <c r="AE22" s="1083"/>
      <c r="AF22" s="1083"/>
      <c r="AG22" s="1083"/>
      <c r="AH22" s="1083"/>
      <c r="AJ22" s="1082" t="e">
        <f>AJ7-AJ19</f>
        <v>#REF!</v>
      </c>
      <c r="AK22" s="1082">
        <f>AK7-AK19</f>
        <v>5509</v>
      </c>
      <c r="AL22" s="1082">
        <f>AL7-AL19</f>
        <v>6786</v>
      </c>
      <c r="AM22" s="1082">
        <f>AM7-AM19</f>
        <v>6778</v>
      </c>
    </row>
    <row r="23" spans="1:39" x14ac:dyDescent="0.2">
      <c r="A23" s="1068"/>
      <c r="B23" s="1083"/>
      <c r="C23" s="1083"/>
      <c r="D23" s="1083"/>
      <c r="E23" s="1083"/>
      <c r="F23" s="1083"/>
      <c r="G23" s="1083"/>
      <c r="H23" s="1083"/>
      <c r="I23" s="1083"/>
      <c r="J23" s="1083"/>
      <c r="K23" s="1083"/>
      <c r="L23" s="1083"/>
      <c r="M23" s="1083"/>
      <c r="N23" s="1083"/>
      <c r="O23" s="1083"/>
      <c r="P23" s="1083"/>
      <c r="Q23" s="1083"/>
      <c r="R23" s="1083"/>
      <c r="S23" s="1083"/>
      <c r="T23" s="1083"/>
      <c r="U23" s="1083"/>
      <c r="V23" s="1083"/>
      <c r="W23" s="1083"/>
      <c r="X23" s="1083"/>
      <c r="Y23" s="1083"/>
      <c r="Z23" s="1083"/>
      <c r="AA23" s="1083"/>
      <c r="AB23" s="1083"/>
      <c r="AC23" s="1083"/>
      <c r="AD23" s="1083"/>
      <c r="AE23" s="1083"/>
      <c r="AF23" s="1083"/>
      <c r="AG23" s="1083"/>
      <c r="AH23" s="1083"/>
      <c r="AJ23" s="1082"/>
      <c r="AK23" s="1082"/>
      <c r="AL23" s="1082"/>
      <c r="AM23" s="1082"/>
    </row>
    <row r="24" spans="1:39" s="1084" customFormat="1" x14ac:dyDescent="0.2">
      <c r="A24" s="1068" t="s">
        <v>215</v>
      </c>
      <c r="B24" s="1081"/>
      <c r="C24" s="1081"/>
      <c r="D24" s="1081"/>
      <c r="E24" s="1081"/>
      <c r="F24" s="1081"/>
      <c r="G24" s="1081"/>
      <c r="H24" s="1081"/>
      <c r="I24" s="1081"/>
      <c r="J24" s="1081"/>
      <c r="K24" s="1081"/>
      <c r="L24" s="1081"/>
      <c r="M24" s="1081"/>
      <c r="N24" s="1081"/>
      <c r="O24" s="1081"/>
      <c r="P24" s="1081"/>
      <c r="Q24" s="1081"/>
      <c r="R24" s="1081"/>
      <c r="S24" s="1081"/>
      <c r="T24" s="1081"/>
      <c r="U24" s="1081"/>
      <c r="V24" s="1081"/>
      <c r="W24" s="1081"/>
      <c r="X24" s="1081"/>
      <c r="Y24" s="1081"/>
      <c r="Z24" s="1081"/>
      <c r="AA24" s="1081"/>
      <c r="AB24" s="1081"/>
      <c r="AC24" s="1081"/>
      <c r="AD24" s="1081"/>
      <c r="AE24" s="1081"/>
      <c r="AF24" s="1081"/>
      <c r="AG24" s="1081"/>
      <c r="AH24" s="1081"/>
      <c r="AI24" s="1062"/>
      <c r="AJ24" s="1082"/>
      <c r="AK24" s="1082"/>
      <c r="AL24" s="1082"/>
      <c r="AM24" s="1082"/>
    </row>
    <row r="25" spans="1:39" s="1084" customFormat="1" x14ac:dyDescent="0.2">
      <c r="A25" s="873" t="s">
        <v>803</v>
      </c>
      <c r="B25" s="1081">
        <f>212-B9</f>
        <v>94</v>
      </c>
      <c r="C25" s="1081">
        <f>234-C9</f>
        <v>89</v>
      </c>
      <c r="D25" s="1081">
        <f>281-D9</f>
        <v>75</v>
      </c>
      <c r="E25" s="1081">
        <f>272-E9</f>
        <v>80</v>
      </c>
      <c r="F25" s="1081">
        <f>325-F9</f>
        <v>107</v>
      </c>
      <c r="G25" s="1081">
        <f>295-G9</f>
        <v>78</v>
      </c>
      <c r="H25" s="1081">
        <f>269-H9</f>
        <v>73</v>
      </c>
      <c r="I25" s="1081">
        <f>311-I9</f>
        <v>85</v>
      </c>
      <c r="J25" s="1081">
        <f>271-J9</f>
        <v>79</v>
      </c>
      <c r="K25" s="1081">
        <f>269-K9</f>
        <v>82</v>
      </c>
      <c r="L25" s="1081">
        <f>441-L9</f>
        <v>105</v>
      </c>
      <c r="M25" s="1081">
        <f>644-M9</f>
        <v>104</v>
      </c>
      <c r="N25" s="1081">
        <f>368-N9</f>
        <v>78</v>
      </c>
      <c r="O25" s="1081">
        <f>284-O9</f>
        <v>68</v>
      </c>
      <c r="P25" s="1081">
        <f>337-P9</f>
        <v>74</v>
      </c>
      <c r="Q25" s="1081">
        <f>311-Q9</f>
        <v>71</v>
      </c>
      <c r="R25" s="1081">
        <f>487-R9</f>
        <v>89</v>
      </c>
      <c r="S25" s="1081">
        <f>403-S9</f>
        <v>78</v>
      </c>
      <c r="T25" s="1081">
        <f>339-T9</f>
        <v>79</v>
      </c>
      <c r="U25" s="1081">
        <f>384-U9</f>
        <v>103</v>
      </c>
      <c r="V25" s="1081">
        <f>374-V9</f>
        <v>99</v>
      </c>
      <c r="W25" s="1081">
        <f>411-W9</f>
        <v>101</v>
      </c>
      <c r="X25" s="1081">
        <f>569-X9</f>
        <v>101</v>
      </c>
      <c r="Y25" s="1081">
        <f>920-Y9</f>
        <v>138</v>
      </c>
      <c r="Z25" s="1081">
        <f>398-Z9</f>
        <v>104</v>
      </c>
      <c r="AA25" s="1081">
        <f>322-AA9</f>
        <v>93</v>
      </c>
      <c r="AB25" s="1081">
        <f>291-AB9</f>
        <v>94</v>
      </c>
      <c r="AC25" s="1081">
        <f>309-AC9</f>
        <v>78</v>
      </c>
      <c r="AD25" s="1081">
        <f>539-AD9</f>
        <v>113</v>
      </c>
      <c r="AE25" s="1081">
        <f>365-AE9</f>
        <v>82</v>
      </c>
      <c r="AF25" s="1081">
        <v>90</v>
      </c>
      <c r="AG25" s="1081">
        <v>77</v>
      </c>
      <c r="AH25" s="1081">
        <v>64.085290000000001</v>
      </c>
      <c r="AI25" s="1062"/>
      <c r="AJ25" s="1081" t="e">
        <f>SUM(#REF!)</f>
        <v>#REF!</v>
      </c>
      <c r="AK25" s="1081">
        <f>SUM(B25:M25)</f>
        <v>1051</v>
      </c>
      <c r="AL25" s="1081">
        <f t="shared" ref="AL25:AL39" si="7">SUM(N25:Y25)</f>
        <v>1079</v>
      </c>
      <c r="AM25" s="1077">
        <f t="shared" ref="AM25:AM39" si="8">SUM(V25:AG25)</f>
        <v>1170</v>
      </c>
    </row>
    <row r="26" spans="1:39" s="1084" customFormat="1" x14ac:dyDescent="0.2">
      <c r="A26" s="873" t="s">
        <v>809</v>
      </c>
      <c r="B26" s="1081">
        <f>26-B16</f>
        <v>24</v>
      </c>
      <c r="C26" s="1081">
        <f>34-C16</f>
        <v>31</v>
      </c>
      <c r="D26" s="1081">
        <f>44-D16</f>
        <v>43</v>
      </c>
      <c r="E26" s="1081">
        <f>44-E16</f>
        <v>43</v>
      </c>
      <c r="F26" s="1081">
        <f>34-F16</f>
        <v>34</v>
      </c>
      <c r="G26" s="1081">
        <f>32-G16</f>
        <v>32</v>
      </c>
      <c r="H26" s="1081">
        <f>33-H16</f>
        <v>31</v>
      </c>
      <c r="I26" s="1081">
        <f>30-I16</f>
        <v>29</v>
      </c>
      <c r="J26" s="1081">
        <f>28-J16</f>
        <v>28</v>
      </c>
      <c r="K26" s="1081">
        <f>25-K16</f>
        <v>25</v>
      </c>
      <c r="L26" s="1081">
        <f>13-L16</f>
        <v>13</v>
      </c>
      <c r="M26" s="1081">
        <f>23-M16</f>
        <v>23</v>
      </c>
      <c r="N26" s="1081">
        <f>25-N16</f>
        <v>23</v>
      </c>
      <c r="O26" s="1081">
        <f>16-O16</f>
        <v>16</v>
      </c>
      <c r="P26" s="1081">
        <f>20-P16</f>
        <v>18</v>
      </c>
      <c r="Q26" s="1081">
        <f>20-Q16</f>
        <v>18</v>
      </c>
      <c r="R26" s="1081">
        <f>16-R16</f>
        <v>13</v>
      </c>
      <c r="S26" s="1081">
        <f>20-S16</f>
        <v>19</v>
      </c>
      <c r="T26" s="1081">
        <f>19-T16</f>
        <v>16</v>
      </c>
      <c r="U26" s="1081">
        <f>18-U16</f>
        <v>17</v>
      </c>
      <c r="V26" s="1081">
        <f>17-V16</f>
        <v>13</v>
      </c>
      <c r="W26" s="1081">
        <f>16-W16</f>
        <v>12</v>
      </c>
      <c r="X26" s="1081">
        <f>9-X16</f>
        <v>9</v>
      </c>
      <c r="Y26" s="1081">
        <f>11-Y16</f>
        <v>10</v>
      </c>
      <c r="Z26" s="1081">
        <f>23-Z16</f>
        <v>20</v>
      </c>
      <c r="AA26" s="1081">
        <f>13-AA16</f>
        <v>9</v>
      </c>
      <c r="AB26" s="1081">
        <f>26-AB16</f>
        <v>25</v>
      </c>
      <c r="AC26" s="1081">
        <f>21-AC16</f>
        <v>19</v>
      </c>
      <c r="AD26" s="1081">
        <f>14-AD16</f>
        <v>13</v>
      </c>
      <c r="AE26" s="1081">
        <f>18-AE16</f>
        <v>17</v>
      </c>
      <c r="AF26" s="1081">
        <v>4</v>
      </c>
      <c r="AG26" s="1081">
        <v>14</v>
      </c>
      <c r="AH26" s="1081">
        <v>13.580669999999998</v>
      </c>
      <c r="AI26" s="1062"/>
      <c r="AJ26" s="1081" t="e">
        <f>SUM(#REF!)</f>
        <v>#REF!</v>
      </c>
      <c r="AK26" s="1081">
        <f>SUM(B26:M26)</f>
        <v>356</v>
      </c>
      <c r="AL26" s="1081">
        <f t="shared" si="7"/>
        <v>184</v>
      </c>
      <c r="AM26" s="1077">
        <f t="shared" si="8"/>
        <v>165</v>
      </c>
    </row>
    <row r="27" spans="1:39" s="1084" customFormat="1" x14ac:dyDescent="0.2">
      <c r="A27" s="873" t="s">
        <v>808</v>
      </c>
      <c r="B27" s="1081">
        <f>26-B12</f>
        <v>14</v>
      </c>
      <c r="C27" s="1081">
        <f>26-C12</f>
        <v>11</v>
      </c>
      <c r="D27" s="1081">
        <f>26-D12</f>
        <v>15</v>
      </c>
      <c r="E27" s="1081">
        <f>29-E12</f>
        <v>15</v>
      </c>
      <c r="F27" s="1081">
        <f>30-F12</f>
        <v>16</v>
      </c>
      <c r="G27" s="1081">
        <f>36-G12</f>
        <v>18</v>
      </c>
      <c r="H27" s="1081">
        <f>35-H12</f>
        <v>16</v>
      </c>
      <c r="I27" s="1081">
        <f>34-I12</f>
        <v>15</v>
      </c>
      <c r="J27" s="1081">
        <f>36-J12</f>
        <v>17</v>
      </c>
      <c r="K27" s="1081">
        <f>37-K12</f>
        <v>18</v>
      </c>
      <c r="L27" s="1081">
        <f>35-L12</f>
        <v>15</v>
      </c>
      <c r="M27" s="1081">
        <f>46-M12</f>
        <v>19</v>
      </c>
      <c r="N27" s="1081">
        <f>38-N12</f>
        <v>17</v>
      </c>
      <c r="O27" s="1081">
        <f>36-O12</f>
        <v>16</v>
      </c>
      <c r="P27" s="1081">
        <f>36-P12</f>
        <v>16</v>
      </c>
      <c r="Q27" s="1081">
        <f>38-Q12</f>
        <v>17</v>
      </c>
      <c r="R27" s="1081">
        <f>39-R12</f>
        <v>17</v>
      </c>
      <c r="S27" s="1081">
        <f>41-S12</f>
        <v>16</v>
      </c>
      <c r="T27" s="1081">
        <f>39-T12</f>
        <v>16</v>
      </c>
      <c r="U27" s="1081">
        <f>40-U12</f>
        <v>16</v>
      </c>
      <c r="V27" s="1081">
        <f>38-V12</f>
        <v>17</v>
      </c>
      <c r="W27" s="1081">
        <f>37-W12</f>
        <v>16</v>
      </c>
      <c r="X27" s="1081">
        <f>37-X12</f>
        <v>15</v>
      </c>
      <c r="Y27" s="1081">
        <f>58-Y12</f>
        <v>18</v>
      </c>
      <c r="Z27" s="1081">
        <f>43-Z12</f>
        <v>17</v>
      </c>
      <c r="AA27" s="1081">
        <f>27-AA12</f>
        <v>13</v>
      </c>
      <c r="AB27" s="1081">
        <f>38-AB12</f>
        <v>17</v>
      </c>
      <c r="AC27" s="1081">
        <f>32-AC12</f>
        <v>14</v>
      </c>
      <c r="AD27" s="1081">
        <f>42-AD12</f>
        <v>17</v>
      </c>
      <c r="AE27" s="1081">
        <f>38-AE12</f>
        <v>14</v>
      </c>
      <c r="AF27" s="1081">
        <v>20</v>
      </c>
      <c r="AG27" s="1081">
        <v>14</v>
      </c>
      <c r="AH27" s="1081">
        <v>21.672620000000002</v>
      </c>
      <c r="AI27" s="1062"/>
      <c r="AJ27" s="1081"/>
      <c r="AK27" s="1081">
        <f>SUM(B27:M27)</f>
        <v>189</v>
      </c>
      <c r="AL27" s="1081">
        <f t="shared" si="7"/>
        <v>197</v>
      </c>
      <c r="AM27" s="1077">
        <f t="shared" si="8"/>
        <v>192</v>
      </c>
    </row>
    <row r="28" spans="1:39" s="1084" customFormat="1" x14ac:dyDescent="0.2">
      <c r="A28" s="873" t="s">
        <v>836</v>
      </c>
      <c r="B28" s="1081"/>
      <c r="C28" s="1081"/>
      <c r="D28" s="1081"/>
      <c r="E28" s="1081"/>
      <c r="F28" s="1081"/>
      <c r="G28" s="1081"/>
      <c r="H28" s="1081"/>
      <c r="I28" s="1081"/>
      <c r="J28" s="1081"/>
      <c r="K28" s="1081"/>
      <c r="L28" s="1081"/>
      <c r="M28" s="1081"/>
      <c r="N28" s="1081"/>
      <c r="O28" s="1081"/>
      <c r="P28" s="1081"/>
      <c r="Q28" s="1081"/>
      <c r="R28" s="1081"/>
      <c r="S28" s="1081"/>
      <c r="T28" s="1081"/>
      <c r="U28" s="1081"/>
      <c r="V28" s="1081"/>
      <c r="W28" s="1081"/>
      <c r="X28" s="1081"/>
      <c r="Y28" s="1081"/>
      <c r="Z28" s="1081"/>
      <c r="AA28" s="1081"/>
      <c r="AB28" s="1081"/>
      <c r="AC28" s="1081"/>
      <c r="AD28" s="1081"/>
      <c r="AE28" s="1081"/>
      <c r="AF28" s="1081"/>
      <c r="AG28" s="1081"/>
      <c r="AH28" s="1081">
        <v>0</v>
      </c>
      <c r="AI28" s="1062"/>
      <c r="AJ28" s="1081" t="e">
        <f>SUM(#REF!)</f>
        <v>#REF!</v>
      </c>
      <c r="AK28" s="1081">
        <f t="shared" ref="AK28:AK39" si="9">SUM(B28:M28)</f>
        <v>0</v>
      </c>
      <c r="AL28" s="1081">
        <f t="shared" si="7"/>
        <v>0</v>
      </c>
      <c r="AM28" s="1077">
        <f t="shared" si="8"/>
        <v>0</v>
      </c>
    </row>
    <row r="29" spans="1:39" s="1084" customFormat="1" x14ac:dyDescent="0.2">
      <c r="A29" s="873" t="s">
        <v>805</v>
      </c>
      <c r="B29" s="1081">
        <f>16-B15</f>
        <v>16</v>
      </c>
      <c r="C29" s="1081">
        <f>12-C15</f>
        <v>12</v>
      </c>
      <c r="D29" s="1081">
        <f>33-D15</f>
        <v>32</v>
      </c>
      <c r="E29" s="1081">
        <f>39-E15</f>
        <v>39</v>
      </c>
      <c r="F29" s="1081">
        <f>52-F15</f>
        <v>46</v>
      </c>
      <c r="G29" s="1081">
        <f>25-G15</f>
        <v>25</v>
      </c>
      <c r="H29" s="1081">
        <f>60-H15</f>
        <v>60</v>
      </c>
      <c r="I29" s="1081">
        <f>50-I15</f>
        <v>50</v>
      </c>
      <c r="J29" s="1081">
        <f>39-J15</f>
        <v>35</v>
      </c>
      <c r="K29" s="1081">
        <f>30-K15</f>
        <v>29</v>
      </c>
      <c r="L29" s="1081">
        <f>28-L15</f>
        <v>23</v>
      </c>
      <c r="M29" s="1081">
        <f>18-M15</f>
        <v>17</v>
      </c>
      <c r="N29" s="1081">
        <f>22-N15</f>
        <v>22</v>
      </c>
      <c r="O29" s="1081">
        <f>44-O15</f>
        <v>17</v>
      </c>
      <c r="P29" s="1081">
        <f>25-P15</f>
        <v>25</v>
      </c>
      <c r="Q29" s="1081">
        <f>56-Q15</f>
        <v>37</v>
      </c>
      <c r="R29" s="1081">
        <f>43-R15</f>
        <v>29</v>
      </c>
      <c r="S29" s="1081">
        <f>77-S15</f>
        <v>55</v>
      </c>
      <c r="T29" s="1081">
        <f>54-T15</f>
        <v>40</v>
      </c>
      <c r="U29" s="1081">
        <f>59-U15</f>
        <v>38</v>
      </c>
      <c r="V29" s="1081">
        <f>45-V15</f>
        <v>36</v>
      </c>
      <c r="W29" s="1081">
        <f>62-W15</f>
        <v>46</v>
      </c>
      <c r="X29" s="1081">
        <f>39-X15</f>
        <v>39</v>
      </c>
      <c r="Y29" s="1081">
        <f>47-Y15</f>
        <v>35</v>
      </c>
      <c r="Z29" s="1081">
        <f>66-Z15</f>
        <v>48</v>
      </c>
      <c r="AA29" s="1081">
        <f>56-AA15</f>
        <v>42</v>
      </c>
      <c r="AB29" s="1081">
        <f>65-AB15</f>
        <v>51</v>
      </c>
      <c r="AC29" s="1081">
        <v>27</v>
      </c>
      <c r="AD29" s="1081">
        <f>71-AD15</f>
        <v>57</v>
      </c>
      <c r="AE29" s="1081">
        <f>54-AE15</f>
        <v>54</v>
      </c>
      <c r="AF29" s="1081">
        <v>37</v>
      </c>
      <c r="AG29" s="1081">
        <v>89</v>
      </c>
      <c r="AH29" s="1081">
        <v>63.388509999999997</v>
      </c>
      <c r="AI29" s="1062"/>
      <c r="AJ29" s="1081" t="e">
        <f>SUM(#REF!)</f>
        <v>#REF!</v>
      </c>
      <c r="AK29" s="1081">
        <f t="shared" si="9"/>
        <v>384</v>
      </c>
      <c r="AL29" s="1081">
        <f t="shared" si="7"/>
        <v>419</v>
      </c>
      <c r="AM29" s="1077">
        <f t="shared" si="8"/>
        <v>561</v>
      </c>
    </row>
    <row r="30" spans="1:39" s="1084" customFormat="1" x14ac:dyDescent="0.2">
      <c r="A30" s="873" t="s">
        <v>804</v>
      </c>
      <c r="B30" s="1081">
        <f>100-B11</f>
        <v>52</v>
      </c>
      <c r="C30" s="1081">
        <f>99-C11</f>
        <v>51</v>
      </c>
      <c r="D30" s="1081">
        <f>91-D11</f>
        <v>51</v>
      </c>
      <c r="E30" s="1081">
        <f>104-E11</f>
        <v>56</v>
      </c>
      <c r="F30" s="1081">
        <f>103-F11</f>
        <v>55</v>
      </c>
      <c r="G30" s="1081">
        <f>100-G11</f>
        <v>52</v>
      </c>
      <c r="H30" s="1081">
        <f>102-H11</f>
        <v>54</v>
      </c>
      <c r="I30" s="1081">
        <f>101-I11</f>
        <v>53</v>
      </c>
      <c r="J30" s="1081">
        <f>91-J11</f>
        <v>43</v>
      </c>
      <c r="K30" s="1081">
        <f>105-K11</f>
        <v>57</v>
      </c>
      <c r="L30" s="1081">
        <f>107-L11</f>
        <v>59</v>
      </c>
      <c r="M30" s="1081">
        <f>133-M11</f>
        <v>85</v>
      </c>
      <c r="N30" s="1081">
        <f>95-N11</f>
        <v>46</v>
      </c>
      <c r="O30" s="1081">
        <f>93-O11</f>
        <v>44</v>
      </c>
      <c r="P30" s="1081">
        <f>84-P11</f>
        <v>37</v>
      </c>
      <c r="Q30" s="1081">
        <f>93-Q11</f>
        <v>45</v>
      </c>
      <c r="R30" s="1081">
        <f>101-R11</f>
        <v>53</v>
      </c>
      <c r="S30" s="1081">
        <f>99-S11</f>
        <v>50</v>
      </c>
      <c r="T30" s="1081">
        <f>127-T11</f>
        <v>60</v>
      </c>
      <c r="U30" s="1081">
        <f>107-U11</f>
        <v>48</v>
      </c>
      <c r="V30" s="1081">
        <f>124-V11</f>
        <v>49</v>
      </c>
      <c r="W30" s="1081">
        <f>139-W11</f>
        <v>55</v>
      </c>
      <c r="X30" s="1081">
        <f>138-X11</f>
        <v>54</v>
      </c>
      <c r="Y30" s="1081">
        <f>176-Y11</f>
        <v>82</v>
      </c>
      <c r="Z30" s="1081">
        <f>132-Z11</f>
        <v>47</v>
      </c>
      <c r="AA30" s="1081">
        <f>130-AA11</f>
        <v>48</v>
      </c>
      <c r="AB30" s="1081">
        <f>142-AB11</f>
        <v>51</v>
      </c>
      <c r="AC30" s="1081">
        <f>243-AC11</f>
        <v>71</v>
      </c>
      <c r="AD30" s="1081">
        <f>165-AD11</f>
        <v>60</v>
      </c>
      <c r="AE30" s="1081">
        <f>158-AE11</f>
        <v>39</v>
      </c>
      <c r="AF30" s="1081">
        <v>43</v>
      </c>
      <c r="AG30" s="1081">
        <v>46</v>
      </c>
      <c r="AH30" s="1081">
        <v>45.198920000000001</v>
      </c>
      <c r="AI30" s="1062"/>
      <c r="AJ30" s="1081" t="e">
        <f>SUM(#REF!)</f>
        <v>#REF!</v>
      </c>
      <c r="AK30" s="1081">
        <f t="shared" si="9"/>
        <v>668</v>
      </c>
      <c r="AL30" s="1081">
        <f t="shared" si="7"/>
        <v>623</v>
      </c>
      <c r="AM30" s="1077">
        <f t="shared" si="8"/>
        <v>645</v>
      </c>
    </row>
    <row r="31" spans="1:39" s="1084" customFormat="1" x14ac:dyDescent="0.2">
      <c r="A31" s="873" t="s">
        <v>807</v>
      </c>
      <c r="B31" s="1081">
        <f>212-B10</f>
        <v>8</v>
      </c>
      <c r="C31" s="1081">
        <f>246-C10</f>
        <v>10</v>
      </c>
      <c r="D31" s="1081">
        <f>263-D10</f>
        <v>25</v>
      </c>
      <c r="E31" s="1081">
        <f>249-E10</f>
        <v>9</v>
      </c>
      <c r="F31" s="1081">
        <f>287-F10</f>
        <v>18</v>
      </c>
      <c r="G31" s="1081">
        <f>200-G10</f>
        <v>11</v>
      </c>
      <c r="H31" s="1081">
        <f>219-H10</f>
        <v>7</v>
      </c>
      <c r="I31" s="1081">
        <f>196-I10</f>
        <v>11</v>
      </c>
      <c r="J31" s="1081">
        <f>248-J10</f>
        <v>10</v>
      </c>
      <c r="K31" s="1081">
        <f>299-K10</f>
        <v>16</v>
      </c>
      <c r="L31" s="1081">
        <f>469-L10</f>
        <v>12</v>
      </c>
      <c r="M31" s="1081">
        <f>715-M10</f>
        <v>24</v>
      </c>
      <c r="N31" s="1081">
        <f>440-N10</f>
        <v>9</v>
      </c>
      <c r="O31" s="1081">
        <f>323-O10</f>
        <v>12</v>
      </c>
      <c r="P31" s="1081">
        <f>479-P10</f>
        <v>13</v>
      </c>
      <c r="Q31" s="1081">
        <f>384-Q10</f>
        <v>18</v>
      </c>
      <c r="R31" s="1081">
        <f>525-R10</f>
        <v>17</v>
      </c>
      <c r="S31" s="1081">
        <f>320-S10</f>
        <v>17</v>
      </c>
      <c r="T31" s="1081">
        <f>485-T10</f>
        <v>14</v>
      </c>
      <c r="U31" s="1081">
        <f>436-U10</f>
        <v>12</v>
      </c>
      <c r="V31" s="1081">
        <f>520-V10</f>
        <v>16</v>
      </c>
      <c r="W31" s="1081">
        <f>489-W10</f>
        <v>19</v>
      </c>
      <c r="X31" s="1081">
        <f>784-X10</f>
        <v>39</v>
      </c>
      <c r="Y31" s="1081">
        <f>853-Y10</f>
        <v>29</v>
      </c>
      <c r="Z31" s="1081">
        <v>10</v>
      </c>
      <c r="AA31" s="1081">
        <v>15</v>
      </c>
      <c r="AB31" s="1081">
        <v>15</v>
      </c>
      <c r="AC31" s="1081">
        <v>16</v>
      </c>
      <c r="AD31" s="1081">
        <v>9</v>
      </c>
      <c r="AE31" s="1081">
        <v>10</v>
      </c>
      <c r="AF31" s="1081">
        <v>12</v>
      </c>
      <c r="AG31" s="1081">
        <v>28</v>
      </c>
      <c r="AH31" s="1081">
        <v>14.79914</v>
      </c>
      <c r="AI31" s="1062"/>
      <c r="AJ31" s="1081" t="e">
        <f>SUM(#REF!)</f>
        <v>#REF!</v>
      </c>
      <c r="AK31" s="1081">
        <f t="shared" si="9"/>
        <v>161</v>
      </c>
      <c r="AL31" s="1081">
        <f t="shared" si="7"/>
        <v>215</v>
      </c>
      <c r="AM31" s="1077">
        <f t="shared" si="8"/>
        <v>218</v>
      </c>
    </row>
    <row r="32" spans="1:39" s="1084" customFormat="1" x14ac:dyDescent="0.2">
      <c r="A32" s="873" t="s">
        <v>837</v>
      </c>
      <c r="B32" s="1081">
        <f>21-B14</f>
        <v>0</v>
      </c>
      <c r="C32" s="1081">
        <f>38-C14</f>
        <v>0</v>
      </c>
      <c r="D32" s="1081">
        <f>64-D14</f>
        <v>0</v>
      </c>
      <c r="E32" s="1081">
        <f>33-E14</f>
        <v>1</v>
      </c>
      <c r="F32" s="1081">
        <f>65-F14</f>
        <v>1</v>
      </c>
      <c r="G32" s="1081">
        <f>47-G14</f>
        <v>9</v>
      </c>
      <c r="H32" s="1081">
        <f>29-H14</f>
        <v>0</v>
      </c>
      <c r="I32" s="1081">
        <f>48-I14</f>
        <v>0</v>
      </c>
      <c r="J32" s="1081">
        <f>35-J14</f>
        <v>0</v>
      </c>
      <c r="K32" s="1081">
        <f>9-K14</f>
        <v>0</v>
      </c>
      <c r="L32" s="1081">
        <f>30-L14</f>
        <v>0</v>
      </c>
      <c r="M32" s="1081">
        <f>26-M14</f>
        <v>0</v>
      </c>
      <c r="N32" s="1081">
        <f>8-N14</f>
        <v>0</v>
      </c>
      <c r="O32" s="1081">
        <f>6-O14</f>
        <v>0</v>
      </c>
      <c r="P32" s="1081">
        <f>24-P14</f>
        <v>0</v>
      </c>
      <c r="Q32" s="1081">
        <f>22-Q14</f>
        <v>0</v>
      </c>
      <c r="R32" s="1081">
        <f>40-R14</f>
        <v>0</v>
      </c>
      <c r="S32" s="1081">
        <f>28-S14</f>
        <v>0</v>
      </c>
      <c r="T32" s="1081">
        <f>40-T14</f>
        <v>0</v>
      </c>
      <c r="U32" s="1081">
        <f>24-U14</f>
        <v>0</v>
      </c>
      <c r="V32" s="1081">
        <f>27-V14</f>
        <v>1</v>
      </c>
      <c r="W32" s="1081">
        <f>41-W14</f>
        <v>0</v>
      </c>
      <c r="X32" s="1081">
        <f>62-X14</f>
        <v>0</v>
      </c>
      <c r="Y32" s="1081">
        <f>28-Y14</f>
        <v>-1</v>
      </c>
      <c r="Z32" s="1081">
        <f>46-Z14</f>
        <v>0</v>
      </c>
      <c r="AA32" s="1081">
        <f>32-AA14</f>
        <v>0</v>
      </c>
      <c r="AB32" s="1081">
        <f>45-AB14</f>
        <v>0</v>
      </c>
      <c r="AC32" s="1081">
        <f>33-AC14</f>
        <v>0</v>
      </c>
      <c r="AD32" s="1081">
        <f>37-AD14</f>
        <v>0</v>
      </c>
      <c r="AE32" s="1081">
        <f>13-AE14</f>
        <v>0</v>
      </c>
      <c r="AF32" s="1081">
        <v>0</v>
      </c>
      <c r="AG32" s="1081">
        <v>0</v>
      </c>
      <c r="AH32" s="1081">
        <v>0</v>
      </c>
      <c r="AI32" s="1062"/>
      <c r="AJ32" s="1081" t="e">
        <f>SUM(#REF!)</f>
        <v>#REF!</v>
      </c>
      <c r="AK32" s="1081">
        <f t="shared" si="9"/>
        <v>11</v>
      </c>
      <c r="AL32" s="1081">
        <f t="shared" si="7"/>
        <v>0</v>
      </c>
      <c r="AM32" s="1077">
        <f t="shared" si="8"/>
        <v>0</v>
      </c>
    </row>
    <row r="33" spans="1:39" s="1084" customFormat="1" x14ac:dyDescent="0.2">
      <c r="A33" s="873" t="s">
        <v>811</v>
      </c>
      <c r="B33" s="1081">
        <v>10</v>
      </c>
      <c r="C33" s="1081">
        <v>10</v>
      </c>
      <c r="D33" s="1081">
        <v>10</v>
      </c>
      <c r="E33" s="1081">
        <v>10</v>
      </c>
      <c r="F33" s="1081">
        <v>10</v>
      </c>
      <c r="G33" s="1081">
        <v>10</v>
      </c>
      <c r="H33" s="1081">
        <v>8</v>
      </c>
      <c r="I33" s="1081">
        <v>8</v>
      </c>
      <c r="J33" s="1081">
        <v>10</v>
      </c>
      <c r="K33" s="1081">
        <v>36</v>
      </c>
      <c r="L33" s="1081">
        <v>46</v>
      </c>
      <c r="M33" s="1081">
        <v>32</v>
      </c>
      <c r="N33" s="1081">
        <v>9</v>
      </c>
      <c r="O33" s="1081">
        <v>9</v>
      </c>
      <c r="P33" s="1081">
        <v>9</v>
      </c>
      <c r="Q33" s="1081">
        <v>9</v>
      </c>
      <c r="R33" s="1081">
        <v>9</v>
      </c>
      <c r="S33" s="1081">
        <v>9</v>
      </c>
      <c r="T33" s="1081">
        <v>9</v>
      </c>
      <c r="U33" s="1081">
        <v>7</v>
      </c>
      <c r="V33" s="1081">
        <v>7</v>
      </c>
      <c r="W33" s="1081">
        <v>6</v>
      </c>
      <c r="X33" s="1081">
        <v>1</v>
      </c>
      <c r="Y33" s="1081">
        <v>-2</v>
      </c>
      <c r="Z33" s="1081">
        <v>4</v>
      </c>
      <c r="AA33" s="1081">
        <v>4</v>
      </c>
      <c r="AB33" s="1081">
        <v>4</v>
      </c>
      <c r="AC33" s="1081">
        <v>4</v>
      </c>
      <c r="AD33" s="1081">
        <v>4</v>
      </c>
      <c r="AE33" s="1081">
        <v>4</v>
      </c>
      <c r="AF33" s="1081">
        <v>4</v>
      </c>
      <c r="AG33" s="1081">
        <v>4</v>
      </c>
      <c r="AH33" s="1081">
        <v>3.5</v>
      </c>
      <c r="AI33" s="1062"/>
      <c r="AJ33" s="1081" t="e">
        <f>SUM(#REF!)</f>
        <v>#REF!</v>
      </c>
      <c r="AK33" s="1081">
        <f t="shared" si="9"/>
        <v>200</v>
      </c>
      <c r="AL33" s="1081">
        <f t="shared" si="7"/>
        <v>82</v>
      </c>
      <c r="AM33" s="1077">
        <f t="shared" si="8"/>
        <v>44</v>
      </c>
    </row>
    <row r="34" spans="1:39" s="1084" customFormat="1" x14ac:dyDescent="0.2">
      <c r="A34" s="873" t="s">
        <v>810</v>
      </c>
      <c r="B34" s="1081">
        <v>17</v>
      </c>
      <c r="C34" s="1081">
        <v>7</v>
      </c>
      <c r="D34" s="1081">
        <v>8</v>
      </c>
      <c r="E34" s="1081">
        <v>13</v>
      </c>
      <c r="F34" s="1081">
        <v>7</v>
      </c>
      <c r="G34" s="1081">
        <v>19</v>
      </c>
      <c r="H34" s="1081">
        <v>6</v>
      </c>
      <c r="I34" s="1081">
        <v>6</v>
      </c>
      <c r="J34" s="1081">
        <v>13</v>
      </c>
      <c r="K34" s="1081">
        <v>13</v>
      </c>
      <c r="L34" s="1081">
        <v>25</v>
      </c>
      <c r="M34" s="1081">
        <v>7</v>
      </c>
      <c r="N34" s="1081">
        <v>14</v>
      </c>
      <c r="O34" s="1081">
        <v>16</v>
      </c>
      <c r="P34" s="1081">
        <v>15</v>
      </c>
      <c r="Q34" s="1081">
        <v>9</v>
      </c>
      <c r="R34" s="1081">
        <v>20</v>
      </c>
      <c r="S34" s="1081">
        <v>14</v>
      </c>
      <c r="T34" s="1081">
        <v>21</v>
      </c>
      <c r="U34" s="1081">
        <v>15</v>
      </c>
      <c r="V34" s="1081">
        <v>14</v>
      </c>
      <c r="W34" s="1081">
        <v>13</v>
      </c>
      <c r="X34" s="1081">
        <v>9</v>
      </c>
      <c r="Y34" s="1081">
        <v>16</v>
      </c>
      <c r="Z34" s="1081">
        <v>13</v>
      </c>
      <c r="AA34" s="1081">
        <v>5</v>
      </c>
      <c r="AB34" s="1081">
        <v>14</v>
      </c>
      <c r="AC34" s="1081">
        <v>13</v>
      </c>
      <c r="AD34" s="1081">
        <v>9</v>
      </c>
      <c r="AE34" s="1081">
        <v>8</v>
      </c>
      <c r="AF34" s="1081">
        <v>6</v>
      </c>
      <c r="AG34" s="1081">
        <v>9</v>
      </c>
      <c r="AH34" s="1081">
        <v>8.6613100000000021</v>
      </c>
      <c r="AI34" s="1062"/>
      <c r="AJ34" s="1081" t="e">
        <f>SUM(#REF!)</f>
        <v>#REF!</v>
      </c>
      <c r="AK34" s="1081">
        <f t="shared" si="9"/>
        <v>141</v>
      </c>
      <c r="AL34" s="1081">
        <f t="shared" si="7"/>
        <v>176</v>
      </c>
      <c r="AM34" s="1077">
        <f t="shared" si="8"/>
        <v>129</v>
      </c>
    </row>
    <row r="35" spans="1:39" s="1084" customFormat="1" x14ac:dyDescent="0.2">
      <c r="A35" s="873" t="s">
        <v>806</v>
      </c>
      <c r="B35" s="1081">
        <v>29</v>
      </c>
      <c r="C35" s="1081">
        <v>24</v>
      </c>
      <c r="D35" s="1081">
        <v>17</v>
      </c>
      <c r="E35" s="1081">
        <v>22</v>
      </c>
      <c r="F35" s="1081">
        <v>22</v>
      </c>
      <c r="G35" s="1081">
        <v>25</v>
      </c>
      <c r="H35" s="1081">
        <v>19</v>
      </c>
      <c r="I35" s="1081">
        <v>18</v>
      </c>
      <c r="J35" s="1081">
        <v>20</v>
      </c>
      <c r="K35" s="1081">
        <v>25</v>
      </c>
      <c r="L35" s="1081">
        <v>28</v>
      </c>
      <c r="M35" s="1081">
        <v>34</v>
      </c>
      <c r="N35" s="1081">
        <v>29</v>
      </c>
      <c r="O35" s="1081">
        <v>22</v>
      </c>
      <c r="P35" s="1081">
        <v>21</v>
      </c>
      <c r="Q35" s="1081">
        <v>24</v>
      </c>
      <c r="R35" s="1081">
        <v>23</v>
      </c>
      <c r="S35" s="1081">
        <v>17</v>
      </c>
      <c r="T35" s="1081">
        <v>21</v>
      </c>
      <c r="U35" s="1081">
        <v>19</v>
      </c>
      <c r="V35" s="1081">
        <v>22</v>
      </c>
      <c r="W35" s="1081">
        <v>25</v>
      </c>
      <c r="X35" s="1081">
        <v>24</v>
      </c>
      <c r="Y35" s="1081">
        <v>23</v>
      </c>
      <c r="Z35" s="1081">
        <v>27</v>
      </c>
      <c r="AA35" s="1081">
        <v>22</v>
      </c>
      <c r="AB35" s="1081">
        <v>22</v>
      </c>
      <c r="AC35" s="1081">
        <v>23</v>
      </c>
      <c r="AD35" s="1081">
        <v>24</v>
      </c>
      <c r="AE35" s="1081">
        <v>23</v>
      </c>
      <c r="AF35" s="1081">
        <v>20</v>
      </c>
      <c r="AG35" s="1081">
        <v>17</v>
      </c>
      <c r="AH35" s="1081">
        <v>19.890639999999998</v>
      </c>
      <c r="AI35" s="1062"/>
      <c r="AJ35" s="1081" t="e">
        <f>SUM(#REF!)</f>
        <v>#REF!</v>
      </c>
      <c r="AK35" s="1081">
        <f t="shared" si="9"/>
        <v>283</v>
      </c>
      <c r="AL35" s="1081">
        <f t="shared" si="7"/>
        <v>270</v>
      </c>
      <c r="AM35" s="1077">
        <f t="shared" si="8"/>
        <v>272</v>
      </c>
    </row>
    <row r="36" spans="1:39" s="1084" customFormat="1" x14ac:dyDescent="0.2">
      <c r="A36" s="873" t="s">
        <v>672</v>
      </c>
      <c r="B36" s="1081">
        <f>64-B13</f>
        <v>17</v>
      </c>
      <c r="C36" s="1081">
        <f>63-C13</f>
        <v>16</v>
      </c>
      <c r="D36" s="1081">
        <f>64-D13</f>
        <v>17</v>
      </c>
      <c r="E36" s="1081">
        <f>63-E13</f>
        <v>16</v>
      </c>
      <c r="F36" s="1081">
        <f>64-F13</f>
        <v>17</v>
      </c>
      <c r="G36" s="1081">
        <f>63-G13</f>
        <v>16</v>
      </c>
      <c r="H36" s="1081">
        <f>64-H13</f>
        <v>17</v>
      </c>
      <c r="I36" s="1081">
        <f>63-I13</f>
        <v>16</v>
      </c>
      <c r="J36" s="1081">
        <f>64-J13</f>
        <v>17</v>
      </c>
      <c r="K36" s="1081">
        <f>63-K13</f>
        <v>16</v>
      </c>
      <c r="L36" s="1081">
        <f>64-L13</f>
        <v>18</v>
      </c>
      <c r="M36" s="1081">
        <f>162-M13</f>
        <v>17</v>
      </c>
      <c r="N36" s="1081">
        <f t="shared" ref="N36:X36" si="10">64-N13</f>
        <v>17</v>
      </c>
      <c r="O36" s="1081">
        <f t="shared" si="10"/>
        <v>17</v>
      </c>
      <c r="P36" s="1081">
        <f t="shared" si="10"/>
        <v>17</v>
      </c>
      <c r="Q36" s="1081">
        <f t="shared" si="10"/>
        <v>17</v>
      </c>
      <c r="R36" s="1081">
        <f t="shared" si="10"/>
        <v>17</v>
      </c>
      <c r="S36" s="1081">
        <f t="shared" si="10"/>
        <v>17</v>
      </c>
      <c r="T36" s="1081">
        <f t="shared" si="10"/>
        <v>17</v>
      </c>
      <c r="U36" s="1081">
        <f t="shared" si="10"/>
        <v>17</v>
      </c>
      <c r="V36" s="1081">
        <f t="shared" si="10"/>
        <v>17</v>
      </c>
      <c r="W36" s="1081">
        <f t="shared" si="10"/>
        <v>17</v>
      </c>
      <c r="X36" s="1081">
        <f t="shared" si="10"/>
        <v>18</v>
      </c>
      <c r="Y36" s="1081">
        <f>530-6-Y13</f>
        <v>11</v>
      </c>
      <c r="Z36" s="1081">
        <f t="shared" ref="Z36:AE36" si="11">64-Z13</f>
        <v>17</v>
      </c>
      <c r="AA36" s="1081">
        <f t="shared" si="11"/>
        <v>17</v>
      </c>
      <c r="AB36" s="1081">
        <f t="shared" si="11"/>
        <v>17</v>
      </c>
      <c r="AC36" s="1081">
        <f t="shared" si="11"/>
        <v>17</v>
      </c>
      <c r="AD36" s="1081">
        <f t="shared" si="11"/>
        <v>18</v>
      </c>
      <c r="AE36" s="1081">
        <f t="shared" si="11"/>
        <v>17</v>
      </c>
      <c r="AF36" s="1081">
        <v>17</v>
      </c>
      <c r="AG36" s="1081">
        <v>17</v>
      </c>
      <c r="AH36" s="1081">
        <v>16.600000000000001</v>
      </c>
      <c r="AI36" s="1062"/>
      <c r="AJ36" s="1081" t="e">
        <f>SUM(#REF!)</f>
        <v>#REF!</v>
      </c>
      <c r="AK36" s="1081">
        <f t="shared" si="9"/>
        <v>200</v>
      </c>
      <c r="AL36" s="1081">
        <f>SUM(N36:Y36)</f>
        <v>199</v>
      </c>
      <c r="AM36" s="1077">
        <f t="shared" si="8"/>
        <v>200</v>
      </c>
    </row>
    <row r="37" spans="1:39" s="1084" customFormat="1" x14ac:dyDescent="0.2">
      <c r="A37" s="873" t="s">
        <v>812</v>
      </c>
      <c r="B37" s="1081">
        <v>4</v>
      </c>
      <c r="C37" s="1081">
        <v>4</v>
      </c>
      <c r="D37" s="1081">
        <v>6</v>
      </c>
      <c r="E37" s="1081">
        <v>4</v>
      </c>
      <c r="F37" s="1081">
        <v>4</v>
      </c>
      <c r="G37" s="1081">
        <v>5</v>
      </c>
      <c r="H37" s="1081">
        <v>3</v>
      </c>
      <c r="I37" s="1081">
        <v>3</v>
      </c>
      <c r="J37" s="1081">
        <v>3</v>
      </c>
      <c r="K37" s="1081">
        <v>3</v>
      </c>
      <c r="L37" s="1081">
        <v>4</v>
      </c>
      <c r="M37" s="1081">
        <v>3</v>
      </c>
      <c r="N37" s="1081">
        <v>3</v>
      </c>
      <c r="O37" s="1081">
        <v>3</v>
      </c>
      <c r="P37" s="1081">
        <v>5</v>
      </c>
      <c r="Q37" s="1081">
        <v>4</v>
      </c>
      <c r="R37" s="1081">
        <v>3</v>
      </c>
      <c r="S37" s="1081">
        <v>5</v>
      </c>
      <c r="T37" s="1081">
        <v>3</v>
      </c>
      <c r="U37" s="1081">
        <v>3</v>
      </c>
      <c r="V37" s="1081">
        <v>3</v>
      </c>
      <c r="W37" s="1081">
        <v>3</v>
      </c>
      <c r="X37" s="1081">
        <v>3</v>
      </c>
      <c r="Y37" s="1081">
        <v>3</v>
      </c>
      <c r="Z37" s="1081">
        <v>3</v>
      </c>
      <c r="AA37" s="1081">
        <v>3</v>
      </c>
      <c r="AB37" s="1081">
        <v>6</v>
      </c>
      <c r="AC37" s="1081">
        <v>4</v>
      </c>
      <c r="AD37" s="1081">
        <v>3</v>
      </c>
      <c r="AE37" s="1081">
        <v>7</v>
      </c>
      <c r="AF37" s="1081">
        <v>5</v>
      </c>
      <c r="AG37" s="1081">
        <v>5</v>
      </c>
      <c r="AH37" s="1081">
        <v>4.87683</v>
      </c>
      <c r="AI37" s="1062"/>
      <c r="AJ37" s="1081" t="e">
        <f>SUM(#REF!)</f>
        <v>#REF!</v>
      </c>
      <c r="AK37" s="1081">
        <f t="shared" si="9"/>
        <v>46</v>
      </c>
      <c r="AL37" s="1081">
        <f t="shared" si="7"/>
        <v>41</v>
      </c>
      <c r="AM37" s="1077">
        <f t="shared" si="8"/>
        <v>48</v>
      </c>
    </row>
    <row r="38" spans="1:39" s="1084" customFormat="1" x14ac:dyDescent="0.2">
      <c r="A38" s="873" t="s">
        <v>814</v>
      </c>
      <c r="B38" s="1081">
        <v>0</v>
      </c>
      <c r="C38" s="1081">
        <v>0</v>
      </c>
      <c r="D38" s="1081">
        <v>0</v>
      </c>
      <c r="E38" s="1081">
        <v>0</v>
      </c>
      <c r="F38" s="1081">
        <v>0</v>
      </c>
      <c r="G38" s="1081">
        <v>0</v>
      </c>
      <c r="H38" s="1081">
        <v>0</v>
      </c>
      <c r="I38" s="1081">
        <v>0</v>
      </c>
      <c r="J38" s="1081">
        <v>0</v>
      </c>
      <c r="K38" s="1081">
        <v>0</v>
      </c>
      <c r="L38" s="1081">
        <v>0</v>
      </c>
      <c r="M38" s="1081">
        <v>0</v>
      </c>
      <c r="N38" s="1081">
        <v>0</v>
      </c>
      <c r="O38" s="1081">
        <v>0</v>
      </c>
      <c r="P38" s="1081">
        <v>0</v>
      </c>
      <c r="Q38" s="1081">
        <v>0</v>
      </c>
      <c r="R38" s="1081">
        <v>0</v>
      </c>
      <c r="S38" s="1081">
        <v>0</v>
      </c>
      <c r="T38" s="1081">
        <v>0</v>
      </c>
      <c r="U38" s="1081">
        <v>0</v>
      </c>
      <c r="V38" s="1081">
        <v>0</v>
      </c>
      <c r="W38" s="1081">
        <v>0</v>
      </c>
      <c r="X38" s="1081">
        <v>0</v>
      </c>
      <c r="Y38" s="1081">
        <v>0</v>
      </c>
      <c r="Z38" s="1081">
        <v>0</v>
      </c>
      <c r="AA38" s="1081">
        <v>0</v>
      </c>
      <c r="AB38" s="1081">
        <v>0</v>
      </c>
      <c r="AC38" s="1081">
        <v>0</v>
      </c>
      <c r="AD38" s="1081">
        <v>0</v>
      </c>
      <c r="AE38" s="1081">
        <v>0</v>
      </c>
      <c r="AF38" s="1081">
        <v>0</v>
      </c>
      <c r="AG38" s="1081">
        <v>0</v>
      </c>
      <c r="AH38" s="1081">
        <v>0</v>
      </c>
      <c r="AI38" s="1062"/>
      <c r="AJ38" s="1081" t="e">
        <f>SUM(#REF!)</f>
        <v>#REF!</v>
      </c>
      <c r="AK38" s="1081">
        <f t="shared" si="9"/>
        <v>0</v>
      </c>
      <c r="AL38" s="1081">
        <f t="shared" si="7"/>
        <v>0</v>
      </c>
      <c r="AM38" s="1077">
        <f t="shared" si="8"/>
        <v>0</v>
      </c>
    </row>
    <row r="39" spans="1:39" s="1084" customFormat="1" x14ac:dyDescent="0.2">
      <c r="A39" s="873" t="s">
        <v>838</v>
      </c>
      <c r="B39" s="1081">
        <f>13-B17</f>
        <v>7</v>
      </c>
      <c r="C39" s="1081">
        <f>10-C17</f>
        <v>4</v>
      </c>
      <c r="D39" s="1081">
        <f>11-D17</f>
        <v>5</v>
      </c>
      <c r="E39" s="1081">
        <f>15-E17</f>
        <v>10</v>
      </c>
      <c r="F39" s="1081">
        <f>4-F17</f>
        <v>4</v>
      </c>
      <c r="G39" s="1081">
        <f>23-G17</f>
        <v>17</v>
      </c>
      <c r="H39" s="1081">
        <f>14-H17</f>
        <v>6</v>
      </c>
      <c r="I39" s="1081">
        <f>9-I17</f>
        <v>2</v>
      </c>
      <c r="J39" s="1081">
        <f>13-J17</f>
        <v>5</v>
      </c>
      <c r="K39" s="1081">
        <f>9-K17</f>
        <v>4</v>
      </c>
      <c r="L39" s="1081">
        <f>17-L17</f>
        <v>9</v>
      </c>
      <c r="M39" s="1081">
        <f>17-M17</f>
        <v>10</v>
      </c>
      <c r="N39" s="1081">
        <f>16-N17</f>
        <v>7</v>
      </c>
      <c r="O39" s="1081">
        <f>16-O17</f>
        <v>7</v>
      </c>
      <c r="P39" s="1081">
        <f>9-P17</f>
        <v>3</v>
      </c>
      <c r="Q39" s="1081">
        <f>12-Q17</f>
        <v>3</v>
      </c>
      <c r="R39" s="1081">
        <f>11-R17</f>
        <v>4</v>
      </c>
      <c r="S39" s="1081">
        <f>16-S17</f>
        <v>7</v>
      </c>
      <c r="T39" s="1081">
        <f>12-T17</f>
        <v>4</v>
      </c>
      <c r="U39" s="1081">
        <f>16-U17</f>
        <v>5</v>
      </c>
      <c r="V39" s="1081">
        <f>14-V17</f>
        <v>7</v>
      </c>
      <c r="W39" s="1081">
        <f>13-W17</f>
        <v>4</v>
      </c>
      <c r="X39" s="1081">
        <f>13-X17</f>
        <v>5</v>
      </c>
      <c r="Y39" s="1081">
        <f>128+7-Y17</f>
        <v>49</v>
      </c>
      <c r="Z39" s="1081">
        <f>24-Z17</f>
        <v>11</v>
      </c>
      <c r="AA39" s="1081">
        <f>20-AA17</f>
        <v>8</v>
      </c>
      <c r="AB39" s="1081">
        <f>17-AB17</f>
        <v>7</v>
      </c>
      <c r="AC39" s="1081">
        <f>25-AC17</f>
        <v>13</v>
      </c>
      <c r="AD39" s="1081">
        <f>15-AD17</f>
        <v>5</v>
      </c>
      <c r="AE39" s="1081">
        <f>17-AE17</f>
        <v>7</v>
      </c>
      <c r="AF39" s="1081">
        <f>5-1</f>
        <v>4</v>
      </c>
      <c r="AG39" s="1081">
        <v>16</v>
      </c>
      <c r="AH39" s="1081">
        <v>9.8928299999994245</v>
      </c>
      <c r="AI39" s="1062"/>
      <c r="AJ39" s="1081" t="e">
        <f>SUM(#REF!)</f>
        <v>#REF!</v>
      </c>
      <c r="AK39" s="1079">
        <f t="shared" si="9"/>
        <v>83</v>
      </c>
      <c r="AL39" s="1079">
        <f t="shared" si="7"/>
        <v>105</v>
      </c>
      <c r="AM39" s="1080">
        <f t="shared" si="8"/>
        <v>136</v>
      </c>
    </row>
    <row r="40" spans="1:39" x14ac:dyDescent="0.2">
      <c r="A40" s="1068" t="s">
        <v>668</v>
      </c>
      <c r="B40" s="1085">
        <f t="shared" ref="B40:AE40" si="12">SUM(B25:B39)</f>
        <v>292</v>
      </c>
      <c r="C40" s="1085">
        <f t="shared" si="12"/>
        <v>269</v>
      </c>
      <c r="D40" s="1085">
        <f t="shared" si="12"/>
        <v>304</v>
      </c>
      <c r="E40" s="1085">
        <f t="shared" si="12"/>
        <v>318</v>
      </c>
      <c r="F40" s="1085">
        <f t="shared" si="12"/>
        <v>341</v>
      </c>
      <c r="G40" s="1085">
        <f t="shared" si="12"/>
        <v>317</v>
      </c>
      <c r="H40" s="1085">
        <f t="shared" si="12"/>
        <v>300</v>
      </c>
      <c r="I40" s="1085">
        <f t="shared" si="12"/>
        <v>296</v>
      </c>
      <c r="J40" s="1085">
        <f t="shared" si="12"/>
        <v>280</v>
      </c>
      <c r="K40" s="1085">
        <f t="shared" si="12"/>
        <v>324</v>
      </c>
      <c r="L40" s="1085">
        <f t="shared" si="12"/>
        <v>357</v>
      </c>
      <c r="M40" s="1085">
        <f t="shared" si="12"/>
        <v>375</v>
      </c>
      <c r="N40" s="1085">
        <f t="shared" si="12"/>
        <v>274</v>
      </c>
      <c r="O40" s="1085">
        <f t="shared" si="12"/>
        <v>247</v>
      </c>
      <c r="P40" s="1085">
        <f t="shared" si="12"/>
        <v>253</v>
      </c>
      <c r="Q40" s="1085">
        <f t="shared" si="12"/>
        <v>272</v>
      </c>
      <c r="R40" s="1085">
        <f t="shared" si="12"/>
        <v>294</v>
      </c>
      <c r="S40" s="1085">
        <f t="shared" si="12"/>
        <v>304</v>
      </c>
      <c r="T40" s="1085">
        <f t="shared" si="12"/>
        <v>300</v>
      </c>
      <c r="U40" s="1085">
        <f t="shared" si="12"/>
        <v>300</v>
      </c>
      <c r="V40" s="1085">
        <f t="shared" si="12"/>
        <v>301</v>
      </c>
      <c r="W40" s="1085">
        <f t="shared" si="12"/>
        <v>317</v>
      </c>
      <c r="X40" s="1085">
        <f t="shared" si="12"/>
        <v>317</v>
      </c>
      <c r="Y40" s="1085">
        <f t="shared" si="12"/>
        <v>411</v>
      </c>
      <c r="Z40" s="1085">
        <f t="shared" si="12"/>
        <v>321</v>
      </c>
      <c r="AA40" s="1085">
        <f t="shared" si="12"/>
        <v>279</v>
      </c>
      <c r="AB40" s="1085">
        <f t="shared" si="12"/>
        <v>323</v>
      </c>
      <c r="AC40" s="1085">
        <f t="shared" si="12"/>
        <v>299</v>
      </c>
      <c r="AD40" s="1085">
        <f t="shared" si="12"/>
        <v>332</v>
      </c>
      <c r="AE40" s="1085">
        <f t="shared" si="12"/>
        <v>282</v>
      </c>
      <c r="AF40" s="1085">
        <f>SUM(AF25:AF39)</f>
        <v>262</v>
      </c>
      <c r="AG40" s="1085">
        <f>SUM(AG25:AG39)</f>
        <v>336</v>
      </c>
      <c r="AH40" s="1085">
        <f>SUM(AH25:AH39)</f>
        <v>286.14675999999946</v>
      </c>
      <c r="AJ40" s="1065" t="e">
        <f>SUM(AJ25:AJ39)</f>
        <v>#REF!</v>
      </c>
      <c r="AK40" s="1065">
        <f>SUM(AK25:AK39)</f>
        <v>3773</v>
      </c>
      <c r="AL40" s="1065">
        <f>SUM(AL25:AL39)</f>
        <v>3590</v>
      </c>
      <c r="AM40" s="1065">
        <f>SUM(AM25:AM39)</f>
        <v>3780</v>
      </c>
    </row>
    <row r="41" spans="1:39" x14ac:dyDescent="0.2">
      <c r="A41" s="1068"/>
      <c r="B41" s="1065"/>
      <c r="C41" s="1065"/>
      <c r="D41" s="1065"/>
      <c r="E41" s="1065"/>
      <c r="F41" s="1065"/>
      <c r="G41" s="1065"/>
      <c r="H41" s="1065"/>
      <c r="I41" s="1065"/>
      <c r="J41" s="1065"/>
      <c r="K41" s="1065"/>
      <c r="L41" s="1065"/>
      <c r="M41" s="1065"/>
      <c r="N41" s="1065"/>
      <c r="O41" s="1065"/>
      <c r="P41" s="1065"/>
      <c r="Q41" s="1065"/>
      <c r="R41" s="1065"/>
      <c r="S41" s="1065"/>
      <c r="T41" s="1065"/>
      <c r="U41" s="1065"/>
      <c r="V41" s="1065"/>
      <c r="W41" s="1065"/>
      <c r="X41" s="1065"/>
      <c r="Y41" s="1065"/>
      <c r="Z41" s="1065"/>
      <c r="AA41" s="1065"/>
      <c r="AB41" s="1065"/>
      <c r="AC41" s="1065"/>
      <c r="AD41" s="1065"/>
      <c r="AE41" s="1065"/>
      <c r="AF41" s="1065"/>
      <c r="AG41" s="1065"/>
      <c r="AH41" s="1065"/>
      <c r="AJ41" s="1065"/>
      <c r="AK41" s="1082"/>
      <c r="AL41" s="1065"/>
      <c r="AM41" s="1065"/>
    </row>
    <row r="42" spans="1:39" x14ac:dyDescent="0.2">
      <c r="A42" s="1068" t="s">
        <v>839</v>
      </c>
      <c r="B42" s="1065"/>
      <c r="C42" s="1065"/>
      <c r="D42" s="1065"/>
      <c r="E42" s="1065"/>
      <c r="F42" s="1065"/>
      <c r="G42" s="1065"/>
      <c r="H42" s="1065"/>
      <c r="I42" s="1065"/>
      <c r="J42" s="1065"/>
      <c r="K42" s="1065"/>
      <c r="L42" s="1065"/>
      <c r="M42" s="1065"/>
      <c r="N42" s="1065"/>
      <c r="O42" s="1065"/>
      <c r="P42" s="1065"/>
      <c r="Q42" s="1065"/>
      <c r="R42" s="1065"/>
      <c r="S42" s="1065"/>
      <c r="T42" s="1065"/>
      <c r="U42" s="1065"/>
      <c r="V42" s="1065"/>
      <c r="W42" s="1065"/>
      <c r="X42" s="1065"/>
      <c r="Y42" s="1065"/>
      <c r="Z42" s="1065"/>
      <c r="AA42" s="1065"/>
      <c r="AB42" s="1065"/>
      <c r="AC42" s="1065"/>
      <c r="AD42" s="1065"/>
      <c r="AE42" s="1065"/>
      <c r="AF42" s="1065"/>
      <c r="AG42" s="1065"/>
      <c r="AH42" s="1065"/>
      <c r="AJ42" s="1065"/>
      <c r="AK42" s="1086"/>
      <c r="AL42" s="1065"/>
      <c r="AM42" s="1065"/>
    </row>
    <row r="43" spans="1:39" x14ac:dyDescent="0.2">
      <c r="A43" s="1078" t="s">
        <v>840</v>
      </c>
      <c r="B43" s="1081">
        <v>-34</v>
      </c>
      <c r="C43" s="1081">
        <v>-30</v>
      </c>
      <c r="D43" s="1081">
        <v>-34</v>
      </c>
      <c r="E43" s="1081">
        <v>-35</v>
      </c>
      <c r="F43" s="1081">
        <v>-38</v>
      </c>
      <c r="G43" s="1081">
        <v>-40</v>
      </c>
      <c r="H43" s="1081">
        <v>-40</v>
      </c>
      <c r="I43" s="1081">
        <v>-41</v>
      </c>
      <c r="J43" s="1081">
        <v>-40</v>
      </c>
      <c r="K43" s="1081">
        <v>-42</v>
      </c>
      <c r="L43" s="1081">
        <v>-46</v>
      </c>
      <c r="M43" s="1081">
        <v>-50</v>
      </c>
      <c r="N43" s="1081">
        <v>-41</v>
      </c>
      <c r="O43" s="1081">
        <v>-40</v>
      </c>
      <c r="P43" s="1081">
        <v>-46</v>
      </c>
      <c r="Q43" s="1081">
        <v>-45</v>
      </c>
      <c r="R43" s="1081">
        <v>-47</v>
      </c>
      <c r="S43" s="1081">
        <v>-50</v>
      </c>
      <c r="T43" s="1081">
        <v>-57</v>
      </c>
      <c r="U43" s="1081">
        <v>-62</v>
      </c>
      <c r="V43" s="1081">
        <v>-64</v>
      </c>
      <c r="W43" s="1081">
        <v>-70</v>
      </c>
      <c r="X43" s="1081">
        <v>-74</v>
      </c>
      <c r="Y43" s="1081">
        <v>-76</v>
      </c>
      <c r="Z43" s="1081">
        <v>-59</v>
      </c>
      <c r="AA43" s="1081">
        <v>-55</v>
      </c>
      <c r="AB43" s="1081">
        <v>-58</v>
      </c>
      <c r="AC43" s="1081">
        <v>-59</v>
      </c>
      <c r="AD43" s="1081">
        <v>-60</v>
      </c>
      <c r="AE43" s="1081">
        <v>-57</v>
      </c>
      <c r="AF43" s="1081">
        <v>-58</v>
      </c>
      <c r="AG43" s="1081">
        <v>-71</v>
      </c>
      <c r="AH43" s="1081">
        <v>-73.882960000000011</v>
      </c>
      <c r="AJ43" s="1081" t="e">
        <f>SUM(#REF!)</f>
        <v>#REF!</v>
      </c>
      <c r="AK43" s="1081">
        <f>SUM(B43:M43)</f>
        <v>-470</v>
      </c>
      <c r="AL43" s="1081">
        <f t="shared" ref="AL43" si="13">SUM(N43:Y43)</f>
        <v>-672</v>
      </c>
      <c r="AM43" s="1077">
        <f>SUM(V43:AG43)</f>
        <v>-761</v>
      </c>
    </row>
    <row r="44" spans="1:39" x14ac:dyDescent="0.2">
      <c r="A44" s="1078" t="s">
        <v>102</v>
      </c>
      <c r="B44" s="1081">
        <v>0</v>
      </c>
      <c r="C44" s="1081">
        <v>0</v>
      </c>
      <c r="D44" s="1081">
        <v>0</v>
      </c>
      <c r="E44" s="1081">
        <v>0</v>
      </c>
      <c r="F44" s="1081">
        <v>0</v>
      </c>
      <c r="G44" s="1081">
        <v>0</v>
      </c>
      <c r="H44" s="1081">
        <v>0</v>
      </c>
      <c r="I44" s="1081">
        <v>0</v>
      </c>
      <c r="J44" s="1081">
        <v>0</v>
      </c>
      <c r="K44" s="1081">
        <v>0</v>
      </c>
      <c r="L44" s="1081">
        <v>0</v>
      </c>
      <c r="M44" s="1081">
        <v>-518</v>
      </c>
      <c r="N44" s="1081">
        <v>0</v>
      </c>
      <c r="O44" s="1081">
        <v>0</v>
      </c>
      <c r="P44" s="1081">
        <v>0</v>
      </c>
      <c r="Q44" s="1081">
        <v>0</v>
      </c>
      <c r="R44" s="1081">
        <v>0</v>
      </c>
      <c r="S44" s="1081">
        <v>0</v>
      </c>
      <c r="T44" s="1081">
        <v>0</v>
      </c>
      <c r="U44" s="1081">
        <v>0</v>
      </c>
      <c r="V44" s="1081">
        <v>0</v>
      </c>
      <c r="W44" s="1081">
        <v>0</v>
      </c>
      <c r="X44" s="1081">
        <v>0</v>
      </c>
      <c r="Y44" s="1081">
        <v>-907</v>
      </c>
      <c r="Z44" s="1081">
        <v>0</v>
      </c>
      <c r="AA44" s="1081">
        <v>0</v>
      </c>
      <c r="AB44" s="1081">
        <v>0</v>
      </c>
      <c r="AC44" s="1081">
        <v>0</v>
      </c>
      <c r="AD44" s="1081">
        <v>0</v>
      </c>
      <c r="AE44" s="1081">
        <v>0</v>
      </c>
      <c r="AF44" s="1081">
        <v>0</v>
      </c>
      <c r="AG44" s="1081">
        <v>0</v>
      </c>
      <c r="AH44" s="1081">
        <v>0</v>
      </c>
      <c r="AJ44" s="1081" t="e">
        <f>SUM(#REF!)</f>
        <v>#REF!</v>
      </c>
      <c r="AK44" s="1081">
        <f>SUM(B44:M44)</f>
        <v>-518</v>
      </c>
      <c r="AL44" s="1081">
        <f>SUM(N44:Y44)</f>
        <v>-907</v>
      </c>
      <c r="AM44" s="1077">
        <f t="shared" ref="AM44" si="14">SUM(V44:AG44)</f>
        <v>-907</v>
      </c>
    </row>
    <row r="45" spans="1:39" x14ac:dyDescent="0.2">
      <c r="A45" s="1078" t="s">
        <v>770</v>
      </c>
      <c r="B45" s="1087">
        <v>0</v>
      </c>
      <c r="C45" s="1087">
        <v>0</v>
      </c>
      <c r="D45" s="1087">
        <v>0</v>
      </c>
      <c r="E45" s="1087">
        <v>-2</v>
      </c>
      <c r="F45" s="1087">
        <v>0</v>
      </c>
      <c r="G45" s="1087">
        <v>0</v>
      </c>
      <c r="H45" s="1087">
        <v>0</v>
      </c>
      <c r="I45" s="1087">
        <v>0</v>
      </c>
      <c r="J45" s="1087">
        <v>-1</v>
      </c>
      <c r="K45" s="1087">
        <v>0</v>
      </c>
      <c r="L45" s="1087">
        <v>0</v>
      </c>
      <c r="M45" s="1087">
        <f>-1-11</f>
        <v>-12</v>
      </c>
      <c r="N45" s="1087">
        <v>-11</v>
      </c>
      <c r="O45" s="1087">
        <v>-7</v>
      </c>
      <c r="P45" s="1087">
        <v>-9</v>
      </c>
      <c r="Q45" s="1087">
        <v>-12</v>
      </c>
      <c r="R45" s="1087">
        <v>-11</v>
      </c>
      <c r="S45" s="1087">
        <v>-7</v>
      </c>
      <c r="T45" s="1087">
        <v>-12</v>
      </c>
      <c r="U45" s="1087">
        <v>-17</v>
      </c>
      <c r="V45" s="1087">
        <v>-12</v>
      </c>
      <c r="W45" s="1087">
        <v>-3</v>
      </c>
      <c r="X45" s="1087">
        <v>0</v>
      </c>
      <c r="Y45" s="1087">
        <v>-14</v>
      </c>
      <c r="Z45" s="1087">
        <v>-1</v>
      </c>
      <c r="AA45" s="1087">
        <v>-1</v>
      </c>
      <c r="AB45" s="1087">
        <v>-1</v>
      </c>
      <c r="AC45" s="1087">
        <v>-1</v>
      </c>
      <c r="AD45" s="1087">
        <v>-8</v>
      </c>
      <c r="AE45" s="1087">
        <v>-6</v>
      </c>
      <c r="AF45" s="1087">
        <v>-7</v>
      </c>
      <c r="AG45" s="1087">
        <v>-6</v>
      </c>
      <c r="AH45" s="1087">
        <v>-5.4534899999999995</v>
      </c>
      <c r="AJ45" s="1087" t="e">
        <f>SUM(#REF!)</f>
        <v>#REF!</v>
      </c>
      <c r="AK45" s="1087">
        <f>SUM(B45:M45)</f>
        <v>-15</v>
      </c>
      <c r="AL45" s="1087">
        <f>SUM(N45:Y45)</f>
        <v>-115</v>
      </c>
      <c r="AM45" s="1080">
        <f>SUM(V45:AG45)</f>
        <v>-60</v>
      </c>
    </row>
    <row r="46" spans="1:39" x14ac:dyDescent="0.2">
      <c r="A46" s="1068" t="s">
        <v>841</v>
      </c>
      <c r="B46" s="1086">
        <f t="shared" ref="B46:X46" si="15">SUM(B43:B45)</f>
        <v>-34</v>
      </c>
      <c r="C46" s="1086">
        <f t="shared" si="15"/>
        <v>-30</v>
      </c>
      <c r="D46" s="1086">
        <f t="shared" si="15"/>
        <v>-34</v>
      </c>
      <c r="E46" s="1086">
        <f t="shared" si="15"/>
        <v>-37</v>
      </c>
      <c r="F46" s="1086">
        <f t="shared" si="15"/>
        <v>-38</v>
      </c>
      <c r="G46" s="1086">
        <f t="shared" si="15"/>
        <v>-40</v>
      </c>
      <c r="H46" s="1086">
        <f t="shared" si="15"/>
        <v>-40</v>
      </c>
      <c r="I46" s="1086">
        <f t="shared" si="15"/>
        <v>-41</v>
      </c>
      <c r="J46" s="1086">
        <f t="shared" si="15"/>
        <v>-41</v>
      </c>
      <c r="K46" s="1086">
        <f t="shared" si="15"/>
        <v>-42</v>
      </c>
      <c r="L46" s="1086">
        <f t="shared" si="15"/>
        <v>-46</v>
      </c>
      <c r="M46" s="1086">
        <f>SUM(M43:M45)</f>
        <v>-580</v>
      </c>
      <c r="N46" s="1086">
        <f>SUM(N43:N45)</f>
        <v>-52</v>
      </c>
      <c r="O46" s="1086">
        <f t="shared" si="15"/>
        <v>-47</v>
      </c>
      <c r="P46" s="1086">
        <f t="shared" si="15"/>
        <v>-55</v>
      </c>
      <c r="Q46" s="1086">
        <f t="shared" si="15"/>
        <v>-57</v>
      </c>
      <c r="R46" s="1086">
        <f t="shared" si="15"/>
        <v>-58</v>
      </c>
      <c r="S46" s="1086">
        <f t="shared" si="15"/>
        <v>-57</v>
      </c>
      <c r="T46" s="1086">
        <f t="shared" si="15"/>
        <v>-69</v>
      </c>
      <c r="U46" s="1086">
        <f t="shared" si="15"/>
        <v>-79</v>
      </c>
      <c r="V46" s="1086">
        <f t="shared" si="15"/>
        <v>-76</v>
      </c>
      <c r="W46" s="1086">
        <f t="shared" si="15"/>
        <v>-73</v>
      </c>
      <c r="X46" s="1086">
        <f t="shared" si="15"/>
        <v>-74</v>
      </c>
      <c r="Y46" s="1086">
        <f>SUM(Y43:Y45)</f>
        <v>-997</v>
      </c>
      <c r="Z46" s="1086">
        <f t="shared" ref="Z46:AE46" si="16">SUM(Z43:Z45)</f>
        <v>-60</v>
      </c>
      <c r="AA46" s="1086">
        <f t="shared" si="16"/>
        <v>-56</v>
      </c>
      <c r="AB46" s="1086">
        <f t="shared" si="16"/>
        <v>-59</v>
      </c>
      <c r="AC46" s="1086">
        <f t="shared" si="16"/>
        <v>-60</v>
      </c>
      <c r="AD46" s="1086">
        <f t="shared" si="16"/>
        <v>-68</v>
      </c>
      <c r="AE46" s="1086">
        <f t="shared" si="16"/>
        <v>-63</v>
      </c>
      <c r="AF46" s="1086">
        <f>SUM(AF43:AF45)</f>
        <v>-65</v>
      </c>
      <c r="AG46" s="1086">
        <f>SUM(AG43:AG45)</f>
        <v>-77</v>
      </c>
      <c r="AH46" s="1086">
        <f>SUM(AH43:AH45)</f>
        <v>-79.336450000000013</v>
      </c>
      <c r="AJ46" s="1081" t="e">
        <f>SUM(AJ43:AJ45)</f>
        <v>#REF!</v>
      </c>
      <c r="AK46" s="1081">
        <f>SUM(AK43:AK45)</f>
        <v>-1003</v>
      </c>
      <c r="AL46" s="1081">
        <f t="shared" ref="AL46:AM46" si="17">SUM(AL43:AL45)</f>
        <v>-1694</v>
      </c>
      <c r="AM46" s="1081">
        <f t="shared" si="17"/>
        <v>-1728</v>
      </c>
    </row>
    <row r="47" spans="1:39" x14ac:dyDescent="0.2">
      <c r="A47" s="1068"/>
      <c r="B47" s="1086"/>
      <c r="C47" s="1086"/>
      <c r="D47" s="1086"/>
      <c r="E47" s="1086"/>
      <c r="F47" s="1086"/>
      <c r="G47" s="1086"/>
      <c r="H47" s="1086"/>
      <c r="I47" s="1086"/>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J47" s="1086"/>
      <c r="AK47" s="1086"/>
      <c r="AL47" s="1086"/>
      <c r="AM47" s="1086"/>
    </row>
    <row r="48" spans="1:39" x14ac:dyDescent="0.2">
      <c r="A48" s="1068" t="s">
        <v>5</v>
      </c>
      <c r="B48" s="1088">
        <f t="shared" ref="B48:AE48" si="18">B7-B19-B40+B46</f>
        <v>73</v>
      </c>
      <c r="C48" s="1088">
        <f t="shared" si="18"/>
        <v>89</v>
      </c>
      <c r="D48" s="1088">
        <f t="shared" si="18"/>
        <v>193</v>
      </c>
      <c r="E48" s="1088">
        <f t="shared" si="18"/>
        <v>104</v>
      </c>
      <c r="F48" s="1088">
        <f t="shared" si="18"/>
        <v>143</v>
      </c>
      <c r="G48" s="1088">
        <f t="shared" si="18"/>
        <v>170</v>
      </c>
      <c r="H48" s="1088">
        <f t="shared" si="18"/>
        <v>9</v>
      </c>
      <c r="I48" s="1088">
        <f t="shared" si="18"/>
        <v>79</v>
      </c>
      <c r="J48" s="1088">
        <f t="shared" si="18"/>
        <v>123</v>
      </c>
      <c r="K48" s="1088">
        <f t="shared" si="18"/>
        <v>248</v>
      </c>
      <c r="L48" s="1088">
        <f t="shared" si="18"/>
        <v>281</v>
      </c>
      <c r="M48" s="1088">
        <f t="shared" si="18"/>
        <v>-779</v>
      </c>
      <c r="N48" s="1088">
        <f t="shared" si="18"/>
        <v>157</v>
      </c>
      <c r="O48" s="1088">
        <f t="shared" si="18"/>
        <v>114</v>
      </c>
      <c r="P48" s="1088">
        <f t="shared" si="18"/>
        <v>180</v>
      </c>
      <c r="Q48" s="1088">
        <f t="shared" si="18"/>
        <v>121</v>
      </c>
      <c r="R48" s="1088">
        <f t="shared" si="18"/>
        <v>167</v>
      </c>
      <c r="S48" s="1088">
        <f t="shared" si="18"/>
        <v>82</v>
      </c>
      <c r="T48" s="1088">
        <f t="shared" si="18"/>
        <v>109</v>
      </c>
      <c r="U48" s="1088">
        <f t="shared" si="18"/>
        <v>164</v>
      </c>
      <c r="V48" s="1088">
        <f t="shared" si="18"/>
        <v>167</v>
      </c>
      <c r="W48" s="1088">
        <f t="shared" si="18"/>
        <v>206</v>
      </c>
      <c r="X48" s="1088">
        <f t="shared" si="18"/>
        <v>566</v>
      </c>
      <c r="Y48" s="1088">
        <f t="shared" si="18"/>
        <v>-531</v>
      </c>
      <c r="Z48" s="1088">
        <f t="shared" si="18"/>
        <v>221</v>
      </c>
      <c r="AA48" s="1088">
        <f t="shared" si="18"/>
        <v>84</v>
      </c>
      <c r="AB48" s="1088">
        <f t="shared" si="18"/>
        <v>132</v>
      </c>
      <c r="AC48" s="1088">
        <f t="shared" si="18"/>
        <v>158</v>
      </c>
      <c r="AD48" s="1088">
        <f t="shared" si="18"/>
        <v>-166</v>
      </c>
      <c r="AE48" s="1088">
        <f t="shared" si="18"/>
        <v>82</v>
      </c>
      <c r="AF48" s="1088">
        <f>AF7-AF19-AF40+AF46</f>
        <v>125</v>
      </c>
      <c r="AG48" s="1088">
        <f>AG7-AG19-AG40+AG46</f>
        <v>226</v>
      </c>
      <c r="AH48" s="1088">
        <f>AH7-AH19-AH40+AH46</f>
        <v>409.99769000000009</v>
      </c>
      <c r="AJ48" s="1088" t="e">
        <f>SUM(#REF!)</f>
        <v>#REF!</v>
      </c>
      <c r="AK48" s="1088">
        <f>AK22-AK40+AK46</f>
        <v>733</v>
      </c>
      <c r="AL48" s="1088">
        <f>SUM(N48:Y48)</f>
        <v>1502</v>
      </c>
      <c r="AM48" s="1088">
        <f>SUM(T48:AE48)</f>
        <v>1192</v>
      </c>
    </row>
    <row r="49" spans="1:39" x14ac:dyDescent="0.2">
      <c r="A49" s="1068"/>
      <c r="B49" s="1086"/>
      <c r="C49" s="1086"/>
      <c r="D49" s="1086"/>
      <c r="E49" s="1086"/>
      <c r="F49" s="1086"/>
      <c r="G49" s="1086"/>
      <c r="H49" s="1086"/>
      <c r="I49" s="1086"/>
      <c r="J49" s="1086"/>
      <c r="K49" s="1086"/>
      <c r="L49" s="1086"/>
      <c r="M49" s="1086"/>
      <c r="N49" s="1086"/>
      <c r="O49" s="1086"/>
      <c r="P49" s="1086"/>
      <c r="Q49" s="1086"/>
      <c r="R49" s="1086"/>
      <c r="S49" s="1086"/>
      <c r="T49" s="1086"/>
      <c r="U49" s="1086"/>
      <c r="V49" s="1086"/>
      <c r="W49" s="1086"/>
      <c r="X49" s="1086"/>
      <c r="Y49" s="1086"/>
      <c r="Z49" s="1086"/>
      <c r="AA49" s="1086"/>
      <c r="AB49" s="1086"/>
      <c r="AC49" s="1086"/>
      <c r="AD49" s="1086"/>
      <c r="AE49" s="1086"/>
      <c r="AF49" s="1086"/>
      <c r="AG49" s="1086"/>
      <c r="AH49" s="1086"/>
      <c r="AJ49" s="1086"/>
      <c r="AK49" s="1086"/>
      <c r="AL49" s="1086"/>
      <c r="AM49" s="1086"/>
    </row>
    <row r="50" spans="1:39" s="1084" customFormat="1" x14ac:dyDescent="0.2">
      <c r="A50" s="1068" t="s">
        <v>767</v>
      </c>
      <c r="B50" s="1086">
        <f>-B43</f>
        <v>34</v>
      </c>
      <c r="C50" s="1086">
        <f t="shared" ref="C50:AD51" si="19">-C43</f>
        <v>30</v>
      </c>
      <c r="D50" s="1086">
        <f t="shared" si="19"/>
        <v>34</v>
      </c>
      <c r="E50" s="1086">
        <f t="shared" si="19"/>
        <v>35</v>
      </c>
      <c r="F50" s="1086">
        <f t="shared" si="19"/>
        <v>38</v>
      </c>
      <c r="G50" s="1086">
        <f t="shared" si="19"/>
        <v>40</v>
      </c>
      <c r="H50" s="1086">
        <f t="shared" si="19"/>
        <v>40</v>
      </c>
      <c r="I50" s="1086">
        <f t="shared" si="19"/>
        <v>41</v>
      </c>
      <c r="J50" s="1086">
        <f t="shared" si="19"/>
        <v>40</v>
      </c>
      <c r="K50" s="1086">
        <f t="shared" si="19"/>
        <v>42</v>
      </c>
      <c r="L50" s="1086">
        <f t="shared" si="19"/>
        <v>46</v>
      </c>
      <c r="M50" s="1086">
        <f t="shared" si="19"/>
        <v>50</v>
      </c>
      <c r="N50" s="1086">
        <f t="shared" si="19"/>
        <v>41</v>
      </c>
      <c r="O50" s="1086">
        <f t="shared" si="19"/>
        <v>40</v>
      </c>
      <c r="P50" s="1086">
        <f t="shared" si="19"/>
        <v>46</v>
      </c>
      <c r="Q50" s="1086">
        <f t="shared" si="19"/>
        <v>45</v>
      </c>
      <c r="R50" s="1086">
        <f t="shared" si="19"/>
        <v>47</v>
      </c>
      <c r="S50" s="1086">
        <f t="shared" si="19"/>
        <v>50</v>
      </c>
      <c r="T50" s="1086">
        <f t="shared" si="19"/>
        <v>57</v>
      </c>
      <c r="U50" s="1086">
        <f t="shared" si="19"/>
        <v>62</v>
      </c>
      <c r="V50" s="1086">
        <f t="shared" si="19"/>
        <v>64</v>
      </c>
      <c r="W50" s="1086">
        <f t="shared" si="19"/>
        <v>70</v>
      </c>
      <c r="X50" s="1086">
        <f t="shared" si="19"/>
        <v>74</v>
      </c>
      <c r="Y50" s="1086">
        <f t="shared" si="19"/>
        <v>76</v>
      </c>
      <c r="Z50" s="1086">
        <f t="shared" si="19"/>
        <v>59</v>
      </c>
      <c r="AA50" s="1086">
        <f t="shared" si="19"/>
        <v>55</v>
      </c>
      <c r="AB50" s="1086">
        <f t="shared" si="19"/>
        <v>58</v>
      </c>
      <c r="AC50" s="1086">
        <f t="shared" si="19"/>
        <v>59</v>
      </c>
      <c r="AD50" s="1086">
        <f t="shared" si="19"/>
        <v>60</v>
      </c>
      <c r="AE50" s="1086">
        <f>-AE43</f>
        <v>57</v>
      </c>
      <c r="AF50" s="1086">
        <f t="shared" ref="AF50:AG51" si="20">-AF43</f>
        <v>58</v>
      </c>
      <c r="AG50" s="1086">
        <f t="shared" si="20"/>
        <v>71</v>
      </c>
      <c r="AH50" s="1086">
        <f t="shared" ref="AH50" si="21">-AH43</f>
        <v>73.882960000000011</v>
      </c>
      <c r="AI50" s="1062"/>
      <c r="AJ50" s="1086" t="e">
        <f>SUM(#REF!)</f>
        <v>#REF!</v>
      </c>
      <c r="AK50" s="1086">
        <f>SUM(B50:M50)</f>
        <v>470</v>
      </c>
      <c r="AL50" s="1086">
        <f>SUM(N50:Y50)</f>
        <v>672</v>
      </c>
      <c r="AM50" s="1077">
        <f>SUM(V50:AG50)</f>
        <v>761</v>
      </c>
    </row>
    <row r="51" spans="1:39" x14ac:dyDescent="0.2">
      <c r="A51" s="1068" t="s">
        <v>842</v>
      </c>
      <c r="B51" s="1086">
        <f>-B44</f>
        <v>0</v>
      </c>
      <c r="C51" s="1086">
        <f t="shared" ref="C51:F51" si="22">-C44</f>
        <v>0</v>
      </c>
      <c r="D51" s="1086">
        <f t="shared" si="22"/>
        <v>0</v>
      </c>
      <c r="E51" s="1086">
        <f t="shared" si="22"/>
        <v>0</v>
      </c>
      <c r="F51" s="1086">
        <f t="shared" si="22"/>
        <v>0</v>
      </c>
      <c r="G51" s="1086">
        <f t="shared" si="19"/>
        <v>0</v>
      </c>
      <c r="H51" s="1086">
        <f t="shared" si="19"/>
        <v>0</v>
      </c>
      <c r="I51" s="1086">
        <f t="shared" si="19"/>
        <v>0</v>
      </c>
      <c r="J51" s="1086">
        <f t="shared" si="19"/>
        <v>0</v>
      </c>
      <c r="K51" s="1086">
        <f t="shared" si="19"/>
        <v>0</v>
      </c>
      <c r="L51" s="1086">
        <f t="shared" si="19"/>
        <v>0</v>
      </c>
      <c r="M51" s="1086">
        <f t="shared" si="19"/>
        <v>518</v>
      </c>
      <c r="N51" s="1086">
        <f t="shared" si="19"/>
        <v>0</v>
      </c>
      <c r="O51" s="1086">
        <f t="shared" si="19"/>
        <v>0</v>
      </c>
      <c r="P51" s="1086">
        <f t="shared" si="19"/>
        <v>0</v>
      </c>
      <c r="Q51" s="1086">
        <f t="shared" si="19"/>
        <v>0</v>
      </c>
      <c r="R51" s="1086">
        <f t="shared" si="19"/>
        <v>0</v>
      </c>
      <c r="S51" s="1086">
        <f t="shared" si="19"/>
        <v>0</v>
      </c>
      <c r="T51" s="1086">
        <f t="shared" si="19"/>
        <v>0</v>
      </c>
      <c r="U51" s="1086">
        <f t="shared" si="19"/>
        <v>0</v>
      </c>
      <c r="V51" s="1086">
        <f t="shared" si="19"/>
        <v>0</v>
      </c>
      <c r="W51" s="1086">
        <f t="shared" si="19"/>
        <v>0</v>
      </c>
      <c r="X51" s="1086">
        <f t="shared" si="19"/>
        <v>0</v>
      </c>
      <c r="Y51" s="1086">
        <f t="shared" si="19"/>
        <v>907</v>
      </c>
      <c r="Z51" s="1086">
        <f t="shared" si="19"/>
        <v>0</v>
      </c>
      <c r="AA51" s="1086">
        <f t="shared" si="19"/>
        <v>0</v>
      </c>
      <c r="AB51" s="1086">
        <f t="shared" si="19"/>
        <v>0</v>
      </c>
      <c r="AC51" s="1086">
        <f t="shared" si="19"/>
        <v>0</v>
      </c>
      <c r="AD51" s="1086">
        <f t="shared" si="19"/>
        <v>0</v>
      </c>
      <c r="AE51" s="1086">
        <f>-AE44</f>
        <v>0</v>
      </c>
      <c r="AF51" s="1086">
        <f t="shared" si="20"/>
        <v>0</v>
      </c>
      <c r="AG51" s="1086">
        <f t="shared" si="20"/>
        <v>0</v>
      </c>
      <c r="AH51" s="1086">
        <f t="shared" ref="AH51" si="23">-AH44</f>
        <v>0</v>
      </c>
      <c r="AJ51" s="1086" t="e">
        <f>SUM(#REF!)</f>
        <v>#REF!</v>
      </c>
      <c r="AK51" s="1086">
        <f t="shared" ref="AK51:AK53" si="24">SUM(B51:M51)</f>
        <v>518</v>
      </c>
      <c r="AL51" s="1086">
        <f>SUM(N51:Y51)</f>
        <v>907</v>
      </c>
      <c r="AM51" s="1077">
        <f>SUM(V51:AG51)</f>
        <v>907</v>
      </c>
    </row>
    <row r="52" spans="1:39" x14ac:dyDescent="0.2">
      <c r="A52" s="1089" t="s">
        <v>622</v>
      </c>
      <c r="B52" s="1081">
        <f t="shared" ref="B52:AD52" si="25">B36+B13</f>
        <v>64</v>
      </c>
      <c r="C52" s="1081">
        <f t="shared" si="25"/>
        <v>63</v>
      </c>
      <c r="D52" s="1081">
        <f t="shared" si="25"/>
        <v>64</v>
      </c>
      <c r="E52" s="1081">
        <f t="shared" si="25"/>
        <v>63</v>
      </c>
      <c r="F52" s="1081">
        <f t="shared" si="25"/>
        <v>64</v>
      </c>
      <c r="G52" s="1081">
        <f t="shared" si="25"/>
        <v>63</v>
      </c>
      <c r="H52" s="1081">
        <f t="shared" si="25"/>
        <v>64</v>
      </c>
      <c r="I52" s="1081">
        <f t="shared" si="25"/>
        <v>63</v>
      </c>
      <c r="J52" s="1081">
        <f t="shared" si="25"/>
        <v>64</v>
      </c>
      <c r="K52" s="1081">
        <f t="shared" si="25"/>
        <v>63</v>
      </c>
      <c r="L52" s="1081">
        <f t="shared" si="25"/>
        <v>64</v>
      </c>
      <c r="M52" s="1081">
        <f t="shared" si="25"/>
        <v>162</v>
      </c>
      <c r="N52" s="1081">
        <f t="shared" si="25"/>
        <v>64</v>
      </c>
      <c r="O52" s="1081">
        <f t="shared" si="25"/>
        <v>64</v>
      </c>
      <c r="P52" s="1081">
        <f t="shared" si="25"/>
        <v>64</v>
      </c>
      <c r="Q52" s="1081">
        <f t="shared" si="25"/>
        <v>64</v>
      </c>
      <c r="R52" s="1081">
        <f t="shared" si="25"/>
        <v>64</v>
      </c>
      <c r="S52" s="1081">
        <f t="shared" si="25"/>
        <v>64</v>
      </c>
      <c r="T52" s="1081">
        <f t="shared" si="25"/>
        <v>64</v>
      </c>
      <c r="U52" s="1081">
        <f t="shared" si="25"/>
        <v>64</v>
      </c>
      <c r="V52" s="1081">
        <f t="shared" si="25"/>
        <v>64</v>
      </c>
      <c r="W52" s="1081">
        <f t="shared" si="25"/>
        <v>64</v>
      </c>
      <c r="X52" s="1081">
        <f t="shared" si="25"/>
        <v>64</v>
      </c>
      <c r="Y52" s="1081">
        <f t="shared" si="25"/>
        <v>524</v>
      </c>
      <c r="Z52" s="1081">
        <f t="shared" si="25"/>
        <v>64</v>
      </c>
      <c r="AA52" s="1081">
        <f t="shared" si="25"/>
        <v>64</v>
      </c>
      <c r="AB52" s="1081">
        <f t="shared" si="25"/>
        <v>64</v>
      </c>
      <c r="AC52" s="1081">
        <f t="shared" si="25"/>
        <v>64</v>
      </c>
      <c r="AD52" s="1081">
        <f t="shared" si="25"/>
        <v>64</v>
      </c>
      <c r="AE52" s="1081">
        <f>AE36+AE13</f>
        <v>64</v>
      </c>
      <c r="AF52" s="1081">
        <f t="shared" ref="AF52:AG52" si="26">AF36+AF13</f>
        <v>64</v>
      </c>
      <c r="AG52" s="1081">
        <f t="shared" si="26"/>
        <v>64</v>
      </c>
      <c r="AH52" s="1081">
        <f t="shared" ref="AH52" si="27">AH36+AH13</f>
        <v>63.5</v>
      </c>
      <c r="AJ52" s="1086" t="e">
        <f>SUM(#REF!)</f>
        <v>#REF!</v>
      </c>
      <c r="AK52" s="1086">
        <f>SUM(B52:M52)</f>
        <v>861</v>
      </c>
      <c r="AL52" s="1086">
        <f>SUM(N52:Y52)</f>
        <v>1228</v>
      </c>
      <c r="AM52" s="1077">
        <f>SUM(V52:AG52)</f>
        <v>1228</v>
      </c>
    </row>
    <row r="53" spans="1:39" ht="13.5" thickBot="1" x14ac:dyDescent="0.25">
      <c r="A53" s="1090" t="s">
        <v>843</v>
      </c>
      <c r="B53" s="1091">
        <f>SUM(B48:B52)</f>
        <v>171</v>
      </c>
      <c r="C53" s="1091">
        <f t="shared" ref="C53:AG53" si="28">SUM(C48:C52)</f>
        <v>182</v>
      </c>
      <c r="D53" s="1091">
        <f t="shared" si="28"/>
        <v>291</v>
      </c>
      <c r="E53" s="1091">
        <f t="shared" si="28"/>
        <v>202</v>
      </c>
      <c r="F53" s="1091">
        <f t="shared" si="28"/>
        <v>245</v>
      </c>
      <c r="G53" s="1091">
        <f t="shared" si="28"/>
        <v>273</v>
      </c>
      <c r="H53" s="1091">
        <f t="shared" si="28"/>
        <v>113</v>
      </c>
      <c r="I53" s="1091">
        <f t="shared" si="28"/>
        <v>183</v>
      </c>
      <c r="J53" s="1091">
        <f t="shared" si="28"/>
        <v>227</v>
      </c>
      <c r="K53" s="1091">
        <f t="shared" si="28"/>
        <v>353</v>
      </c>
      <c r="L53" s="1091">
        <f t="shared" si="28"/>
        <v>391</v>
      </c>
      <c r="M53" s="1091">
        <f t="shared" si="28"/>
        <v>-49</v>
      </c>
      <c r="N53" s="1091">
        <f t="shared" si="28"/>
        <v>262</v>
      </c>
      <c r="O53" s="1091">
        <f t="shared" si="28"/>
        <v>218</v>
      </c>
      <c r="P53" s="1091">
        <f t="shared" si="28"/>
        <v>290</v>
      </c>
      <c r="Q53" s="1091">
        <f t="shared" si="28"/>
        <v>230</v>
      </c>
      <c r="R53" s="1091">
        <f t="shared" si="28"/>
        <v>278</v>
      </c>
      <c r="S53" s="1091">
        <f t="shared" si="28"/>
        <v>196</v>
      </c>
      <c r="T53" s="1091">
        <f t="shared" si="28"/>
        <v>230</v>
      </c>
      <c r="U53" s="1091">
        <f t="shared" si="28"/>
        <v>290</v>
      </c>
      <c r="V53" s="1091">
        <f t="shared" si="28"/>
        <v>295</v>
      </c>
      <c r="W53" s="1091">
        <f t="shared" si="28"/>
        <v>340</v>
      </c>
      <c r="X53" s="1091">
        <f t="shared" si="28"/>
        <v>704</v>
      </c>
      <c r="Y53" s="1091">
        <f t="shared" si="28"/>
        <v>976</v>
      </c>
      <c r="Z53" s="1091">
        <f t="shared" si="28"/>
        <v>344</v>
      </c>
      <c r="AA53" s="1091">
        <f t="shared" si="28"/>
        <v>203</v>
      </c>
      <c r="AB53" s="1091">
        <f t="shared" si="28"/>
        <v>254</v>
      </c>
      <c r="AC53" s="1091">
        <f t="shared" si="28"/>
        <v>281</v>
      </c>
      <c r="AD53" s="1091">
        <f t="shared" si="28"/>
        <v>-42</v>
      </c>
      <c r="AE53" s="1091">
        <f t="shared" si="28"/>
        <v>203</v>
      </c>
      <c r="AF53" s="1091">
        <f>SUM(AF48:AF52)</f>
        <v>247</v>
      </c>
      <c r="AG53" s="1091">
        <f t="shared" si="28"/>
        <v>361</v>
      </c>
      <c r="AH53" s="1091">
        <f t="shared" ref="AH53" si="29">SUM(AH48:AH52)</f>
        <v>547.38065000000006</v>
      </c>
      <c r="AJ53" s="1092" t="e">
        <f>SUM(#REF!)</f>
        <v>#REF!</v>
      </c>
      <c r="AK53" s="1093">
        <f t="shared" si="24"/>
        <v>2582</v>
      </c>
      <c r="AL53" s="1093">
        <f t="shared" ref="AL53" si="30">SUM(N53:Y53)</f>
        <v>4309</v>
      </c>
      <c r="AM53" s="1092">
        <f>SUM(T53:AE53)</f>
        <v>4078</v>
      </c>
    </row>
    <row r="54" spans="1:39" ht="13.5" thickTop="1" x14ac:dyDescent="0.2">
      <c r="A54" s="1094"/>
      <c r="B54" s="1082"/>
      <c r="C54" s="1082"/>
      <c r="D54" s="1082"/>
      <c r="E54" s="1082"/>
      <c r="F54" s="1082"/>
      <c r="G54" s="1082"/>
      <c r="H54" s="1082"/>
      <c r="I54" s="1082"/>
      <c r="J54" s="1082"/>
      <c r="K54" s="1082"/>
      <c r="L54" s="1082"/>
      <c r="M54" s="1082"/>
      <c r="N54" s="1082"/>
      <c r="O54" s="1082"/>
      <c r="P54" s="1082"/>
      <c r="Q54" s="1082"/>
      <c r="R54" s="1082"/>
      <c r="S54" s="1082"/>
      <c r="T54" s="1082"/>
      <c r="U54" s="1082"/>
      <c r="V54" s="1082"/>
      <c r="W54" s="1082"/>
      <c r="X54" s="1082"/>
      <c r="Y54" s="1082"/>
      <c r="Z54" s="1082"/>
      <c r="AA54" s="1082"/>
      <c r="AB54" s="1082"/>
      <c r="AC54" s="1082"/>
      <c r="AD54" s="1082"/>
      <c r="AE54" s="1082"/>
      <c r="AF54" s="1082"/>
      <c r="AG54" s="1082"/>
      <c r="AH54" s="1082"/>
    </row>
    <row r="55" spans="1:39" x14ac:dyDescent="0.2">
      <c r="A55" s="1089" t="s">
        <v>844</v>
      </c>
      <c r="B55" s="1082"/>
      <c r="C55" s="1082"/>
      <c r="D55" s="1082"/>
      <c r="E55" s="1082"/>
      <c r="F55" s="1082"/>
      <c r="G55" s="1082"/>
      <c r="H55" s="1082"/>
      <c r="I55" s="1082"/>
      <c r="J55" s="1082"/>
      <c r="K55" s="1082"/>
      <c r="L55" s="1082"/>
      <c r="M55" s="1082"/>
      <c r="N55" s="1082"/>
      <c r="O55" s="1082"/>
      <c r="P55" s="1082"/>
      <c r="Q55" s="1082"/>
      <c r="R55" s="1082"/>
      <c r="S55" s="1082"/>
      <c r="T55" s="1082"/>
      <c r="U55" s="1082"/>
      <c r="V55" s="1082"/>
      <c r="W55" s="1082"/>
      <c r="X55" s="1082"/>
      <c r="Y55" s="1082"/>
      <c r="Z55" s="1082"/>
      <c r="AA55" s="1082"/>
      <c r="AB55" s="1082"/>
      <c r="AC55" s="1082"/>
      <c r="AD55" s="1082"/>
      <c r="AE55" s="1082"/>
      <c r="AF55" s="1082"/>
      <c r="AG55" s="1082"/>
      <c r="AH55" s="1082"/>
      <c r="AJ55" s="1062" t="e">
        <f>SUM(#REF!)</f>
        <v>#REF!</v>
      </c>
      <c r="AK55" s="1062">
        <f>SUM(B55:M55)</f>
        <v>0</v>
      </c>
      <c r="AL55" s="1062">
        <f>SUM(N55:Y55)</f>
        <v>0</v>
      </c>
      <c r="AM55" s="1062">
        <f t="shared" ref="AM55:AM62" si="31">SUM(T55:AE55)</f>
        <v>0</v>
      </c>
    </row>
    <row r="56" spans="1:39" x14ac:dyDescent="0.2">
      <c r="A56" s="1089" t="s">
        <v>805</v>
      </c>
      <c r="B56" s="1082"/>
      <c r="C56" s="1082"/>
      <c r="D56" s="1082"/>
      <c r="E56" s="1082"/>
      <c r="F56" s="1082"/>
      <c r="G56" s="1082"/>
      <c r="H56" s="1082"/>
      <c r="I56" s="1082"/>
      <c r="J56" s="1082"/>
      <c r="K56" s="1082"/>
      <c r="L56" s="1082"/>
      <c r="M56" s="1082"/>
      <c r="N56" s="1082"/>
      <c r="O56" s="1082"/>
      <c r="P56" s="1082"/>
      <c r="Q56" s="1082"/>
      <c r="R56" s="1082"/>
      <c r="S56" s="1082"/>
      <c r="T56" s="1082"/>
      <c r="U56" s="1082"/>
      <c r="V56" s="1082"/>
      <c r="W56" s="1082"/>
      <c r="X56" s="1082"/>
      <c r="Y56" s="1082"/>
      <c r="Z56" s="1082"/>
      <c r="AA56" s="1082"/>
      <c r="AB56" s="1082"/>
      <c r="AC56" s="1082"/>
      <c r="AD56" s="1082"/>
      <c r="AE56" s="1082"/>
      <c r="AF56" s="1082"/>
      <c r="AG56" s="1082"/>
      <c r="AH56" s="1082"/>
      <c r="AJ56" s="1062" t="e">
        <f>SUM(#REF!)</f>
        <v>#REF!</v>
      </c>
      <c r="AK56" s="1062">
        <f t="shared" ref="AK56:AK61" si="32">SUM(B56:M56)</f>
        <v>0</v>
      </c>
      <c r="AL56" s="1062">
        <f t="shared" ref="AL56:AL61" si="33">SUM(N56:Y56)</f>
        <v>0</v>
      </c>
      <c r="AM56" s="1062">
        <f t="shared" si="31"/>
        <v>0</v>
      </c>
    </row>
    <row r="57" spans="1:39" x14ac:dyDescent="0.2">
      <c r="A57" s="1089" t="s">
        <v>350</v>
      </c>
      <c r="B57" s="1082"/>
      <c r="C57" s="1082"/>
      <c r="D57" s="1082"/>
      <c r="E57" s="1082"/>
      <c r="F57" s="1082"/>
      <c r="G57" s="1082"/>
      <c r="H57" s="1082"/>
      <c r="I57" s="1082"/>
      <c r="J57" s="1082"/>
      <c r="K57" s="1082"/>
      <c r="L57" s="1082"/>
      <c r="M57" s="1082"/>
      <c r="N57" s="1095"/>
      <c r="O57" s="1082"/>
      <c r="P57" s="1082"/>
      <c r="Q57" s="1082"/>
      <c r="R57" s="1082"/>
      <c r="S57" s="1082"/>
      <c r="T57" s="1082"/>
      <c r="U57" s="1082"/>
      <c r="V57" s="1082"/>
      <c r="W57" s="1082"/>
      <c r="X57" s="1082"/>
      <c r="Y57" s="1082"/>
      <c r="Z57" s="1082"/>
      <c r="AA57" s="1082"/>
      <c r="AB57" s="1082"/>
      <c r="AC57" s="1082"/>
      <c r="AD57" s="1082"/>
      <c r="AE57" s="1082"/>
      <c r="AF57" s="1082"/>
      <c r="AG57" s="1082"/>
      <c r="AH57" s="1082"/>
      <c r="AJ57" s="1062" t="e">
        <f>SUM(#REF!)</f>
        <v>#REF!</v>
      </c>
      <c r="AK57" s="1062">
        <f t="shared" si="32"/>
        <v>0</v>
      </c>
      <c r="AL57" s="1062">
        <f t="shared" si="33"/>
        <v>0</v>
      </c>
      <c r="AM57" s="1062">
        <f t="shared" si="31"/>
        <v>0</v>
      </c>
    </row>
    <row r="58" spans="1:39" x14ac:dyDescent="0.2">
      <c r="A58" s="1089" t="s">
        <v>845</v>
      </c>
      <c r="B58" s="1095"/>
      <c r="C58" s="1082"/>
      <c r="D58" s="1082"/>
      <c r="E58" s="1082"/>
      <c r="F58" s="1082"/>
      <c r="G58" s="1082"/>
      <c r="H58" s="1082"/>
      <c r="I58" s="1082"/>
      <c r="J58" s="1082"/>
      <c r="K58" s="1082"/>
      <c r="L58" s="1082"/>
      <c r="M58" s="1082"/>
      <c r="N58" s="1082"/>
      <c r="O58" s="1082"/>
      <c r="P58" s="1082"/>
      <c r="Q58" s="1082"/>
      <c r="R58" s="1082"/>
      <c r="S58" s="1082"/>
      <c r="T58" s="1082"/>
      <c r="U58" s="1082"/>
      <c r="V58" s="1082"/>
      <c r="W58" s="1082"/>
      <c r="X58" s="1082"/>
      <c r="Y58" s="1082"/>
      <c r="Z58" s="1082"/>
      <c r="AA58" s="1082"/>
      <c r="AB58" s="1082"/>
      <c r="AC58" s="1082"/>
      <c r="AD58" s="1082"/>
      <c r="AE58" s="1082"/>
      <c r="AF58" s="1082"/>
      <c r="AG58" s="1082"/>
      <c r="AH58" s="1082"/>
      <c r="AJ58" s="1062" t="e">
        <f>SUM(#REF!)</f>
        <v>#REF!</v>
      </c>
      <c r="AK58" s="1062">
        <f t="shared" si="32"/>
        <v>0</v>
      </c>
      <c r="AL58" s="1062">
        <f t="shared" si="33"/>
        <v>0</v>
      </c>
      <c r="AM58" s="1062">
        <f t="shared" si="31"/>
        <v>0</v>
      </c>
    </row>
    <row r="59" spans="1:39" x14ac:dyDescent="0.2">
      <c r="A59" s="1089" t="s">
        <v>846</v>
      </c>
      <c r="B59" s="1082"/>
      <c r="C59" s="1082"/>
      <c r="D59" s="1082"/>
      <c r="E59" s="1082"/>
      <c r="F59" s="1082"/>
      <c r="G59" s="1082"/>
      <c r="H59" s="1082"/>
      <c r="I59" s="1082"/>
      <c r="J59" s="1082"/>
      <c r="K59" s="1082"/>
      <c r="L59" s="1082"/>
      <c r="M59" s="1082"/>
      <c r="N59" s="1082"/>
      <c r="O59" s="1082"/>
      <c r="P59" s="1082"/>
      <c r="Q59" s="1082"/>
      <c r="R59" s="1082"/>
      <c r="S59" s="1082"/>
      <c r="T59" s="1082"/>
      <c r="U59" s="1082"/>
      <c r="V59" s="1082"/>
      <c r="W59" s="1082"/>
      <c r="X59" s="1082"/>
      <c r="Y59" s="1082"/>
      <c r="Z59" s="1082"/>
      <c r="AA59" s="1082"/>
      <c r="AB59" s="1082"/>
      <c r="AC59" s="1082"/>
      <c r="AD59" s="1082"/>
      <c r="AE59" s="1082"/>
      <c r="AF59" s="1082"/>
      <c r="AG59" s="1082"/>
      <c r="AH59" s="1082"/>
      <c r="AJ59" s="1062" t="e">
        <f>SUM(#REF!)</f>
        <v>#REF!</v>
      </c>
      <c r="AK59" s="1062">
        <f t="shared" si="32"/>
        <v>0</v>
      </c>
      <c r="AL59" s="1062">
        <f t="shared" si="33"/>
        <v>0</v>
      </c>
      <c r="AM59" s="1062">
        <f t="shared" si="31"/>
        <v>0</v>
      </c>
    </row>
    <row r="60" spans="1:39" x14ac:dyDescent="0.2">
      <c r="A60" s="1089" t="s">
        <v>847</v>
      </c>
      <c r="B60" s="1082"/>
      <c r="C60" s="1082"/>
      <c r="D60" s="1082"/>
      <c r="E60" s="1082"/>
      <c r="F60" s="1082"/>
      <c r="G60" s="1082"/>
      <c r="H60" s="1082"/>
      <c r="I60" s="1082"/>
      <c r="J60" s="1082"/>
      <c r="K60" s="1082"/>
      <c r="L60" s="1082"/>
      <c r="M60" s="1082"/>
      <c r="N60" s="1082"/>
      <c r="O60" s="1082"/>
      <c r="P60" s="1082"/>
      <c r="Q60" s="1082"/>
      <c r="R60" s="1082"/>
      <c r="S60" s="1082"/>
      <c r="T60" s="1082"/>
      <c r="U60" s="1082"/>
      <c r="V60" s="1082"/>
      <c r="W60" s="1082"/>
      <c r="X60" s="1082"/>
      <c r="Y60" s="1082"/>
      <c r="Z60" s="1082"/>
      <c r="AA60" s="1082"/>
      <c r="AB60" s="1082"/>
      <c r="AC60" s="1082"/>
      <c r="AD60" s="1082"/>
      <c r="AE60" s="1082"/>
      <c r="AF60" s="1082"/>
      <c r="AG60" s="1082"/>
      <c r="AH60" s="1082"/>
      <c r="AJ60" s="1062" t="e">
        <f>SUM(#REF!)</f>
        <v>#REF!</v>
      </c>
      <c r="AK60" s="1062">
        <f t="shared" si="32"/>
        <v>0</v>
      </c>
      <c r="AL60" s="1062">
        <f t="shared" si="33"/>
        <v>0</v>
      </c>
      <c r="AM60" s="1062">
        <f t="shared" si="31"/>
        <v>0</v>
      </c>
    </row>
    <row r="61" spans="1:39" x14ac:dyDescent="0.2">
      <c r="A61" s="1089" t="s">
        <v>848</v>
      </c>
      <c r="B61" s="1081"/>
      <c r="C61" s="1081"/>
      <c r="D61" s="1081"/>
      <c r="E61" s="1081"/>
      <c r="F61" s="1081"/>
      <c r="G61" s="1081"/>
      <c r="H61" s="1081"/>
      <c r="I61" s="1081"/>
      <c r="J61" s="1081"/>
      <c r="K61" s="1081"/>
      <c r="L61" s="1081"/>
      <c r="M61" s="1081"/>
      <c r="N61" s="1081"/>
      <c r="O61" s="1081"/>
      <c r="P61" s="1081"/>
      <c r="Q61" s="1081"/>
      <c r="R61" s="1081"/>
      <c r="S61" s="1081"/>
      <c r="T61" s="1081"/>
      <c r="U61" s="1081"/>
      <c r="V61" s="1081"/>
      <c r="W61" s="1081"/>
      <c r="X61" s="1081"/>
      <c r="Y61" s="1081"/>
      <c r="Z61" s="1081"/>
      <c r="AA61" s="1081"/>
      <c r="AB61" s="1081"/>
      <c r="AC61" s="1081"/>
      <c r="AD61" s="1081"/>
      <c r="AE61" s="1081"/>
      <c r="AF61" s="1081"/>
      <c r="AG61" s="1081"/>
      <c r="AH61" s="1081"/>
      <c r="AJ61" s="1062" t="e">
        <f>SUM(#REF!)</f>
        <v>#REF!</v>
      </c>
      <c r="AK61" s="1062">
        <f t="shared" si="32"/>
        <v>0</v>
      </c>
      <c r="AL61" s="1062">
        <f t="shared" si="33"/>
        <v>0</v>
      </c>
      <c r="AM61" s="1062">
        <f t="shared" si="31"/>
        <v>0</v>
      </c>
    </row>
    <row r="62" spans="1:39" ht="13.5" thickBot="1" x14ac:dyDescent="0.25">
      <c r="A62" s="1096"/>
      <c r="B62" s="1097">
        <f t="shared" ref="B62:AG62" si="34">SUM(B55:B61)</f>
        <v>0</v>
      </c>
      <c r="C62" s="1097">
        <f t="shared" si="34"/>
        <v>0</v>
      </c>
      <c r="D62" s="1097">
        <f t="shared" si="34"/>
        <v>0</v>
      </c>
      <c r="E62" s="1097">
        <f t="shared" si="34"/>
        <v>0</v>
      </c>
      <c r="F62" s="1097">
        <f t="shared" si="34"/>
        <v>0</v>
      </c>
      <c r="G62" s="1097">
        <f t="shared" si="34"/>
        <v>0</v>
      </c>
      <c r="H62" s="1097">
        <f t="shared" si="34"/>
        <v>0</v>
      </c>
      <c r="I62" s="1097">
        <f t="shared" si="34"/>
        <v>0</v>
      </c>
      <c r="J62" s="1097">
        <f t="shared" si="34"/>
        <v>0</v>
      </c>
      <c r="K62" s="1097">
        <f t="shared" si="34"/>
        <v>0</v>
      </c>
      <c r="L62" s="1097">
        <f t="shared" si="34"/>
        <v>0</v>
      </c>
      <c r="M62" s="1097">
        <f t="shared" si="34"/>
        <v>0</v>
      </c>
      <c r="N62" s="1097">
        <f t="shared" si="34"/>
        <v>0</v>
      </c>
      <c r="O62" s="1097">
        <f t="shared" si="34"/>
        <v>0</v>
      </c>
      <c r="P62" s="1097">
        <f t="shared" si="34"/>
        <v>0</v>
      </c>
      <c r="Q62" s="1097">
        <f t="shared" si="34"/>
        <v>0</v>
      </c>
      <c r="R62" s="1097">
        <f t="shared" si="34"/>
        <v>0</v>
      </c>
      <c r="S62" s="1097">
        <f t="shared" si="34"/>
        <v>0</v>
      </c>
      <c r="T62" s="1097">
        <f t="shared" si="34"/>
        <v>0</v>
      </c>
      <c r="U62" s="1097">
        <f t="shared" si="34"/>
        <v>0</v>
      </c>
      <c r="V62" s="1097">
        <f t="shared" si="34"/>
        <v>0</v>
      </c>
      <c r="W62" s="1097">
        <f t="shared" si="34"/>
        <v>0</v>
      </c>
      <c r="X62" s="1097">
        <f t="shared" si="34"/>
        <v>0</v>
      </c>
      <c r="Y62" s="1097">
        <f t="shared" si="34"/>
        <v>0</v>
      </c>
      <c r="Z62" s="1097">
        <f t="shared" si="34"/>
        <v>0</v>
      </c>
      <c r="AA62" s="1097">
        <f t="shared" si="34"/>
        <v>0</v>
      </c>
      <c r="AB62" s="1097">
        <f t="shared" si="34"/>
        <v>0</v>
      </c>
      <c r="AC62" s="1097">
        <f t="shared" si="34"/>
        <v>0</v>
      </c>
      <c r="AD62" s="1097">
        <f t="shared" si="34"/>
        <v>0</v>
      </c>
      <c r="AE62" s="1097">
        <f t="shared" si="34"/>
        <v>0</v>
      </c>
      <c r="AF62" s="1097">
        <f t="shared" si="34"/>
        <v>0</v>
      </c>
      <c r="AG62" s="1097">
        <f t="shared" si="34"/>
        <v>0</v>
      </c>
      <c r="AH62" s="1097">
        <f t="shared" ref="AH62" si="35">SUM(AH55:AH61)</f>
        <v>0</v>
      </c>
      <c r="AJ62" s="1092" t="e">
        <f>SUM(AJ55:AJ61)</f>
        <v>#REF!</v>
      </c>
      <c r="AK62" s="1092">
        <f t="shared" ref="AK62:AL62" si="36">SUM(AK55:AK61)</f>
        <v>0</v>
      </c>
      <c r="AL62" s="1092">
        <f t="shared" si="36"/>
        <v>0</v>
      </c>
      <c r="AM62" s="1092">
        <f t="shared" si="31"/>
        <v>0</v>
      </c>
    </row>
    <row r="63" spans="1:39" ht="13.5" thickTop="1" x14ac:dyDescent="0.2">
      <c r="A63" s="1089"/>
      <c r="B63" s="1081"/>
      <c r="C63" s="1081"/>
      <c r="D63" s="1081"/>
      <c r="E63" s="1081"/>
      <c r="F63" s="1081"/>
      <c r="G63" s="1081"/>
      <c r="H63" s="1081"/>
      <c r="I63" s="1081"/>
      <c r="J63" s="1081"/>
      <c r="K63" s="1081"/>
      <c r="L63" s="1081"/>
      <c r="M63" s="1081"/>
      <c r="N63" s="1081"/>
      <c r="O63" s="1081"/>
      <c r="P63" s="1081"/>
      <c r="Q63" s="1081"/>
      <c r="R63" s="1081"/>
      <c r="S63" s="1081"/>
      <c r="T63" s="1081"/>
      <c r="U63" s="1081"/>
      <c r="V63" s="1081"/>
      <c r="W63" s="1081"/>
      <c r="X63" s="1081"/>
      <c r="Y63" s="1081"/>
      <c r="Z63" s="1081"/>
      <c r="AA63" s="1081"/>
      <c r="AB63" s="1081"/>
      <c r="AC63" s="1081"/>
      <c r="AD63" s="1081"/>
      <c r="AE63" s="1081"/>
      <c r="AF63" s="1081"/>
      <c r="AG63" s="1081"/>
      <c r="AH63" s="1081"/>
    </row>
    <row r="64" spans="1:39" x14ac:dyDescent="0.2">
      <c r="A64" s="1089"/>
      <c r="B64" s="1081"/>
      <c r="C64" s="1081"/>
      <c r="D64" s="1081"/>
      <c r="E64" s="1081"/>
      <c r="F64" s="1081"/>
      <c r="G64" s="1081"/>
      <c r="H64" s="1081"/>
      <c r="I64" s="1081"/>
      <c r="J64" s="1081"/>
      <c r="K64" s="1081"/>
      <c r="L64" s="1081"/>
      <c r="M64" s="1081"/>
      <c r="N64" s="1081"/>
      <c r="O64" s="1081"/>
      <c r="P64" s="1081"/>
      <c r="Q64" s="1081"/>
      <c r="R64" s="1081"/>
      <c r="S64" s="1081"/>
      <c r="T64" s="1081"/>
      <c r="U64" s="1081"/>
      <c r="V64" s="1081"/>
      <c r="W64" s="1081"/>
      <c r="X64" s="1081"/>
      <c r="Y64" s="1081"/>
      <c r="Z64" s="1081"/>
      <c r="AA64" s="1081"/>
      <c r="AB64" s="1081"/>
      <c r="AC64" s="1081"/>
      <c r="AD64" s="1081"/>
      <c r="AE64" s="1081"/>
      <c r="AF64" s="1081"/>
      <c r="AG64" s="1081"/>
      <c r="AH64" s="1081"/>
      <c r="AJ64" s="1082"/>
      <c r="AK64" s="1082"/>
      <c r="AL64" s="1082"/>
      <c r="AM64" s="1082"/>
    </row>
    <row r="65" spans="1:39" ht="13.5" thickBot="1" x14ac:dyDescent="0.25">
      <c r="A65" s="1090" t="s">
        <v>849</v>
      </c>
      <c r="B65" s="1091">
        <f t="shared" ref="B65:AG65" si="37">B53+B62</f>
        <v>171</v>
      </c>
      <c r="C65" s="1091">
        <f t="shared" si="37"/>
        <v>182</v>
      </c>
      <c r="D65" s="1091">
        <f t="shared" si="37"/>
        <v>291</v>
      </c>
      <c r="E65" s="1091">
        <f t="shared" si="37"/>
        <v>202</v>
      </c>
      <c r="F65" s="1091">
        <f t="shared" si="37"/>
        <v>245</v>
      </c>
      <c r="G65" s="1091">
        <f t="shared" si="37"/>
        <v>273</v>
      </c>
      <c r="H65" s="1091">
        <f t="shared" si="37"/>
        <v>113</v>
      </c>
      <c r="I65" s="1091">
        <f t="shared" si="37"/>
        <v>183</v>
      </c>
      <c r="J65" s="1091">
        <f t="shared" si="37"/>
        <v>227</v>
      </c>
      <c r="K65" s="1091">
        <f t="shared" si="37"/>
        <v>353</v>
      </c>
      <c r="L65" s="1091">
        <f t="shared" si="37"/>
        <v>391</v>
      </c>
      <c r="M65" s="1091">
        <f t="shared" si="37"/>
        <v>-49</v>
      </c>
      <c r="N65" s="1091">
        <f t="shared" si="37"/>
        <v>262</v>
      </c>
      <c r="O65" s="1091">
        <f t="shared" si="37"/>
        <v>218</v>
      </c>
      <c r="P65" s="1091">
        <f t="shared" si="37"/>
        <v>290</v>
      </c>
      <c r="Q65" s="1091">
        <f t="shared" si="37"/>
        <v>230</v>
      </c>
      <c r="R65" s="1091">
        <f t="shared" si="37"/>
        <v>278</v>
      </c>
      <c r="S65" s="1091">
        <f t="shared" si="37"/>
        <v>196</v>
      </c>
      <c r="T65" s="1091">
        <f t="shared" si="37"/>
        <v>230</v>
      </c>
      <c r="U65" s="1091">
        <f t="shared" si="37"/>
        <v>290</v>
      </c>
      <c r="V65" s="1091">
        <f t="shared" si="37"/>
        <v>295</v>
      </c>
      <c r="W65" s="1091">
        <f t="shared" si="37"/>
        <v>340</v>
      </c>
      <c r="X65" s="1091">
        <f t="shared" si="37"/>
        <v>704</v>
      </c>
      <c r="Y65" s="1091">
        <f t="shared" si="37"/>
        <v>976</v>
      </c>
      <c r="Z65" s="1091">
        <f t="shared" si="37"/>
        <v>344</v>
      </c>
      <c r="AA65" s="1091">
        <f t="shared" si="37"/>
        <v>203</v>
      </c>
      <c r="AB65" s="1091">
        <f t="shared" si="37"/>
        <v>254</v>
      </c>
      <c r="AC65" s="1091">
        <f t="shared" si="37"/>
        <v>281</v>
      </c>
      <c r="AD65" s="1091">
        <f t="shared" si="37"/>
        <v>-42</v>
      </c>
      <c r="AE65" s="1091">
        <f t="shared" si="37"/>
        <v>203</v>
      </c>
      <c r="AF65" s="1091">
        <f t="shared" si="37"/>
        <v>247</v>
      </c>
      <c r="AG65" s="1091">
        <f t="shared" si="37"/>
        <v>361</v>
      </c>
      <c r="AH65" s="1091">
        <f t="shared" ref="AH65" si="38">AH53+AH62</f>
        <v>547.38065000000006</v>
      </c>
      <c r="AJ65" s="1092" t="e">
        <f>SUM(#REF!)</f>
        <v>#REF!</v>
      </c>
      <c r="AK65" s="1092">
        <f>SUM(B65:M65)</f>
        <v>2582</v>
      </c>
      <c r="AL65" s="1092">
        <f>SUM(N65:Y65)</f>
        <v>4309</v>
      </c>
      <c r="AM65" s="1092">
        <f>SUM(T65:AE65)</f>
        <v>4078</v>
      </c>
    </row>
    <row r="66" spans="1:39" ht="13.5" thickTop="1" x14ac:dyDescent="0.2"/>
    <row r="67" spans="1:39" x14ac:dyDescent="0.2">
      <c r="A67" s="1089" t="s">
        <v>850</v>
      </c>
      <c r="B67" s="1082"/>
      <c r="C67" s="1082"/>
      <c r="D67" s="1082"/>
      <c r="E67" s="1082"/>
      <c r="F67" s="1082"/>
      <c r="G67" s="1082"/>
      <c r="H67" s="1082"/>
      <c r="I67" s="1082"/>
      <c r="J67" s="1082"/>
      <c r="K67" s="1082"/>
      <c r="L67" s="1082"/>
      <c r="M67" s="1082"/>
      <c r="N67" s="1082"/>
      <c r="O67" s="1082"/>
      <c r="P67" s="1082"/>
      <c r="Q67" s="1082"/>
      <c r="R67" s="1082"/>
      <c r="S67" s="1082"/>
      <c r="T67" s="1082"/>
      <c r="U67" s="1082"/>
      <c r="V67" s="1082"/>
      <c r="W67" s="1082"/>
      <c r="X67" s="1082"/>
      <c r="Y67" s="1082"/>
      <c r="Z67" s="1082"/>
      <c r="AA67" s="1082"/>
      <c r="AB67" s="1082"/>
      <c r="AC67" s="1082"/>
      <c r="AD67" s="1082"/>
      <c r="AE67" s="1082"/>
      <c r="AF67" s="1082"/>
      <c r="AG67" s="1082"/>
      <c r="AH67" s="1082"/>
      <c r="AJ67" s="1062" t="e">
        <f>SUM(#REF!)</f>
        <v>#REF!</v>
      </c>
      <c r="AK67" s="1062">
        <f>SUM(B67:M67)</f>
        <v>0</v>
      </c>
      <c r="AL67" s="1062">
        <f>SUM(N67:Y67)</f>
        <v>0</v>
      </c>
      <c r="AM67" s="1062">
        <f t="shared" ref="AM67:AM74" si="39">SUM(T67:AE67)</f>
        <v>0</v>
      </c>
    </row>
    <row r="68" spans="1:39" x14ac:dyDescent="0.2">
      <c r="A68" s="1089" t="s">
        <v>851</v>
      </c>
      <c r="B68" s="1082"/>
      <c r="C68" s="1082"/>
      <c r="D68" s="1082"/>
      <c r="E68" s="1082"/>
      <c r="F68" s="1082"/>
      <c r="G68" s="1082"/>
      <c r="H68" s="1082"/>
      <c r="I68" s="1082"/>
      <c r="J68" s="1082"/>
      <c r="K68" s="1082"/>
      <c r="L68" s="1082"/>
      <c r="M68" s="1082"/>
      <c r="N68" s="1082"/>
      <c r="O68" s="1082"/>
      <c r="P68" s="1082"/>
      <c r="Q68" s="1082"/>
      <c r="R68" s="1082"/>
      <c r="S68" s="1082"/>
      <c r="T68" s="1082"/>
      <c r="U68" s="1082"/>
      <c r="V68" s="1082"/>
      <c r="W68" s="1082"/>
      <c r="X68" s="1082"/>
      <c r="Y68" s="1082"/>
      <c r="Z68" s="1082"/>
      <c r="AA68" s="1082"/>
      <c r="AB68" s="1082"/>
      <c r="AC68" s="1082"/>
      <c r="AD68" s="1082"/>
      <c r="AE68" s="1082"/>
      <c r="AF68" s="1082"/>
      <c r="AG68" s="1082"/>
      <c r="AH68" s="1082"/>
      <c r="AJ68" s="1062" t="e">
        <f>SUM(#REF!)</f>
        <v>#REF!</v>
      </c>
      <c r="AK68" s="1062">
        <f t="shared" ref="AK68:AK73" si="40">SUM(B68:M68)</f>
        <v>0</v>
      </c>
      <c r="AL68" s="1062">
        <f t="shared" ref="AL68:AL73" si="41">SUM(N68:Y68)</f>
        <v>0</v>
      </c>
      <c r="AM68" s="1062">
        <f t="shared" si="39"/>
        <v>0</v>
      </c>
    </row>
    <row r="69" spans="1:39" x14ac:dyDescent="0.2">
      <c r="A69" s="1089" t="s">
        <v>350</v>
      </c>
      <c r="B69" s="1082"/>
      <c r="C69" s="1082"/>
      <c r="D69" s="1082"/>
      <c r="E69" s="1082"/>
      <c r="F69" s="1082"/>
      <c r="G69" s="1082"/>
      <c r="H69" s="1082"/>
      <c r="I69" s="1082"/>
      <c r="J69" s="1082"/>
      <c r="K69" s="1082"/>
      <c r="L69" s="1082"/>
      <c r="M69" s="1082"/>
      <c r="N69" s="1082"/>
      <c r="O69" s="1082"/>
      <c r="P69" s="1082"/>
      <c r="Q69" s="1082"/>
      <c r="R69" s="1082"/>
      <c r="S69" s="1082"/>
      <c r="T69" s="1082"/>
      <c r="U69" s="1082"/>
      <c r="V69" s="1082"/>
      <c r="W69" s="1082"/>
      <c r="X69" s="1082"/>
      <c r="Y69" s="1082"/>
      <c r="Z69" s="1082"/>
      <c r="AA69" s="1082"/>
      <c r="AB69" s="1082"/>
      <c r="AC69" s="1082"/>
      <c r="AD69" s="1082"/>
      <c r="AE69" s="1082"/>
      <c r="AF69" s="1082"/>
      <c r="AG69" s="1082"/>
      <c r="AH69" s="1082"/>
      <c r="AJ69" s="1062" t="e">
        <f>SUM(#REF!)</f>
        <v>#REF!</v>
      </c>
      <c r="AK69" s="1062">
        <f t="shared" si="40"/>
        <v>0</v>
      </c>
      <c r="AL69" s="1062">
        <f t="shared" si="41"/>
        <v>0</v>
      </c>
      <c r="AM69" s="1062">
        <f t="shared" si="39"/>
        <v>0</v>
      </c>
    </row>
    <row r="70" spans="1:39" x14ac:dyDescent="0.2">
      <c r="A70" s="1089" t="s">
        <v>845</v>
      </c>
      <c r="B70" s="1082"/>
      <c r="C70" s="1082"/>
      <c r="D70" s="1082"/>
      <c r="E70" s="1082"/>
      <c r="F70" s="1082"/>
      <c r="G70" s="1082"/>
      <c r="H70" s="1082"/>
      <c r="I70" s="1082"/>
      <c r="J70" s="1082"/>
      <c r="K70" s="1082"/>
      <c r="L70" s="1082"/>
      <c r="M70" s="1082"/>
      <c r="N70" s="1082"/>
      <c r="O70" s="1082"/>
      <c r="P70" s="1082"/>
      <c r="Q70" s="1082"/>
      <c r="R70" s="1082"/>
      <c r="S70" s="1082"/>
      <c r="T70" s="1082"/>
      <c r="U70" s="1082"/>
      <c r="V70" s="1082"/>
      <c r="W70" s="1082"/>
      <c r="X70" s="1082"/>
      <c r="Y70" s="1082"/>
      <c r="Z70" s="1082"/>
      <c r="AA70" s="1082"/>
      <c r="AB70" s="1082"/>
      <c r="AC70" s="1082"/>
      <c r="AD70" s="1082"/>
      <c r="AE70" s="1082"/>
      <c r="AF70" s="1082"/>
      <c r="AG70" s="1082"/>
      <c r="AH70" s="1082"/>
      <c r="AJ70" s="1062" t="e">
        <f>SUM(#REF!)</f>
        <v>#REF!</v>
      </c>
      <c r="AK70" s="1062">
        <f t="shared" si="40"/>
        <v>0</v>
      </c>
      <c r="AL70" s="1062">
        <f t="shared" si="41"/>
        <v>0</v>
      </c>
      <c r="AM70" s="1062">
        <f t="shared" si="39"/>
        <v>0</v>
      </c>
    </row>
    <row r="71" spans="1:39" x14ac:dyDescent="0.2">
      <c r="A71" s="1089" t="s">
        <v>846</v>
      </c>
      <c r="B71" s="1082"/>
      <c r="C71" s="1082"/>
      <c r="D71" s="1082"/>
      <c r="E71" s="1082"/>
      <c r="F71" s="1082"/>
      <c r="G71" s="1082"/>
      <c r="H71" s="1082"/>
      <c r="I71" s="1082"/>
      <c r="J71" s="1082"/>
      <c r="K71" s="1082"/>
      <c r="L71" s="1082"/>
      <c r="M71" s="1082"/>
      <c r="N71" s="1082">
        <v>-76</v>
      </c>
      <c r="O71" s="1082"/>
      <c r="P71" s="1082"/>
      <c r="Q71" s="1082"/>
      <c r="R71" s="1082"/>
      <c r="S71" s="1082"/>
      <c r="T71" s="1082"/>
      <c r="U71" s="1082"/>
      <c r="V71" s="1082"/>
      <c r="W71" s="1082"/>
      <c r="X71" s="1082"/>
      <c r="Y71" s="1082"/>
      <c r="Z71" s="1082"/>
      <c r="AA71" s="1082"/>
      <c r="AB71" s="1082"/>
      <c r="AC71" s="1082"/>
      <c r="AD71" s="1082"/>
      <c r="AE71" s="1082"/>
      <c r="AF71" s="1082"/>
      <c r="AG71" s="1082"/>
      <c r="AH71" s="1082"/>
      <c r="AJ71" s="1062" t="e">
        <f>SUM(#REF!)</f>
        <v>#REF!</v>
      </c>
      <c r="AK71" s="1062">
        <f t="shared" si="40"/>
        <v>0</v>
      </c>
      <c r="AL71" s="1062">
        <f t="shared" si="41"/>
        <v>-76</v>
      </c>
      <c r="AM71" s="1062">
        <f t="shared" si="39"/>
        <v>0</v>
      </c>
    </row>
    <row r="72" spans="1:39" x14ac:dyDescent="0.2">
      <c r="A72" s="1089" t="s">
        <v>847</v>
      </c>
      <c r="B72" s="1082"/>
      <c r="C72" s="1082"/>
      <c r="D72" s="1082"/>
      <c r="E72" s="1082"/>
      <c r="F72" s="1082"/>
      <c r="G72" s="1082"/>
      <c r="H72" s="1082"/>
      <c r="I72" s="1082"/>
      <c r="J72" s="1082"/>
      <c r="K72" s="1082"/>
      <c r="L72" s="1082"/>
      <c r="M72" s="1082"/>
      <c r="N72" s="1082"/>
      <c r="O72" s="1082"/>
      <c r="P72" s="1082"/>
      <c r="Q72" s="1082"/>
      <c r="R72" s="1082"/>
      <c r="S72" s="1082"/>
      <c r="T72" s="1082"/>
      <c r="U72" s="1082"/>
      <c r="V72" s="1082"/>
      <c r="W72" s="1082"/>
      <c r="X72" s="1082"/>
      <c r="Y72" s="1082"/>
      <c r="Z72" s="1082"/>
      <c r="AA72" s="1082"/>
      <c r="AB72" s="1082"/>
      <c r="AC72" s="1082"/>
      <c r="AD72" s="1082"/>
      <c r="AE72" s="1082"/>
      <c r="AF72" s="1082"/>
      <c r="AG72" s="1082"/>
      <c r="AH72" s="1082"/>
      <c r="AJ72" s="1062" t="e">
        <f>SUM(#REF!)</f>
        <v>#REF!</v>
      </c>
      <c r="AK72" s="1062">
        <f t="shared" si="40"/>
        <v>0</v>
      </c>
      <c r="AL72" s="1062">
        <f t="shared" si="41"/>
        <v>0</v>
      </c>
      <c r="AM72" s="1062">
        <f t="shared" si="39"/>
        <v>0</v>
      </c>
    </row>
    <row r="73" spans="1:39" x14ac:dyDescent="0.2">
      <c r="A73" s="1089" t="s">
        <v>848</v>
      </c>
      <c r="B73" s="1081"/>
      <c r="C73" s="1081"/>
      <c r="D73" s="1081"/>
      <c r="E73" s="1081"/>
      <c r="F73" s="1081"/>
      <c r="G73" s="1081"/>
      <c r="H73" s="1081"/>
      <c r="I73" s="1081"/>
      <c r="J73" s="1081"/>
      <c r="K73" s="1081"/>
      <c r="L73" s="1081"/>
      <c r="M73" s="1081"/>
      <c r="N73" s="1081"/>
      <c r="O73" s="1081"/>
      <c r="P73" s="1081"/>
      <c r="Q73" s="1081"/>
      <c r="R73" s="1081"/>
      <c r="S73" s="1081"/>
      <c r="T73" s="1081"/>
      <c r="U73" s="1081"/>
      <c r="V73" s="1081"/>
      <c r="W73" s="1081"/>
      <c r="X73" s="1081"/>
      <c r="Y73" s="1081"/>
      <c r="Z73" s="1081"/>
      <c r="AA73" s="1081"/>
      <c r="AB73" s="1081"/>
      <c r="AC73" s="1081"/>
      <c r="AD73" s="1081"/>
      <c r="AE73" s="1081"/>
      <c r="AF73" s="1081"/>
      <c r="AG73" s="1081"/>
      <c r="AH73" s="1081"/>
      <c r="AJ73" s="1062" t="e">
        <f>SUM(#REF!)</f>
        <v>#REF!</v>
      </c>
      <c r="AK73" s="1062">
        <f t="shared" si="40"/>
        <v>0</v>
      </c>
      <c r="AL73" s="1062">
        <f t="shared" si="41"/>
        <v>0</v>
      </c>
      <c r="AM73" s="1062">
        <f t="shared" si="39"/>
        <v>0</v>
      </c>
    </row>
    <row r="74" spans="1:39" ht="13.5" thickBot="1" x14ac:dyDescent="0.25">
      <c r="A74" s="1096"/>
      <c r="B74" s="1097">
        <f t="shared" ref="B74:AG74" si="42">SUM(B67:B73)</f>
        <v>0</v>
      </c>
      <c r="C74" s="1097">
        <f t="shared" si="42"/>
        <v>0</v>
      </c>
      <c r="D74" s="1097">
        <f t="shared" si="42"/>
        <v>0</v>
      </c>
      <c r="E74" s="1097">
        <f t="shared" si="42"/>
        <v>0</v>
      </c>
      <c r="F74" s="1097">
        <f t="shared" si="42"/>
        <v>0</v>
      </c>
      <c r="G74" s="1097">
        <f t="shared" si="42"/>
        <v>0</v>
      </c>
      <c r="H74" s="1097">
        <f t="shared" si="42"/>
        <v>0</v>
      </c>
      <c r="I74" s="1097">
        <f t="shared" si="42"/>
        <v>0</v>
      </c>
      <c r="J74" s="1097">
        <f t="shared" si="42"/>
        <v>0</v>
      </c>
      <c r="K74" s="1097">
        <f t="shared" si="42"/>
        <v>0</v>
      </c>
      <c r="L74" s="1097">
        <f t="shared" si="42"/>
        <v>0</v>
      </c>
      <c r="M74" s="1097">
        <f t="shared" si="42"/>
        <v>0</v>
      </c>
      <c r="N74" s="1097">
        <f t="shared" si="42"/>
        <v>-76</v>
      </c>
      <c r="O74" s="1097">
        <f t="shared" si="42"/>
        <v>0</v>
      </c>
      <c r="P74" s="1097">
        <f t="shared" si="42"/>
        <v>0</v>
      </c>
      <c r="Q74" s="1097">
        <f t="shared" si="42"/>
        <v>0</v>
      </c>
      <c r="R74" s="1097">
        <f t="shared" si="42"/>
        <v>0</v>
      </c>
      <c r="S74" s="1097">
        <f t="shared" si="42"/>
        <v>0</v>
      </c>
      <c r="T74" s="1097">
        <f t="shared" si="42"/>
        <v>0</v>
      </c>
      <c r="U74" s="1097">
        <f t="shared" si="42"/>
        <v>0</v>
      </c>
      <c r="V74" s="1097">
        <f t="shared" si="42"/>
        <v>0</v>
      </c>
      <c r="W74" s="1097">
        <f t="shared" si="42"/>
        <v>0</v>
      </c>
      <c r="X74" s="1097">
        <f t="shared" si="42"/>
        <v>0</v>
      </c>
      <c r="Y74" s="1097">
        <f t="shared" si="42"/>
        <v>0</v>
      </c>
      <c r="Z74" s="1097">
        <f t="shared" si="42"/>
        <v>0</v>
      </c>
      <c r="AA74" s="1097">
        <f t="shared" si="42"/>
        <v>0</v>
      </c>
      <c r="AB74" s="1097">
        <f t="shared" si="42"/>
        <v>0</v>
      </c>
      <c r="AC74" s="1097">
        <f t="shared" si="42"/>
        <v>0</v>
      </c>
      <c r="AD74" s="1097">
        <f t="shared" si="42"/>
        <v>0</v>
      </c>
      <c r="AE74" s="1097">
        <f t="shared" si="42"/>
        <v>0</v>
      </c>
      <c r="AF74" s="1097">
        <f t="shared" si="42"/>
        <v>0</v>
      </c>
      <c r="AG74" s="1097">
        <f t="shared" si="42"/>
        <v>0</v>
      </c>
      <c r="AH74" s="1097">
        <f t="shared" ref="AH74" si="43">SUM(AH67:AH73)</f>
        <v>0</v>
      </c>
      <c r="AJ74" s="1092" t="e">
        <f>SUM(AJ67:AJ73)</f>
        <v>#REF!</v>
      </c>
      <c r="AK74" s="1092">
        <f t="shared" ref="AK74:AL74" si="44">SUM(AK67:AK73)</f>
        <v>0</v>
      </c>
      <c r="AL74" s="1092">
        <f t="shared" si="44"/>
        <v>-76</v>
      </c>
      <c r="AM74" s="1092">
        <f t="shared" si="39"/>
        <v>0</v>
      </c>
    </row>
    <row r="75" spans="1:39" ht="13.5" thickTop="1" x14ac:dyDescent="0.2">
      <c r="A75" s="1089"/>
      <c r="B75" s="1081"/>
      <c r="C75" s="1081"/>
      <c r="D75" s="1081"/>
      <c r="E75" s="1081"/>
      <c r="F75" s="1081"/>
      <c r="G75" s="1081"/>
      <c r="H75" s="1081"/>
      <c r="I75" s="1081"/>
      <c r="J75" s="1081"/>
      <c r="K75" s="1081"/>
      <c r="L75" s="1081"/>
      <c r="M75" s="1081"/>
      <c r="N75" s="1081"/>
      <c r="O75" s="1081"/>
      <c r="P75" s="1081"/>
      <c r="Q75" s="1081"/>
      <c r="R75" s="1081"/>
      <c r="S75" s="1081"/>
      <c r="T75" s="1081"/>
      <c r="U75" s="1081"/>
      <c r="V75" s="1081"/>
      <c r="W75" s="1081"/>
      <c r="X75" s="1081"/>
      <c r="Y75" s="1081"/>
      <c r="Z75" s="1081"/>
      <c r="AA75" s="1081"/>
      <c r="AB75" s="1081"/>
      <c r="AC75" s="1081"/>
      <c r="AD75" s="1081"/>
      <c r="AE75" s="1081"/>
      <c r="AF75" s="1081"/>
      <c r="AG75" s="1081"/>
      <c r="AH75" s="1081"/>
    </row>
    <row r="76" spans="1:39" x14ac:dyDescent="0.2">
      <c r="A76" s="1089"/>
      <c r="B76" s="1081"/>
      <c r="C76" s="1081"/>
      <c r="D76" s="1081"/>
      <c r="E76" s="1081"/>
      <c r="F76" s="1081"/>
      <c r="G76" s="1081"/>
      <c r="H76" s="1081"/>
      <c r="I76" s="1081"/>
      <c r="J76" s="1081"/>
      <c r="K76" s="1081"/>
      <c r="L76" s="1081"/>
      <c r="M76" s="1081"/>
      <c r="N76" s="1081"/>
      <c r="O76" s="1081"/>
      <c r="P76" s="1081"/>
      <c r="Q76" s="1081"/>
      <c r="R76" s="1081"/>
      <c r="S76" s="1081"/>
      <c r="T76" s="1081"/>
      <c r="U76" s="1081"/>
      <c r="V76" s="1081"/>
      <c r="W76" s="1081"/>
      <c r="X76" s="1081"/>
      <c r="Y76" s="1081"/>
      <c r="Z76" s="1081"/>
      <c r="AA76" s="1081"/>
      <c r="AB76" s="1081"/>
      <c r="AC76" s="1081"/>
      <c r="AD76" s="1081"/>
      <c r="AE76" s="1081"/>
      <c r="AF76" s="1081"/>
      <c r="AG76" s="1081"/>
      <c r="AH76" s="1081"/>
      <c r="AJ76" s="1082"/>
      <c r="AK76" s="1082"/>
      <c r="AL76" s="1082"/>
      <c r="AM76" s="1082"/>
    </row>
    <row r="77" spans="1:39" ht="13.5" thickBot="1" x14ac:dyDescent="0.25">
      <c r="A77" s="1090" t="s">
        <v>852</v>
      </c>
      <c r="B77" s="1091">
        <f t="shared" ref="B77:AG77" si="45">B65+B74</f>
        <v>171</v>
      </c>
      <c r="C77" s="1091">
        <f t="shared" si="45"/>
        <v>182</v>
      </c>
      <c r="D77" s="1091">
        <f t="shared" si="45"/>
        <v>291</v>
      </c>
      <c r="E77" s="1091">
        <f t="shared" si="45"/>
        <v>202</v>
      </c>
      <c r="F77" s="1091">
        <f t="shared" si="45"/>
        <v>245</v>
      </c>
      <c r="G77" s="1091">
        <f t="shared" si="45"/>
        <v>273</v>
      </c>
      <c r="H77" s="1091">
        <f t="shared" si="45"/>
        <v>113</v>
      </c>
      <c r="I77" s="1091">
        <f t="shared" si="45"/>
        <v>183</v>
      </c>
      <c r="J77" s="1091">
        <f t="shared" si="45"/>
        <v>227</v>
      </c>
      <c r="K77" s="1091">
        <f t="shared" si="45"/>
        <v>353</v>
      </c>
      <c r="L77" s="1091">
        <f t="shared" si="45"/>
        <v>391</v>
      </c>
      <c r="M77" s="1091">
        <f t="shared" si="45"/>
        <v>-49</v>
      </c>
      <c r="N77" s="1091">
        <f t="shared" si="45"/>
        <v>186</v>
      </c>
      <c r="O77" s="1091">
        <f t="shared" si="45"/>
        <v>218</v>
      </c>
      <c r="P77" s="1091">
        <f t="shared" si="45"/>
        <v>290</v>
      </c>
      <c r="Q77" s="1091">
        <f t="shared" si="45"/>
        <v>230</v>
      </c>
      <c r="R77" s="1091">
        <f t="shared" si="45"/>
        <v>278</v>
      </c>
      <c r="S77" s="1091">
        <f t="shared" si="45"/>
        <v>196</v>
      </c>
      <c r="T77" s="1091">
        <f t="shared" si="45"/>
        <v>230</v>
      </c>
      <c r="U77" s="1091">
        <f t="shared" si="45"/>
        <v>290</v>
      </c>
      <c r="V77" s="1091">
        <f t="shared" si="45"/>
        <v>295</v>
      </c>
      <c r="W77" s="1091">
        <f t="shared" si="45"/>
        <v>340</v>
      </c>
      <c r="X77" s="1091">
        <f t="shared" si="45"/>
        <v>704</v>
      </c>
      <c r="Y77" s="1091">
        <f t="shared" si="45"/>
        <v>976</v>
      </c>
      <c r="Z77" s="1091">
        <f t="shared" si="45"/>
        <v>344</v>
      </c>
      <c r="AA77" s="1091">
        <f t="shared" si="45"/>
        <v>203</v>
      </c>
      <c r="AB77" s="1091">
        <f t="shared" si="45"/>
        <v>254</v>
      </c>
      <c r="AC77" s="1091">
        <f t="shared" si="45"/>
        <v>281</v>
      </c>
      <c r="AD77" s="1091">
        <f t="shared" si="45"/>
        <v>-42</v>
      </c>
      <c r="AE77" s="1091">
        <f t="shared" si="45"/>
        <v>203</v>
      </c>
      <c r="AF77" s="1091">
        <f t="shared" si="45"/>
        <v>247</v>
      </c>
      <c r="AG77" s="1091">
        <f t="shared" si="45"/>
        <v>361</v>
      </c>
      <c r="AH77" s="1091">
        <f t="shared" ref="AH77" si="46">AH65+AH74</f>
        <v>547.38065000000006</v>
      </c>
      <c r="AJ77" s="1092" t="e">
        <f>SUM(#REF!)</f>
        <v>#REF!</v>
      </c>
      <c r="AK77" s="1092">
        <f>SUM(B77:M77)</f>
        <v>2582</v>
      </c>
      <c r="AL77" s="1092">
        <f>SUM(N77:Y77)</f>
        <v>4233</v>
      </c>
      <c r="AM77" s="1092">
        <f>SUM(T77:AE77)</f>
        <v>4078</v>
      </c>
    </row>
    <row r="78" spans="1:39" ht="13.5" thickTop="1" x14ac:dyDescent="0.2">
      <c r="A78" s="1099"/>
    </row>
    <row r="80" spans="1:39" ht="18.75" x14ac:dyDescent="0.3">
      <c r="A80" s="1067" t="s">
        <v>645</v>
      </c>
    </row>
    <row r="82" spans="1:39" x14ac:dyDescent="0.2">
      <c r="A82" s="1068" t="s">
        <v>99</v>
      </c>
      <c r="B82" s="1100">
        <v>88</v>
      </c>
      <c r="C82" s="1100">
        <v>51</v>
      </c>
      <c r="D82" s="1100">
        <v>46</v>
      </c>
      <c r="E82" s="1101">
        <v>36</v>
      </c>
      <c r="F82" s="1101">
        <v>86</v>
      </c>
      <c r="G82" s="1101">
        <v>60</v>
      </c>
      <c r="H82" s="1101">
        <v>42</v>
      </c>
      <c r="I82" s="1101">
        <v>94</v>
      </c>
      <c r="J82" s="1101">
        <v>161</v>
      </c>
      <c r="K82" s="1101">
        <v>139</v>
      </c>
      <c r="L82" s="1101">
        <v>64</v>
      </c>
      <c r="M82" s="1101">
        <v>54</v>
      </c>
      <c r="N82" s="1060">
        <v>193</v>
      </c>
      <c r="O82" s="1060">
        <v>21</v>
      </c>
      <c r="P82" s="1060">
        <v>431</v>
      </c>
      <c r="Q82" s="1060">
        <v>81</v>
      </c>
      <c r="R82" s="1060">
        <v>68</v>
      </c>
      <c r="S82" s="1060">
        <v>-28</v>
      </c>
      <c r="T82" s="1060">
        <v>56</v>
      </c>
      <c r="U82" s="1060">
        <v>99</v>
      </c>
      <c r="V82" s="1060">
        <v>104</v>
      </c>
      <c r="W82" s="1060">
        <v>270</v>
      </c>
      <c r="X82" s="1060">
        <v>73</v>
      </c>
      <c r="Y82" s="1060">
        <v>168</v>
      </c>
      <c r="Z82" s="1060">
        <v>133</v>
      </c>
      <c r="AA82" s="1060">
        <v>154</v>
      </c>
      <c r="AB82" s="1060">
        <v>232</v>
      </c>
      <c r="AC82" s="1060">
        <v>98</v>
      </c>
      <c r="AD82" s="1060">
        <v>113</v>
      </c>
      <c r="AE82" s="1060">
        <v>80</v>
      </c>
      <c r="AF82" s="1060">
        <v>41</v>
      </c>
      <c r="AG82" s="1060">
        <v>47</v>
      </c>
      <c r="AH82" s="1060">
        <v>232.17770999999999</v>
      </c>
      <c r="AJ82" s="1060" t="e">
        <f>#REF!</f>
        <v>#REF!</v>
      </c>
      <c r="AK82" s="1060">
        <f>M82</f>
        <v>54</v>
      </c>
      <c r="AL82" s="1060">
        <f>Y82</f>
        <v>168</v>
      </c>
      <c r="AM82" s="1060">
        <f>+AG82</f>
        <v>47</v>
      </c>
    </row>
    <row r="83" spans="1:39" x14ac:dyDescent="0.2">
      <c r="A83" s="1099" t="s">
        <v>648</v>
      </c>
      <c r="B83" s="1100">
        <f>2084+6</f>
        <v>2090</v>
      </c>
      <c r="C83" s="1100">
        <f>2161+7</f>
        <v>2168</v>
      </c>
      <c r="D83" s="1100">
        <f>2140+6</f>
        <v>2146</v>
      </c>
      <c r="E83" s="1101">
        <f>2029+9</f>
        <v>2038</v>
      </c>
      <c r="F83" s="1101">
        <f>2152+9</f>
        <v>2161</v>
      </c>
      <c r="G83" s="1101">
        <f>2467+7</f>
        <v>2474</v>
      </c>
      <c r="H83" s="1101">
        <f>2041+7</f>
        <v>2048</v>
      </c>
      <c r="I83" s="1101">
        <f>1801+8</f>
        <v>1809</v>
      </c>
      <c r="J83" s="1101">
        <f>1924+8</f>
        <v>1932</v>
      </c>
      <c r="K83" s="1101">
        <f>2374+8</f>
        <v>2382</v>
      </c>
      <c r="L83" s="1101">
        <f>3548+8</f>
        <v>3556</v>
      </c>
      <c r="M83" s="1101">
        <f>4134+10</f>
        <v>4144</v>
      </c>
      <c r="N83" s="1060">
        <f>3337+9</f>
        <v>3346</v>
      </c>
      <c r="O83" s="1060">
        <f>3339+8</f>
        <v>3347</v>
      </c>
      <c r="P83" s="1060">
        <f>3006+8</f>
        <v>3014</v>
      </c>
      <c r="Q83" s="1060">
        <f>2594+8</f>
        <v>2602</v>
      </c>
      <c r="R83" s="1060">
        <f>3202+9</f>
        <v>3211</v>
      </c>
      <c r="S83" s="1060">
        <f>3732+9</f>
        <v>3741</v>
      </c>
      <c r="T83" s="1060">
        <f>2720+9</f>
        <v>2729</v>
      </c>
      <c r="U83" s="1060">
        <f>3428+10</f>
        <v>3438</v>
      </c>
      <c r="V83" s="1060">
        <f>3411+10</f>
        <v>3421</v>
      </c>
      <c r="W83" s="1060">
        <f>3525+10</f>
        <v>3535</v>
      </c>
      <c r="X83" s="1060">
        <f>5611+11</f>
        <v>5622</v>
      </c>
      <c r="Y83" s="1060">
        <f>6405+10</f>
        <v>6415</v>
      </c>
      <c r="Z83" s="1060">
        <f>5499+10</f>
        <v>5509</v>
      </c>
      <c r="AA83" s="1060">
        <f>3848+11</f>
        <v>3859</v>
      </c>
      <c r="AB83" s="1060">
        <f>3147+11</f>
        <v>3158</v>
      </c>
      <c r="AC83" s="1060">
        <f>3250+11</f>
        <v>3261</v>
      </c>
      <c r="AD83" s="1060">
        <f>3261+11</f>
        <v>3272</v>
      </c>
      <c r="AE83" s="1060">
        <f>3448+11</f>
        <v>3459</v>
      </c>
      <c r="AF83" s="1060">
        <f>3200+12</f>
        <v>3212</v>
      </c>
      <c r="AG83" s="1060">
        <f>3515+3</f>
        <v>3518</v>
      </c>
      <c r="AH83" s="1060">
        <v>3944.2768600000004</v>
      </c>
      <c r="AJ83" s="1060" t="e">
        <f>#REF!</f>
        <v>#REF!</v>
      </c>
      <c r="AK83" s="1060">
        <f t="shared" ref="AK83:AK92" si="47">M83</f>
        <v>4144</v>
      </c>
      <c r="AL83" s="1060">
        <f t="shared" ref="AL83:AL92" si="48">Y83</f>
        <v>6415</v>
      </c>
      <c r="AM83" s="1060">
        <f t="shared" ref="AM83:AM91" si="49">+AG83</f>
        <v>3518</v>
      </c>
    </row>
    <row r="84" spans="1:39" x14ac:dyDescent="0.2">
      <c r="A84" s="1099" t="s">
        <v>410</v>
      </c>
      <c r="B84" s="1100">
        <f>10+287</f>
        <v>297</v>
      </c>
      <c r="C84" s="1100">
        <f>10+287</f>
        <v>297</v>
      </c>
      <c r="D84" s="1100">
        <f>9+287</f>
        <v>296</v>
      </c>
      <c r="E84" s="1101">
        <f>9+287</f>
        <v>296</v>
      </c>
      <c r="F84" s="1101">
        <f>10+289</f>
        <v>299</v>
      </c>
      <c r="G84" s="1101">
        <f>11+291</f>
        <v>302</v>
      </c>
      <c r="H84" s="1101">
        <f>14+291</f>
        <v>305</v>
      </c>
      <c r="I84" s="1101">
        <f>16+297</f>
        <v>313</v>
      </c>
      <c r="J84" s="1101">
        <f>14+299</f>
        <v>313</v>
      </c>
      <c r="K84" s="1101">
        <f>13+299</f>
        <v>312</v>
      </c>
      <c r="L84" s="1101">
        <f>11+299</f>
        <v>310</v>
      </c>
      <c r="M84" s="1101">
        <f>8+299</f>
        <v>307</v>
      </c>
      <c r="N84" s="1060">
        <f>11+299</f>
        <v>310</v>
      </c>
      <c r="O84" s="1060">
        <f>12+299</f>
        <v>311</v>
      </c>
      <c r="P84" s="1060">
        <f>22+300</f>
        <v>322</v>
      </c>
      <c r="Q84" s="1060">
        <f>18+302</f>
        <v>320</v>
      </c>
      <c r="R84" s="1060">
        <f>22+323</f>
        <v>345</v>
      </c>
      <c r="S84" s="1060">
        <f>28+334</f>
        <v>362</v>
      </c>
      <c r="T84" s="1060">
        <f>27+336</f>
        <v>363</v>
      </c>
      <c r="U84" s="1060">
        <f>29+346</f>
        <v>375</v>
      </c>
      <c r="V84" s="1060">
        <f>28+347</f>
        <v>375</v>
      </c>
      <c r="W84" s="1060">
        <f>26+350</f>
        <v>376</v>
      </c>
      <c r="X84" s="1060">
        <f>29+351</f>
        <v>380</v>
      </c>
      <c r="Y84" s="1060">
        <f>22+352</f>
        <v>374</v>
      </c>
      <c r="Z84" s="1060">
        <f>19+356</f>
        <v>375</v>
      </c>
      <c r="AA84" s="1060">
        <f>18+363</f>
        <v>381</v>
      </c>
      <c r="AB84" s="1060">
        <f>16+411</f>
        <v>427</v>
      </c>
      <c r="AC84" s="1060">
        <f>18+449</f>
        <v>467</v>
      </c>
      <c r="AD84" s="1060">
        <f>12+490</f>
        <v>502</v>
      </c>
      <c r="AE84" s="1060">
        <f>12+525</f>
        <v>537</v>
      </c>
      <c r="AF84" s="1060">
        <f>562-12</f>
        <v>550</v>
      </c>
      <c r="AG84" s="1060">
        <f>586-3</f>
        <v>583</v>
      </c>
      <c r="AH84" s="1060">
        <v>613.06064000000003</v>
      </c>
      <c r="AJ84" s="1060"/>
      <c r="AK84" s="1060">
        <f t="shared" si="47"/>
        <v>307</v>
      </c>
      <c r="AL84" s="1060">
        <f t="shared" si="48"/>
        <v>374</v>
      </c>
      <c r="AM84" s="1060">
        <f t="shared" si="49"/>
        <v>583</v>
      </c>
    </row>
    <row r="85" spans="1:39" x14ac:dyDescent="0.2">
      <c r="AM85" s="1060">
        <f t="shared" si="49"/>
        <v>0</v>
      </c>
    </row>
    <row r="86" spans="1:39" x14ac:dyDescent="0.2">
      <c r="A86" s="1099" t="s">
        <v>853</v>
      </c>
      <c r="B86" s="1060">
        <v>7329</v>
      </c>
      <c r="C86" s="1102">
        <v>7444</v>
      </c>
      <c r="D86" s="1102">
        <v>7236</v>
      </c>
      <c r="E86" s="1103">
        <v>7072</v>
      </c>
      <c r="F86" s="1103">
        <v>7083</v>
      </c>
      <c r="G86" s="1103">
        <v>7096</v>
      </c>
      <c r="H86" s="1103">
        <v>7219</v>
      </c>
      <c r="I86" s="1103">
        <v>7453</v>
      </c>
      <c r="J86" s="1103">
        <v>7408</v>
      </c>
      <c r="K86" s="1103">
        <v>7116</v>
      </c>
      <c r="L86" s="1103">
        <v>7050</v>
      </c>
      <c r="M86" s="1103">
        <v>6761</v>
      </c>
      <c r="N86" s="1060">
        <v>7265</v>
      </c>
      <c r="O86" s="1060">
        <v>7489</v>
      </c>
      <c r="P86" s="1060">
        <v>7057</v>
      </c>
      <c r="Q86" s="1060">
        <v>7014</v>
      </c>
      <c r="R86" s="1060">
        <v>7231</v>
      </c>
      <c r="S86" s="1060">
        <v>7578</v>
      </c>
      <c r="T86" s="1060">
        <v>7973</v>
      </c>
      <c r="U86" s="1060">
        <v>8834</v>
      </c>
      <c r="V86" s="1060">
        <v>10748</v>
      </c>
      <c r="W86" s="1060">
        <v>10955</v>
      </c>
      <c r="X86" s="1060">
        <v>10058</v>
      </c>
      <c r="Y86" s="1060">
        <v>9454</v>
      </c>
      <c r="Z86" s="1060">
        <v>9425</v>
      </c>
      <c r="AA86" s="1060">
        <v>9476</v>
      </c>
      <c r="AB86" s="1060">
        <v>9470</v>
      </c>
      <c r="AC86" s="1060">
        <v>9170</v>
      </c>
      <c r="AD86" s="1060">
        <v>8771</v>
      </c>
      <c r="AE86" s="1060">
        <v>8782</v>
      </c>
      <c r="AF86" s="1060">
        <v>8640</v>
      </c>
      <c r="AG86" s="1060">
        <v>8661</v>
      </c>
      <c r="AH86" s="1060">
        <v>8733.1883900000012</v>
      </c>
      <c r="AJ86" s="1060" t="e">
        <f>#REF!</f>
        <v>#REF!</v>
      </c>
      <c r="AK86" s="1060">
        <f t="shared" ref="AK86:AK91" si="50">M86</f>
        <v>6761</v>
      </c>
      <c r="AL86" s="1060">
        <f t="shared" ref="AL86:AL91" si="51">Y86</f>
        <v>9454</v>
      </c>
      <c r="AM86" s="1060">
        <f t="shared" si="49"/>
        <v>8661</v>
      </c>
    </row>
    <row r="87" spans="1:39" x14ac:dyDescent="0.2">
      <c r="A87" s="1099" t="s">
        <v>854</v>
      </c>
      <c r="B87" s="1060">
        <v>185</v>
      </c>
      <c r="C87" s="1102">
        <v>185</v>
      </c>
      <c r="D87" s="1102">
        <v>185</v>
      </c>
      <c r="E87" s="1102">
        <v>185</v>
      </c>
      <c r="F87" s="1102">
        <v>185</v>
      </c>
      <c r="G87" s="1102">
        <v>185</v>
      </c>
      <c r="H87" s="1102">
        <v>185</v>
      </c>
      <c r="I87" s="1102">
        <v>185</v>
      </c>
      <c r="J87" s="1102">
        <v>185</v>
      </c>
      <c r="K87" s="1102">
        <v>185</v>
      </c>
      <c r="L87" s="1102">
        <v>185</v>
      </c>
      <c r="M87" s="1102">
        <v>185</v>
      </c>
      <c r="N87" s="1102">
        <v>185</v>
      </c>
      <c r="O87" s="1102">
        <v>185</v>
      </c>
      <c r="P87" s="1102">
        <v>185</v>
      </c>
      <c r="Q87" s="1102">
        <v>185</v>
      </c>
      <c r="R87" s="1102">
        <v>185</v>
      </c>
      <c r="S87" s="1102">
        <v>185</v>
      </c>
      <c r="T87" s="1102">
        <v>185</v>
      </c>
      <c r="U87" s="1102">
        <v>185</v>
      </c>
      <c r="V87" s="1102">
        <v>185</v>
      </c>
      <c r="W87" s="1102">
        <v>185</v>
      </c>
      <c r="X87" s="1102">
        <v>185</v>
      </c>
      <c r="Y87" s="1060">
        <v>0</v>
      </c>
      <c r="Z87" s="1060">
        <v>0</v>
      </c>
      <c r="AA87" s="1060">
        <v>0</v>
      </c>
      <c r="AB87" s="1060">
        <v>0</v>
      </c>
      <c r="AC87" s="1060">
        <v>0</v>
      </c>
      <c r="AD87" s="1060">
        <v>0</v>
      </c>
      <c r="AE87" s="1060">
        <v>0</v>
      </c>
      <c r="AF87" s="1060">
        <v>0</v>
      </c>
      <c r="AG87" s="1060">
        <v>0</v>
      </c>
      <c r="AH87" s="1060">
        <v>0</v>
      </c>
      <c r="AJ87" s="1060"/>
      <c r="AK87" s="1060">
        <f t="shared" si="50"/>
        <v>185</v>
      </c>
      <c r="AL87" s="1060">
        <f t="shared" si="51"/>
        <v>0</v>
      </c>
      <c r="AM87" s="1060">
        <f t="shared" si="49"/>
        <v>0</v>
      </c>
    </row>
    <row r="88" spans="1:39" x14ac:dyDescent="0.2">
      <c r="A88" s="1099" t="s">
        <v>855</v>
      </c>
      <c r="B88" s="1060">
        <v>-185</v>
      </c>
      <c r="C88" s="1102">
        <v>-185</v>
      </c>
      <c r="D88" s="1102">
        <v>-185</v>
      </c>
      <c r="E88" s="1102">
        <v>-185</v>
      </c>
      <c r="F88" s="1102">
        <v>-185</v>
      </c>
      <c r="G88" s="1102">
        <v>-185</v>
      </c>
      <c r="H88" s="1102">
        <v>-185</v>
      </c>
      <c r="I88" s="1102">
        <v>-185</v>
      </c>
      <c r="J88" s="1102">
        <v>-185</v>
      </c>
      <c r="K88" s="1102">
        <v>-185</v>
      </c>
      <c r="L88" s="1102">
        <v>-185</v>
      </c>
      <c r="M88" s="1102">
        <v>-185</v>
      </c>
      <c r="N88" s="1102">
        <v>-185</v>
      </c>
      <c r="O88" s="1102">
        <v>-185</v>
      </c>
      <c r="P88" s="1102">
        <v>-185</v>
      </c>
      <c r="Q88" s="1102">
        <v>-185</v>
      </c>
      <c r="R88" s="1102">
        <v>-185</v>
      </c>
      <c r="S88" s="1102">
        <v>-185</v>
      </c>
      <c r="T88" s="1102">
        <v>-185</v>
      </c>
      <c r="U88" s="1102">
        <v>-185</v>
      </c>
      <c r="V88" s="1102">
        <v>-185</v>
      </c>
      <c r="W88" s="1102">
        <v>-185</v>
      </c>
      <c r="X88" s="1102">
        <v>-185</v>
      </c>
      <c r="Y88" s="1060">
        <v>0</v>
      </c>
      <c r="Z88" s="1060">
        <v>0</v>
      </c>
      <c r="AA88" s="1060">
        <v>0</v>
      </c>
      <c r="AB88" s="1060">
        <v>0</v>
      </c>
      <c r="AC88" s="1060">
        <v>0</v>
      </c>
      <c r="AD88" s="1060">
        <v>0</v>
      </c>
      <c r="AE88" s="1060">
        <v>0</v>
      </c>
      <c r="AF88" s="1060">
        <v>0</v>
      </c>
      <c r="AG88" s="1060">
        <v>0</v>
      </c>
      <c r="AH88" s="1060">
        <v>0</v>
      </c>
      <c r="AJ88" s="1060" t="e">
        <f>#REF!</f>
        <v>#REF!</v>
      </c>
      <c r="AK88" s="1060">
        <f t="shared" si="50"/>
        <v>-185</v>
      </c>
      <c r="AL88" s="1060">
        <f t="shared" si="51"/>
        <v>0</v>
      </c>
      <c r="AM88" s="1060">
        <f t="shared" si="49"/>
        <v>0</v>
      </c>
    </row>
    <row r="89" spans="1:39" x14ac:dyDescent="0.2">
      <c r="A89" s="1099" t="s">
        <v>756</v>
      </c>
      <c r="B89" s="1060">
        <v>293</v>
      </c>
      <c r="C89" s="1102">
        <v>293</v>
      </c>
      <c r="D89" s="1102">
        <v>277</v>
      </c>
      <c r="E89" s="1103">
        <v>271</v>
      </c>
      <c r="F89" s="1103">
        <v>274</v>
      </c>
      <c r="G89" s="1103">
        <v>331</v>
      </c>
      <c r="H89" s="1103">
        <v>258</v>
      </c>
      <c r="I89" s="1103">
        <v>249</v>
      </c>
      <c r="J89" s="1103">
        <v>353</v>
      </c>
      <c r="K89" s="1103">
        <v>341</v>
      </c>
      <c r="L89" s="1103">
        <v>359</v>
      </c>
      <c r="M89" s="1103">
        <v>333</v>
      </c>
      <c r="N89" s="1060">
        <v>379</v>
      </c>
      <c r="O89" s="1060">
        <v>377</v>
      </c>
      <c r="P89" s="1060">
        <v>382</v>
      </c>
      <c r="Q89" s="1060">
        <v>454</v>
      </c>
      <c r="R89" s="1060">
        <v>298</v>
      </c>
      <c r="S89" s="1060">
        <v>432</v>
      </c>
      <c r="T89" s="1060">
        <v>419</v>
      </c>
      <c r="U89" s="1060">
        <v>511</v>
      </c>
      <c r="V89" s="1060">
        <v>449</v>
      </c>
      <c r="W89" s="1060">
        <v>566</v>
      </c>
      <c r="X89" s="1060">
        <v>629</v>
      </c>
      <c r="Y89" s="1060">
        <v>602</v>
      </c>
      <c r="Z89" s="1060">
        <v>589</v>
      </c>
      <c r="AA89" s="1060">
        <v>611</v>
      </c>
      <c r="AB89" s="1060">
        <v>787</v>
      </c>
      <c r="AC89" s="1060">
        <v>715</v>
      </c>
      <c r="AD89" s="1060">
        <v>716</v>
      </c>
      <c r="AE89" s="1060">
        <v>688</v>
      </c>
      <c r="AF89" s="1060">
        <v>655</v>
      </c>
      <c r="AG89" s="1060">
        <v>641</v>
      </c>
      <c r="AH89" s="1060">
        <v>700.46154000000001</v>
      </c>
      <c r="AJ89" s="1060"/>
      <c r="AK89" s="1060">
        <f t="shared" si="50"/>
        <v>333</v>
      </c>
      <c r="AL89" s="1060">
        <f t="shared" si="51"/>
        <v>602</v>
      </c>
      <c r="AM89" s="1060">
        <f t="shared" si="49"/>
        <v>641</v>
      </c>
    </row>
    <row r="90" spans="1:39" x14ac:dyDescent="0.2">
      <c r="A90" s="1099" t="s">
        <v>856</v>
      </c>
      <c r="B90" s="1060">
        <v>-304</v>
      </c>
      <c r="C90" s="1102">
        <v>-304</v>
      </c>
      <c r="D90" s="1102">
        <v>-304</v>
      </c>
      <c r="E90" s="1102">
        <v>-304</v>
      </c>
      <c r="F90" s="1102">
        <v>-304</v>
      </c>
      <c r="G90" s="1102">
        <v>-304</v>
      </c>
      <c r="H90" s="1102">
        <v>-304</v>
      </c>
      <c r="I90" s="1102">
        <v>-304</v>
      </c>
      <c r="J90" s="1102">
        <v>-304</v>
      </c>
      <c r="K90" s="1102">
        <v>-304</v>
      </c>
      <c r="L90" s="1102">
        <v>-304</v>
      </c>
      <c r="M90" s="1102">
        <v>-304</v>
      </c>
      <c r="N90" s="1102">
        <v>-304</v>
      </c>
      <c r="O90" s="1102">
        <v>-304</v>
      </c>
      <c r="P90" s="1102">
        <v>-304</v>
      </c>
      <c r="Q90" s="1102">
        <v>-304</v>
      </c>
      <c r="R90" s="1102">
        <v>-304</v>
      </c>
      <c r="S90" s="1102">
        <v>-304</v>
      </c>
      <c r="T90" s="1102">
        <v>-304</v>
      </c>
      <c r="U90" s="1102">
        <v>-304</v>
      </c>
      <c r="V90" s="1102">
        <v>-304</v>
      </c>
      <c r="W90" s="1102">
        <v>-304</v>
      </c>
      <c r="X90" s="1102">
        <v>-304</v>
      </c>
      <c r="Y90" s="1102">
        <v>-304</v>
      </c>
      <c r="Z90" s="1102">
        <v>-304</v>
      </c>
      <c r="AA90" s="1102">
        <v>-304</v>
      </c>
      <c r="AB90" s="1102">
        <v>-304</v>
      </c>
      <c r="AC90" s="1102">
        <v>-304</v>
      </c>
      <c r="AD90" s="1102">
        <v>-304</v>
      </c>
      <c r="AE90" s="1102">
        <v>-304</v>
      </c>
      <c r="AF90" s="1102">
        <v>-304</v>
      </c>
      <c r="AG90" s="1102">
        <v>-304</v>
      </c>
      <c r="AH90" s="1102">
        <v>-303.87</v>
      </c>
      <c r="AJ90" s="1060"/>
      <c r="AK90" s="1060">
        <f t="shared" si="50"/>
        <v>-304</v>
      </c>
      <c r="AL90" s="1060">
        <f t="shared" si="51"/>
        <v>-304</v>
      </c>
      <c r="AM90" s="1060">
        <f t="shared" si="49"/>
        <v>-304</v>
      </c>
    </row>
    <row r="91" spans="1:39" x14ac:dyDescent="0.2">
      <c r="A91" s="1099" t="s">
        <v>0</v>
      </c>
      <c r="B91" s="1104">
        <v>520</v>
      </c>
      <c r="C91" s="1105">
        <v>630</v>
      </c>
      <c r="D91" s="1105">
        <v>649</v>
      </c>
      <c r="E91" s="1106">
        <v>962</v>
      </c>
      <c r="F91" s="1106">
        <v>1282</v>
      </c>
      <c r="G91" s="1106">
        <v>1488</v>
      </c>
      <c r="H91" s="1106">
        <v>1007</v>
      </c>
      <c r="I91" s="1106">
        <v>1086</v>
      </c>
      <c r="J91" s="1106">
        <v>536</v>
      </c>
      <c r="K91" s="1106">
        <v>775</v>
      </c>
      <c r="L91" s="1106">
        <v>642</v>
      </c>
      <c r="M91" s="1106">
        <v>392</v>
      </c>
      <c r="N91" s="1104">
        <v>815</v>
      </c>
      <c r="O91" s="1104">
        <v>1402</v>
      </c>
      <c r="P91" s="1104">
        <v>1739</v>
      </c>
      <c r="Q91" s="1104">
        <v>2162</v>
      </c>
      <c r="R91" s="1104">
        <v>1841</v>
      </c>
      <c r="S91" s="1104">
        <v>1919</v>
      </c>
      <c r="T91" s="1104">
        <v>2620</v>
      </c>
      <c r="U91" s="1104">
        <v>1753</v>
      </c>
      <c r="V91" s="1104">
        <v>1333</v>
      </c>
      <c r="W91" s="1104">
        <v>877</v>
      </c>
      <c r="X91" s="1104">
        <v>1368</v>
      </c>
      <c r="Y91" s="1104">
        <v>560</v>
      </c>
      <c r="Z91" s="1104">
        <v>786</v>
      </c>
      <c r="AA91" s="1104">
        <v>550</v>
      </c>
      <c r="AB91" s="1104">
        <v>476</v>
      </c>
      <c r="AC91" s="1104">
        <v>335</v>
      </c>
      <c r="AD91" s="1104">
        <v>825</v>
      </c>
      <c r="AE91" s="1104">
        <v>629</v>
      </c>
      <c r="AF91" s="1104">
        <v>767</v>
      </c>
      <c r="AG91" s="1104">
        <v>969</v>
      </c>
      <c r="AH91" s="1104">
        <v>972.6408100000001</v>
      </c>
      <c r="AJ91" s="1060" t="e">
        <f>#REF!</f>
        <v>#REF!</v>
      </c>
      <c r="AK91" s="1104">
        <f t="shared" si="50"/>
        <v>392</v>
      </c>
      <c r="AL91" s="1104">
        <f t="shared" si="51"/>
        <v>560</v>
      </c>
      <c r="AM91" s="1060">
        <f t="shared" si="49"/>
        <v>969</v>
      </c>
    </row>
    <row r="92" spans="1:39" x14ac:dyDescent="0.2">
      <c r="A92" s="1107" t="s">
        <v>585</v>
      </c>
      <c r="B92" s="1060">
        <f t="shared" ref="B92:AD92" si="52">SUM(B82:B91)</f>
        <v>10313</v>
      </c>
      <c r="C92" s="1060">
        <f t="shared" si="52"/>
        <v>10579</v>
      </c>
      <c r="D92" s="1060">
        <f t="shared" si="52"/>
        <v>10346</v>
      </c>
      <c r="E92" s="1060">
        <f t="shared" si="52"/>
        <v>10371</v>
      </c>
      <c r="F92" s="1060">
        <f t="shared" si="52"/>
        <v>10881</v>
      </c>
      <c r="G92" s="1060">
        <f t="shared" si="52"/>
        <v>11447</v>
      </c>
      <c r="H92" s="1060">
        <f t="shared" si="52"/>
        <v>10575</v>
      </c>
      <c r="I92" s="1060">
        <f t="shared" si="52"/>
        <v>10700</v>
      </c>
      <c r="J92" s="1060">
        <f t="shared" si="52"/>
        <v>10399</v>
      </c>
      <c r="K92" s="1060">
        <f t="shared" si="52"/>
        <v>10761</v>
      </c>
      <c r="L92" s="1060">
        <f t="shared" si="52"/>
        <v>11677</v>
      </c>
      <c r="M92" s="1060">
        <f t="shared" si="52"/>
        <v>11687</v>
      </c>
      <c r="N92" s="1060">
        <f t="shared" si="52"/>
        <v>12004</v>
      </c>
      <c r="O92" s="1060">
        <f t="shared" si="52"/>
        <v>12643</v>
      </c>
      <c r="P92" s="1060">
        <f t="shared" si="52"/>
        <v>12641</v>
      </c>
      <c r="Q92" s="1060">
        <f t="shared" si="52"/>
        <v>12329</v>
      </c>
      <c r="R92" s="1060">
        <f t="shared" si="52"/>
        <v>12690</v>
      </c>
      <c r="S92" s="1060">
        <f t="shared" si="52"/>
        <v>13700</v>
      </c>
      <c r="T92" s="1060">
        <f t="shared" si="52"/>
        <v>13856</v>
      </c>
      <c r="U92" s="1060">
        <f t="shared" si="52"/>
        <v>14706</v>
      </c>
      <c r="V92" s="1060">
        <f t="shared" si="52"/>
        <v>16126</v>
      </c>
      <c r="W92" s="1060">
        <f t="shared" si="52"/>
        <v>16275</v>
      </c>
      <c r="X92" s="1060">
        <f t="shared" si="52"/>
        <v>17826</v>
      </c>
      <c r="Y92" s="1060">
        <f t="shared" si="52"/>
        <v>17269</v>
      </c>
      <c r="Z92" s="1060">
        <f t="shared" si="52"/>
        <v>16513</v>
      </c>
      <c r="AA92" s="1060">
        <f t="shared" si="52"/>
        <v>14727</v>
      </c>
      <c r="AB92" s="1060">
        <f t="shared" si="52"/>
        <v>14246</v>
      </c>
      <c r="AC92" s="1060">
        <f t="shared" si="52"/>
        <v>13742</v>
      </c>
      <c r="AD92" s="1060">
        <f t="shared" si="52"/>
        <v>13895</v>
      </c>
      <c r="AE92" s="1060">
        <f>SUM(AE82:AE91)</f>
        <v>13871</v>
      </c>
      <c r="AF92" s="1060">
        <f t="shared" ref="AF92:AH92" si="53">SUM(AF82:AF91)</f>
        <v>13561</v>
      </c>
      <c r="AG92" s="1060">
        <f t="shared" si="53"/>
        <v>14115</v>
      </c>
      <c r="AH92" s="1060">
        <f t="shared" si="53"/>
        <v>14891.935950000001</v>
      </c>
      <c r="AJ92" s="1060" t="e">
        <f>#REF!</f>
        <v>#REF!</v>
      </c>
      <c r="AK92" s="1060">
        <f t="shared" si="47"/>
        <v>11687</v>
      </c>
      <c r="AL92" s="1060">
        <f t="shared" si="48"/>
        <v>17269</v>
      </c>
      <c r="AM92" s="1060">
        <f>+AG92</f>
        <v>14115</v>
      </c>
    </row>
    <row r="93" spans="1:39" x14ac:dyDescent="0.2">
      <c r="AJ93" s="1060"/>
      <c r="AK93" s="1060"/>
      <c r="AL93" s="1060"/>
      <c r="AM93" s="1060"/>
    </row>
    <row r="94" spans="1:39" x14ac:dyDescent="0.2">
      <c r="A94" s="1108" t="s">
        <v>857</v>
      </c>
      <c r="B94" s="1109">
        <v>6840</v>
      </c>
      <c r="C94" s="1109">
        <v>6856</v>
      </c>
      <c r="D94" s="1109">
        <v>6964</v>
      </c>
      <c r="E94" s="1110">
        <v>6981</v>
      </c>
      <c r="F94" s="1110">
        <v>7032</v>
      </c>
      <c r="G94" s="1110">
        <v>7086</v>
      </c>
      <c r="H94" s="1110">
        <v>8353</v>
      </c>
      <c r="I94" s="1110">
        <v>8378</v>
      </c>
      <c r="J94" s="1110">
        <v>9107</v>
      </c>
      <c r="K94" s="1110">
        <v>9253</v>
      </c>
      <c r="L94" s="1110">
        <v>9417</v>
      </c>
      <c r="M94" s="1110">
        <v>9537</v>
      </c>
      <c r="N94" s="1060">
        <v>9572</v>
      </c>
      <c r="O94" s="1060">
        <v>9645</v>
      </c>
      <c r="P94" s="1060">
        <v>9708</v>
      </c>
      <c r="Q94" s="1060">
        <v>10132</v>
      </c>
      <c r="R94" s="1060">
        <v>11083</v>
      </c>
      <c r="S94" s="1060">
        <v>11406</v>
      </c>
      <c r="T94" s="1060">
        <v>11181</v>
      </c>
      <c r="U94" s="1060">
        <v>12019</v>
      </c>
      <c r="V94" s="1060">
        <v>12344</v>
      </c>
      <c r="W94" s="1060">
        <v>12995</v>
      </c>
      <c r="X94" s="1060">
        <v>13073</v>
      </c>
      <c r="Y94" s="1060">
        <v>13561</v>
      </c>
      <c r="Z94" s="1060">
        <v>13606</v>
      </c>
      <c r="AA94" s="1060">
        <v>13680</v>
      </c>
      <c r="AB94" s="1060">
        <v>13772</v>
      </c>
      <c r="AC94" s="1060">
        <v>14093</v>
      </c>
      <c r="AD94" s="1060">
        <v>14362</v>
      </c>
      <c r="AE94" s="1060">
        <v>14782</v>
      </c>
      <c r="AF94" s="1060">
        <v>15037</v>
      </c>
      <c r="AG94" s="1060">
        <v>15236</v>
      </c>
      <c r="AH94" s="1060">
        <v>16509.04176</v>
      </c>
      <c r="AJ94" s="1060" t="e">
        <f>#REF!</f>
        <v>#REF!</v>
      </c>
      <c r="AK94" s="1060">
        <f t="shared" ref="AK94:AK98" si="54">M94</f>
        <v>9537</v>
      </c>
      <c r="AL94" s="1060">
        <f t="shared" ref="AL94:AL98" si="55">Y94</f>
        <v>13561</v>
      </c>
      <c r="AM94" s="1060">
        <f>+AG94</f>
        <v>15236</v>
      </c>
    </row>
    <row r="95" spans="1:39" x14ac:dyDescent="0.2">
      <c r="A95" s="1108" t="s">
        <v>273</v>
      </c>
      <c r="B95" s="1109">
        <v>-3729</v>
      </c>
      <c r="C95" s="1109">
        <v>-3792</v>
      </c>
      <c r="D95" s="1109">
        <v>-3856</v>
      </c>
      <c r="E95" s="1110">
        <v>-3919</v>
      </c>
      <c r="F95" s="1110">
        <v>-3983</v>
      </c>
      <c r="G95" s="1110">
        <v>-4046</v>
      </c>
      <c r="H95" s="1110">
        <v>-4110</v>
      </c>
      <c r="I95" s="1110">
        <v>-4173</v>
      </c>
      <c r="J95" s="1110">
        <v>-4237</v>
      </c>
      <c r="K95" s="1110">
        <v>-4300</v>
      </c>
      <c r="L95" s="1110">
        <v>-4364</v>
      </c>
      <c r="M95" s="1110">
        <v>-4316</v>
      </c>
      <c r="N95" s="1060">
        <v>-4380</v>
      </c>
      <c r="O95" s="1060">
        <v>-4443</v>
      </c>
      <c r="P95" s="1060">
        <v>-4507</v>
      </c>
      <c r="Q95" s="1060">
        <v>-4570</v>
      </c>
      <c r="R95" s="1060">
        <v>-4634</v>
      </c>
      <c r="S95" s="1060">
        <v>-4697</v>
      </c>
      <c r="T95" s="1060">
        <v>-4761</v>
      </c>
      <c r="U95" s="1060">
        <v>-4824</v>
      </c>
      <c r="V95" s="1060">
        <v>-4888</v>
      </c>
      <c r="W95" s="1060">
        <v>-4951</v>
      </c>
      <c r="X95" s="1060">
        <v>-5015</v>
      </c>
      <c r="Y95" s="1060">
        <v>-5598</v>
      </c>
      <c r="Z95" s="1060">
        <v>-5662</v>
      </c>
      <c r="AA95" s="1060">
        <v>-5725</v>
      </c>
      <c r="AB95" s="1060">
        <v>-5789</v>
      </c>
      <c r="AC95" s="1060">
        <v>-5852</v>
      </c>
      <c r="AD95" s="1060">
        <v>-5916</v>
      </c>
      <c r="AE95" s="1060">
        <v>-5979</v>
      </c>
      <c r="AF95" s="1060">
        <v>-6043</v>
      </c>
      <c r="AG95" s="1060">
        <v>-6106</v>
      </c>
      <c r="AH95" s="1060">
        <v>-6169.9210000000003</v>
      </c>
      <c r="AJ95" s="1060" t="e">
        <f>#REF!</f>
        <v>#REF!</v>
      </c>
      <c r="AK95" s="1060">
        <f t="shared" si="54"/>
        <v>-4316</v>
      </c>
      <c r="AL95" s="1060">
        <f t="shared" si="55"/>
        <v>-5598</v>
      </c>
      <c r="AM95" s="1060">
        <f>+AG95</f>
        <v>-6106</v>
      </c>
    </row>
    <row r="96" spans="1:39" x14ac:dyDescent="0.2">
      <c r="A96" s="1108" t="s">
        <v>274</v>
      </c>
      <c r="B96" s="1104">
        <v>47</v>
      </c>
      <c r="C96" s="1104">
        <v>47</v>
      </c>
      <c r="D96" s="1104">
        <v>47</v>
      </c>
      <c r="E96" s="1111">
        <v>47</v>
      </c>
      <c r="F96" s="1111">
        <v>47</v>
      </c>
      <c r="G96" s="1111">
        <v>47</v>
      </c>
      <c r="H96" s="1111">
        <v>47</v>
      </c>
      <c r="I96" s="1111">
        <v>47</v>
      </c>
      <c r="J96" s="1111">
        <v>47</v>
      </c>
      <c r="K96" s="1111">
        <v>47</v>
      </c>
      <c r="L96" s="1111">
        <v>47</v>
      </c>
      <c r="M96" s="1111">
        <v>47</v>
      </c>
      <c r="N96" s="1111">
        <v>47</v>
      </c>
      <c r="O96" s="1111">
        <v>47</v>
      </c>
      <c r="P96" s="1111">
        <v>47</v>
      </c>
      <c r="Q96" s="1111">
        <v>47</v>
      </c>
      <c r="R96" s="1104">
        <v>147</v>
      </c>
      <c r="S96" s="1104">
        <v>177</v>
      </c>
      <c r="T96" s="1104">
        <v>177</v>
      </c>
      <c r="U96" s="1104">
        <v>177</v>
      </c>
      <c r="V96" s="1104">
        <v>186</v>
      </c>
      <c r="W96" s="1104">
        <v>184</v>
      </c>
      <c r="X96" s="1104">
        <v>190</v>
      </c>
      <c r="Y96" s="1104">
        <v>174</v>
      </c>
      <c r="Z96" s="1104">
        <v>175</v>
      </c>
      <c r="AA96" s="1104">
        <v>185</v>
      </c>
      <c r="AB96" s="1104">
        <v>178</v>
      </c>
      <c r="AC96" s="1104">
        <v>183</v>
      </c>
      <c r="AD96" s="1104">
        <v>218</v>
      </c>
      <c r="AE96" s="1104">
        <v>217</v>
      </c>
      <c r="AF96" s="1104">
        <v>217</v>
      </c>
      <c r="AG96" s="1104">
        <v>206</v>
      </c>
      <c r="AH96" s="1104">
        <v>183.91507999999999</v>
      </c>
      <c r="AJ96" s="1104" t="e">
        <f>#REF!</f>
        <v>#REF!</v>
      </c>
      <c r="AK96" s="1104">
        <f t="shared" si="54"/>
        <v>47</v>
      </c>
      <c r="AL96" s="1104">
        <f t="shared" si="55"/>
        <v>174</v>
      </c>
      <c r="AM96" s="1060">
        <f>+AG96</f>
        <v>206</v>
      </c>
    </row>
    <row r="97" spans="1:39" x14ac:dyDescent="0.2">
      <c r="A97" s="1107" t="s">
        <v>858</v>
      </c>
      <c r="B97" s="1104">
        <f t="shared" ref="B97:AG97" si="56">SUM(B94:B96)</f>
        <v>3158</v>
      </c>
      <c r="C97" s="1104">
        <f t="shared" si="56"/>
        <v>3111</v>
      </c>
      <c r="D97" s="1104">
        <f t="shared" si="56"/>
        <v>3155</v>
      </c>
      <c r="E97" s="1104">
        <f t="shared" si="56"/>
        <v>3109</v>
      </c>
      <c r="F97" s="1104">
        <f t="shared" si="56"/>
        <v>3096</v>
      </c>
      <c r="G97" s="1104">
        <f t="shared" si="56"/>
        <v>3087</v>
      </c>
      <c r="H97" s="1104">
        <f t="shared" si="56"/>
        <v>4290</v>
      </c>
      <c r="I97" s="1104">
        <f t="shared" si="56"/>
        <v>4252</v>
      </c>
      <c r="J97" s="1104">
        <f t="shared" si="56"/>
        <v>4917</v>
      </c>
      <c r="K97" s="1104">
        <f t="shared" si="56"/>
        <v>5000</v>
      </c>
      <c r="L97" s="1104">
        <f t="shared" si="56"/>
        <v>5100</v>
      </c>
      <c r="M97" s="1104">
        <f t="shared" si="56"/>
        <v>5268</v>
      </c>
      <c r="N97" s="1104">
        <f t="shared" si="56"/>
        <v>5239</v>
      </c>
      <c r="O97" s="1104">
        <f t="shared" si="56"/>
        <v>5249</v>
      </c>
      <c r="P97" s="1104">
        <f t="shared" si="56"/>
        <v>5248</v>
      </c>
      <c r="Q97" s="1104">
        <f t="shared" si="56"/>
        <v>5609</v>
      </c>
      <c r="R97" s="1104">
        <f t="shared" si="56"/>
        <v>6596</v>
      </c>
      <c r="S97" s="1104">
        <f t="shared" si="56"/>
        <v>6886</v>
      </c>
      <c r="T97" s="1104">
        <f t="shared" si="56"/>
        <v>6597</v>
      </c>
      <c r="U97" s="1104">
        <f t="shared" si="56"/>
        <v>7372</v>
      </c>
      <c r="V97" s="1104">
        <f t="shared" si="56"/>
        <v>7642</v>
      </c>
      <c r="W97" s="1104">
        <f t="shared" si="56"/>
        <v>8228</v>
      </c>
      <c r="X97" s="1104">
        <f t="shared" si="56"/>
        <v>8248</v>
      </c>
      <c r="Y97" s="1104">
        <f>SUM(Y94:Y96)</f>
        <v>8137</v>
      </c>
      <c r="Z97" s="1104">
        <f t="shared" si="56"/>
        <v>8119</v>
      </c>
      <c r="AA97" s="1104">
        <f t="shared" si="56"/>
        <v>8140</v>
      </c>
      <c r="AB97" s="1104">
        <f t="shared" si="56"/>
        <v>8161</v>
      </c>
      <c r="AC97" s="1104">
        <f t="shared" si="56"/>
        <v>8424</v>
      </c>
      <c r="AD97" s="1104">
        <f t="shared" si="56"/>
        <v>8664</v>
      </c>
      <c r="AE97" s="1104">
        <f t="shared" si="56"/>
        <v>9020</v>
      </c>
      <c r="AF97" s="1104">
        <f t="shared" si="56"/>
        <v>9211</v>
      </c>
      <c r="AG97" s="1104">
        <f t="shared" si="56"/>
        <v>9336</v>
      </c>
      <c r="AH97" s="1104">
        <f t="shared" ref="AH97" si="57">SUM(AH94:AH96)</f>
        <v>10523.03584</v>
      </c>
      <c r="AJ97" s="1104" t="e">
        <f>#REF!</f>
        <v>#REF!</v>
      </c>
      <c r="AK97" s="1104">
        <f t="shared" si="54"/>
        <v>5268</v>
      </c>
      <c r="AL97" s="1104">
        <f t="shared" si="55"/>
        <v>8137</v>
      </c>
      <c r="AM97" s="1104">
        <f>+AG97</f>
        <v>9336</v>
      </c>
    </row>
    <row r="98" spans="1:39" x14ac:dyDescent="0.2">
      <c r="A98" s="1107" t="s">
        <v>1</v>
      </c>
      <c r="B98" s="1060">
        <f t="shared" ref="B98:AG98" si="58">B92+B97</f>
        <v>13471</v>
      </c>
      <c r="C98" s="1060">
        <f t="shared" si="58"/>
        <v>13690</v>
      </c>
      <c r="D98" s="1060">
        <f t="shared" si="58"/>
        <v>13501</v>
      </c>
      <c r="E98" s="1060">
        <f t="shared" si="58"/>
        <v>13480</v>
      </c>
      <c r="F98" s="1060">
        <f t="shared" si="58"/>
        <v>13977</v>
      </c>
      <c r="G98" s="1060">
        <f t="shared" si="58"/>
        <v>14534</v>
      </c>
      <c r="H98" s="1060">
        <f t="shared" si="58"/>
        <v>14865</v>
      </c>
      <c r="I98" s="1060">
        <f t="shared" si="58"/>
        <v>14952</v>
      </c>
      <c r="J98" s="1060">
        <f t="shared" si="58"/>
        <v>15316</v>
      </c>
      <c r="K98" s="1060">
        <f t="shared" si="58"/>
        <v>15761</v>
      </c>
      <c r="L98" s="1060">
        <f t="shared" si="58"/>
        <v>16777</v>
      </c>
      <c r="M98" s="1060">
        <f t="shared" si="58"/>
        <v>16955</v>
      </c>
      <c r="N98" s="1060">
        <f t="shared" si="58"/>
        <v>17243</v>
      </c>
      <c r="O98" s="1060">
        <f t="shared" si="58"/>
        <v>17892</v>
      </c>
      <c r="P98" s="1060">
        <f t="shared" si="58"/>
        <v>17889</v>
      </c>
      <c r="Q98" s="1060">
        <f t="shared" si="58"/>
        <v>17938</v>
      </c>
      <c r="R98" s="1060">
        <f t="shared" si="58"/>
        <v>19286</v>
      </c>
      <c r="S98" s="1060">
        <f t="shared" si="58"/>
        <v>20586</v>
      </c>
      <c r="T98" s="1060">
        <f t="shared" si="58"/>
        <v>20453</v>
      </c>
      <c r="U98" s="1060">
        <f t="shared" si="58"/>
        <v>22078</v>
      </c>
      <c r="V98" s="1060">
        <f t="shared" si="58"/>
        <v>23768</v>
      </c>
      <c r="W98" s="1060">
        <f t="shared" si="58"/>
        <v>24503</v>
      </c>
      <c r="X98" s="1060">
        <f t="shared" si="58"/>
        <v>26074</v>
      </c>
      <c r="Y98" s="1060">
        <f>Y92+Y97</f>
        <v>25406</v>
      </c>
      <c r="Z98" s="1060">
        <f t="shared" si="58"/>
        <v>24632</v>
      </c>
      <c r="AA98" s="1060">
        <f t="shared" si="58"/>
        <v>22867</v>
      </c>
      <c r="AB98" s="1060">
        <f t="shared" si="58"/>
        <v>22407</v>
      </c>
      <c r="AC98" s="1060">
        <f t="shared" si="58"/>
        <v>22166</v>
      </c>
      <c r="AD98" s="1060">
        <f t="shared" si="58"/>
        <v>22559</v>
      </c>
      <c r="AE98" s="1060">
        <f t="shared" si="58"/>
        <v>22891</v>
      </c>
      <c r="AF98" s="1060">
        <f t="shared" si="58"/>
        <v>22772</v>
      </c>
      <c r="AG98" s="1060">
        <f t="shared" si="58"/>
        <v>23451</v>
      </c>
      <c r="AH98" s="1060">
        <f t="shared" ref="AH98" si="59">AH92+AH97</f>
        <v>25414.971790000003</v>
      </c>
      <c r="AJ98" s="1060" t="e">
        <f>#REF!</f>
        <v>#REF!</v>
      </c>
      <c r="AK98" s="1060">
        <f t="shared" si="54"/>
        <v>16955</v>
      </c>
      <c r="AL98" s="1060">
        <f t="shared" si="55"/>
        <v>25406</v>
      </c>
      <c r="AM98" s="1060">
        <f>+AG98</f>
        <v>23451</v>
      </c>
    </row>
    <row r="99" spans="1:39" x14ac:dyDescent="0.2">
      <c r="AJ99" s="1060"/>
      <c r="AK99" s="1060"/>
      <c r="AL99" s="1060"/>
      <c r="AM99" s="1060"/>
    </row>
    <row r="100" spans="1:39" x14ac:dyDescent="0.2">
      <c r="A100" s="1108" t="s">
        <v>6</v>
      </c>
      <c r="B100" s="1112">
        <v>2632</v>
      </c>
      <c r="C100" s="1112">
        <v>2531</v>
      </c>
      <c r="D100" s="1112">
        <v>2108</v>
      </c>
      <c r="E100" s="1112">
        <v>1723</v>
      </c>
      <c r="F100" s="1112">
        <v>1697</v>
      </c>
      <c r="G100" s="1112">
        <v>1882</v>
      </c>
      <c r="H100" s="1112">
        <v>1927</v>
      </c>
      <c r="I100" s="1060">
        <v>1847</v>
      </c>
      <c r="J100" s="1060">
        <v>2124</v>
      </c>
      <c r="K100" s="1060">
        <v>2268</v>
      </c>
      <c r="L100" s="1060">
        <v>2634</v>
      </c>
      <c r="M100" s="1060">
        <v>3459</v>
      </c>
      <c r="N100" s="1060">
        <v>3042</v>
      </c>
      <c r="O100" s="1060">
        <v>2630</v>
      </c>
      <c r="P100" s="1060">
        <v>2585</v>
      </c>
      <c r="Q100" s="1060">
        <v>2713</v>
      </c>
      <c r="R100" s="1060">
        <v>3538</v>
      </c>
      <c r="S100" s="1060">
        <v>3584</v>
      </c>
      <c r="T100" s="1060">
        <v>3128</v>
      </c>
      <c r="U100" s="1060">
        <v>3194</v>
      </c>
      <c r="V100" s="1060">
        <v>4204</v>
      </c>
      <c r="W100" s="1060">
        <v>4381</v>
      </c>
      <c r="X100" s="1060">
        <v>5235</v>
      </c>
      <c r="Y100" s="1060">
        <v>5768</v>
      </c>
      <c r="Z100" s="1060">
        <v>4214</v>
      </c>
      <c r="AA100" s="1060">
        <v>3141</v>
      </c>
      <c r="AB100" s="1060">
        <v>2617</v>
      </c>
      <c r="AC100" s="1060">
        <v>2299</v>
      </c>
      <c r="AD100" s="1060">
        <v>2882</v>
      </c>
      <c r="AE100" s="1060">
        <v>3191</v>
      </c>
      <c r="AF100" s="1060">
        <v>3390</v>
      </c>
      <c r="AG100" s="1060">
        <v>3197</v>
      </c>
      <c r="AH100" s="1060">
        <v>3146.7298500000002</v>
      </c>
      <c r="AJ100" s="1060" t="e">
        <f>#REF!</f>
        <v>#REF!</v>
      </c>
      <c r="AK100" s="1060">
        <f t="shared" ref="AK100:AK108" si="60">M100</f>
        <v>3459</v>
      </c>
      <c r="AL100" s="1060">
        <f t="shared" ref="AL100:AL108" si="61">Y100</f>
        <v>5768</v>
      </c>
      <c r="AM100" s="1060">
        <f t="shared" ref="AM100:AM105" si="62">+AG100</f>
        <v>3197</v>
      </c>
    </row>
    <row r="101" spans="1:39" x14ac:dyDescent="0.2">
      <c r="A101" s="1108" t="s">
        <v>859</v>
      </c>
      <c r="B101" s="1060">
        <v>4754</v>
      </c>
      <c r="C101" s="1060">
        <v>4891</v>
      </c>
      <c r="D101" s="1060">
        <v>4455</v>
      </c>
      <c r="E101" s="1060">
        <v>4703</v>
      </c>
      <c r="F101" s="1060">
        <v>5192</v>
      </c>
      <c r="G101" s="1060">
        <v>5450</v>
      </c>
      <c r="H101" s="1060">
        <v>5764</v>
      </c>
      <c r="I101" s="1060">
        <v>4755</v>
      </c>
      <c r="J101" s="1060">
        <v>4784</v>
      </c>
      <c r="K101" s="1060">
        <v>5096</v>
      </c>
      <c r="L101" s="1060">
        <v>5528</v>
      </c>
      <c r="M101" s="1060">
        <v>4927</v>
      </c>
      <c r="N101" s="1060">
        <v>5260</v>
      </c>
      <c r="O101" s="1060">
        <v>6339</v>
      </c>
      <c r="P101" s="1060">
        <v>6191</v>
      </c>
      <c r="Q101" s="1060">
        <v>6076</v>
      </c>
      <c r="R101" s="1060">
        <v>6495</v>
      </c>
      <c r="S101" s="1060">
        <v>6908</v>
      </c>
      <c r="T101" s="1060">
        <v>6097</v>
      </c>
      <c r="U101" s="1060">
        <v>6873</v>
      </c>
      <c r="V101" s="1060">
        <v>7868</v>
      </c>
      <c r="W101" s="1060">
        <v>8204</v>
      </c>
      <c r="X101" s="1060">
        <v>8376</v>
      </c>
      <c r="Y101" s="1060">
        <v>7376</v>
      </c>
      <c r="Z101" s="1060">
        <v>8228</v>
      </c>
      <c r="AA101" s="1060">
        <v>7645</v>
      </c>
      <c r="AB101" s="1060">
        <v>7939</v>
      </c>
      <c r="AC101" s="1060">
        <v>7966</v>
      </c>
      <c r="AD101" s="1060">
        <v>8066</v>
      </c>
      <c r="AE101" s="1060">
        <v>7997</v>
      </c>
      <c r="AF101" s="1060">
        <v>7701</v>
      </c>
      <c r="AG101" s="1060">
        <v>7615</v>
      </c>
      <c r="AH101" s="1060">
        <v>8290.3060299999997</v>
      </c>
      <c r="AJ101" s="1060" t="e">
        <f>#REF!</f>
        <v>#REF!</v>
      </c>
      <c r="AK101" s="1060">
        <f t="shared" si="60"/>
        <v>4927</v>
      </c>
      <c r="AL101" s="1060">
        <f t="shared" si="61"/>
        <v>7376</v>
      </c>
      <c r="AM101" s="1060">
        <f t="shared" si="62"/>
        <v>7615</v>
      </c>
    </row>
    <row r="102" spans="1:39" x14ac:dyDescent="0.2">
      <c r="A102" s="1108" t="s">
        <v>860</v>
      </c>
      <c r="B102" s="1060">
        <v>166</v>
      </c>
      <c r="C102" s="1060">
        <v>154</v>
      </c>
      <c r="D102" s="1060">
        <v>178</v>
      </c>
      <c r="E102" s="1060">
        <v>202</v>
      </c>
      <c r="F102" s="1060">
        <v>136</v>
      </c>
      <c r="G102" s="1060">
        <v>110</v>
      </c>
      <c r="H102" s="1060">
        <v>119</v>
      </c>
      <c r="I102" s="1060">
        <v>180</v>
      </c>
      <c r="J102" s="1060">
        <v>198</v>
      </c>
      <c r="K102" s="1060">
        <v>210</v>
      </c>
      <c r="L102" s="1060">
        <v>187</v>
      </c>
      <c r="M102" s="1060">
        <v>195</v>
      </c>
      <c r="N102" s="1060">
        <v>235</v>
      </c>
      <c r="O102" s="1060">
        <v>199</v>
      </c>
      <c r="P102" s="1060">
        <v>231</v>
      </c>
      <c r="Q102" s="1060">
        <v>242</v>
      </c>
      <c r="R102" s="1060">
        <v>170</v>
      </c>
      <c r="S102" s="1060">
        <v>143</v>
      </c>
      <c r="T102" s="1060">
        <v>159</v>
      </c>
      <c r="U102" s="1060">
        <v>222</v>
      </c>
      <c r="V102" s="1060">
        <v>270</v>
      </c>
      <c r="W102" s="1060">
        <v>179</v>
      </c>
      <c r="X102" s="1060">
        <v>278</v>
      </c>
      <c r="Y102" s="1060">
        <v>445</v>
      </c>
      <c r="Z102" s="1060">
        <v>353</v>
      </c>
      <c r="AA102" s="1060">
        <v>290</v>
      </c>
      <c r="AB102" s="1060">
        <v>291</v>
      </c>
      <c r="AC102" s="1060">
        <v>315</v>
      </c>
      <c r="AD102" s="1060">
        <v>260</v>
      </c>
      <c r="AE102" s="1060">
        <f>287-15</f>
        <v>272</v>
      </c>
      <c r="AF102" s="1060">
        <v>283</v>
      </c>
      <c r="AG102" s="1060">
        <v>330</v>
      </c>
      <c r="AH102" s="1060">
        <v>411.68815000000001</v>
      </c>
      <c r="AJ102" s="1060" t="e">
        <f>#REF!</f>
        <v>#REF!</v>
      </c>
      <c r="AK102" s="1060">
        <f t="shared" si="60"/>
        <v>195</v>
      </c>
      <c r="AL102" s="1060">
        <f t="shared" si="61"/>
        <v>445</v>
      </c>
      <c r="AM102" s="1060">
        <f t="shared" si="62"/>
        <v>330</v>
      </c>
    </row>
    <row r="103" spans="1:39" x14ac:dyDescent="0.2">
      <c r="A103" s="1099" t="s">
        <v>861</v>
      </c>
      <c r="B103" s="1060">
        <v>12</v>
      </c>
      <c r="C103" s="1060">
        <v>23</v>
      </c>
      <c r="D103" s="1060">
        <v>34</v>
      </c>
      <c r="E103" s="1060">
        <v>11</v>
      </c>
      <c r="F103" s="1060">
        <v>55</v>
      </c>
      <c r="G103" s="1060">
        <v>67</v>
      </c>
      <c r="H103" s="1060">
        <v>8</v>
      </c>
      <c r="I103" s="1060">
        <v>14</v>
      </c>
      <c r="J103" s="1060">
        <v>20</v>
      </c>
      <c r="K103" s="1060">
        <v>7</v>
      </c>
      <c r="L103" s="1060">
        <v>66</v>
      </c>
      <c r="M103" s="1060">
        <v>136</v>
      </c>
      <c r="N103" s="1060">
        <v>9</v>
      </c>
      <c r="O103" s="1060">
        <v>16</v>
      </c>
      <c r="P103" s="1060">
        <v>23</v>
      </c>
      <c r="Q103" s="1060">
        <v>7</v>
      </c>
      <c r="R103" s="1060">
        <v>57</v>
      </c>
      <c r="S103" s="1060">
        <v>68</v>
      </c>
      <c r="T103" s="1060">
        <v>6</v>
      </c>
      <c r="U103" s="1060">
        <v>11</v>
      </c>
      <c r="V103" s="1060">
        <v>13</v>
      </c>
      <c r="W103" s="1060">
        <v>42</v>
      </c>
      <c r="X103" s="1060">
        <v>80</v>
      </c>
      <c r="Y103" s="1060">
        <v>23</v>
      </c>
      <c r="Z103" s="1060">
        <v>11</v>
      </c>
      <c r="AA103" s="1060">
        <v>16</v>
      </c>
      <c r="AB103" s="1060">
        <v>21</v>
      </c>
      <c r="AC103" s="1060">
        <v>5</v>
      </c>
      <c r="AD103" s="1060">
        <v>51</v>
      </c>
      <c r="AE103" s="1060">
        <v>52</v>
      </c>
      <c r="AF103" s="1060">
        <v>4</v>
      </c>
      <c r="AG103" s="1060">
        <v>6</v>
      </c>
      <c r="AH103" s="1060">
        <v>10.076829999999999</v>
      </c>
      <c r="AJ103" s="1060" t="e">
        <f>#REF!</f>
        <v>#REF!</v>
      </c>
      <c r="AK103" s="1060">
        <f t="shared" si="60"/>
        <v>136</v>
      </c>
      <c r="AL103" s="1060">
        <f t="shared" si="61"/>
        <v>23</v>
      </c>
      <c r="AM103" s="1060">
        <f t="shared" si="62"/>
        <v>6</v>
      </c>
    </row>
    <row r="104" spans="1:39" x14ac:dyDescent="0.2">
      <c r="A104" s="1108" t="s">
        <v>862</v>
      </c>
      <c r="B104" s="1060">
        <v>55</v>
      </c>
      <c r="C104" s="1060">
        <v>179</v>
      </c>
      <c r="D104" s="1060">
        <v>330</v>
      </c>
      <c r="E104" s="1060">
        <v>365</v>
      </c>
      <c r="F104" s="1060">
        <v>299</v>
      </c>
      <c r="G104" s="1060">
        <v>278</v>
      </c>
      <c r="H104" s="1060">
        <v>315</v>
      </c>
      <c r="I104" s="1060">
        <v>358</v>
      </c>
      <c r="J104" s="1060">
        <v>318</v>
      </c>
      <c r="K104" s="1060">
        <v>114</v>
      </c>
      <c r="L104" s="1060">
        <v>65</v>
      </c>
      <c r="M104" s="1060">
        <v>44</v>
      </c>
      <c r="N104" s="1060">
        <v>396</v>
      </c>
      <c r="O104" s="1060">
        <v>346</v>
      </c>
      <c r="P104" s="1060">
        <v>364</v>
      </c>
      <c r="Q104" s="1060">
        <v>330</v>
      </c>
      <c r="R104" s="1060">
        <v>330</v>
      </c>
      <c r="S104" s="1060">
        <v>407</v>
      </c>
      <c r="T104" s="1060">
        <v>528</v>
      </c>
      <c r="U104" s="1060">
        <v>759</v>
      </c>
      <c r="V104" s="1060">
        <v>442</v>
      </c>
      <c r="W104" s="1060">
        <v>509</v>
      </c>
      <c r="X104" s="1060">
        <v>571</v>
      </c>
      <c r="Y104" s="1060">
        <v>66</v>
      </c>
      <c r="Z104" s="1060">
        <v>-25</v>
      </c>
      <c r="AA104" s="1060">
        <v>-61</v>
      </c>
      <c r="AB104" s="1060">
        <v>-81</v>
      </c>
      <c r="AC104" s="1060">
        <v>-101</v>
      </c>
      <c r="AD104" s="1060">
        <v>-116</v>
      </c>
      <c r="AE104" s="1060">
        <v>-176</v>
      </c>
      <c r="AF104" s="1060">
        <v>-186</v>
      </c>
      <c r="AG104" s="1060">
        <v>-155</v>
      </c>
      <c r="AH104" s="1060">
        <v>-15.43694</v>
      </c>
      <c r="AJ104" s="1060" t="e">
        <f>#REF!</f>
        <v>#REF!</v>
      </c>
      <c r="AK104" s="1060">
        <f t="shared" si="60"/>
        <v>44</v>
      </c>
      <c r="AL104" s="1060">
        <f t="shared" si="61"/>
        <v>66</v>
      </c>
      <c r="AM104" s="1060">
        <f t="shared" si="62"/>
        <v>-155</v>
      </c>
    </row>
    <row r="105" spans="1:39" x14ac:dyDescent="0.2">
      <c r="A105" s="1108" t="s">
        <v>863</v>
      </c>
      <c r="B105" s="1060">
        <v>3</v>
      </c>
      <c r="C105" s="1060">
        <v>3</v>
      </c>
      <c r="D105" s="1060">
        <v>3</v>
      </c>
      <c r="E105" s="1060">
        <v>3</v>
      </c>
      <c r="F105" s="1060">
        <v>3</v>
      </c>
      <c r="G105" s="1060">
        <v>3</v>
      </c>
      <c r="H105" s="1060">
        <v>3</v>
      </c>
      <c r="I105" s="1060">
        <v>3</v>
      </c>
      <c r="J105" s="1060">
        <v>7</v>
      </c>
      <c r="K105" s="1060">
        <v>3</v>
      </c>
      <c r="L105" s="1060">
        <v>5</v>
      </c>
      <c r="M105" s="1060">
        <v>3</v>
      </c>
      <c r="N105" s="1060">
        <v>3</v>
      </c>
      <c r="O105" s="1060">
        <v>3</v>
      </c>
      <c r="P105" s="1060">
        <v>4</v>
      </c>
      <c r="Q105" s="1060">
        <v>4</v>
      </c>
      <c r="R105" s="1060">
        <v>9</v>
      </c>
      <c r="S105" s="1060">
        <v>3</v>
      </c>
      <c r="T105" s="1060">
        <v>3</v>
      </c>
      <c r="U105" s="1060">
        <v>3</v>
      </c>
      <c r="V105" s="1060">
        <v>3</v>
      </c>
      <c r="W105" s="1060">
        <v>5</v>
      </c>
      <c r="X105" s="1060">
        <v>3</v>
      </c>
      <c r="Y105" s="1060">
        <v>3</v>
      </c>
      <c r="Z105" s="1060">
        <v>3</v>
      </c>
      <c r="AA105" s="1060">
        <v>3</v>
      </c>
      <c r="AB105" s="1060">
        <v>3</v>
      </c>
      <c r="AC105" s="1060">
        <v>2</v>
      </c>
      <c r="AD105" s="1060">
        <v>2</v>
      </c>
      <c r="AE105" s="1060">
        <v>2</v>
      </c>
      <c r="AF105" s="1060">
        <v>2</v>
      </c>
      <c r="AG105" s="1060">
        <v>2</v>
      </c>
      <c r="AH105" s="1060">
        <v>0.76594000000000007</v>
      </c>
      <c r="AJ105" s="1060" t="e">
        <f>#REF!</f>
        <v>#REF!</v>
      </c>
      <c r="AK105" s="1060">
        <f t="shared" si="60"/>
        <v>3</v>
      </c>
      <c r="AL105" s="1060">
        <f t="shared" si="61"/>
        <v>3</v>
      </c>
      <c r="AM105" s="1060">
        <f t="shared" si="62"/>
        <v>2</v>
      </c>
    </row>
    <row r="106" spans="1:39" hidden="1" x14ac:dyDescent="0.2">
      <c r="A106" s="1108" t="s">
        <v>864</v>
      </c>
      <c r="AJ106" s="1060" t="e">
        <f>#REF!</f>
        <v>#REF!</v>
      </c>
      <c r="AK106" s="1060">
        <f t="shared" si="60"/>
        <v>0</v>
      </c>
      <c r="AL106" s="1060">
        <f t="shared" si="61"/>
        <v>0</v>
      </c>
      <c r="AM106" s="1060">
        <f t="shared" ref="AM106:AM107" si="63">AE106</f>
        <v>0</v>
      </c>
    </row>
    <row r="107" spans="1:39" hidden="1" x14ac:dyDescent="0.2">
      <c r="A107" s="1099" t="s">
        <v>865</v>
      </c>
      <c r="B107" s="1104"/>
      <c r="C107" s="1104"/>
      <c r="D107" s="1104"/>
      <c r="E107" s="1104"/>
      <c r="F107" s="1104"/>
      <c r="G107" s="1104"/>
      <c r="H107" s="1104"/>
      <c r="I107" s="1104"/>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062"/>
      <c r="AG107" s="1062"/>
      <c r="AH107" s="1062"/>
      <c r="AJ107" s="1104" t="e">
        <f>#REF!</f>
        <v>#REF!</v>
      </c>
      <c r="AK107" s="1104">
        <f t="shared" si="60"/>
        <v>0</v>
      </c>
      <c r="AL107" s="1104">
        <f t="shared" si="61"/>
        <v>0</v>
      </c>
      <c r="AM107" s="1104">
        <f t="shared" si="63"/>
        <v>0</v>
      </c>
    </row>
    <row r="108" spans="1:39" x14ac:dyDescent="0.2">
      <c r="A108" s="1107" t="s">
        <v>372</v>
      </c>
      <c r="B108" s="1113">
        <f t="shared" ref="B108:X108" si="64">SUM(B100:B107)</f>
        <v>7622</v>
      </c>
      <c r="C108" s="1113">
        <f t="shared" si="64"/>
        <v>7781</v>
      </c>
      <c r="D108" s="1113">
        <f t="shared" si="64"/>
        <v>7108</v>
      </c>
      <c r="E108" s="1113">
        <f t="shared" si="64"/>
        <v>7007</v>
      </c>
      <c r="F108" s="1113">
        <f t="shared" si="64"/>
        <v>7382</v>
      </c>
      <c r="G108" s="1113">
        <f t="shared" si="64"/>
        <v>7790</v>
      </c>
      <c r="H108" s="1113">
        <f t="shared" si="64"/>
        <v>8136</v>
      </c>
      <c r="I108" s="1113">
        <f t="shared" si="64"/>
        <v>7157</v>
      </c>
      <c r="J108" s="1113">
        <f t="shared" si="64"/>
        <v>7451</v>
      </c>
      <c r="K108" s="1113">
        <f t="shared" si="64"/>
        <v>7698</v>
      </c>
      <c r="L108" s="1113">
        <f t="shared" si="64"/>
        <v>8485</v>
      </c>
      <c r="M108" s="1113">
        <f t="shared" si="64"/>
        <v>8764</v>
      </c>
      <c r="N108" s="1113">
        <f t="shared" si="64"/>
        <v>8945</v>
      </c>
      <c r="O108" s="1113">
        <f t="shared" si="64"/>
        <v>9533</v>
      </c>
      <c r="P108" s="1113">
        <f t="shared" si="64"/>
        <v>9398</v>
      </c>
      <c r="Q108" s="1113">
        <f t="shared" si="64"/>
        <v>9372</v>
      </c>
      <c r="R108" s="1113">
        <f t="shared" si="64"/>
        <v>10599</v>
      </c>
      <c r="S108" s="1113">
        <f t="shared" si="64"/>
        <v>11113</v>
      </c>
      <c r="T108" s="1113">
        <f t="shared" si="64"/>
        <v>9921</v>
      </c>
      <c r="U108" s="1113">
        <f t="shared" si="64"/>
        <v>11062</v>
      </c>
      <c r="V108" s="1113">
        <f t="shared" si="64"/>
        <v>12800</v>
      </c>
      <c r="W108" s="1113">
        <f t="shared" si="64"/>
        <v>13320</v>
      </c>
      <c r="X108" s="1113">
        <f t="shared" si="64"/>
        <v>14543</v>
      </c>
      <c r="Y108" s="1113">
        <f>SUM(Y100:Y107)</f>
        <v>13681</v>
      </c>
      <c r="Z108" s="1113">
        <f t="shared" ref="Z108:AF108" si="65">SUM(Z100:Z107)</f>
        <v>12784</v>
      </c>
      <c r="AA108" s="1113">
        <f t="shared" si="65"/>
        <v>11034</v>
      </c>
      <c r="AB108" s="1113">
        <f t="shared" si="65"/>
        <v>10790</v>
      </c>
      <c r="AC108" s="1113">
        <f t="shared" si="65"/>
        <v>10486</v>
      </c>
      <c r="AD108" s="1113">
        <f t="shared" si="65"/>
        <v>11145</v>
      </c>
      <c r="AE108" s="1113">
        <f t="shared" si="65"/>
        <v>11338</v>
      </c>
      <c r="AF108" s="1113">
        <f t="shared" si="65"/>
        <v>11194</v>
      </c>
      <c r="AG108" s="1113">
        <f>SUM(AG100:AG107)</f>
        <v>10995</v>
      </c>
      <c r="AH108" s="1113">
        <f>SUM(AH100:AH107)</f>
        <v>11844.129859999999</v>
      </c>
      <c r="AJ108" s="1060" t="e">
        <f>#REF!</f>
        <v>#REF!</v>
      </c>
      <c r="AK108" s="1113">
        <f t="shared" si="60"/>
        <v>8764</v>
      </c>
      <c r="AL108" s="1113">
        <f t="shared" si="61"/>
        <v>13681</v>
      </c>
      <c r="AM108" s="1113">
        <f>+AG108</f>
        <v>10995</v>
      </c>
    </row>
    <row r="109" spans="1:39" x14ac:dyDescent="0.2">
      <c r="AJ109" s="1060"/>
      <c r="AK109" s="1060"/>
      <c r="AL109" s="1060"/>
      <c r="AM109" s="1060"/>
    </row>
    <row r="110" spans="1:39" x14ac:dyDescent="0.2">
      <c r="A110" s="1108" t="s">
        <v>658</v>
      </c>
      <c r="B110" s="1060">
        <v>817</v>
      </c>
      <c r="C110" s="1060">
        <v>787</v>
      </c>
      <c r="D110" s="1060">
        <v>1078</v>
      </c>
      <c r="E110" s="1060">
        <v>1055</v>
      </c>
      <c r="F110" s="1060">
        <v>1033</v>
      </c>
      <c r="G110" s="1060">
        <v>1011</v>
      </c>
      <c r="H110" s="1060">
        <v>988</v>
      </c>
      <c r="I110" s="1060">
        <v>1974</v>
      </c>
      <c r="J110" s="1060">
        <v>1923</v>
      </c>
      <c r="K110" s="1060">
        <v>1873</v>
      </c>
      <c r="L110" s="1060">
        <v>1822</v>
      </c>
      <c r="M110" s="1060">
        <v>1772</v>
      </c>
      <c r="N110" s="1060">
        <v>1721</v>
      </c>
      <c r="O110" s="1060">
        <v>1675</v>
      </c>
      <c r="P110" s="1060">
        <v>1628</v>
      </c>
      <c r="Q110" s="1060">
        <v>1581</v>
      </c>
      <c r="R110" s="1060">
        <v>1535</v>
      </c>
      <c r="S110" s="1060">
        <v>2235</v>
      </c>
      <c r="T110" s="1060">
        <v>3187</v>
      </c>
      <c r="U110" s="1060">
        <v>3506</v>
      </c>
      <c r="V110" s="1060">
        <v>3290</v>
      </c>
      <c r="W110" s="1060">
        <v>3298</v>
      </c>
      <c r="X110" s="1060">
        <v>3078</v>
      </c>
      <c r="Y110" s="1060">
        <v>3133</v>
      </c>
      <c r="Z110" s="1060">
        <v>3034</v>
      </c>
      <c r="AA110" s="1060">
        <v>2936</v>
      </c>
      <c r="AB110" s="1060">
        <v>2587</v>
      </c>
      <c r="AC110" s="1060">
        <v>2489</v>
      </c>
      <c r="AD110" s="1060">
        <v>2390</v>
      </c>
      <c r="AE110" s="1060">
        <v>2444</v>
      </c>
      <c r="AF110" s="1060">
        <v>2346</v>
      </c>
      <c r="AG110" s="1060">
        <v>2997</v>
      </c>
      <c r="AH110" s="1060">
        <v>3701.74532</v>
      </c>
      <c r="AJ110" s="1060" t="e">
        <f>#REF!</f>
        <v>#REF!</v>
      </c>
      <c r="AK110" s="1060">
        <f t="shared" ref="AK110:AK113" si="66">M110</f>
        <v>1772</v>
      </c>
      <c r="AL110" s="1060">
        <f t="shared" ref="AL110:AL113" si="67">Y110</f>
        <v>3133</v>
      </c>
      <c r="AM110" s="1060">
        <f>+AG110</f>
        <v>2997</v>
      </c>
    </row>
    <row r="111" spans="1:39" x14ac:dyDescent="0.2">
      <c r="A111" s="1108" t="s">
        <v>412</v>
      </c>
      <c r="B111" s="1104">
        <v>667</v>
      </c>
      <c r="C111" s="1104">
        <v>667</v>
      </c>
      <c r="D111" s="1104">
        <v>667</v>
      </c>
      <c r="E111" s="1104">
        <v>667</v>
      </c>
      <c r="F111" s="1104">
        <v>667</v>
      </c>
      <c r="G111" s="1104">
        <v>667</v>
      </c>
      <c r="H111" s="1104">
        <v>667</v>
      </c>
      <c r="I111" s="1104">
        <v>667</v>
      </c>
      <c r="J111" s="1104">
        <v>667</v>
      </c>
      <c r="K111" s="1104">
        <v>667</v>
      </c>
      <c r="L111" s="1104">
        <v>667</v>
      </c>
      <c r="M111" s="1104">
        <v>1422</v>
      </c>
      <c r="N111" s="1104">
        <v>1422</v>
      </c>
      <c r="O111" s="1104">
        <v>1422</v>
      </c>
      <c r="P111" s="1104">
        <v>1422</v>
      </c>
      <c r="Q111" s="1104">
        <v>1422</v>
      </c>
      <c r="R111" s="1104">
        <v>1422</v>
      </c>
      <c r="S111" s="1104">
        <v>1422</v>
      </c>
      <c r="T111" s="1104">
        <v>1422</v>
      </c>
      <c r="U111" s="1104">
        <v>1422</v>
      </c>
      <c r="V111" s="1104">
        <v>1422</v>
      </c>
      <c r="W111" s="1104">
        <v>1422</v>
      </c>
      <c r="X111" s="1104">
        <v>1422</v>
      </c>
      <c r="Y111" s="1104">
        <v>2094</v>
      </c>
      <c r="Z111" s="1104">
        <v>2094</v>
      </c>
      <c r="AA111" s="1104">
        <v>2094</v>
      </c>
      <c r="AB111" s="1104">
        <v>2094</v>
      </c>
      <c r="AC111" s="1104">
        <v>2094</v>
      </c>
      <c r="AD111" s="1104">
        <v>2094</v>
      </c>
      <c r="AE111" s="1104">
        <v>2094</v>
      </c>
      <c r="AF111" s="1062">
        <v>2094</v>
      </c>
      <c r="AG111" s="1062">
        <v>2094</v>
      </c>
      <c r="AH111" s="1062">
        <v>2094.299</v>
      </c>
      <c r="AJ111" s="1104" t="e">
        <f>#REF!</f>
        <v>#REF!</v>
      </c>
      <c r="AK111" s="1104">
        <f t="shared" si="66"/>
        <v>1422</v>
      </c>
      <c r="AL111" s="1104">
        <f t="shared" si="67"/>
        <v>2094</v>
      </c>
      <c r="AM111" s="1060">
        <f>+AG111</f>
        <v>2094</v>
      </c>
    </row>
    <row r="112" spans="1:39" x14ac:dyDescent="0.2">
      <c r="A112" s="1107" t="s">
        <v>866</v>
      </c>
      <c r="B112" s="1114">
        <f t="shared" ref="B112:AG112" si="68">SUM(B110:B111)</f>
        <v>1484</v>
      </c>
      <c r="C112" s="1114">
        <f t="shared" si="68"/>
        <v>1454</v>
      </c>
      <c r="D112" s="1114">
        <f t="shared" si="68"/>
        <v>1745</v>
      </c>
      <c r="E112" s="1114">
        <f t="shared" si="68"/>
        <v>1722</v>
      </c>
      <c r="F112" s="1114">
        <f t="shared" si="68"/>
        <v>1700</v>
      </c>
      <c r="G112" s="1114">
        <f t="shared" si="68"/>
        <v>1678</v>
      </c>
      <c r="H112" s="1114">
        <f t="shared" si="68"/>
        <v>1655</v>
      </c>
      <c r="I112" s="1114">
        <f t="shared" si="68"/>
        <v>2641</v>
      </c>
      <c r="J112" s="1114">
        <f t="shared" si="68"/>
        <v>2590</v>
      </c>
      <c r="K112" s="1114">
        <f t="shared" si="68"/>
        <v>2540</v>
      </c>
      <c r="L112" s="1114">
        <f t="shared" si="68"/>
        <v>2489</v>
      </c>
      <c r="M112" s="1114">
        <f t="shared" si="68"/>
        <v>3194</v>
      </c>
      <c r="N112" s="1114">
        <f t="shared" si="68"/>
        <v>3143</v>
      </c>
      <c r="O112" s="1114">
        <f t="shared" si="68"/>
        <v>3097</v>
      </c>
      <c r="P112" s="1114">
        <f t="shared" si="68"/>
        <v>3050</v>
      </c>
      <c r="Q112" s="1114">
        <f t="shared" si="68"/>
        <v>3003</v>
      </c>
      <c r="R112" s="1114">
        <f t="shared" si="68"/>
        <v>2957</v>
      </c>
      <c r="S112" s="1114">
        <f t="shared" si="68"/>
        <v>3657</v>
      </c>
      <c r="T112" s="1114">
        <f t="shared" si="68"/>
        <v>4609</v>
      </c>
      <c r="U112" s="1114">
        <f t="shared" si="68"/>
        <v>4928</v>
      </c>
      <c r="V112" s="1114">
        <f t="shared" si="68"/>
        <v>4712</v>
      </c>
      <c r="W112" s="1114">
        <f t="shared" si="68"/>
        <v>4720</v>
      </c>
      <c r="X112" s="1114">
        <f t="shared" si="68"/>
        <v>4500</v>
      </c>
      <c r="Y112" s="1114">
        <f t="shared" si="68"/>
        <v>5227</v>
      </c>
      <c r="Z112" s="1114">
        <f t="shared" si="68"/>
        <v>5128</v>
      </c>
      <c r="AA112" s="1114">
        <f>SUM(AA110:AA111)</f>
        <v>5030</v>
      </c>
      <c r="AB112" s="1114">
        <f t="shared" si="68"/>
        <v>4681</v>
      </c>
      <c r="AC112" s="1114">
        <f t="shared" si="68"/>
        <v>4583</v>
      </c>
      <c r="AD112" s="1114">
        <f t="shared" si="68"/>
        <v>4484</v>
      </c>
      <c r="AE112" s="1114">
        <f t="shared" si="68"/>
        <v>4538</v>
      </c>
      <c r="AF112" s="1114">
        <f t="shared" si="68"/>
        <v>4440</v>
      </c>
      <c r="AG112" s="1114">
        <f t="shared" si="68"/>
        <v>5091</v>
      </c>
      <c r="AH112" s="1114">
        <f t="shared" ref="AH112" si="69">SUM(AH110:AH111)</f>
        <v>5796.04432</v>
      </c>
      <c r="AJ112" s="1114" t="e">
        <f>#REF!</f>
        <v>#REF!</v>
      </c>
      <c r="AK112" s="1114">
        <f t="shared" si="66"/>
        <v>3194</v>
      </c>
      <c r="AL112" s="1114">
        <f t="shared" si="67"/>
        <v>5227</v>
      </c>
      <c r="AM112" s="1114">
        <f>+AG112</f>
        <v>5091</v>
      </c>
    </row>
    <row r="113" spans="1:39" x14ac:dyDescent="0.2">
      <c r="A113" s="1107" t="s">
        <v>2</v>
      </c>
      <c r="B113" s="1060">
        <f t="shared" ref="B113:X113" si="70">SUM(B112,B108)</f>
        <v>9106</v>
      </c>
      <c r="C113" s="1060">
        <f t="shared" si="70"/>
        <v>9235</v>
      </c>
      <c r="D113" s="1060">
        <f t="shared" si="70"/>
        <v>8853</v>
      </c>
      <c r="E113" s="1060">
        <f t="shared" si="70"/>
        <v>8729</v>
      </c>
      <c r="F113" s="1060">
        <f t="shared" si="70"/>
        <v>9082</v>
      </c>
      <c r="G113" s="1060">
        <f t="shared" si="70"/>
        <v>9468</v>
      </c>
      <c r="H113" s="1060">
        <f t="shared" si="70"/>
        <v>9791</v>
      </c>
      <c r="I113" s="1060">
        <f t="shared" si="70"/>
        <v>9798</v>
      </c>
      <c r="J113" s="1060">
        <f t="shared" si="70"/>
        <v>10041</v>
      </c>
      <c r="K113" s="1060">
        <f t="shared" si="70"/>
        <v>10238</v>
      </c>
      <c r="L113" s="1060">
        <f t="shared" si="70"/>
        <v>10974</v>
      </c>
      <c r="M113" s="1060">
        <f t="shared" si="70"/>
        <v>11958</v>
      </c>
      <c r="N113" s="1060">
        <f t="shared" si="70"/>
        <v>12088</v>
      </c>
      <c r="O113" s="1060">
        <f t="shared" si="70"/>
        <v>12630</v>
      </c>
      <c r="P113" s="1060">
        <f t="shared" si="70"/>
        <v>12448</v>
      </c>
      <c r="Q113" s="1060">
        <f t="shared" si="70"/>
        <v>12375</v>
      </c>
      <c r="R113" s="1060">
        <f t="shared" si="70"/>
        <v>13556</v>
      </c>
      <c r="S113" s="1060">
        <f t="shared" si="70"/>
        <v>14770</v>
      </c>
      <c r="T113" s="1060">
        <f t="shared" si="70"/>
        <v>14530</v>
      </c>
      <c r="U113" s="1060">
        <f t="shared" si="70"/>
        <v>15990</v>
      </c>
      <c r="V113" s="1060">
        <f t="shared" si="70"/>
        <v>17512</v>
      </c>
      <c r="W113" s="1060">
        <f t="shared" si="70"/>
        <v>18040</v>
      </c>
      <c r="X113" s="1060">
        <f t="shared" si="70"/>
        <v>19043</v>
      </c>
      <c r="Y113" s="1060">
        <f>SUM(Y112,Y108)</f>
        <v>18908</v>
      </c>
      <c r="Z113" s="1060">
        <f t="shared" ref="Z113:AG113" si="71">SUM(Z112,Z108)</f>
        <v>17912</v>
      </c>
      <c r="AA113" s="1060">
        <f t="shared" si="71"/>
        <v>16064</v>
      </c>
      <c r="AB113" s="1060">
        <f t="shared" si="71"/>
        <v>15471</v>
      </c>
      <c r="AC113" s="1060">
        <f t="shared" si="71"/>
        <v>15069</v>
      </c>
      <c r="AD113" s="1060">
        <f t="shared" si="71"/>
        <v>15629</v>
      </c>
      <c r="AE113" s="1060">
        <f t="shared" si="71"/>
        <v>15876</v>
      </c>
      <c r="AF113" s="1060">
        <f t="shared" si="71"/>
        <v>15634</v>
      </c>
      <c r="AG113" s="1060">
        <f t="shared" si="71"/>
        <v>16086</v>
      </c>
      <c r="AH113" s="1060">
        <f t="shared" ref="AH113" si="72">SUM(AH112,AH108)</f>
        <v>17640.174179999998</v>
      </c>
      <c r="AJ113" s="1060" t="e">
        <f>#REF!</f>
        <v>#REF!</v>
      </c>
      <c r="AK113" s="1060">
        <f t="shared" si="66"/>
        <v>11958</v>
      </c>
      <c r="AL113" s="1060">
        <f t="shared" si="67"/>
        <v>18908</v>
      </c>
      <c r="AM113" s="1060">
        <f>AG113</f>
        <v>16086</v>
      </c>
    </row>
    <row r="115" spans="1:39" x14ac:dyDescent="0.2">
      <c r="A115" s="1098" t="s">
        <v>42</v>
      </c>
      <c r="B115" s="1060">
        <f>4365</f>
        <v>4365</v>
      </c>
      <c r="C115" s="1060">
        <f>4453+2</f>
        <v>4455</v>
      </c>
      <c r="D115" s="1060">
        <v>4648</v>
      </c>
      <c r="E115" s="1060">
        <f>4751</f>
        <v>4751</v>
      </c>
      <c r="F115" s="1060">
        <v>4895</v>
      </c>
      <c r="G115" s="1060">
        <f>5064+2</f>
        <v>5066</v>
      </c>
      <c r="H115" s="1060">
        <f>5073+1</f>
        <v>5074</v>
      </c>
      <c r="I115" s="1060">
        <f>5151+3</f>
        <v>5154</v>
      </c>
      <c r="J115" s="1060">
        <f>5275</f>
        <v>5275</v>
      </c>
      <c r="K115" s="1060">
        <f>5522+1</f>
        <v>5523</v>
      </c>
      <c r="L115" s="1060">
        <f>5803</f>
        <v>5803</v>
      </c>
      <c r="M115" s="1060">
        <v>4997</v>
      </c>
      <c r="N115" s="1060">
        <f>5154+1</f>
        <v>5155</v>
      </c>
      <c r="O115" s="1060">
        <f>5261+1</f>
        <v>5262</v>
      </c>
      <c r="P115" s="1060">
        <v>5441</v>
      </c>
      <c r="Q115" s="1060">
        <v>5563</v>
      </c>
      <c r="R115" s="1060">
        <f>5729+1</f>
        <v>5730</v>
      </c>
      <c r="S115" s="1060">
        <v>5816</v>
      </c>
      <c r="T115" s="1060">
        <v>5923</v>
      </c>
      <c r="U115" s="1060">
        <v>6088</v>
      </c>
      <c r="V115" s="1060">
        <f>6255+1</f>
        <v>6256</v>
      </c>
      <c r="W115" s="1060">
        <v>6463</v>
      </c>
      <c r="X115" s="1060">
        <v>7031</v>
      </c>
      <c r="Y115" s="1060">
        <f>6499-1</f>
        <v>6498</v>
      </c>
      <c r="Z115" s="1060">
        <f>6719+1</f>
        <v>6720</v>
      </c>
      <c r="AA115" s="1060">
        <v>6803</v>
      </c>
      <c r="AB115" s="1060">
        <f>6937-1</f>
        <v>6936</v>
      </c>
      <c r="AC115" s="1060">
        <f>7096+1</f>
        <v>7097</v>
      </c>
      <c r="AD115" s="1060">
        <v>6930</v>
      </c>
      <c r="AE115" s="1060">
        <v>7015</v>
      </c>
      <c r="AF115" s="1060">
        <v>7138</v>
      </c>
      <c r="AG115" s="1060">
        <v>7365</v>
      </c>
      <c r="AH115" s="1060">
        <v>7774.7976100000005</v>
      </c>
      <c r="AI115" s="1060">
        <v>7015</v>
      </c>
      <c r="AJ115" s="1060"/>
      <c r="AK115" s="1060">
        <f>M115</f>
        <v>4997</v>
      </c>
      <c r="AL115" s="1060">
        <f>Y115</f>
        <v>6498</v>
      </c>
      <c r="AM115" s="1060">
        <f>+AG115</f>
        <v>7365</v>
      </c>
    </row>
    <row r="117" spans="1:39" x14ac:dyDescent="0.2">
      <c r="A117" s="1115" t="s">
        <v>867</v>
      </c>
      <c r="B117" s="1060">
        <f>B98-B113-B115</f>
        <v>0</v>
      </c>
      <c r="C117" s="1060">
        <f t="shared" ref="C117:AM117" si="73">C98-C113-C115</f>
        <v>0</v>
      </c>
      <c r="D117" s="1060">
        <f t="shared" si="73"/>
        <v>0</v>
      </c>
      <c r="E117" s="1060">
        <f t="shared" si="73"/>
        <v>0</v>
      </c>
      <c r="F117" s="1060">
        <f t="shared" si="73"/>
        <v>0</v>
      </c>
      <c r="G117" s="1060">
        <f t="shared" si="73"/>
        <v>0</v>
      </c>
      <c r="H117" s="1060">
        <f t="shared" si="73"/>
        <v>0</v>
      </c>
      <c r="I117" s="1060">
        <f t="shared" si="73"/>
        <v>0</v>
      </c>
      <c r="J117" s="1060">
        <f t="shared" si="73"/>
        <v>0</v>
      </c>
      <c r="K117" s="1060">
        <f t="shared" si="73"/>
        <v>0</v>
      </c>
      <c r="L117" s="1060">
        <f t="shared" si="73"/>
        <v>0</v>
      </c>
      <c r="M117" s="1060">
        <f t="shared" si="73"/>
        <v>0</v>
      </c>
      <c r="N117" s="1060">
        <f t="shared" si="73"/>
        <v>0</v>
      </c>
      <c r="O117" s="1060">
        <f t="shared" si="73"/>
        <v>0</v>
      </c>
      <c r="P117" s="1060">
        <f t="shared" si="73"/>
        <v>0</v>
      </c>
      <c r="Q117" s="1060">
        <f t="shared" si="73"/>
        <v>0</v>
      </c>
      <c r="R117" s="1060">
        <f t="shared" si="73"/>
        <v>0</v>
      </c>
      <c r="S117" s="1060">
        <f t="shared" si="73"/>
        <v>0</v>
      </c>
      <c r="T117" s="1060">
        <f t="shared" si="73"/>
        <v>0</v>
      </c>
      <c r="U117" s="1060">
        <f t="shared" si="73"/>
        <v>0</v>
      </c>
      <c r="V117" s="1060">
        <f t="shared" si="73"/>
        <v>0</v>
      </c>
      <c r="W117" s="1060">
        <f t="shared" si="73"/>
        <v>0</v>
      </c>
      <c r="X117" s="1060">
        <f t="shared" si="73"/>
        <v>0</v>
      </c>
      <c r="Y117" s="1060">
        <f>Y98-Y113-Y115</f>
        <v>0</v>
      </c>
      <c r="Z117" s="1060">
        <f t="shared" si="73"/>
        <v>0</v>
      </c>
      <c r="AA117" s="1060">
        <f t="shared" si="73"/>
        <v>0</v>
      </c>
      <c r="AB117" s="1060">
        <f t="shared" si="73"/>
        <v>0</v>
      </c>
      <c r="AC117" s="1060">
        <f t="shared" si="73"/>
        <v>0</v>
      </c>
      <c r="AD117" s="1060">
        <f t="shared" si="73"/>
        <v>0</v>
      </c>
      <c r="AE117" s="1060">
        <f t="shared" si="73"/>
        <v>0</v>
      </c>
      <c r="AF117" s="1060">
        <f>AF98-AF113-AF115</f>
        <v>0</v>
      </c>
      <c r="AG117" s="1060">
        <f>AG98-AG113-AG115</f>
        <v>0</v>
      </c>
      <c r="AH117" s="1060">
        <f>AH98-AH113-AH115</f>
        <v>0</v>
      </c>
      <c r="AI117" s="1060">
        <f t="shared" si="73"/>
        <v>-7015</v>
      </c>
      <c r="AJ117" s="1060" t="e">
        <f t="shared" si="73"/>
        <v>#REF!</v>
      </c>
      <c r="AK117" s="1060">
        <f t="shared" si="73"/>
        <v>0</v>
      </c>
      <c r="AL117" s="1060">
        <f t="shared" si="73"/>
        <v>0</v>
      </c>
      <c r="AM117" s="1060">
        <f t="shared" si="73"/>
        <v>0</v>
      </c>
    </row>
    <row r="119" spans="1:39" x14ac:dyDescent="0.2">
      <c r="A119" s="1116"/>
    </row>
    <row r="120" spans="1:39" x14ac:dyDescent="0.2">
      <c r="A120" s="1116"/>
    </row>
  </sheetData>
  <mergeCells count="3">
    <mergeCell ref="B4:M4"/>
    <mergeCell ref="N4:Y4"/>
    <mergeCell ref="Z4:AE4"/>
  </mergeCells>
  <pageMargins left="0.75" right="0.75" top="1" bottom="1" header="0.5" footer="0.5"/>
  <pageSetup scale="64" orientation="landscape"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T30"/>
  <sheetViews>
    <sheetView zoomScale="80" zoomScaleNormal="80" workbookViewId="0">
      <selection activeCell="C18" sqref="C18"/>
    </sheetView>
  </sheetViews>
  <sheetFormatPr defaultColWidth="9.140625" defaultRowHeight="15" x14ac:dyDescent="0.25"/>
  <cols>
    <col min="1" max="1" width="46.85546875" style="849" bestFit="1" customWidth="1"/>
    <col min="2" max="2" width="10.5703125" style="849" customWidth="1"/>
    <col min="3" max="17" width="9.140625" style="849"/>
    <col min="18" max="18" width="13.5703125" style="849" customWidth="1"/>
    <col min="19" max="19" width="9.140625" style="849"/>
    <col min="20" max="20" width="13.28515625" style="849" customWidth="1"/>
    <col min="21" max="16384" width="9.140625" style="849"/>
  </cols>
  <sheetData>
    <row r="1" spans="1:20" x14ac:dyDescent="0.25">
      <c r="A1" s="848"/>
      <c r="B1" s="848"/>
      <c r="C1" s="848"/>
      <c r="D1" s="848"/>
      <c r="E1" s="848"/>
      <c r="F1" s="848"/>
      <c r="G1" s="848"/>
      <c r="H1" s="848"/>
      <c r="I1" s="848"/>
      <c r="J1" s="848"/>
      <c r="K1" s="848"/>
      <c r="L1" s="848"/>
      <c r="M1" s="848"/>
      <c r="N1" s="848"/>
      <c r="O1" s="848"/>
      <c r="P1" s="848"/>
      <c r="R1" s="848"/>
      <c r="T1" s="848"/>
    </row>
    <row r="2" spans="1:20" x14ac:dyDescent="0.25">
      <c r="A2" s="850" t="s">
        <v>618</v>
      </c>
      <c r="B2" s="851"/>
      <c r="C2" s="851"/>
      <c r="D2" s="851"/>
      <c r="E2" s="851"/>
      <c r="F2" s="851"/>
      <c r="G2" s="851"/>
      <c r="H2" s="851"/>
      <c r="I2" s="851"/>
      <c r="J2" s="851"/>
      <c r="K2" s="851"/>
      <c r="L2" s="851"/>
      <c r="M2" s="851"/>
      <c r="N2" s="851"/>
      <c r="O2" s="851"/>
      <c r="P2" s="851"/>
      <c r="R2" s="851" t="s">
        <v>619</v>
      </c>
      <c r="T2" s="851" t="s">
        <v>619</v>
      </c>
    </row>
    <row r="3" spans="1:20" x14ac:dyDescent="0.25">
      <c r="A3" s="850" t="s">
        <v>620</v>
      </c>
      <c r="B3" s="852">
        <v>41849</v>
      </c>
      <c r="C3" s="852">
        <v>41880</v>
      </c>
      <c r="D3" s="852">
        <v>41911</v>
      </c>
      <c r="E3" s="852">
        <v>41942</v>
      </c>
      <c r="F3" s="852">
        <v>41973</v>
      </c>
      <c r="G3" s="852">
        <v>42004</v>
      </c>
      <c r="H3" s="852">
        <v>42035</v>
      </c>
      <c r="I3" s="852">
        <v>42036</v>
      </c>
      <c r="J3" s="852">
        <v>42067</v>
      </c>
      <c r="K3" s="852">
        <v>42098</v>
      </c>
      <c r="L3" s="852">
        <v>42129</v>
      </c>
      <c r="M3" s="852">
        <v>42160</v>
      </c>
      <c r="N3" s="852">
        <v>42191</v>
      </c>
      <c r="O3" s="852">
        <v>42222</v>
      </c>
      <c r="P3" s="852"/>
      <c r="R3" s="852">
        <v>42156</v>
      </c>
      <c r="T3" s="852">
        <v>42231</v>
      </c>
    </row>
    <row r="5" spans="1:20" x14ac:dyDescent="0.25">
      <c r="A5" s="853" t="s">
        <v>637</v>
      </c>
      <c r="R5" s="857"/>
    </row>
    <row r="6" spans="1:20" x14ac:dyDescent="0.25">
      <c r="A6" s="856" t="s">
        <v>869</v>
      </c>
      <c r="B6" s="857">
        <f>B22</f>
        <v>0</v>
      </c>
      <c r="C6" s="857">
        <f t="shared" ref="C6:O6" si="0">C22</f>
        <v>0</v>
      </c>
      <c r="D6" s="857">
        <f t="shared" si="0"/>
        <v>54</v>
      </c>
      <c r="E6" s="857">
        <f t="shared" si="0"/>
        <v>0</v>
      </c>
      <c r="F6" s="857">
        <f t="shared" si="0"/>
        <v>0</v>
      </c>
      <c r="G6" s="857">
        <f t="shared" si="0"/>
        <v>0</v>
      </c>
      <c r="H6" s="857">
        <f t="shared" si="0"/>
        <v>20</v>
      </c>
      <c r="I6" s="857">
        <f t="shared" si="0"/>
        <v>0</v>
      </c>
      <c r="J6" s="857">
        <f t="shared" si="0"/>
        <v>0</v>
      </c>
      <c r="K6" s="857">
        <f t="shared" si="0"/>
        <v>0</v>
      </c>
      <c r="L6" s="857">
        <f t="shared" si="0"/>
        <v>30</v>
      </c>
      <c r="M6" s="857">
        <f t="shared" si="0"/>
        <v>0</v>
      </c>
      <c r="N6" s="857">
        <f t="shared" si="0"/>
        <v>0</v>
      </c>
      <c r="O6" s="857">
        <f t="shared" si="0"/>
        <v>41</v>
      </c>
      <c r="P6" s="857"/>
      <c r="R6" s="857">
        <f>SUM(B6:M6)</f>
        <v>104</v>
      </c>
      <c r="T6" s="857">
        <f>SUM(D6:O6)</f>
        <v>145</v>
      </c>
    </row>
    <row r="7" spans="1:20" x14ac:dyDescent="0.25">
      <c r="A7" s="856" t="s">
        <v>870</v>
      </c>
      <c r="B7" s="857">
        <v>0</v>
      </c>
      <c r="C7" s="857">
        <v>0</v>
      </c>
      <c r="D7" s="857">
        <v>0</v>
      </c>
      <c r="E7" s="857">
        <v>0</v>
      </c>
      <c r="F7" s="857">
        <v>0</v>
      </c>
      <c r="G7" s="857">
        <v>2</v>
      </c>
      <c r="H7" s="857">
        <v>0</v>
      </c>
      <c r="I7" s="857">
        <v>0</v>
      </c>
      <c r="J7" s="857">
        <v>0</v>
      </c>
      <c r="K7" s="857">
        <v>0</v>
      </c>
      <c r="L7" s="857">
        <v>0</v>
      </c>
      <c r="M7" s="857">
        <v>0</v>
      </c>
      <c r="N7" s="857">
        <v>0</v>
      </c>
      <c r="O7" s="857">
        <v>0</v>
      </c>
      <c r="P7" s="857"/>
      <c r="R7" s="857">
        <f>SUM(B7:M7)</f>
        <v>2</v>
      </c>
      <c r="T7" s="857">
        <f>SUM(D7:O7)</f>
        <v>2</v>
      </c>
    </row>
    <row r="8" spans="1:20" x14ac:dyDescent="0.25">
      <c r="A8" s="856" t="s">
        <v>871</v>
      </c>
      <c r="B8" s="857">
        <v>0</v>
      </c>
      <c r="C8" s="857">
        <v>0</v>
      </c>
      <c r="D8" s="857">
        <v>0</v>
      </c>
      <c r="E8" s="857">
        <v>0</v>
      </c>
      <c r="F8" s="857">
        <v>0</v>
      </c>
      <c r="G8" s="857">
        <v>0</v>
      </c>
      <c r="H8" s="857">
        <v>0</v>
      </c>
      <c r="I8" s="857">
        <v>0</v>
      </c>
      <c r="J8" s="857">
        <v>0</v>
      </c>
      <c r="K8" s="857">
        <v>0</v>
      </c>
      <c r="L8" s="857">
        <f t="shared" ref="L8" si="1">L27</f>
        <v>179</v>
      </c>
      <c r="M8" s="857">
        <v>0</v>
      </c>
      <c r="N8" s="857">
        <v>0</v>
      </c>
      <c r="O8" s="857">
        <v>0</v>
      </c>
      <c r="P8" s="857"/>
      <c r="R8" s="857">
        <f>SUM(B8:M8)</f>
        <v>179</v>
      </c>
      <c r="T8" s="857">
        <f>SUM(D8:O8)</f>
        <v>179</v>
      </c>
    </row>
    <row r="9" spans="1:20" x14ac:dyDescent="0.25">
      <c r="A9" s="853" t="s">
        <v>872</v>
      </c>
      <c r="B9" s="858">
        <f>SUM(B6:B8)</f>
        <v>0</v>
      </c>
      <c r="C9" s="858">
        <f t="shared" ref="C9:O9" si="2">SUM(C6:C8)</f>
        <v>0</v>
      </c>
      <c r="D9" s="1118">
        <f t="shared" si="2"/>
        <v>54</v>
      </c>
      <c r="E9" s="858">
        <f t="shared" si="2"/>
        <v>0</v>
      </c>
      <c r="F9" s="858">
        <f t="shared" si="2"/>
        <v>0</v>
      </c>
      <c r="G9" s="858">
        <f t="shared" si="2"/>
        <v>2</v>
      </c>
      <c r="H9" s="1118">
        <f t="shared" si="2"/>
        <v>20</v>
      </c>
      <c r="I9" s="858">
        <f t="shared" si="2"/>
        <v>0</v>
      </c>
      <c r="J9" s="858">
        <f t="shared" si="2"/>
        <v>0</v>
      </c>
      <c r="K9" s="858">
        <f t="shared" si="2"/>
        <v>0</v>
      </c>
      <c r="L9" s="1118">
        <f t="shared" si="2"/>
        <v>209</v>
      </c>
      <c r="M9" s="858">
        <f t="shared" si="2"/>
        <v>0</v>
      </c>
      <c r="N9" s="858">
        <f t="shared" si="2"/>
        <v>0</v>
      </c>
      <c r="O9" s="1118">
        <f t="shared" si="2"/>
        <v>41</v>
      </c>
      <c r="P9" s="1125"/>
      <c r="R9" s="858">
        <f>SUM(R6:R8)</f>
        <v>285</v>
      </c>
      <c r="T9" s="858">
        <f>SUM(T6:T8)</f>
        <v>326</v>
      </c>
    </row>
    <row r="13" spans="1:20" x14ac:dyDescent="0.25">
      <c r="A13" s="853" t="s">
        <v>873</v>
      </c>
    </row>
    <row r="14" spans="1:20" x14ac:dyDescent="0.25">
      <c r="A14" s="856" t="s">
        <v>869</v>
      </c>
      <c r="B14" s="857">
        <v>40</v>
      </c>
      <c r="C14" s="857">
        <v>38</v>
      </c>
      <c r="D14" s="857">
        <v>108</v>
      </c>
      <c r="E14" s="857">
        <v>42</v>
      </c>
      <c r="F14" s="857">
        <v>18</v>
      </c>
      <c r="G14" s="857"/>
      <c r="H14" s="857">
        <v>74</v>
      </c>
      <c r="I14" s="857">
        <v>38</v>
      </c>
      <c r="J14" s="857"/>
      <c r="K14" s="857">
        <v>29</v>
      </c>
      <c r="L14" s="857">
        <v>84</v>
      </c>
      <c r="M14" s="857"/>
      <c r="N14" s="857">
        <v>28</v>
      </c>
      <c r="O14" s="857">
        <v>95</v>
      </c>
      <c r="P14" s="857"/>
      <c r="R14" s="857">
        <f>SUM(B14:M14)</f>
        <v>471</v>
      </c>
      <c r="T14" s="857">
        <f>SUM(D14:O14)</f>
        <v>516</v>
      </c>
    </row>
    <row r="15" spans="1:20" x14ac:dyDescent="0.25">
      <c r="A15" s="856" t="s">
        <v>870</v>
      </c>
      <c r="B15" s="860">
        <v>0</v>
      </c>
      <c r="C15" s="860">
        <v>0</v>
      </c>
      <c r="D15" s="860">
        <v>0</v>
      </c>
      <c r="E15" s="860">
        <v>0</v>
      </c>
      <c r="F15" s="860">
        <v>0</v>
      </c>
      <c r="G15" s="860">
        <v>0</v>
      </c>
      <c r="H15" s="860">
        <v>0</v>
      </c>
      <c r="I15" s="860">
        <v>0</v>
      </c>
      <c r="J15" s="860">
        <v>0</v>
      </c>
      <c r="K15" s="860">
        <v>0</v>
      </c>
      <c r="L15" s="860">
        <v>0</v>
      </c>
      <c r="M15" s="860">
        <v>0</v>
      </c>
      <c r="N15" s="860">
        <v>0</v>
      </c>
      <c r="O15" s="860">
        <v>0</v>
      </c>
      <c r="P15" s="860"/>
      <c r="R15" s="857">
        <f>SUM(B15:M15)</f>
        <v>0</v>
      </c>
      <c r="T15" s="857">
        <f>SUM(D15:O15)</f>
        <v>0</v>
      </c>
    </row>
    <row r="16" spans="1:20" x14ac:dyDescent="0.25">
      <c r="A16" s="856" t="s">
        <v>871</v>
      </c>
      <c r="B16" s="861">
        <v>25</v>
      </c>
      <c r="C16" s="861">
        <v>25</v>
      </c>
      <c r="D16" s="861">
        <v>25</v>
      </c>
      <c r="E16" s="861">
        <v>25</v>
      </c>
      <c r="F16" s="861">
        <v>25</v>
      </c>
      <c r="G16" s="861">
        <v>25</v>
      </c>
      <c r="H16" s="861">
        <v>25</v>
      </c>
      <c r="I16" s="861">
        <v>25</v>
      </c>
      <c r="J16" s="861">
        <v>25</v>
      </c>
      <c r="K16" s="861">
        <v>26</v>
      </c>
      <c r="L16" s="861">
        <v>26</v>
      </c>
      <c r="M16" s="861">
        <v>25</v>
      </c>
      <c r="N16" s="861">
        <v>31</v>
      </c>
      <c r="O16" s="861">
        <v>23</v>
      </c>
      <c r="P16" s="861"/>
      <c r="R16" s="857">
        <f>SUM(B16:M16)</f>
        <v>302</v>
      </c>
      <c r="T16" s="857">
        <f>SUM(D16:O16)</f>
        <v>306</v>
      </c>
    </row>
    <row r="17" spans="1:20" x14ac:dyDescent="0.25">
      <c r="A17" s="853" t="s">
        <v>874</v>
      </c>
      <c r="B17" s="858">
        <f>SUM(B14:B16)</f>
        <v>65</v>
      </c>
      <c r="C17" s="858">
        <f t="shared" ref="C17:N17" si="3">SUM(C14:C16)</f>
        <v>63</v>
      </c>
      <c r="D17" s="858">
        <f t="shared" si="3"/>
        <v>133</v>
      </c>
      <c r="E17" s="858">
        <f t="shared" si="3"/>
        <v>67</v>
      </c>
      <c r="F17" s="858">
        <f t="shared" si="3"/>
        <v>43</v>
      </c>
      <c r="G17" s="858">
        <f t="shared" si="3"/>
        <v>25</v>
      </c>
      <c r="H17" s="858">
        <f t="shared" si="3"/>
        <v>99</v>
      </c>
      <c r="I17" s="858">
        <f t="shared" si="3"/>
        <v>63</v>
      </c>
      <c r="J17" s="858">
        <f t="shared" si="3"/>
        <v>25</v>
      </c>
      <c r="K17" s="858">
        <f t="shared" si="3"/>
        <v>55</v>
      </c>
      <c r="L17" s="858">
        <f t="shared" si="3"/>
        <v>110</v>
      </c>
      <c r="M17" s="858">
        <f t="shared" si="3"/>
        <v>25</v>
      </c>
      <c r="N17" s="858">
        <f t="shared" si="3"/>
        <v>59</v>
      </c>
      <c r="O17" s="858">
        <f>SUM(O14:O16)</f>
        <v>118</v>
      </c>
      <c r="P17" s="1117"/>
      <c r="R17" s="858">
        <f>SUM(R14:R16)</f>
        <v>773</v>
      </c>
      <c r="T17" s="858">
        <f>SUM(T14:T16)</f>
        <v>822</v>
      </c>
    </row>
    <row r="19" spans="1:20" x14ac:dyDescent="0.25">
      <c r="A19" s="1119" t="s">
        <v>875</v>
      </c>
      <c r="B19" s="855">
        <f>-(B17-B9)</f>
        <v>-65</v>
      </c>
      <c r="C19" s="855">
        <f>-(C17-C9)</f>
        <v>-63</v>
      </c>
      <c r="D19" s="855">
        <f>-(D17-D9)</f>
        <v>-79</v>
      </c>
      <c r="E19" s="855">
        <f t="shared" ref="E19:M19" si="4">-(E17-E9)</f>
        <v>-67</v>
      </c>
      <c r="F19" s="855">
        <f t="shared" si="4"/>
        <v>-43</v>
      </c>
      <c r="G19" s="855">
        <f t="shared" si="4"/>
        <v>-23</v>
      </c>
      <c r="H19" s="855">
        <f t="shared" si="4"/>
        <v>-79</v>
      </c>
      <c r="I19" s="855">
        <f t="shared" si="4"/>
        <v>-63</v>
      </c>
      <c r="J19" s="855">
        <f t="shared" si="4"/>
        <v>-25</v>
      </c>
      <c r="K19" s="855">
        <f t="shared" si="4"/>
        <v>-55</v>
      </c>
      <c r="L19" s="855">
        <f t="shared" si="4"/>
        <v>99</v>
      </c>
      <c r="M19" s="855">
        <f t="shared" si="4"/>
        <v>-25</v>
      </c>
      <c r="N19" s="855">
        <f>-(N17-N9)</f>
        <v>-59</v>
      </c>
      <c r="O19" s="855">
        <f>-(O17-O9)</f>
        <v>-77</v>
      </c>
      <c r="P19" s="855"/>
    </row>
    <row r="20" spans="1:20" x14ac:dyDescent="0.25">
      <c r="A20" s="1119"/>
      <c r="B20" s="855"/>
      <c r="C20" s="855"/>
      <c r="D20" s="855"/>
      <c r="E20" s="855"/>
      <c r="F20" s="855"/>
      <c r="G20" s="855"/>
      <c r="H20" s="855"/>
      <c r="I20" s="855"/>
      <c r="J20" s="855"/>
      <c r="K20" s="855"/>
      <c r="L20" s="855"/>
      <c r="M20" s="855"/>
      <c r="N20" s="855"/>
      <c r="O20" s="855"/>
      <c r="P20" s="855"/>
    </row>
    <row r="21" spans="1:20" x14ac:dyDescent="0.25">
      <c r="A21" s="853" t="s">
        <v>876</v>
      </c>
      <c r="B21" s="855"/>
      <c r="C21" s="855"/>
      <c r="D21" s="855"/>
      <c r="E21" s="855"/>
      <c r="F21" s="855"/>
      <c r="G21" s="855"/>
      <c r="H21" s="855"/>
      <c r="I21" s="855"/>
      <c r="J21" s="855"/>
      <c r="K21" s="855"/>
      <c r="L21" s="855"/>
      <c r="M21" s="855"/>
      <c r="N21" s="855"/>
      <c r="O21" s="855"/>
      <c r="P21" s="855"/>
    </row>
    <row r="22" spans="1:20" x14ac:dyDescent="0.25">
      <c r="A22" s="1120">
        <f>AVERAGE(B14:O14)</f>
        <v>54</v>
      </c>
      <c r="B22" s="854">
        <f>-IF(B14&gt;$A$22,($A$22-B14),0)</f>
        <v>0</v>
      </c>
      <c r="C22" s="854">
        <f t="shared" ref="C22:O22" si="5">-IF(C14&gt;$A$22,($A$22-C14),0)</f>
        <v>0</v>
      </c>
      <c r="D22" s="854">
        <f t="shared" si="5"/>
        <v>54</v>
      </c>
      <c r="E22" s="854">
        <f t="shared" si="5"/>
        <v>0</v>
      </c>
      <c r="F22" s="854">
        <f t="shared" si="5"/>
        <v>0</v>
      </c>
      <c r="G22" s="854">
        <f t="shared" si="5"/>
        <v>0</v>
      </c>
      <c r="H22" s="854">
        <f t="shared" si="5"/>
        <v>20</v>
      </c>
      <c r="I22" s="854">
        <f t="shared" si="5"/>
        <v>0</v>
      </c>
      <c r="J22" s="854">
        <f t="shared" si="5"/>
        <v>0</v>
      </c>
      <c r="K22" s="854">
        <f t="shared" si="5"/>
        <v>0</v>
      </c>
      <c r="L22" s="854">
        <f t="shared" si="5"/>
        <v>30</v>
      </c>
      <c r="M22" s="854">
        <f t="shared" si="5"/>
        <v>0</v>
      </c>
      <c r="N22" s="854">
        <f t="shared" si="5"/>
        <v>0</v>
      </c>
      <c r="O22" s="854">
        <f t="shared" si="5"/>
        <v>41</v>
      </c>
      <c r="P22" s="854"/>
    </row>
    <row r="24" spans="1:20" x14ac:dyDescent="0.25">
      <c r="A24" s="853" t="s">
        <v>877</v>
      </c>
    </row>
    <row r="25" spans="1:20" x14ac:dyDescent="0.25">
      <c r="A25" s="849" t="s">
        <v>878</v>
      </c>
      <c r="B25" s="857">
        <f>214-7</f>
        <v>207</v>
      </c>
      <c r="C25" s="857">
        <f>195-7</f>
        <v>188</v>
      </c>
      <c r="D25" s="857">
        <f>199-7</f>
        <v>192</v>
      </c>
      <c r="E25" s="857">
        <f>311-7</f>
        <v>304</v>
      </c>
      <c r="F25" s="857">
        <f>309-7</f>
        <v>302</v>
      </c>
      <c r="G25" s="857">
        <f>575-7</f>
        <v>568</v>
      </c>
      <c r="H25" s="857">
        <f>277-21</f>
        <v>256</v>
      </c>
      <c r="I25" s="857">
        <f>166-21</f>
        <v>145</v>
      </c>
      <c r="J25" s="857">
        <f>151-21</f>
        <v>130</v>
      </c>
      <c r="K25" s="857">
        <f>169-21</f>
        <v>148</v>
      </c>
      <c r="L25" s="857">
        <f>365-21</f>
        <v>344</v>
      </c>
      <c r="M25" s="857">
        <f>215-21</f>
        <v>194</v>
      </c>
      <c r="N25" s="857">
        <f>251-21</f>
        <v>230</v>
      </c>
      <c r="O25" s="857">
        <f>255-21</f>
        <v>234</v>
      </c>
      <c r="P25" s="857"/>
      <c r="R25" s="857">
        <f>SUM(B25:M25)</f>
        <v>2978</v>
      </c>
      <c r="T25" s="861">
        <f>SUM(D25:O25)</f>
        <v>3047</v>
      </c>
    </row>
    <row r="26" spans="1:20" x14ac:dyDescent="0.25">
      <c r="A26" s="849" t="s">
        <v>879</v>
      </c>
      <c r="B26" s="857">
        <v>185</v>
      </c>
      <c r="C26" s="857">
        <v>159</v>
      </c>
      <c r="D26" s="857">
        <v>182</v>
      </c>
      <c r="E26" s="857">
        <v>248</v>
      </c>
      <c r="F26" s="857">
        <v>321</v>
      </c>
      <c r="G26" s="857">
        <v>735</v>
      </c>
      <c r="H26" s="857">
        <v>258</v>
      </c>
      <c r="I26" s="857">
        <v>136</v>
      </c>
      <c r="J26" s="857">
        <v>148</v>
      </c>
      <c r="K26" s="857">
        <v>176</v>
      </c>
      <c r="L26" s="857">
        <v>165</v>
      </c>
      <c r="M26" s="857">
        <v>197</v>
      </c>
      <c r="N26" s="857">
        <v>211</v>
      </c>
      <c r="O26" s="857">
        <v>224</v>
      </c>
      <c r="P26" s="857"/>
      <c r="R26" s="857">
        <f>SUM(B26:M26)</f>
        <v>2910</v>
      </c>
      <c r="T26" s="861">
        <f>SUM(D26:O26)</f>
        <v>3001</v>
      </c>
    </row>
    <row r="27" spans="1:20" x14ac:dyDescent="0.25">
      <c r="A27" s="849" t="s">
        <v>880</v>
      </c>
      <c r="B27" s="858">
        <f>B25-B26</f>
        <v>22</v>
      </c>
      <c r="C27" s="858">
        <f t="shared" ref="C27:O27" si="6">C25-C26</f>
        <v>29</v>
      </c>
      <c r="D27" s="858">
        <f t="shared" si="6"/>
        <v>10</v>
      </c>
      <c r="E27" s="858">
        <f t="shared" si="6"/>
        <v>56</v>
      </c>
      <c r="F27" s="858">
        <f t="shared" si="6"/>
        <v>-19</v>
      </c>
      <c r="G27" s="858">
        <f t="shared" si="6"/>
        <v>-167</v>
      </c>
      <c r="H27" s="858">
        <f t="shared" si="6"/>
        <v>-2</v>
      </c>
      <c r="I27" s="858">
        <f t="shared" si="6"/>
        <v>9</v>
      </c>
      <c r="J27" s="858">
        <f t="shared" si="6"/>
        <v>-18</v>
      </c>
      <c r="K27" s="858">
        <f t="shared" si="6"/>
        <v>-28</v>
      </c>
      <c r="L27" s="1121">
        <f>L25-L26</f>
        <v>179</v>
      </c>
      <c r="M27" s="858">
        <f t="shared" si="6"/>
        <v>-3</v>
      </c>
      <c r="N27" s="858">
        <f>N25-N26</f>
        <v>19</v>
      </c>
      <c r="O27" s="858">
        <f t="shared" si="6"/>
        <v>10</v>
      </c>
      <c r="P27" s="1117"/>
      <c r="R27" s="858">
        <f>R25-R26</f>
        <v>68</v>
      </c>
      <c r="T27" s="858">
        <f>T25-T26</f>
        <v>46</v>
      </c>
    </row>
    <row r="29" spans="1:20" x14ac:dyDescent="0.25">
      <c r="A29" s="849" t="s">
        <v>118</v>
      </c>
      <c r="B29" s="857">
        <v>2450</v>
      </c>
      <c r="C29" s="857">
        <v>2326</v>
      </c>
      <c r="D29" s="857">
        <v>2639</v>
      </c>
      <c r="E29" s="857">
        <v>2939</v>
      </c>
      <c r="F29" s="857">
        <v>4519</v>
      </c>
      <c r="G29" s="857">
        <v>6457</v>
      </c>
      <c r="H29" s="857">
        <v>2550</v>
      </c>
      <c r="I29" s="857">
        <v>2019</v>
      </c>
      <c r="J29" s="857">
        <v>2041</v>
      </c>
      <c r="K29" s="857">
        <v>2347</v>
      </c>
      <c r="L29" s="857">
        <v>2192</v>
      </c>
      <c r="M29" s="857">
        <v>2066</v>
      </c>
      <c r="N29" s="857">
        <v>2466</v>
      </c>
      <c r="O29" s="857">
        <v>2652</v>
      </c>
      <c r="P29" s="857"/>
    </row>
    <row r="30" spans="1:20" x14ac:dyDescent="0.25">
      <c r="A30" s="849" t="s">
        <v>881</v>
      </c>
      <c r="B30" s="1122">
        <f t="shared" ref="B30:O30" si="7">B26/B29</f>
        <v>7.5510204081632656E-2</v>
      </c>
      <c r="C30" s="1122">
        <f t="shared" si="7"/>
        <v>6.8357695614789341E-2</v>
      </c>
      <c r="D30" s="1122">
        <f t="shared" si="7"/>
        <v>6.8965517241379309E-2</v>
      </c>
      <c r="E30" s="1122">
        <f t="shared" si="7"/>
        <v>8.4382443007825797E-2</v>
      </c>
      <c r="F30" s="1122">
        <f t="shared" si="7"/>
        <v>7.1033414472228371E-2</v>
      </c>
      <c r="G30" s="1122">
        <f t="shared" si="7"/>
        <v>0.11382995199008827</v>
      </c>
      <c r="H30" s="1122">
        <f t="shared" si="7"/>
        <v>0.1011764705882353</v>
      </c>
      <c r="I30" s="1122">
        <f t="shared" si="7"/>
        <v>6.7360079247152052E-2</v>
      </c>
      <c r="J30" s="1122">
        <f t="shared" si="7"/>
        <v>7.2513473787359131E-2</v>
      </c>
      <c r="K30" s="1122">
        <f t="shared" si="7"/>
        <v>7.4989348103962503E-2</v>
      </c>
      <c r="L30" s="1122">
        <f>L26/L29</f>
        <v>7.5273722627737225E-2</v>
      </c>
      <c r="M30" s="1122">
        <f>M26/M29</f>
        <v>9.5353339787028077E-2</v>
      </c>
      <c r="N30" s="1122">
        <f t="shared" si="7"/>
        <v>8.5563665855636656E-2</v>
      </c>
      <c r="O30" s="1122">
        <f t="shared" si="7"/>
        <v>8.4464555052790352E-2</v>
      </c>
      <c r="P30" s="1122"/>
      <c r="R30" s="855"/>
    </row>
  </sheetData>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41"/>
  <sheetViews>
    <sheetView zoomScale="80" zoomScaleNormal="80" workbookViewId="0">
      <pane xSplit="2" ySplit="3" topLeftCell="E4" activePane="bottomRight" state="frozen"/>
      <selection pane="topRight" activeCell="C1" sqref="C1"/>
      <selection pane="bottomLeft" activeCell="A4" sqref="A4"/>
      <selection pane="bottomRight" activeCell="AC39" sqref="AA39:AC39"/>
    </sheetView>
  </sheetViews>
  <sheetFormatPr defaultColWidth="9.140625" defaultRowHeight="15" x14ac:dyDescent="0.25"/>
  <cols>
    <col min="1" max="1" width="41.28515625" style="849" bestFit="1" customWidth="1"/>
    <col min="2" max="2" width="22.140625" style="849" customWidth="1"/>
    <col min="3" max="17" width="8.85546875" style="849" customWidth="1"/>
    <col min="18" max="18" width="2.85546875" style="849" customWidth="1"/>
    <col min="19" max="19" width="14.7109375" style="849" customWidth="1"/>
    <col min="20" max="20" width="3" style="849" customWidth="1"/>
    <col min="21" max="21" width="14.7109375" style="849" customWidth="1"/>
    <col min="22" max="22" width="3" style="849" customWidth="1"/>
    <col min="23" max="25" width="14.7109375" style="849" customWidth="1"/>
    <col min="26" max="26" width="9.140625" style="849"/>
    <col min="27" max="29" width="14.7109375" style="849" customWidth="1"/>
    <col min="30" max="16384" width="9.140625" style="849"/>
  </cols>
  <sheetData>
    <row r="1" spans="1:29" x14ac:dyDescent="0.25">
      <c r="A1" s="848"/>
      <c r="B1" s="848"/>
      <c r="C1" s="848"/>
      <c r="D1" s="848"/>
      <c r="E1" s="848"/>
      <c r="F1" s="848"/>
      <c r="G1" s="848"/>
      <c r="H1" s="848"/>
      <c r="I1" s="848"/>
      <c r="J1" s="848"/>
      <c r="K1" s="848"/>
      <c r="L1" s="848"/>
      <c r="M1" s="848"/>
      <c r="N1" s="848"/>
      <c r="O1" s="848"/>
      <c r="P1" s="848"/>
      <c r="Q1" s="848"/>
      <c r="S1" s="848"/>
      <c r="U1" s="848"/>
      <c r="W1" s="851"/>
      <c r="X1" s="851"/>
      <c r="Y1" s="851" t="s">
        <v>868</v>
      </c>
      <c r="AA1" s="851"/>
      <c r="AB1" s="851"/>
      <c r="AC1" s="851"/>
    </row>
    <row r="2" spans="1:29" x14ac:dyDescent="0.25">
      <c r="A2" s="850" t="s">
        <v>618</v>
      </c>
      <c r="B2" s="850"/>
      <c r="C2" s="851"/>
      <c r="D2" s="851"/>
      <c r="E2" s="851"/>
      <c r="F2" s="851"/>
      <c r="G2" s="851"/>
      <c r="H2" s="851"/>
      <c r="I2" s="851"/>
      <c r="J2" s="851"/>
      <c r="K2" s="851"/>
      <c r="L2" s="851"/>
      <c r="M2" s="851"/>
      <c r="N2" s="851"/>
      <c r="O2" s="851"/>
      <c r="P2" s="851"/>
      <c r="Q2" s="851" t="s">
        <v>868</v>
      </c>
      <c r="S2" s="851" t="s">
        <v>619</v>
      </c>
      <c r="U2" s="851" t="s">
        <v>619</v>
      </c>
      <c r="W2" s="851" t="s">
        <v>663</v>
      </c>
      <c r="X2" s="851" t="s">
        <v>663</v>
      </c>
      <c r="Y2" s="851" t="s">
        <v>619</v>
      </c>
      <c r="AA2" s="851"/>
      <c r="AB2" s="851"/>
      <c r="AC2" s="851"/>
    </row>
    <row r="3" spans="1:29" x14ac:dyDescent="0.25">
      <c r="A3" s="850" t="s">
        <v>620</v>
      </c>
      <c r="B3" s="1127" t="s">
        <v>884</v>
      </c>
      <c r="C3" s="852">
        <v>41851</v>
      </c>
      <c r="D3" s="852">
        <f>EOMONTH(C3,1)</f>
        <v>41882</v>
      </c>
      <c r="E3" s="852">
        <f t="shared" ref="E3:Q3" si="0">EOMONTH(D3,1)</f>
        <v>41912</v>
      </c>
      <c r="F3" s="852">
        <f t="shared" si="0"/>
        <v>41943</v>
      </c>
      <c r="G3" s="852">
        <f t="shared" si="0"/>
        <v>41973</v>
      </c>
      <c r="H3" s="852">
        <f t="shared" si="0"/>
        <v>42004</v>
      </c>
      <c r="I3" s="852">
        <f t="shared" si="0"/>
        <v>42035</v>
      </c>
      <c r="J3" s="852">
        <f t="shared" si="0"/>
        <v>42063</v>
      </c>
      <c r="K3" s="852">
        <f t="shared" si="0"/>
        <v>42094</v>
      </c>
      <c r="L3" s="852">
        <f t="shared" si="0"/>
        <v>42124</v>
      </c>
      <c r="M3" s="852">
        <f t="shared" si="0"/>
        <v>42155</v>
      </c>
      <c r="N3" s="852">
        <f t="shared" si="0"/>
        <v>42185</v>
      </c>
      <c r="O3" s="852">
        <f t="shared" si="0"/>
        <v>42216</v>
      </c>
      <c r="P3" s="852">
        <f t="shared" si="0"/>
        <v>42247</v>
      </c>
      <c r="Q3" s="852">
        <f t="shared" si="0"/>
        <v>42277</v>
      </c>
      <c r="S3" s="852">
        <v>42156</v>
      </c>
      <c r="U3" s="852">
        <v>42231</v>
      </c>
      <c r="W3" s="851">
        <v>2013</v>
      </c>
      <c r="X3" s="851">
        <v>2014</v>
      </c>
      <c r="Y3" s="852">
        <f>Q3</f>
        <v>42277</v>
      </c>
      <c r="AA3" s="851" t="s">
        <v>969</v>
      </c>
      <c r="AB3" s="851" t="s">
        <v>970</v>
      </c>
      <c r="AC3" s="851" t="s">
        <v>421</v>
      </c>
    </row>
    <row r="4" spans="1:29" x14ac:dyDescent="0.25">
      <c r="Q4" s="855"/>
    </row>
    <row r="5" spans="1:29" x14ac:dyDescent="0.25">
      <c r="A5" s="853" t="s">
        <v>621</v>
      </c>
      <c r="B5" s="853"/>
      <c r="C5" s="854">
        <v>109</v>
      </c>
      <c r="D5" s="854">
        <v>164</v>
      </c>
      <c r="E5" s="854">
        <v>167</v>
      </c>
      <c r="F5" s="854">
        <v>206</v>
      </c>
      <c r="G5" s="854">
        <v>566</v>
      </c>
      <c r="H5" s="854">
        <v>-531</v>
      </c>
      <c r="I5" s="854">
        <v>221</v>
      </c>
      <c r="J5" s="854">
        <v>84</v>
      </c>
      <c r="K5" s="854">
        <v>132</v>
      </c>
      <c r="L5" s="854">
        <v>158</v>
      </c>
      <c r="M5" s="854">
        <v>-166</v>
      </c>
      <c r="N5" s="854">
        <v>82</v>
      </c>
      <c r="O5" s="854">
        <v>124</v>
      </c>
      <c r="P5" s="854">
        <v>227</v>
      </c>
      <c r="Q5" s="854">
        <v>409.99799999999999</v>
      </c>
      <c r="S5" s="855">
        <f>SUM(C5:N5)</f>
        <v>1192</v>
      </c>
      <c r="U5" s="855">
        <f>SUM(E5:P5)</f>
        <v>1270</v>
      </c>
      <c r="W5" s="855">
        <f>'CL - Tables'!D129</f>
        <v>733</v>
      </c>
      <c r="X5" s="855">
        <f>'CL - Tables'!C129</f>
        <v>1502</v>
      </c>
      <c r="Y5" s="855">
        <f>SUM(F5:Q5)</f>
        <v>1512.998</v>
      </c>
      <c r="AA5" s="855">
        <f>SUM(I5:K5)</f>
        <v>437</v>
      </c>
      <c r="AB5" s="855">
        <f>SUM(L5:N5)</f>
        <v>74</v>
      </c>
      <c r="AC5" s="855">
        <f>SUM(O5:Q5)</f>
        <v>760.99800000000005</v>
      </c>
    </row>
    <row r="6" spans="1:29" x14ac:dyDescent="0.25">
      <c r="A6" s="856" t="s">
        <v>50</v>
      </c>
      <c r="B6" s="856"/>
      <c r="C6" s="857">
        <v>57</v>
      </c>
      <c r="D6" s="857">
        <v>62</v>
      </c>
      <c r="E6" s="857">
        <v>64</v>
      </c>
      <c r="F6" s="857">
        <v>70</v>
      </c>
      <c r="G6" s="857">
        <v>74</v>
      </c>
      <c r="H6" s="857">
        <v>76</v>
      </c>
      <c r="I6" s="857">
        <v>59</v>
      </c>
      <c r="J6" s="857">
        <v>55</v>
      </c>
      <c r="K6" s="857">
        <v>58</v>
      </c>
      <c r="L6" s="857">
        <v>59</v>
      </c>
      <c r="M6" s="857">
        <v>60</v>
      </c>
      <c r="N6" s="857">
        <v>57</v>
      </c>
      <c r="O6" s="857">
        <v>58</v>
      </c>
      <c r="P6" s="857">
        <v>71</v>
      </c>
      <c r="Q6" s="857">
        <v>74.149000000000001</v>
      </c>
      <c r="S6" s="857">
        <f t="shared" ref="S6:S8" si="1">SUM(C6:N6)</f>
        <v>751</v>
      </c>
      <c r="U6" s="857">
        <f>SUM(E6:P6)</f>
        <v>761</v>
      </c>
      <c r="W6" s="857">
        <f>'CL - Tables'!D130</f>
        <v>470</v>
      </c>
      <c r="X6" s="857">
        <f>'CL - Tables'!C130</f>
        <v>672</v>
      </c>
      <c r="Y6" s="857">
        <f t="shared" ref="Y6:Y8" si="2">SUM(F6:Q6)</f>
        <v>771.149</v>
      </c>
      <c r="AA6" s="857">
        <f t="shared" ref="AA6:AA8" si="3">SUM(I6:K6)</f>
        <v>172</v>
      </c>
      <c r="AB6" s="857">
        <f t="shared" ref="AB6:AB8" si="4">SUM(L6:N6)</f>
        <v>176</v>
      </c>
      <c r="AC6" s="857">
        <f t="shared" ref="AC6:AC8" si="5">SUM(O6:Q6)</f>
        <v>203.149</v>
      </c>
    </row>
    <row r="7" spans="1:29" x14ac:dyDescent="0.25">
      <c r="A7" s="856" t="s">
        <v>102</v>
      </c>
      <c r="B7" s="856"/>
      <c r="C7" s="857">
        <v>0</v>
      </c>
      <c r="D7" s="857">
        <v>0</v>
      </c>
      <c r="E7" s="857">
        <v>0</v>
      </c>
      <c r="F7" s="857">
        <v>0</v>
      </c>
      <c r="G7" s="857">
        <v>0</v>
      </c>
      <c r="H7" s="857">
        <v>907</v>
      </c>
      <c r="I7" s="857">
        <v>0</v>
      </c>
      <c r="J7" s="857">
        <v>0</v>
      </c>
      <c r="K7" s="857">
        <v>0</v>
      </c>
      <c r="L7" s="857">
        <v>0</v>
      </c>
      <c r="M7" s="857">
        <v>0</v>
      </c>
      <c r="N7" s="857">
        <v>0</v>
      </c>
      <c r="O7" s="857">
        <v>0</v>
      </c>
      <c r="P7" s="857">
        <v>0</v>
      </c>
      <c r="Q7" s="857">
        <v>0</v>
      </c>
      <c r="S7" s="857">
        <f t="shared" si="1"/>
        <v>907</v>
      </c>
      <c r="U7" s="857">
        <f>SUM(E7:P7)</f>
        <v>907</v>
      </c>
      <c r="W7" s="857">
        <f>'CL - Tables'!D131</f>
        <v>518</v>
      </c>
      <c r="X7" s="857">
        <f>'CL - Tables'!C131</f>
        <v>907</v>
      </c>
      <c r="Y7" s="857">
        <f t="shared" si="2"/>
        <v>907</v>
      </c>
      <c r="AA7" s="857">
        <f t="shared" si="3"/>
        <v>0</v>
      </c>
      <c r="AB7" s="857">
        <f t="shared" si="4"/>
        <v>0</v>
      </c>
      <c r="AC7" s="857">
        <f t="shared" si="5"/>
        <v>0</v>
      </c>
    </row>
    <row r="8" spans="1:29" x14ac:dyDescent="0.25">
      <c r="A8" s="856" t="s">
        <v>622</v>
      </c>
      <c r="B8" s="856"/>
      <c r="C8" s="857">
        <v>64</v>
      </c>
      <c r="D8" s="857">
        <v>64</v>
      </c>
      <c r="E8" s="857">
        <v>64</v>
      </c>
      <c r="F8" s="857">
        <v>64</v>
      </c>
      <c r="G8" s="857">
        <v>64</v>
      </c>
      <c r="H8" s="857">
        <v>524</v>
      </c>
      <c r="I8" s="857">
        <v>64</v>
      </c>
      <c r="J8" s="857">
        <v>64</v>
      </c>
      <c r="K8" s="857">
        <v>64</v>
      </c>
      <c r="L8" s="857">
        <v>64</v>
      </c>
      <c r="M8" s="857">
        <v>64</v>
      </c>
      <c r="N8" s="857">
        <v>64</v>
      </c>
      <c r="O8" s="857">
        <v>64</v>
      </c>
      <c r="P8" s="857">
        <v>64</v>
      </c>
      <c r="Q8" s="857">
        <v>63.5</v>
      </c>
      <c r="S8" s="857">
        <f t="shared" si="1"/>
        <v>1228</v>
      </c>
      <c r="U8" s="857">
        <f>SUM(E8:P8)</f>
        <v>1228</v>
      </c>
      <c r="W8" s="857">
        <f>'CL - Tables'!D132</f>
        <v>861</v>
      </c>
      <c r="X8" s="857">
        <f>'CL - Tables'!C132</f>
        <v>1228</v>
      </c>
      <c r="Y8" s="857">
        <f t="shared" si="2"/>
        <v>1227.5</v>
      </c>
      <c r="AA8" s="857">
        <f t="shared" si="3"/>
        <v>192</v>
      </c>
      <c r="AB8" s="857">
        <f t="shared" si="4"/>
        <v>192</v>
      </c>
      <c r="AC8" s="857">
        <f t="shared" si="5"/>
        <v>191.5</v>
      </c>
    </row>
    <row r="9" spans="1:29" x14ac:dyDescent="0.25">
      <c r="A9" s="853" t="s">
        <v>623</v>
      </c>
      <c r="B9" s="853"/>
      <c r="C9" s="858">
        <f>SUM(C5:C8)</f>
        <v>230</v>
      </c>
      <c r="D9" s="858">
        <f t="shared" ref="D9:Q9" si="6">SUM(D5:D8)</f>
        <v>290</v>
      </c>
      <c r="E9" s="858">
        <f t="shared" si="6"/>
        <v>295</v>
      </c>
      <c r="F9" s="858">
        <f t="shared" si="6"/>
        <v>340</v>
      </c>
      <c r="G9" s="858">
        <f t="shared" si="6"/>
        <v>704</v>
      </c>
      <c r="H9" s="858">
        <f t="shared" si="6"/>
        <v>976</v>
      </c>
      <c r="I9" s="858">
        <f t="shared" si="6"/>
        <v>344</v>
      </c>
      <c r="J9" s="858">
        <f t="shared" si="6"/>
        <v>203</v>
      </c>
      <c r="K9" s="858">
        <f t="shared" si="6"/>
        <v>254</v>
      </c>
      <c r="L9" s="858">
        <f t="shared" si="6"/>
        <v>281</v>
      </c>
      <c r="M9" s="858">
        <f t="shared" si="6"/>
        <v>-42</v>
      </c>
      <c r="N9" s="858">
        <f t="shared" si="6"/>
        <v>203</v>
      </c>
      <c r="O9" s="858">
        <f>SUM(O5:O8)</f>
        <v>246</v>
      </c>
      <c r="P9" s="858">
        <f t="shared" si="6"/>
        <v>362</v>
      </c>
      <c r="Q9" s="858">
        <f t="shared" si="6"/>
        <v>547.64699999999993</v>
      </c>
      <c r="S9" s="859">
        <f>SUM(S5:S8)</f>
        <v>4078</v>
      </c>
      <c r="U9" s="859">
        <f>SUM(U5:U8)</f>
        <v>4166</v>
      </c>
      <c r="W9" s="859">
        <f t="shared" ref="W9:X9" si="7">SUM(W5:W8)</f>
        <v>2582</v>
      </c>
      <c r="X9" s="859">
        <f t="shared" si="7"/>
        <v>4309</v>
      </c>
      <c r="Y9" s="859">
        <f>SUM(Y5:Y8)</f>
        <v>4418.6469999999999</v>
      </c>
      <c r="AA9" s="859">
        <f t="shared" ref="AA9" si="8">SUM(AA5:AA8)</f>
        <v>801</v>
      </c>
      <c r="AB9" s="859">
        <f t="shared" ref="AB9" si="9">SUM(AB5:AB8)</f>
        <v>442</v>
      </c>
      <c r="AC9" s="859">
        <f t="shared" ref="AC9" si="10">SUM(AC5:AC8)</f>
        <v>1155.6469999999999</v>
      </c>
    </row>
    <row r="11" spans="1:29" x14ac:dyDescent="0.25">
      <c r="A11" s="853" t="s">
        <v>624</v>
      </c>
      <c r="B11" s="853"/>
    </row>
    <row r="12" spans="1:29" x14ac:dyDescent="0.25">
      <c r="A12" s="856" t="s">
        <v>625</v>
      </c>
      <c r="B12" s="856" t="s">
        <v>269</v>
      </c>
      <c r="C12" s="857">
        <f>7</f>
        <v>7</v>
      </c>
      <c r="D12" s="857">
        <f>1+7</f>
        <v>8</v>
      </c>
      <c r="E12" s="857">
        <f>7</f>
        <v>7</v>
      </c>
      <c r="F12" s="857">
        <f>1+7</f>
        <v>8</v>
      </c>
      <c r="G12" s="857">
        <v>7</v>
      </c>
      <c r="H12" s="857">
        <v>7</v>
      </c>
      <c r="I12" s="857">
        <v>6</v>
      </c>
      <c r="J12" s="857">
        <v>5</v>
      </c>
      <c r="K12" s="857">
        <f>6+2</f>
        <v>8</v>
      </c>
      <c r="L12" s="857">
        <v>5</v>
      </c>
      <c r="M12" s="857">
        <v>5</v>
      </c>
      <c r="N12" s="857">
        <v>5</v>
      </c>
      <c r="O12" s="857">
        <v>2</v>
      </c>
      <c r="P12" s="857">
        <v>5</v>
      </c>
      <c r="Q12" s="857">
        <v>3.6</v>
      </c>
      <c r="R12" s="860"/>
      <c r="S12" s="857">
        <f>SUM(C12:N12)</f>
        <v>78</v>
      </c>
      <c r="T12" s="860"/>
      <c r="U12" s="857">
        <f>SUM(E12:P12)</f>
        <v>70</v>
      </c>
      <c r="V12" s="860"/>
      <c r="W12" s="857">
        <f>'CL - Tables'!D137</f>
        <v>101</v>
      </c>
      <c r="X12" s="857">
        <f>'CL - Tables'!C137</f>
        <v>82</v>
      </c>
      <c r="Y12" s="857">
        <f t="shared" ref="Y12:Y24" si="11">SUM(F12:Q12)</f>
        <v>66.599999999999994</v>
      </c>
      <c r="AA12" s="857">
        <f t="shared" ref="AA12:AA24" si="12">SUM(I12:K12)</f>
        <v>19</v>
      </c>
      <c r="AB12" s="857">
        <f t="shared" ref="AB12:AB24" si="13">SUM(L12:N12)</f>
        <v>15</v>
      </c>
      <c r="AC12" s="857">
        <f t="shared" ref="AC12:AC24" si="14">SUM(O12:Q12)</f>
        <v>10.6</v>
      </c>
    </row>
    <row r="13" spans="1:29" x14ac:dyDescent="0.25">
      <c r="A13" s="856" t="s">
        <v>626</v>
      </c>
      <c r="B13" s="856" t="s">
        <v>269</v>
      </c>
      <c r="C13" s="857">
        <v>4</v>
      </c>
      <c r="D13" s="857">
        <v>4</v>
      </c>
      <c r="E13" s="857">
        <v>4</v>
      </c>
      <c r="F13" s="857">
        <v>4</v>
      </c>
      <c r="G13" s="857">
        <v>4</v>
      </c>
      <c r="H13" s="857">
        <v>4</v>
      </c>
      <c r="I13" s="857">
        <v>5</v>
      </c>
      <c r="J13" s="857">
        <v>5</v>
      </c>
      <c r="K13" s="857">
        <v>5</v>
      </c>
      <c r="L13" s="857">
        <v>5</v>
      </c>
      <c r="M13" s="857">
        <v>5</v>
      </c>
      <c r="N13" s="857">
        <v>5</v>
      </c>
      <c r="O13" s="857">
        <v>11</v>
      </c>
      <c r="P13" s="857">
        <v>11</v>
      </c>
      <c r="Q13" s="857">
        <v>0</v>
      </c>
      <c r="R13" s="860"/>
      <c r="S13" s="857">
        <f t="shared" ref="S13:S23" si="15">SUM(C13:N13)</f>
        <v>54</v>
      </c>
      <c r="T13" s="860"/>
      <c r="U13" s="857">
        <f t="shared" ref="U13:U24" si="16">SUM(E13:P13)</f>
        <v>68</v>
      </c>
      <c r="V13" s="860"/>
      <c r="W13" s="857">
        <f>'CL - Tables'!D138</f>
        <v>42</v>
      </c>
      <c r="X13" s="857">
        <f>'CL - Tables'!C138</f>
        <v>42</v>
      </c>
      <c r="Y13" s="857">
        <f t="shared" si="11"/>
        <v>64</v>
      </c>
      <c r="AA13" s="857">
        <f t="shared" si="12"/>
        <v>15</v>
      </c>
      <c r="AB13" s="857">
        <f t="shared" si="13"/>
        <v>15</v>
      </c>
      <c r="AC13" s="857">
        <f t="shared" si="14"/>
        <v>22</v>
      </c>
    </row>
    <row r="14" spans="1:29" x14ac:dyDescent="0.25">
      <c r="A14" s="856" t="s">
        <v>627</v>
      </c>
      <c r="B14" s="856" t="s">
        <v>269</v>
      </c>
      <c r="C14" s="860">
        <v>0</v>
      </c>
      <c r="D14" s="860">
        <v>0</v>
      </c>
      <c r="E14" s="860">
        <v>0</v>
      </c>
      <c r="F14" s="860">
        <v>0</v>
      </c>
      <c r="G14" s="860">
        <v>0</v>
      </c>
      <c r="H14" s="860">
        <v>0</v>
      </c>
      <c r="I14" s="857">
        <v>12</v>
      </c>
      <c r="J14" s="857">
        <v>4</v>
      </c>
      <c r="K14" s="857">
        <v>0</v>
      </c>
      <c r="L14" s="857">
        <v>1</v>
      </c>
      <c r="M14" s="860">
        <v>0</v>
      </c>
      <c r="N14" s="860">
        <v>0</v>
      </c>
      <c r="O14" s="857">
        <v>0</v>
      </c>
      <c r="P14" s="857">
        <v>0</v>
      </c>
      <c r="Q14" s="857">
        <v>0</v>
      </c>
      <c r="R14" s="860"/>
      <c r="S14" s="857">
        <f t="shared" si="15"/>
        <v>17</v>
      </c>
      <c r="T14" s="860"/>
      <c r="U14" s="857">
        <f t="shared" si="16"/>
        <v>17</v>
      </c>
      <c r="V14" s="860"/>
      <c r="W14" s="857">
        <f>'CL - Tables'!D139</f>
        <v>0</v>
      </c>
      <c r="X14" s="857">
        <f>'CL - Tables'!C139</f>
        <v>0</v>
      </c>
      <c r="Y14" s="857">
        <f t="shared" si="11"/>
        <v>17</v>
      </c>
      <c r="AA14" s="857">
        <f t="shared" si="12"/>
        <v>16</v>
      </c>
      <c r="AB14" s="857">
        <f t="shared" si="13"/>
        <v>1</v>
      </c>
      <c r="AC14" s="857">
        <f t="shared" si="14"/>
        <v>0</v>
      </c>
    </row>
    <row r="15" spans="1:29" x14ac:dyDescent="0.25">
      <c r="A15" s="856" t="s">
        <v>628</v>
      </c>
      <c r="B15" s="856" t="s">
        <v>885</v>
      </c>
      <c r="C15" s="857">
        <f>13+14</f>
        <v>27</v>
      </c>
      <c r="D15" s="857">
        <f>15+14</f>
        <v>29</v>
      </c>
      <c r="E15" s="857">
        <f>14+8</f>
        <v>22</v>
      </c>
      <c r="F15" s="857">
        <f>13+8</f>
        <v>21</v>
      </c>
      <c r="G15" s="857">
        <v>8</v>
      </c>
      <c r="H15" s="857">
        <v>11</v>
      </c>
      <c r="I15" s="857">
        <v>22</v>
      </c>
      <c r="J15" s="857">
        <v>0</v>
      </c>
      <c r="K15" s="857">
        <f>8+27</f>
        <v>35</v>
      </c>
      <c r="L15" s="857">
        <v>9</v>
      </c>
      <c r="M15" s="857">
        <v>0</v>
      </c>
      <c r="N15" s="857">
        <v>2</v>
      </c>
      <c r="O15" s="857">
        <v>1</v>
      </c>
      <c r="P15" s="857">
        <v>0</v>
      </c>
      <c r="Q15" s="857">
        <v>0</v>
      </c>
      <c r="R15" s="860"/>
      <c r="S15" s="857">
        <f t="shared" si="15"/>
        <v>186</v>
      </c>
      <c r="T15" s="860"/>
      <c r="U15" s="857">
        <f t="shared" si="16"/>
        <v>131</v>
      </c>
      <c r="V15" s="860"/>
      <c r="W15" s="857">
        <f>'CL - Tables'!D140</f>
        <v>0</v>
      </c>
      <c r="X15" s="857">
        <f>'CL - Tables'!C140</f>
        <v>228</v>
      </c>
      <c r="Y15" s="857">
        <f t="shared" si="11"/>
        <v>109</v>
      </c>
      <c r="AA15" s="857">
        <f t="shared" si="12"/>
        <v>57</v>
      </c>
      <c r="AB15" s="857">
        <f t="shared" si="13"/>
        <v>11</v>
      </c>
      <c r="AC15" s="857">
        <f t="shared" si="14"/>
        <v>1</v>
      </c>
    </row>
    <row r="16" spans="1:29" x14ac:dyDescent="0.25">
      <c r="A16" s="856" t="s">
        <v>629</v>
      </c>
      <c r="B16" s="856" t="s">
        <v>269</v>
      </c>
      <c r="C16" s="860">
        <v>0</v>
      </c>
      <c r="D16" s="860">
        <v>0</v>
      </c>
      <c r="E16" s="860">
        <v>0</v>
      </c>
      <c r="F16" s="860">
        <v>0</v>
      </c>
      <c r="G16" s="860">
        <v>0</v>
      </c>
      <c r="H16" s="860">
        <v>0</v>
      </c>
      <c r="I16" s="857">
        <v>18</v>
      </c>
      <c r="J16" s="857">
        <v>45</v>
      </c>
      <c r="K16" s="857">
        <v>44</v>
      </c>
      <c r="L16" s="857">
        <v>138</v>
      </c>
      <c r="M16" s="857">
        <v>138</v>
      </c>
      <c r="N16" s="857">
        <v>67</v>
      </c>
      <c r="O16" s="857">
        <v>0</v>
      </c>
      <c r="P16" s="857">
        <v>0</v>
      </c>
      <c r="Q16" s="857">
        <v>0</v>
      </c>
      <c r="R16" s="860"/>
      <c r="S16" s="857">
        <f t="shared" si="15"/>
        <v>450</v>
      </c>
      <c r="T16" s="860"/>
      <c r="U16" s="857">
        <f t="shared" si="16"/>
        <v>450</v>
      </c>
      <c r="V16" s="860"/>
      <c r="W16" s="857">
        <f>'CL - Tables'!D141</f>
        <v>0</v>
      </c>
      <c r="X16" s="857">
        <f>'CL - Tables'!C141</f>
        <v>0</v>
      </c>
      <c r="Y16" s="857">
        <f t="shared" si="11"/>
        <v>450</v>
      </c>
      <c r="AA16" s="857">
        <f t="shared" si="12"/>
        <v>107</v>
      </c>
      <c r="AB16" s="857">
        <f t="shared" si="13"/>
        <v>343</v>
      </c>
      <c r="AC16" s="857">
        <f t="shared" si="14"/>
        <v>0</v>
      </c>
    </row>
    <row r="17" spans="1:29" x14ac:dyDescent="0.25">
      <c r="A17" s="856" t="s">
        <v>630</v>
      </c>
      <c r="B17" s="856" t="s">
        <v>269</v>
      </c>
      <c r="C17" s="860">
        <v>0</v>
      </c>
      <c r="D17" s="860">
        <v>0</v>
      </c>
      <c r="E17" s="860">
        <v>0</v>
      </c>
      <c r="F17" s="860">
        <v>0</v>
      </c>
      <c r="G17" s="860">
        <v>0</v>
      </c>
      <c r="H17" s="860">
        <v>0</v>
      </c>
      <c r="I17" s="860">
        <v>0</v>
      </c>
      <c r="J17" s="860">
        <v>0</v>
      </c>
      <c r="K17" s="860">
        <v>0</v>
      </c>
      <c r="L17" s="860">
        <v>0</v>
      </c>
      <c r="M17" s="860">
        <v>0</v>
      </c>
      <c r="N17" s="860">
        <v>0</v>
      </c>
      <c r="O17" s="857">
        <v>0</v>
      </c>
      <c r="P17" s="857">
        <v>0</v>
      </c>
      <c r="Q17" s="857">
        <v>0</v>
      </c>
      <c r="R17" s="860"/>
      <c r="S17" s="857">
        <f t="shared" si="15"/>
        <v>0</v>
      </c>
      <c r="T17" s="860"/>
      <c r="U17" s="857">
        <f t="shared" si="16"/>
        <v>0</v>
      </c>
      <c r="V17" s="860"/>
      <c r="W17" s="857">
        <f>'CL - Tables'!D142</f>
        <v>331</v>
      </c>
      <c r="X17" s="857">
        <f>'CL - Tables'!C142</f>
        <v>0</v>
      </c>
      <c r="Y17" s="857">
        <f t="shared" si="11"/>
        <v>0</v>
      </c>
      <c r="AA17" s="857">
        <f t="shared" si="12"/>
        <v>0</v>
      </c>
      <c r="AB17" s="857">
        <f t="shared" si="13"/>
        <v>0</v>
      </c>
      <c r="AC17" s="857">
        <f t="shared" si="14"/>
        <v>0</v>
      </c>
    </row>
    <row r="18" spans="1:29" x14ac:dyDescent="0.25">
      <c r="A18" s="856" t="s">
        <v>631</v>
      </c>
      <c r="B18" s="856" t="s">
        <v>269</v>
      </c>
      <c r="C18" s="860">
        <v>0</v>
      </c>
      <c r="D18" s="860">
        <v>0</v>
      </c>
      <c r="E18" s="860">
        <v>0</v>
      </c>
      <c r="F18" s="857">
        <v>68</v>
      </c>
      <c r="G18" s="857">
        <v>68</v>
      </c>
      <c r="H18" s="857">
        <v>69</v>
      </c>
      <c r="I18" s="860">
        <v>0</v>
      </c>
      <c r="J18" s="860">
        <v>0</v>
      </c>
      <c r="K18" s="860">
        <v>0</v>
      </c>
      <c r="L18" s="860">
        <v>0</v>
      </c>
      <c r="M18" s="860">
        <v>0</v>
      </c>
      <c r="N18" s="860">
        <v>0</v>
      </c>
      <c r="O18" s="857">
        <v>0</v>
      </c>
      <c r="P18" s="857">
        <v>0</v>
      </c>
      <c r="Q18" s="857">
        <v>0</v>
      </c>
      <c r="R18" s="860"/>
      <c r="S18" s="857">
        <f t="shared" si="15"/>
        <v>205</v>
      </c>
      <c r="T18" s="860"/>
      <c r="U18" s="857">
        <f t="shared" si="16"/>
        <v>205</v>
      </c>
      <c r="V18" s="860"/>
      <c r="W18" s="857">
        <f>'CL - Tables'!D143</f>
        <v>0</v>
      </c>
      <c r="X18" s="857">
        <f>'CL - Tables'!C143</f>
        <v>205</v>
      </c>
      <c r="Y18" s="857">
        <f t="shared" si="11"/>
        <v>205</v>
      </c>
      <c r="AA18" s="857">
        <f t="shared" si="12"/>
        <v>0</v>
      </c>
      <c r="AB18" s="857">
        <f t="shared" si="13"/>
        <v>0</v>
      </c>
      <c r="AC18" s="857">
        <f t="shared" si="14"/>
        <v>0</v>
      </c>
    </row>
    <row r="19" spans="1:29" x14ac:dyDescent="0.25">
      <c r="A19" s="856" t="s">
        <v>632</v>
      </c>
      <c r="B19" s="856" t="s">
        <v>118</v>
      </c>
      <c r="C19" s="860">
        <v>0</v>
      </c>
      <c r="D19" s="860">
        <v>0</v>
      </c>
      <c r="E19" s="860">
        <v>0</v>
      </c>
      <c r="F19" s="860">
        <v>0</v>
      </c>
      <c r="G19" s="860">
        <v>0</v>
      </c>
      <c r="H19" s="860">
        <v>0</v>
      </c>
      <c r="I19" s="860">
        <v>0</v>
      </c>
      <c r="J19" s="860">
        <v>0</v>
      </c>
      <c r="K19" s="860">
        <v>0</v>
      </c>
      <c r="L19" s="860">
        <v>0</v>
      </c>
      <c r="M19" s="860">
        <v>0</v>
      </c>
      <c r="N19" s="860">
        <v>0</v>
      </c>
      <c r="O19" s="857">
        <v>0</v>
      </c>
      <c r="P19" s="857">
        <v>0</v>
      </c>
      <c r="Q19" s="857">
        <v>0</v>
      </c>
      <c r="R19" s="860"/>
      <c r="S19" s="857">
        <f t="shared" si="15"/>
        <v>0</v>
      </c>
      <c r="T19" s="860"/>
      <c r="U19" s="857">
        <f t="shared" si="16"/>
        <v>0</v>
      </c>
      <c r="V19" s="860"/>
      <c r="W19" s="857">
        <f>'CL - Tables'!D144</f>
        <v>0</v>
      </c>
      <c r="X19" s="857">
        <f>'CL - Tables'!C144</f>
        <v>277</v>
      </c>
      <c r="Y19" s="857">
        <f t="shared" si="11"/>
        <v>0</v>
      </c>
      <c r="AA19" s="857">
        <f t="shared" si="12"/>
        <v>0</v>
      </c>
      <c r="AB19" s="857">
        <f t="shared" si="13"/>
        <v>0</v>
      </c>
      <c r="AC19" s="857">
        <f t="shared" si="14"/>
        <v>0</v>
      </c>
    </row>
    <row r="20" spans="1:29" x14ac:dyDescent="0.25">
      <c r="A20" s="856" t="s">
        <v>633</v>
      </c>
      <c r="B20" s="856" t="s">
        <v>269</v>
      </c>
      <c r="C20" s="857">
        <v>5</v>
      </c>
      <c r="D20" s="857">
        <v>3</v>
      </c>
      <c r="E20" s="857">
        <v>1</v>
      </c>
      <c r="F20" s="857">
        <v>3</v>
      </c>
      <c r="G20" s="857">
        <v>7</v>
      </c>
      <c r="H20" s="857">
        <v>4</v>
      </c>
      <c r="I20" s="860">
        <v>0</v>
      </c>
      <c r="J20" s="860">
        <v>0</v>
      </c>
      <c r="K20" s="860">
        <v>0</v>
      </c>
      <c r="L20" s="860">
        <v>0</v>
      </c>
      <c r="M20" s="860">
        <v>0</v>
      </c>
      <c r="N20" s="860">
        <v>0</v>
      </c>
      <c r="O20" s="857">
        <v>0</v>
      </c>
      <c r="P20" s="857">
        <v>0</v>
      </c>
      <c r="Q20" s="857">
        <v>0</v>
      </c>
      <c r="R20" s="860"/>
      <c r="S20" s="857">
        <f t="shared" si="15"/>
        <v>23</v>
      </c>
      <c r="T20" s="860"/>
      <c r="U20" s="857">
        <f t="shared" si="16"/>
        <v>15</v>
      </c>
      <c r="V20" s="860"/>
      <c r="W20" s="857">
        <f>'CL - Tables'!D145</f>
        <v>46</v>
      </c>
      <c r="X20" s="857">
        <f>'CL - Tables'!C145</f>
        <v>34</v>
      </c>
      <c r="Y20" s="857">
        <f t="shared" si="11"/>
        <v>14</v>
      </c>
      <c r="AA20" s="857">
        <f t="shared" si="12"/>
        <v>0</v>
      </c>
      <c r="AB20" s="857">
        <f t="shared" si="13"/>
        <v>0</v>
      </c>
      <c r="AC20" s="857">
        <f t="shared" si="14"/>
        <v>0</v>
      </c>
    </row>
    <row r="21" spans="1:29" x14ac:dyDescent="0.25">
      <c r="A21" s="856" t="s">
        <v>634</v>
      </c>
      <c r="B21" s="856" t="s">
        <v>201</v>
      </c>
      <c r="C21" s="857">
        <v>0</v>
      </c>
      <c r="D21" s="857">
        <v>0</v>
      </c>
      <c r="E21" s="857">
        <v>0</v>
      </c>
      <c r="F21" s="857">
        <v>0</v>
      </c>
      <c r="G21" s="857">
        <v>124</v>
      </c>
      <c r="H21" s="857">
        <v>55</v>
      </c>
      <c r="I21" s="857">
        <v>0</v>
      </c>
      <c r="J21" s="857">
        <v>0</v>
      </c>
      <c r="K21" s="857">
        <v>0</v>
      </c>
      <c r="L21" s="857">
        <v>0</v>
      </c>
      <c r="M21" s="857">
        <v>0</v>
      </c>
      <c r="N21" s="857">
        <v>0</v>
      </c>
      <c r="O21" s="857">
        <v>0</v>
      </c>
      <c r="P21" s="857">
        <v>0</v>
      </c>
      <c r="Q21" s="857">
        <v>0</v>
      </c>
      <c r="R21" s="860"/>
      <c r="S21" s="857">
        <f t="shared" si="15"/>
        <v>179</v>
      </c>
      <c r="T21" s="860"/>
      <c r="U21" s="857">
        <f t="shared" si="16"/>
        <v>179</v>
      </c>
      <c r="V21" s="860"/>
      <c r="W21" s="857">
        <f>'CL - Tables'!D146</f>
        <v>176</v>
      </c>
      <c r="X21" s="857">
        <f>'CL - Tables'!C146</f>
        <v>297</v>
      </c>
      <c r="Y21" s="857">
        <f t="shared" si="11"/>
        <v>179</v>
      </c>
      <c r="AA21" s="857">
        <f t="shared" si="12"/>
        <v>0</v>
      </c>
      <c r="AB21" s="857">
        <f t="shared" si="13"/>
        <v>0</v>
      </c>
      <c r="AC21" s="857">
        <f t="shared" si="14"/>
        <v>0</v>
      </c>
    </row>
    <row r="22" spans="1:29" x14ac:dyDescent="0.25">
      <c r="A22" s="856" t="s">
        <v>635</v>
      </c>
      <c r="B22" s="856" t="s">
        <v>269</v>
      </c>
      <c r="C22" s="860">
        <v>0</v>
      </c>
      <c r="D22" s="860">
        <v>0</v>
      </c>
      <c r="E22" s="860">
        <v>0</v>
      </c>
      <c r="F22" s="860">
        <v>0</v>
      </c>
      <c r="G22" s="860">
        <v>0</v>
      </c>
      <c r="H22" s="860">
        <v>0</v>
      </c>
      <c r="I22" s="860">
        <v>0</v>
      </c>
      <c r="J22" s="860">
        <v>0</v>
      </c>
      <c r="K22" s="860">
        <v>0</v>
      </c>
      <c r="L22" s="857">
        <v>8</v>
      </c>
      <c r="M22" s="857">
        <v>12</v>
      </c>
      <c r="N22" s="857">
        <v>8</v>
      </c>
      <c r="O22" s="857">
        <v>0</v>
      </c>
      <c r="P22" s="857">
        <v>29</v>
      </c>
      <c r="Q22" s="857">
        <v>27</v>
      </c>
      <c r="R22" s="860"/>
      <c r="S22" s="857">
        <f t="shared" si="15"/>
        <v>28</v>
      </c>
      <c r="T22" s="860"/>
      <c r="U22" s="857">
        <f t="shared" si="16"/>
        <v>57</v>
      </c>
      <c r="V22" s="860"/>
      <c r="W22" s="857">
        <f>'CL - Tables'!D147</f>
        <v>0</v>
      </c>
      <c r="X22" s="857">
        <f>'CL - Tables'!C147</f>
        <v>0</v>
      </c>
      <c r="Y22" s="857">
        <f t="shared" si="11"/>
        <v>84</v>
      </c>
      <c r="AA22" s="857">
        <f t="shared" si="12"/>
        <v>0</v>
      </c>
      <c r="AB22" s="857">
        <f t="shared" si="13"/>
        <v>28</v>
      </c>
      <c r="AC22" s="857">
        <f t="shared" si="14"/>
        <v>56</v>
      </c>
    </row>
    <row r="23" spans="1:29" x14ac:dyDescent="0.25">
      <c r="A23" s="856" t="s">
        <v>636</v>
      </c>
      <c r="B23" s="856" t="s">
        <v>409</v>
      </c>
      <c r="C23" s="857">
        <v>9</v>
      </c>
      <c r="D23" s="857">
        <v>8</v>
      </c>
      <c r="E23" s="857">
        <v>9</v>
      </c>
      <c r="F23" s="857">
        <v>10</v>
      </c>
      <c r="G23" s="857">
        <v>7</v>
      </c>
      <c r="H23" s="857">
        <v>13</v>
      </c>
      <c r="I23" s="857">
        <v>10</v>
      </c>
      <c r="J23" s="857">
        <v>7</v>
      </c>
      <c r="K23" s="857">
        <v>6</v>
      </c>
      <c r="L23" s="857">
        <v>6</v>
      </c>
      <c r="M23" s="857">
        <v>7</v>
      </c>
      <c r="N23" s="857">
        <v>4</v>
      </c>
      <c r="O23" s="857">
        <v>0</v>
      </c>
      <c r="P23" s="857">
        <v>0</v>
      </c>
      <c r="Q23" s="857">
        <v>0</v>
      </c>
      <c r="R23" s="860"/>
      <c r="S23" s="857">
        <f t="shared" si="15"/>
        <v>96</v>
      </c>
      <c r="T23" s="860"/>
      <c r="U23" s="857">
        <f t="shared" si="16"/>
        <v>79</v>
      </c>
      <c r="V23" s="860"/>
      <c r="W23" s="857">
        <f>'CL - Tables'!D148</f>
        <v>109</v>
      </c>
      <c r="X23" s="857">
        <f>'CL - Tables'!C148</f>
        <v>105</v>
      </c>
      <c r="Y23" s="857">
        <f t="shared" si="11"/>
        <v>70</v>
      </c>
      <c r="AA23" s="857">
        <f t="shared" si="12"/>
        <v>23</v>
      </c>
      <c r="AB23" s="857">
        <f t="shared" si="13"/>
        <v>17</v>
      </c>
      <c r="AC23" s="857">
        <f t="shared" si="14"/>
        <v>0</v>
      </c>
    </row>
    <row r="24" spans="1:29" x14ac:dyDescent="0.25">
      <c r="A24" s="856" t="s">
        <v>637</v>
      </c>
      <c r="B24" s="856" t="s">
        <v>269</v>
      </c>
      <c r="C24" s="862">
        <f>'CL- R&amp;D'!B17</f>
        <v>65</v>
      </c>
      <c r="D24" s="862">
        <f>'CL- R&amp;D'!C17</f>
        <v>63</v>
      </c>
      <c r="E24" s="862">
        <f>'CL- R&amp;D'!D17</f>
        <v>133</v>
      </c>
      <c r="F24" s="862">
        <f>'CL- R&amp;D'!E17</f>
        <v>67</v>
      </c>
      <c r="G24" s="862">
        <f>'CL- R&amp;D'!F17</f>
        <v>43</v>
      </c>
      <c r="H24" s="862">
        <f>'CL- R&amp;D'!G17</f>
        <v>25</v>
      </c>
      <c r="I24" s="862">
        <f>'CL- R&amp;D'!H17</f>
        <v>99</v>
      </c>
      <c r="J24" s="862">
        <f>'CL- R&amp;D'!I17</f>
        <v>63</v>
      </c>
      <c r="K24" s="862">
        <f>'CL- R&amp;D'!J17</f>
        <v>25</v>
      </c>
      <c r="L24" s="862">
        <f>'CL- R&amp;D'!K17</f>
        <v>55</v>
      </c>
      <c r="M24" s="862">
        <f>'CL- R&amp;D'!L17</f>
        <v>110</v>
      </c>
      <c r="N24" s="862">
        <f>'CL- R&amp;D'!M17</f>
        <v>25</v>
      </c>
      <c r="O24" s="862">
        <f>'CL- R&amp;D'!N17</f>
        <v>59</v>
      </c>
      <c r="P24" s="862">
        <f>'CL- R&amp;D'!O17</f>
        <v>118</v>
      </c>
      <c r="Q24" s="857">
        <v>118.5</v>
      </c>
      <c r="R24" s="860"/>
      <c r="S24" s="857">
        <f>SUM(C24:N24)</f>
        <v>773</v>
      </c>
      <c r="T24" s="860"/>
      <c r="U24" s="857">
        <f t="shared" si="16"/>
        <v>822</v>
      </c>
      <c r="V24" s="860"/>
      <c r="W24" s="1126" t="s">
        <v>638</v>
      </c>
      <c r="X24" s="1126" t="s">
        <v>638</v>
      </c>
      <c r="Y24" s="857">
        <f t="shared" si="11"/>
        <v>807.5</v>
      </c>
      <c r="AA24" s="1126">
        <f t="shared" si="12"/>
        <v>187</v>
      </c>
      <c r="AB24" s="1126">
        <f t="shared" si="13"/>
        <v>190</v>
      </c>
      <c r="AC24" s="1126">
        <f t="shared" si="14"/>
        <v>295.5</v>
      </c>
    </row>
    <row r="25" spans="1:29" x14ac:dyDescent="0.25">
      <c r="A25" s="864" t="s">
        <v>639</v>
      </c>
      <c r="B25" s="864"/>
      <c r="C25" s="858">
        <f>SUM(C12:C24)</f>
        <v>117</v>
      </c>
      <c r="D25" s="858">
        <f t="shared" ref="D25:Q25" si="17">SUM(D12:D24)</f>
        <v>115</v>
      </c>
      <c r="E25" s="858">
        <f t="shared" si="17"/>
        <v>176</v>
      </c>
      <c r="F25" s="858">
        <f t="shared" si="17"/>
        <v>181</v>
      </c>
      <c r="G25" s="858">
        <f t="shared" si="17"/>
        <v>268</v>
      </c>
      <c r="H25" s="858">
        <f t="shared" si="17"/>
        <v>188</v>
      </c>
      <c r="I25" s="858">
        <f t="shared" si="17"/>
        <v>172</v>
      </c>
      <c r="J25" s="858">
        <f t="shared" si="17"/>
        <v>129</v>
      </c>
      <c r="K25" s="858">
        <f t="shared" si="17"/>
        <v>123</v>
      </c>
      <c r="L25" s="858">
        <f t="shared" si="17"/>
        <v>227</v>
      </c>
      <c r="M25" s="858">
        <f t="shared" si="17"/>
        <v>277</v>
      </c>
      <c r="N25" s="858">
        <f t="shared" si="17"/>
        <v>116</v>
      </c>
      <c r="O25" s="858">
        <f>SUM(O12:O24)</f>
        <v>73</v>
      </c>
      <c r="P25" s="858">
        <f t="shared" si="17"/>
        <v>163</v>
      </c>
      <c r="Q25" s="858">
        <f t="shared" si="17"/>
        <v>149.1</v>
      </c>
      <c r="R25" s="854"/>
      <c r="S25" s="858">
        <f>SUM(S12:S24)</f>
        <v>2089</v>
      </c>
      <c r="T25" s="854"/>
      <c r="U25" s="858">
        <f>SUM(U12:U24)</f>
        <v>2093</v>
      </c>
      <c r="V25" s="854"/>
      <c r="W25" s="858">
        <f t="shared" ref="W25:X25" si="18">SUM(W12:W24)</f>
        <v>805</v>
      </c>
      <c r="X25" s="858">
        <f t="shared" si="18"/>
        <v>1270</v>
      </c>
      <c r="Y25" s="858">
        <f>SUM(Y12:Y24)</f>
        <v>2066.1</v>
      </c>
      <c r="AA25" s="858">
        <f t="shared" ref="AA25" si="19">SUM(AA12:AA24)</f>
        <v>424</v>
      </c>
      <c r="AB25" s="858">
        <f t="shared" ref="AB25" si="20">SUM(AB12:AB24)</f>
        <v>620</v>
      </c>
      <c r="AC25" s="858">
        <f t="shared" ref="AC25" si="21">SUM(AC12:AC24)</f>
        <v>385.1</v>
      </c>
    </row>
    <row r="27" spans="1:29" x14ac:dyDescent="0.25">
      <c r="A27" s="853" t="s">
        <v>640</v>
      </c>
      <c r="B27" s="853"/>
    </row>
    <row r="28" spans="1:29" x14ac:dyDescent="0.25">
      <c r="A28" s="865" t="s">
        <v>641</v>
      </c>
      <c r="B28" s="856" t="s">
        <v>269</v>
      </c>
      <c r="C28" s="860">
        <v>0</v>
      </c>
      <c r="D28" s="860">
        <v>0</v>
      </c>
      <c r="E28" s="849">
        <v>1</v>
      </c>
      <c r="F28" s="860">
        <v>0</v>
      </c>
      <c r="G28" s="860">
        <v>0</v>
      </c>
      <c r="H28" s="849">
        <v>1</v>
      </c>
      <c r="I28" s="860">
        <v>0</v>
      </c>
      <c r="J28" s="860">
        <v>0</v>
      </c>
      <c r="K28" s="849">
        <v>1</v>
      </c>
      <c r="L28" s="860">
        <v>0</v>
      </c>
      <c r="M28" s="860">
        <v>0</v>
      </c>
      <c r="N28" s="849">
        <v>1</v>
      </c>
      <c r="O28" s="860">
        <v>0</v>
      </c>
      <c r="P28" s="860">
        <v>0</v>
      </c>
      <c r="Q28" s="860">
        <v>0</v>
      </c>
      <c r="S28" s="861">
        <f>SUM(C28:N28)</f>
        <v>4</v>
      </c>
      <c r="U28" s="857">
        <f>SUM(E28:P28)</f>
        <v>4</v>
      </c>
      <c r="W28" s="857">
        <f>'CL - Tables'!D158</f>
        <v>4</v>
      </c>
      <c r="X28" s="857">
        <f>'CL - Tables'!C158</f>
        <v>4</v>
      </c>
      <c r="Y28" s="857">
        <f t="shared" ref="Y28:Y35" si="22">SUM(F28:Q28)</f>
        <v>3</v>
      </c>
      <c r="AA28" s="857">
        <f t="shared" ref="AA28:AA35" si="23">SUM(I28:K28)</f>
        <v>1</v>
      </c>
      <c r="AB28" s="857">
        <f t="shared" ref="AB28:AB35" si="24">SUM(L28:N28)</f>
        <v>1</v>
      </c>
      <c r="AC28" s="857">
        <f t="shared" ref="AC28:AC35" si="25">SUM(O28:Q28)</f>
        <v>0</v>
      </c>
    </row>
    <row r="29" spans="1:29" x14ac:dyDescent="0.25">
      <c r="A29" s="856" t="s">
        <v>629</v>
      </c>
      <c r="B29" s="856" t="s">
        <v>215</v>
      </c>
      <c r="C29" s="860">
        <v>0</v>
      </c>
      <c r="D29" s="860">
        <v>0</v>
      </c>
      <c r="E29" s="860">
        <v>0</v>
      </c>
      <c r="F29" s="860">
        <v>0</v>
      </c>
      <c r="G29" s="860">
        <v>0</v>
      </c>
      <c r="H29" s="860">
        <v>0</v>
      </c>
      <c r="I29" s="857">
        <v>-40</v>
      </c>
      <c r="J29" s="857">
        <v>-40</v>
      </c>
      <c r="K29" s="857">
        <v>-40</v>
      </c>
      <c r="L29" s="857">
        <v>-40</v>
      </c>
      <c r="M29" s="857">
        <v>-40</v>
      </c>
      <c r="N29" s="857">
        <v>-38</v>
      </c>
      <c r="O29" s="860">
        <v>0</v>
      </c>
      <c r="P29" s="860">
        <v>0</v>
      </c>
      <c r="Q29" s="860">
        <v>0</v>
      </c>
      <c r="S29" s="861">
        <f t="shared" ref="S29:S35" si="26">SUM(C29:N29)</f>
        <v>-238</v>
      </c>
      <c r="U29" s="857">
        <f t="shared" ref="U29:U35" si="27">SUM(E29:P29)</f>
        <v>-238</v>
      </c>
      <c r="W29" s="857">
        <f>'CL - Tables'!D159</f>
        <v>0</v>
      </c>
      <c r="X29" s="857">
        <f>'CL - Tables'!C159</f>
        <v>0</v>
      </c>
      <c r="Y29" s="857">
        <f t="shared" si="22"/>
        <v>-238</v>
      </c>
      <c r="AA29" s="857">
        <f t="shared" si="23"/>
        <v>-120</v>
      </c>
      <c r="AB29" s="857">
        <f t="shared" si="24"/>
        <v>-118</v>
      </c>
      <c r="AC29" s="857">
        <f t="shared" si="25"/>
        <v>0</v>
      </c>
    </row>
    <row r="30" spans="1:29" x14ac:dyDescent="0.25">
      <c r="A30" s="856" t="s">
        <v>642</v>
      </c>
      <c r="B30" s="856" t="s">
        <v>215</v>
      </c>
      <c r="C30" s="857">
        <f>19+1</f>
        <v>20</v>
      </c>
      <c r="D30" s="857">
        <f>10+7</f>
        <v>17</v>
      </c>
      <c r="E30" s="857">
        <v>10</v>
      </c>
      <c r="F30" s="857">
        <f>10+20+12</f>
        <v>42</v>
      </c>
      <c r="G30" s="857">
        <f>20+5</f>
        <v>25</v>
      </c>
      <c r="H30" s="857">
        <f>20+4</f>
        <v>24</v>
      </c>
      <c r="I30" s="857">
        <f>20+6</f>
        <v>26</v>
      </c>
      <c r="J30" s="857">
        <v>7</v>
      </c>
      <c r="K30" s="857">
        <v>0</v>
      </c>
      <c r="L30" s="857">
        <v>0</v>
      </c>
      <c r="M30" s="857">
        <v>0</v>
      </c>
      <c r="N30" s="857">
        <v>0</v>
      </c>
      <c r="O30" s="860">
        <v>0</v>
      </c>
      <c r="P30" s="860">
        <v>0</v>
      </c>
      <c r="Q30" s="860">
        <v>0</v>
      </c>
      <c r="R30" s="857"/>
      <c r="S30" s="861">
        <f t="shared" si="26"/>
        <v>171</v>
      </c>
      <c r="U30" s="857">
        <f t="shared" si="27"/>
        <v>134</v>
      </c>
      <c r="W30" s="857">
        <f>'CL - Tables'!D160</f>
        <v>0</v>
      </c>
      <c r="X30" s="857">
        <f>'CL - Tables'!C160</f>
        <v>140</v>
      </c>
      <c r="Y30" s="857">
        <f t="shared" si="22"/>
        <v>124</v>
      </c>
      <c r="AA30" s="857">
        <f t="shared" si="23"/>
        <v>33</v>
      </c>
      <c r="AB30" s="857">
        <f t="shared" si="24"/>
        <v>0</v>
      </c>
      <c r="AC30" s="857">
        <f t="shared" si="25"/>
        <v>0</v>
      </c>
    </row>
    <row r="31" spans="1:29" x14ac:dyDescent="0.25">
      <c r="A31" s="856" t="s">
        <v>632</v>
      </c>
      <c r="B31" s="856" t="s">
        <v>26</v>
      </c>
      <c r="C31" s="860">
        <v>0</v>
      </c>
      <c r="D31" s="860">
        <v>0</v>
      </c>
      <c r="E31" s="860">
        <v>0</v>
      </c>
      <c r="F31" s="860">
        <v>0</v>
      </c>
      <c r="G31" s="860">
        <v>0</v>
      </c>
      <c r="H31" s="860">
        <v>0</v>
      </c>
      <c r="I31" s="860">
        <v>0</v>
      </c>
      <c r="J31" s="860">
        <v>0</v>
      </c>
      <c r="K31" s="860">
        <v>0</v>
      </c>
      <c r="L31" s="860">
        <v>0</v>
      </c>
      <c r="M31" s="860">
        <v>0</v>
      </c>
      <c r="N31" s="860">
        <v>0</v>
      </c>
      <c r="O31" s="860">
        <v>0</v>
      </c>
      <c r="P31" s="860">
        <v>0</v>
      </c>
      <c r="Q31" s="860">
        <v>0</v>
      </c>
      <c r="S31" s="861">
        <f t="shared" si="26"/>
        <v>0</v>
      </c>
      <c r="U31" s="857">
        <f t="shared" si="27"/>
        <v>0</v>
      </c>
      <c r="W31" s="857">
        <f>'CL - Tables'!D161</f>
        <v>0</v>
      </c>
      <c r="X31" s="857">
        <f>'CL - Tables'!C161</f>
        <v>-277</v>
      </c>
      <c r="Y31" s="857">
        <f t="shared" si="22"/>
        <v>0</v>
      </c>
      <c r="AA31" s="857">
        <f t="shared" si="23"/>
        <v>0</v>
      </c>
      <c r="AB31" s="857">
        <f t="shared" si="24"/>
        <v>0</v>
      </c>
      <c r="AC31" s="857">
        <f t="shared" si="25"/>
        <v>0</v>
      </c>
    </row>
    <row r="32" spans="1:29" x14ac:dyDescent="0.25">
      <c r="A32" s="856" t="s">
        <v>643</v>
      </c>
      <c r="B32" s="856" t="s">
        <v>215</v>
      </c>
      <c r="C32" s="860">
        <v>0</v>
      </c>
      <c r="D32" s="860">
        <v>0</v>
      </c>
      <c r="E32" s="860">
        <v>0</v>
      </c>
      <c r="F32" s="860">
        <v>0</v>
      </c>
      <c r="G32" s="860">
        <v>0</v>
      </c>
      <c r="H32" s="860">
        <v>0</v>
      </c>
      <c r="I32" s="860">
        <v>0</v>
      </c>
      <c r="J32" s="860">
        <v>0</v>
      </c>
      <c r="K32" s="860">
        <v>0</v>
      </c>
      <c r="L32" s="860">
        <v>0</v>
      </c>
      <c r="M32" s="860">
        <v>0</v>
      </c>
      <c r="N32" s="860">
        <v>0</v>
      </c>
      <c r="O32" s="860">
        <v>0</v>
      </c>
      <c r="P32" s="860">
        <v>0</v>
      </c>
      <c r="Q32" s="860">
        <v>0</v>
      </c>
      <c r="S32" s="861">
        <f t="shared" si="26"/>
        <v>0</v>
      </c>
      <c r="U32" s="857">
        <f t="shared" si="27"/>
        <v>0</v>
      </c>
      <c r="W32" s="857">
        <f>'CL - Tables'!D162</f>
        <v>0</v>
      </c>
      <c r="X32" s="857">
        <f>'CL - Tables'!C162</f>
        <v>47</v>
      </c>
      <c r="Y32" s="857">
        <f t="shared" si="22"/>
        <v>0</v>
      </c>
      <c r="AA32" s="857">
        <f t="shared" si="23"/>
        <v>0</v>
      </c>
      <c r="AB32" s="857">
        <f t="shared" si="24"/>
        <v>0</v>
      </c>
      <c r="AC32" s="857">
        <f t="shared" si="25"/>
        <v>0</v>
      </c>
    </row>
    <row r="33" spans="1:29" x14ac:dyDescent="0.25">
      <c r="A33" s="856" t="s">
        <v>634</v>
      </c>
      <c r="B33" s="856" t="s">
        <v>215</v>
      </c>
      <c r="C33" s="863">
        <f>-C21</f>
        <v>0</v>
      </c>
      <c r="D33" s="863">
        <f t="shared" ref="D33:N33" si="28">-D21</f>
        <v>0</v>
      </c>
      <c r="E33" s="863">
        <f t="shared" si="28"/>
        <v>0</v>
      </c>
      <c r="F33" s="863">
        <f t="shared" si="28"/>
        <v>0</v>
      </c>
      <c r="G33" s="861">
        <v>-62</v>
      </c>
      <c r="H33" s="861">
        <v>-27</v>
      </c>
      <c r="I33" s="863">
        <f t="shared" si="28"/>
        <v>0</v>
      </c>
      <c r="J33" s="863">
        <f t="shared" si="28"/>
        <v>0</v>
      </c>
      <c r="K33" s="863">
        <f t="shared" si="28"/>
        <v>0</v>
      </c>
      <c r="L33" s="863">
        <f t="shared" si="28"/>
        <v>0</v>
      </c>
      <c r="M33" s="863">
        <f t="shared" si="28"/>
        <v>0</v>
      </c>
      <c r="N33" s="863">
        <f t="shared" si="28"/>
        <v>0</v>
      </c>
      <c r="O33" s="860">
        <v>0</v>
      </c>
      <c r="P33" s="860">
        <v>0</v>
      </c>
      <c r="Q33" s="860">
        <v>0</v>
      </c>
      <c r="S33" s="861">
        <f t="shared" si="26"/>
        <v>-89</v>
      </c>
      <c r="U33" s="857">
        <f t="shared" si="27"/>
        <v>-89</v>
      </c>
      <c r="W33" s="857">
        <f>'CL - Tables'!D163</f>
        <v>-88</v>
      </c>
      <c r="X33" s="857">
        <f>'CL - Tables'!C163</f>
        <v>-149</v>
      </c>
      <c r="Y33" s="857">
        <f t="shared" si="22"/>
        <v>-89</v>
      </c>
      <c r="AA33" s="857">
        <f t="shared" si="23"/>
        <v>0</v>
      </c>
      <c r="AB33" s="857">
        <f t="shared" si="24"/>
        <v>0</v>
      </c>
      <c r="AC33" s="857">
        <f t="shared" si="25"/>
        <v>0</v>
      </c>
    </row>
    <row r="34" spans="1:29" x14ac:dyDescent="0.25">
      <c r="A34" s="856" t="s">
        <v>636</v>
      </c>
      <c r="B34" s="856" t="s">
        <v>331</v>
      </c>
      <c r="C34" s="861">
        <f>-C23</f>
        <v>-9</v>
      </c>
      <c r="D34" s="861">
        <f t="shared" ref="D34:N34" si="29">-D23</f>
        <v>-8</v>
      </c>
      <c r="E34" s="861">
        <f t="shared" si="29"/>
        <v>-9</v>
      </c>
      <c r="F34" s="861">
        <f t="shared" si="29"/>
        <v>-10</v>
      </c>
      <c r="G34" s="861">
        <f t="shared" si="29"/>
        <v>-7</v>
      </c>
      <c r="H34" s="861">
        <f t="shared" si="29"/>
        <v>-13</v>
      </c>
      <c r="I34" s="861">
        <f t="shared" si="29"/>
        <v>-10</v>
      </c>
      <c r="J34" s="861">
        <f t="shared" si="29"/>
        <v>-7</v>
      </c>
      <c r="K34" s="861">
        <f t="shared" si="29"/>
        <v>-6</v>
      </c>
      <c r="L34" s="861">
        <f t="shared" si="29"/>
        <v>-6</v>
      </c>
      <c r="M34" s="861">
        <f t="shared" si="29"/>
        <v>-7</v>
      </c>
      <c r="N34" s="861">
        <f t="shared" si="29"/>
        <v>-4</v>
      </c>
      <c r="O34" s="860">
        <v>0</v>
      </c>
      <c r="P34" s="860">
        <v>0</v>
      </c>
      <c r="Q34" s="860">
        <v>0</v>
      </c>
      <c r="S34" s="861">
        <f t="shared" si="26"/>
        <v>-96</v>
      </c>
      <c r="U34" s="857">
        <f t="shared" si="27"/>
        <v>-79</v>
      </c>
      <c r="W34" s="857">
        <f>'CL - Tables'!D164</f>
        <v>-109</v>
      </c>
      <c r="X34" s="857">
        <f>'CL - Tables'!C164</f>
        <v>-105</v>
      </c>
      <c r="Y34" s="857">
        <f t="shared" si="22"/>
        <v>-70</v>
      </c>
      <c r="AA34" s="857">
        <f t="shared" si="23"/>
        <v>-23</v>
      </c>
      <c r="AB34" s="857">
        <f t="shared" si="24"/>
        <v>-17</v>
      </c>
      <c r="AC34" s="857">
        <f t="shared" si="25"/>
        <v>0</v>
      </c>
    </row>
    <row r="35" spans="1:29" x14ac:dyDescent="0.25">
      <c r="A35" s="856" t="s">
        <v>637</v>
      </c>
      <c r="B35" s="856" t="s">
        <v>201</v>
      </c>
      <c r="C35" s="862">
        <f>'CL- R&amp;D'!B19</f>
        <v>-65</v>
      </c>
      <c r="D35" s="862">
        <f>'CL- R&amp;D'!C19</f>
        <v>-63</v>
      </c>
      <c r="E35" s="862">
        <f>'CL- R&amp;D'!D19</f>
        <v>-79</v>
      </c>
      <c r="F35" s="862">
        <f>'CL- R&amp;D'!E19</f>
        <v>-67</v>
      </c>
      <c r="G35" s="862">
        <f>'CL- R&amp;D'!F19</f>
        <v>-43</v>
      </c>
      <c r="H35" s="862">
        <f>'CL- R&amp;D'!G19</f>
        <v>-23</v>
      </c>
      <c r="I35" s="862">
        <f>'CL- R&amp;D'!H19</f>
        <v>-79</v>
      </c>
      <c r="J35" s="862">
        <f>'CL- R&amp;D'!I19</f>
        <v>-63</v>
      </c>
      <c r="K35" s="862">
        <f>'CL- R&amp;D'!J19</f>
        <v>-25</v>
      </c>
      <c r="L35" s="862">
        <f>'CL- R&amp;D'!K19</f>
        <v>-55</v>
      </c>
      <c r="M35" s="862">
        <f>'CL- R&amp;D'!L19</f>
        <v>99</v>
      </c>
      <c r="N35" s="862">
        <f>'CL- R&amp;D'!M19</f>
        <v>-25</v>
      </c>
      <c r="O35" s="862">
        <f>'CL- R&amp;D'!N19</f>
        <v>-59</v>
      </c>
      <c r="P35" s="862">
        <f>'CL- R&amp;D'!O19</f>
        <v>-77</v>
      </c>
      <c r="Q35" s="862">
        <f>P35/(P24)*Q24</f>
        <v>-77.326271186440678</v>
      </c>
      <c r="S35" s="861">
        <f t="shared" si="26"/>
        <v>-488</v>
      </c>
      <c r="U35" s="857">
        <f t="shared" si="27"/>
        <v>-496</v>
      </c>
      <c r="W35" s="1126" t="s">
        <v>638</v>
      </c>
      <c r="X35" s="1126" t="s">
        <v>638</v>
      </c>
      <c r="Y35" s="857">
        <f t="shared" si="22"/>
        <v>-494.32627118644069</v>
      </c>
      <c r="AA35" s="1126">
        <f t="shared" si="23"/>
        <v>-167</v>
      </c>
      <c r="AB35" s="1126">
        <f t="shared" si="24"/>
        <v>19</v>
      </c>
      <c r="AC35" s="1126">
        <f t="shared" si="25"/>
        <v>-213.32627118644069</v>
      </c>
    </row>
    <row r="36" spans="1:29" x14ac:dyDescent="0.25">
      <c r="A36" s="853" t="s">
        <v>644</v>
      </c>
      <c r="B36" s="853"/>
      <c r="C36" s="858">
        <f>SUM(C28:C35)</f>
        <v>-54</v>
      </c>
      <c r="D36" s="858">
        <f t="shared" ref="D36:Q36" si="30">SUM(D28:D35)</f>
        <v>-54</v>
      </c>
      <c r="E36" s="858">
        <f t="shared" si="30"/>
        <v>-77</v>
      </c>
      <c r="F36" s="858">
        <f t="shared" si="30"/>
        <v>-35</v>
      </c>
      <c r="G36" s="858">
        <f t="shared" si="30"/>
        <v>-87</v>
      </c>
      <c r="H36" s="858">
        <f t="shared" si="30"/>
        <v>-38</v>
      </c>
      <c r="I36" s="858">
        <f t="shared" si="30"/>
        <v>-103</v>
      </c>
      <c r="J36" s="858">
        <f t="shared" si="30"/>
        <v>-103</v>
      </c>
      <c r="K36" s="858">
        <f t="shared" si="30"/>
        <v>-70</v>
      </c>
      <c r="L36" s="858">
        <f t="shared" si="30"/>
        <v>-101</v>
      </c>
      <c r="M36" s="858">
        <f t="shared" si="30"/>
        <v>52</v>
      </c>
      <c r="N36" s="858">
        <f t="shared" si="30"/>
        <v>-66</v>
      </c>
      <c r="O36" s="858">
        <f t="shared" si="30"/>
        <v>-59</v>
      </c>
      <c r="P36" s="858">
        <f t="shared" si="30"/>
        <v>-77</v>
      </c>
      <c r="Q36" s="858">
        <f t="shared" si="30"/>
        <v>-77.326271186440678</v>
      </c>
      <c r="R36" s="855"/>
      <c r="S36" s="858">
        <f>SUM(S28:S35)</f>
        <v>-736</v>
      </c>
      <c r="T36" s="855"/>
      <c r="U36" s="858">
        <f>SUM(U28:U35)</f>
        <v>-764</v>
      </c>
      <c r="V36" s="855"/>
      <c r="W36" s="858">
        <f t="shared" ref="W36:X36" si="31">SUM(W28:W35)</f>
        <v>-193</v>
      </c>
      <c r="X36" s="858">
        <f t="shared" si="31"/>
        <v>-340</v>
      </c>
      <c r="Y36" s="858">
        <f>SUM(Y28:Y35)</f>
        <v>-764.32627118644064</v>
      </c>
      <c r="AA36" s="858">
        <f t="shared" ref="AA36" si="32">SUM(AA28:AA35)</f>
        <v>-276</v>
      </c>
      <c r="AB36" s="858">
        <f t="shared" ref="AB36" si="33">SUM(AB28:AB35)</f>
        <v>-115</v>
      </c>
      <c r="AC36" s="858">
        <f t="shared" ref="AC36" si="34">SUM(AC28:AC35)</f>
        <v>-213.32627118644069</v>
      </c>
    </row>
    <row r="39" spans="1:29" ht="15.75" thickBot="1" x14ac:dyDescent="0.3">
      <c r="A39" s="866" t="s">
        <v>70</v>
      </c>
      <c r="B39" s="866"/>
      <c r="C39" s="867">
        <f t="shared" ref="C39:N39" si="35">C9+C25+C36</f>
        <v>293</v>
      </c>
      <c r="D39" s="867">
        <f t="shared" si="35"/>
        <v>351</v>
      </c>
      <c r="E39" s="867">
        <f t="shared" si="35"/>
        <v>394</v>
      </c>
      <c r="F39" s="867">
        <f t="shared" si="35"/>
        <v>486</v>
      </c>
      <c r="G39" s="867">
        <f t="shared" si="35"/>
        <v>885</v>
      </c>
      <c r="H39" s="867">
        <f t="shared" si="35"/>
        <v>1126</v>
      </c>
      <c r="I39" s="867">
        <f t="shared" si="35"/>
        <v>413</v>
      </c>
      <c r="J39" s="867">
        <f t="shared" si="35"/>
        <v>229</v>
      </c>
      <c r="K39" s="867">
        <f t="shared" si="35"/>
        <v>307</v>
      </c>
      <c r="L39" s="867">
        <f t="shared" si="35"/>
        <v>407</v>
      </c>
      <c r="M39" s="867">
        <f t="shared" si="35"/>
        <v>287</v>
      </c>
      <c r="N39" s="867">
        <f t="shared" si="35"/>
        <v>253</v>
      </c>
      <c r="O39" s="867">
        <f>O9+O25+O36</f>
        <v>260</v>
      </c>
      <c r="P39" s="867">
        <f>P9+P25+P36</f>
        <v>448</v>
      </c>
      <c r="Q39" s="867">
        <f>Q9+Q25+Q36</f>
        <v>619.42072881355932</v>
      </c>
      <c r="R39" s="868"/>
      <c r="S39" s="867">
        <f>S9+S25+S36</f>
        <v>5431</v>
      </c>
      <c r="T39" s="853"/>
      <c r="U39" s="867">
        <f>U9+U25+U36</f>
        <v>5495</v>
      </c>
      <c r="V39" s="853"/>
      <c r="W39" s="867">
        <f t="shared" ref="W39:X39" si="36">W9+W25+W36</f>
        <v>3194</v>
      </c>
      <c r="X39" s="867">
        <f t="shared" si="36"/>
        <v>5239</v>
      </c>
      <c r="Y39" s="867">
        <f>Y9+Y25+Y36</f>
        <v>5720.4207288135585</v>
      </c>
      <c r="AA39" s="867">
        <f t="shared" ref="AA39:AC39" si="37">AA9+AA25+AA36</f>
        <v>949</v>
      </c>
      <c r="AB39" s="867">
        <f t="shared" si="37"/>
        <v>947</v>
      </c>
      <c r="AC39" s="867">
        <f t="shared" si="37"/>
        <v>1327.4207288135592</v>
      </c>
    </row>
    <row r="40" spans="1:29" ht="15.75" thickTop="1" x14ac:dyDescent="0.25">
      <c r="Q40" s="855"/>
    </row>
    <row r="41" spans="1:29" x14ac:dyDescent="0.25">
      <c r="W41" s="1197">
        <f>'Summary Income Statement'!F57-'CL - Aug15 LTM QE'!W39</f>
        <v>0.20600000000104046</v>
      </c>
      <c r="X41" s="1197">
        <f>'Summary Income Statement'!G57-'CL - Aug15 LTM QE'!X39</f>
        <v>0.10152000000016415</v>
      </c>
      <c r="Y41" s="1197"/>
      <c r="AA41" s="1196">
        <f ca="1">'Summary Income Statement'!H57-'CL - Aug15 LTM QE'!AA39</f>
        <v>-78.463819999999942</v>
      </c>
      <c r="AB41" s="1196">
        <f ca="1">'Summary Income Statement'!I57-'CL - Aug15 LTM QE'!AB39</f>
        <v>36.435589999998456</v>
      </c>
      <c r="AC41" s="1196">
        <f ca="1">'Summary Income Statement'!J57-'CL - Aug15 LTM QE'!AC39</f>
        <v>42.028230000002168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54"/>
  <sheetViews>
    <sheetView showGridLines="0" zoomScale="85" zoomScaleNormal="85" zoomScaleSheetLayoutView="70" zoomScalePageLayoutView="80" workbookViewId="0">
      <pane xSplit="1" ySplit="5" topLeftCell="B6" activePane="bottomRight" state="frozen"/>
      <selection activeCell="AJ9" sqref="AJ9"/>
      <selection pane="topRight" activeCell="AJ9" sqref="AJ9"/>
      <selection pane="bottomLeft" activeCell="AJ9" sqref="AJ9"/>
      <selection pane="bottomRight" activeCell="J32" sqref="J32"/>
    </sheetView>
  </sheetViews>
  <sheetFormatPr defaultColWidth="8.85546875" defaultRowHeight="12.75" outlineLevelRow="1" outlineLevelCol="1" x14ac:dyDescent="0.2"/>
  <cols>
    <col min="1" max="1" width="37.5703125" style="106" customWidth="1"/>
    <col min="2" max="2" width="13.85546875" style="106" bestFit="1" customWidth="1"/>
    <col min="3" max="3" width="14.140625" style="106" bestFit="1" customWidth="1"/>
    <col min="4" max="4" width="14" style="229" bestFit="1" customWidth="1"/>
    <col min="5" max="5" width="12.85546875" style="229" bestFit="1" customWidth="1"/>
    <col min="6" max="7" width="12.85546875" style="229" customWidth="1"/>
    <col min="8" max="8" width="12.85546875" style="229" bestFit="1" customWidth="1"/>
    <col min="9" max="9" width="13.85546875" style="229" bestFit="1" customWidth="1"/>
    <col min="10" max="10" width="10.85546875" style="229" customWidth="1"/>
    <col min="11" max="11" width="11.42578125" style="229" bestFit="1" customWidth="1"/>
    <col min="12" max="12" width="11.5703125" style="229" customWidth="1" outlineLevel="1"/>
    <col min="13" max="14" width="11" style="229" customWidth="1" outlineLevel="1"/>
    <col min="15" max="15" width="11.5703125" style="229" customWidth="1" outlineLevel="1"/>
    <col min="16" max="32" width="10.85546875" style="229" customWidth="1" outlineLevel="1"/>
    <col min="33" max="33" width="2.28515625" style="229" customWidth="1"/>
    <col min="34" max="34" width="12.85546875" style="229" bestFit="1" customWidth="1"/>
    <col min="35" max="39" width="10.85546875" style="229" bestFit="1" customWidth="1"/>
    <col min="40" max="40" width="10.7109375" style="229" bestFit="1" customWidth="1"/>
    <col min="41" max="41" width="10.140625" style="229" customWidth="1"/>
    <col min="42" max="16384" width="8.85546875" style="229"/>
  </cols>
  <sheetData>
    <row r="1" spans="1:40" ht="15.75" x14ac:dyDescent="0.25">
      <c r="A1" s="390" t="str">
        <f>'Valuation &amp; Sources &amp; Uses'!B2</f>
        <v>Colorado Timberline</v>
      </c>
      <c r="B1" s="437"/>
      <c r="C1" s="437"/>
      <c r="D1" s="391"/>
      <c r="E1" s="391"/>
      <c r="F1" s="391"/>
      <c r="G1" s="391"/>
      <c r="H1" s="391"/>
      <c r="I1" s="391"/>
      <c r="J1" s="391"/>
      <c r="K1" s="391"/>
      <c r="L1" s="391"/>
      <c r="M1" s="438"/>
      <c r="N1" s="391"/>
      <c r="O1" s="391"/>
      <c r="P1" s="391"/>
      <c r="Q1" s="391"/>
      <c r="R1" s="391"/>
      <c r="S1" s="391"/>
      <c r="T1" s="391"/>
      <c r="U1" s="391"/>
      <c r="V1" s="391"/>
      <c r="W1" s="391"/>
      <c r="X1" s="391"/>
      <c r="Y1" s="391"/>
      <c r="Z1" s="391"/>
      <c r="AA1" s="391"/>
      <c r="AB1" s="391"/>
      <c r="AC1" s="391"/>
      <c r="AD1" s="391"/>
      <c r="AE1" s="391"/>
      <c r="AF1" s="391"/>
      <c r="AG1" s="391"/>
      <c r="AH1" s="391"/>
      <c r="AI1" s="391"/>
      <c r="AJ1" s="391"/>
      <c r="AK1" s="391"/>
      <c r="AL1" s="391"/>
      <c r="AM1" s="391"/>
      <c r="AN1" s="439"/>
    </row>
    <row r="2" spans="1:40" ht="15.75" x14ac:dyDescent="0.25">
      <c r="A2" s="392" t="s">
        <v>361</v>
      </c>
      <c r="B2" s="401"/>
      <c r="C2" s="440"/>
      <c r="D2" s="174"/>
      <c r="E2" s="398">
        <v>1000</v>
      </c>
      <c r="F2" s="398"/>
      <c r="G2" s="398"/>
      <c r="H2" s="398"/>
      <c r="I2" s="398"/>
      <c r="J2" s="398"/>
      <c r="K2" s="393">
        <f>MONTH(K5)</f>
        <v>9</v>
      </c>
      <c r="L2" s="393">
        <f t="shared" ref="L2:AF2" si="0">MONTH(L5)</f>
        <v>12</v>
      </c>
      <c r="M2" s="393">
        <f t="shared" si="0"/>
        <v>3</v>
      </c>
      <c r="N2" s="393">
        <f t="shared" si="0"/>
        <v>6</v>
      </c>
      <c r="O2" s="393">
        <f t="shared" si="0"/>
        <v>9</v>
      </c>
      <c r="P2" s="393">
        <f t="shared" si="0"/>
        <v>12</v>
      </c>
      <c r="Q2" s="393">
        <f t="shared" si="0"/>
        <v>3</v>
      </c>
      <c r="R2" s="393">
        <f t="shared" si="0"/>
        <v>6</v>
      </c>
      <c r="S2" s="393">
        <f t="shared" si="0"/>
        <v>9</v>
      </c>
      <c r="T2" s="393">
        <f t="shared" si="0"/>
        <v>12</v>
      </c>
      <c r="U2" s="393">
        <f t="shared" si="0"/>
        <v>3</v>
      </c>
      <c r="V2" s="393">
        <f t="shared" si="0"/>
        <v>6</v>
      </c>
      <c r="W2" s="393">
        <f t="shared" si="0"/>
        <v>9</v>
      </c>
      <c r="X2" s="393">
        <f t="shared" si="0"/>
        <v>12</v>
      </c>
      <c r="Y2" s="393">
        <f t="shared" si="0"/>
        <v>3</v>
      </c>
      <c r="Z2" s="393">
        <f t="shared" si="0"/>
        <v>6</v>
      </c>
      <c r="AA2" s="393">
        <f t="shared" si="0"/>
        <v>9</v>
      </c>
      <c r="AB2" s="393">
        <f t="shared" si="0"/>
        <v>12</v>
      </c>
      <c r="AC2" s="393">
        <f t="shared" si="0"/>
        <v>3</v>
      </c>
      <c r="AD2" s="393">
        <f t="shared" si="0"/>
        <v>6</v>
      </c>
      <c r="AE2" s="393">
        <f t="shared" si="0"/>
        <v>9</v>
      </c>
      <c r="AF2" s="393">
        <f t="shared" si="0"/>
        <v>12</v>
      </c>
      <c r="AG2" s="398"/>
      <c r="AH2" s="398"/>
      <c r="AI2" s="398"/>
      <c r="AJ2" s="398"/>
      <c r="AK2" s="398"/>
      <c r="AL2" s="398"/>
      <c r="AM2" s="398"/>
      <c r="AN2" s="164"/>
    </row>
    <row r="3" spans="1:40" ht="15.75" x14ac:dyDescent="0.25">
      <c r="A3" s="392" t="str">
        <f>Economics!$A$3</f>
        <v>Financial Model_v12 - Term + Mezzanine</v>
      </c>
      <c r="B3" s="401"/>
      <c r="C3" s="401"/>
      <c r="D3" s="393">
        <f t="shared" ref="D3:AF3" si="1">YEAR(D5)</f>
        <v>2014</v>
      </c>
      <c r="E3" s="393">
        <f t="shared" si="1"/>
        <v>2015</v>
      </c>
      <c r="F3" s="393">
        <f t="shared" si="1"/>
        <v>2015</v>
      </c>
      <c r="G3" s="393">
        <f t="shared" ref="G3" si="2">YEAR(G5)</f>
        <v>2015</v>
      </c>
      <c r="H3" s="393">
        <f t="shared" si="1"/>
        <v>2015</v>
      </c>
      <c r="I3" s="393"/>
      <c r="J3" s="393"/>
      <c r="K3" s="393">
        <f t="shared" si="1"/>
        <v>2015</v>
      </c>
      <c r="L3" s="393">
        <f t="shared" si="1"/>
        <v>2015</v>
      </c>
      <c r="M3" s="393">
        <f t="shared" si="1"/>
        <v>2016</v>
      </c>
      <c r="N3" s="393">
        <f t="shared" si="1"/>
        <v>2016</v>
      </c>
      <c r="O3" s="393">
        <f t="shared" si="1"/>
        <v>2016</v>
      </c>
      <c r="P3" s="393">
        <f t="shared" si="1"/>
        <v>2016</v>
      </c>
      <c r="Q3" s="393">
        <f t="shared" si="1"/>
        <v>2017</v>
      </c>
      <c r="R3" s="393">
        <f t="shared" si="1"/>
        <v>2017</v>
      </c>
      <c r="S3" s="393">
        <f t="shared" si="1"/>
        <v>2017</v>
      </c>
      <c r="T3" s="393">
        <f t="shared" si="1"/>
        <v>2017</v>
      </c>
      <c r="U3" s="393">
        <f t="shared" si="1"/>
        <v>2018</v>
      </c>
      <c r="V3" s="393">
        <f t="shared" si="1"/>
        <v>2018</v>
      </c>
      <c r="W3" s="393">
        <f t="shared" si="1"/>
        <v>2018</v>
      </c>
      <c r="X3" s="393">
        <f t="shared" si="1"/>
        <v>2018</v>
      </c>
      <c r="Y3" s="393">
        <f t="shared" si="1"/>
        <v>2019</v>
      </c>
      <c r="Z3" s="393">
        <f t="shared" si="1"/>
        <v>2019</v>
      </c>
      <c r="AA3" s="393">
        <f t="shared" si="1"/>
        <v>2019</v>
      </c>
      <c r="AB3" s="393">
        <f t="shared" si="1"/>
        <v>2019</v>
      </c>
      <c r="AC3" s="393">
        <f t="shared" si="1"/>
        <v>2020</v>
      </c>
      <c r="AD3" s="393">
        <f t="shared" si="1"/>
        <v>2020</v>
      </c>
      <c r="AE3" s="393">
        <f t="shared" si="1"/>
        <v>2020</v>
      </c>
      <c r="AF3" s="393">
        <f t="shared" si="1"/>
        <v>2020</v>
      </c>
      <c r="AG3" s="398"/>
      <c r="AH3" s="398"/>
      <c r="AI3" s="398"/>
      <c r="AJ3" s="398"/>
      <c r="AK3" s="398"/>
      <c r="AL3" s="398"/>
      <c r="AM3" s="398"/>
      <c r="AN3" s="164"/>
    </row>
    <row r="4" spans="1:40" s="106" customFormat="1" ht="15.75" x14ac:dyDescent="0.25">
      <c r="A4" s="399"/>
      <c r="B4" s="401"/>
      <c r="C4" s="441"/>
      <c r="D4" s="401"/>
      <c r="E4" s="400"/>
      <c r="F4" s="400"/>
      <c r="G4" s="400"/>
      <c r="H4" s="400" t="s">
        <v>362</v>
      </c>
      <c r="I4" s="111"/>
      <c r="J4" s="401"/>
      <c r="K4" s="400" t="s">
        <v>363</v>
      </c>
      <c r="L4" s="401"/>
      <c r="M4" s="401"/>
      <c r="N4" s="400"/>
      <c r="O4" s="401"/>
      <c r="P4" s="401"/>
      <c r="Q4" s="401"/>
      <c r="R4" s="401"/>
      <c r="S4" s="401"/>
      <c r="T4" s="401"/>
      <c r="U4" s="401"/>
      <c r="V4" s="401"/>
      <c r="W4" s="401"/>
      <c r="X4" s="401"/>
      <c r="Y4" s="401"/>
      <c r="Z4" s="401"/>
      <c r="AA4" s="401"/>
      <c r="AB4" s="401"/>
      <c r="AC4" s="401"/>
      <c r="AD4" s="401"/>
      <c r="AE4" s="401"/>
      <c r="AF4" s="401"/>
      <c r="AG4" s="401"/>
      <c r="AH4" s="401"/>
      <c r="AI4" s="401"/>
      <c r="AJ4" s="401"/>
      <c r="AK4" s="401"/>
      <c r="AL4" s="401"/>
      <c r="AM4" s="401"/>
      <c r="AN4" s="113"/>
    </row>
    <row r="5" spans="1:40" s="106" customFormat="1" ht="15.75" x14ac:dyDescent="0.25">
      <c r="A5" s="399"/>
      <c r="B5" s="402">
        <v>41274</v>
      </c>
      <c r="C5" s="402">
        <v>41639</v>
      </c>
      <c r="D5" s="402">
        <v>42004</v>
      </c>
      <c r="E5" s="402">
        <f>EOMONTH(D5,3)</f>
        <v>42094</v>
      </c>
      <c r="F5" s="402">
        <f>EOMONTH(E5,3)</f>
        <v>42185</v>
      </c>
      <c r="G5" s="402">
        <f>EOMONTH(F5,3)</f>
        <v>42277</v>
      </c>
      <c r="H5" s="402">
        <f>EOMONTH(F5,3)</f>
        <v>42277</v>
      </c>
      <c r="I5" s="402" t="s">
        <v>364</v>
      </c>
      <c r="J5" s="402" t="s">
        <v>398</v>
      </c>
      <c r="K5" s="402">
        <f>H5</f>
        <v>42277</v>
      </c>
      <c r="L5" s="402">
        <f>EOMONTH(H5,3)</f>
        <v>42369</v>
      </c>
      <c r="M5" s="402">
        <f t="shared" ref="M5:AE5" si="3">EOMONTH(L5,3)</f>
        <v>42460</v>
      </c>
      <c r="N5" s="402">
        <f t="shared" si="3"/>
        <v>42551</v>
      </c>
      <c r="O5" s="402">
        <f t="shared" si="3"/>
        <v>42643</v>
      </c>
      <c r="P5" s="402">
        <f t="shared" si="3"/>
        <v>42735</v>
      </c>
      <c r="Q5" s="402">
        <f t="shared" si="3"/>
        <v>42825</v>
      </c>
      <c r="R5" s="402">
        <f t="shared" si="3"/>
        <v>42916</v>
      </c>
      <c r="S5" s="402">
        <f t="shared" si="3"/>
        <v>43008</v>
      </c>
      <c r="T5" s="402">
        <f t="shared" si="3"/>
        <v>43100</v>
      </c>
      <c r="U5" s="402">
        <f t="shared" si="3"/>
        <v>43190</v>
      </c>
      <c r="V5" s="402">
        <f t="shared" si="3"/>
        <v>43281</v>
      </c>
      <c r="W5" s="402">
        <f t="shared" si="3"/>
        <v>43373</v>
      </c>
      <c r="X5" s="402">
        <f t="shared" si="3"/>
        <v>43465</v>
      </c>
      <c r="Y5" s="402">
        <f t="shared" si="3"/>
        <v>43555</v>
      </c>
      <c r="Z5" s="402">
        <f t="shared" si="3"/>
        <v>43646</v>
      </c>
      <c r="AA5" s="402">
        <f t="shared" si="3"/>
        <v>43738</v>
      </c>
      <c r="AB5" s="402">
        <f t="shared" si="3"/>
        <v>43830</v>
      </c>
      <c r="AC5" s="402">
        <f t="shared" si="3"/>
        <v>43921</v>
      </c>
      <c r="AD5" s="402">
        <f t="shared" si="3"/>
        <v>44012</v>
      </c>
      <c r="AE5" s="402">
        <f t="shared" si="3"/>
        <v>44104</v>
      </c>
      <c r="AF5" s="402">
        <f>EOMONTH(AE5,3)</f>
        <v>44196</v>
      </c>
      <c r="AG5" s="401"/>
      <c r="AH5" s="402">
        <f t="shared" ref="AH5:AH11" si="4">D5</f>
        <v>42004</v>
      </c>
      <c r="AI5" s="402">
        <f t="shared" ref="AI5:AI11" si="5">L5</f>
        <v>42369</v>
      </c>
      <c r="AJ5" s="402">
        <f t="shared" ref="AJ5:AJ50" si="6">P5</f>
        <v>42735</v>
      </c>
      <c r="AK5" s="402">
        <f t="shared" ref="AK5:AK50" si="7">T5</f>
        <v>43100</v>
      </c>
      <c r="AL5" s="402">
        <f t="shared" ref="AL5:AL50" si="8">X5</f>
        <v>43465</v>
      </c>
      <c r="AM5" s="402">
        <f t="shared" ref="AM5:AM50" si="9">AB5</f>
        <v>43830</v>
      </c>
      <c r="AN5" s="442">
        <f t="shared" ref="AN5:AN50" si="10">AF5</f>
        <v>44196</v>
      </c>
    </row>
    <row r="6" spans="1:40" s="106" customFormat="1" ht="15.75" x14ac:dyDescent="0.25">
      <c r="A6" s="399" t="s">
        <v>99</v>
      </c>
      <c r="B6" s="407">
        <v>42.264000000000003</v>
      </c>
      <c r="C6" s="407">
        <v>54.429000000000002</v>
      </c>
      <c r="D6" s="407">
        <v>167.55699999999999</v>
      </c>
      <c r="E6" s="403">
        <v>232.46</v>
      </c>
      <c r="F6" s="403">
        <v>80.168999999999997</v>
      </c>
      <c r="G6" s="403">
        <f>'CL - Monthly Financials'!AH82</f>
        <v>232.17770999999999</v>
      </c>
      <c r="H6" s="403">
        <f ca="1">SOCF!G46</f>
        <v>-788.94134984423147</v>
      </c>
      <c r="I6" s="403">
        <v>0</v>
      </c>
      <c r="J6" s="403">
        <f>-'Valuation &amp; Sources &amp; Uses'!D14</f>
        <v>0</v>
      </c>
      <c r="K6" s="403">
        <f ca="1">SUM(H6:J6)</f>
        <v>-788.94134984423147</v>
      </c>
      <c r="L6" s="403">
        <f ca="1">SOCF!H46</f>
        <v>-3035.0987689098852</v>
      </c>
      <c r="M6" s="403">
        <f ca="1">SOCF!I46</f>
        <v>100.00000000000091</v>
      </c>
      <c r="N6" s="403">
        <f ca="1">SOCF!J46</f>
        <v>100.00000000000091</v>
      </c>
      <c r="O6" s="403">
        <f ca="1">SOCF!K46</f>
        <v>99.999999999999091</v>
      </c>
      <c r="P6" s="403">
        <f ca="1">SOCF!L46</f>
        <v>99.999999999999091</v>
      </c>
      <c r="Q6" s="403">
        <f ca="1">SOCF!M46</f>
        <v>99.999999999999091</v>
      </c>
      <c r="R6" s="403">
        <f ca="1">SOCF!N46</f>
        <v>100.00000000000051</v>
      </c>
      <c r="S6" s="403">
        <f ca="1">SOCF!O46</f>
        <v>100.00000000000051</v>
      </c>
      <c r="T6" s="403">
        <f ca="1">SOCF!P46</f>
        <v>100.00000000000051</v>
      </c>
      <c r="U6" s="403">
        <f ca="1">SOCF!Q46</f>
        <v>100.00000000000051</v>
      </c>
      <c r="V6" s="403">
        <f ca="1">SOCF!R46</f>
        <v>100.00000000000082</v>
      </c>
      <c r="W6" s="403">
        <f ca="1">SOCF!S46</f>
        <v>99.999999999999687</v>
      </c>
      <c r="X6" s="403">
        <f ca="1">SOCF!T46</f>
        <v>99.999999999999687</v>
      </c>
      <c r="Y6" s="403">
        <f ca="1">SOCF!U46</f>
        <v>99.999999999999687</v>
      </c>
      <c r="Z6" s="403">
        <f ca="1">SOCF!V46</f>
        <v>99.999999999999972</v>
      </c>
      <c r="AA6" s="403">
        <f ca="1">SOCF!W46</f>
        <v>99.999999999999972</v>
      </c>
      <c r="AB6" s="403">
        <f ca="1">SOCF!X46</f>
        <v>99.999999999999972</v>
      </c>
      <c r="AC6" s="403">
        <f ca="1">SOCF!Y46</f>
        <v>99.999999999999972</v>
      </c>
      <c r="AD6" s="403">
        <f ca="1">SOCF!Z46</f>
        <v>99.999999999919879</v>
      </c>
      <c r="AE6" s="403">
        <f ca="1">SOCF!AA46</f>
        <v>101.00000000587684</v>
      </c>
      <c r="AF6" s="403">
        <f ca="1">SOCF!AB46</f>
        <v>101.99999986868048</v>
      </c>
      <c r="AG6" s="401"/>
      <c r="AH6" s="403">
        <f t="shared" si="4"/>
        <v>167.55699999999999</v>
      </c>
      <c r="AI6" s="403">
        <f t="shared" ca="1" si="5"/>
        <v>-3035.0987689098852</v>
      </c>
      <c r="AJ6" s="403">
        <f t="shared" ca="1" si="6"/>
        <v>99.999999999999091</v>
      </c>
      <c r="AK6" s="403">
        <f t="shared" ca="1" si="7"/>
        <v>100.00000000000051</v>
      </c>
      <c r="AL6" s="403">
        <f t="shared" ca="1" si="8"/>
        <v>99.999999999999687</v>
      </c>
      <c r="AM6" s="403">
        <f t="shared" ca="1" si="9"/>
        <v>99.999999999999972</v>
      </c>
      <c r="AN6" s="552">
        <f t="shared" ca="1" si="10"/>
        <v>101.99999986868048</v>
      </c>
    </row>
    <row r="7" spans="1:40" s="106" customFormat="1" ht="15.75" x14ac:dyDescent="0.25">
      <c r="A7" s="399" t="s">
        <v>271</v>
      </c>
      <c r="B7" s="407">
        <v>2519.413</v>
      </c>
      <c r="C7" s="407">
        <v>4142.098</v>
      </c>
      <c r="D7" s="443">
        <v>6404.9880000000003</v>
      </c>
      <c r="E7" s="403">
        <v>3146.64</v>
      </c>
      <c r="F7" s="403">
        <v>3447.92274</v>
      </c>
      <c r="G7" s="403">
        <f>'CL - Monthly Financials'!AH83</f>
        <v>3944.2768600000004</v>
      </c>
      <c r="H7" s="403">
        <f>'BS Assumptions'!L15</f>
        <v>4036.2239836956519</v>
      </c>
      <c r="I7" s="403">
        <v>0</v>
      </c>
      <c r="J7" s="403">
        <v>0</v>
      </c>
      <c r="K7" s="403">
        <f>SUM(H7:J7)</f>
        <v>4036.2239836956519</v>
      </c>
      <c r="L7" s="403">
        <f ca="1">'BS Assumptions'!M15</f>
        <v>8086.5516472826084</v>
      </c>
      <c r="M7" s="403">
        <f ca="1">'BS Assumptions'!N15</f>
        <v>3631.6027342292555</v>
      </c>
      <c r="N7" s="403">
        <f ca="1">'BS Assumptions'!O15</f>
        <v>3878.6210586338711</v>
      </c>
      <c r="O7" s="403">
        <f ca="1">'BS Assumptions'!P15</f>
        <v>4382.997242570259</v>
      </c>
      <c r="P7" s="403">
        <f ca="1">'BS Assumptions'!Q15</f>
        <v>8262.3248753586049</v>
      </c>
      <c r="Q7" s="403">
        <f ca="1">'BS Assumptions'!R15</f>
        <v>3965.7101857783473</v>
      </c>
      <c r="R7" s="403">
        <f ca="1">'BS Assumptions'!S15</f>
        <v>4188.9107433245808</v>
      </c>
      <c r="S7" s="403">
        <f ca="1">'BS Assumptions'!T15</f>
        <v>4733.6370219758801</v>
      </c>
      <c r="T7" s="403">
        <f ca="1">'BS Assumptions'!U15</f>
        <v>8923.3108653872932</v>
      </c>
      <c r="U7" s="403">
        <f ca="1">'BS Assumptions'!V15</f>
        <v>4282.9670006406159</v>
      </c>
      <c r="V7" s="403">
        <f ca="1">'BS Assumptions'!W15</f>
        <v>4524.0236027905485</v>
      </c>
      <c r="W7" s="403">
        <f ca="1">'BS Assumptions'!X15</f>
        <v>5112.3279837339505</v>
      </c>
      <c r="X7" s="403">
        <f ca="1">'BS Assumptions'!Y15</f>
        <v>9637.1757346182785</v>
      </c>
      <c r="Y7" s="403">
        <f ca="1">'BS Assumptions'!Z15</f>
        <v>4625.6043606918656</v>
      </c>
      <c r="Z7" s="403">
        <f ca="1">'BS Assumptions'!AA15</f>
        <v>4885.945491013792</v>
      </c>
      <c r="AA7" s="403">
        <f ca="1">'BS Assumptions'!AB15</f>
        <v>5521.3142224326675</v>
      </c>
      <c r="AB7" s="403">
        <f ca="1">'BS Assumptions'!AC15</f>
        <v>10408.149793387742</v>
      </c>
      <c r="AC7" s="403">
        <f ca="1">'BS Assumptions'!AD15</f>
        <v>4940.7554270247183</v>
      </c>
      <c r="AD7" s="403">
        <f ca="1">'BS Assumptions'!AE15</f>
        <v>5276.8211302948957</v>
      </c>
      <c r="AE7" s="403">
        <f ca="1">'BS Assumptions'!AF15</f>
        <v>5963.0193602272811</v>
      </c>
      <c r="AF7" s="403">
        <f ca="1">'BS Assumptions'!AG15</f>
        <v>11240.801776858762</v>
      </c>
      <c r="AG7" s="401"/>
      <c r="AH7" s="403">
        <f t="shared" si="4"/>
        <v>6404.9880000000003</v>
      </c>
      <c r="AI7" s="403">
        <f t="shared" ca="1" si="5"/>
        <v>8086.5516472826084</v>
      </c>
      <c r="AJ7" s="403">
        <f t="shared" ca="1" si="6"/>
        <v>8262.3248753586049</v>
      </c>
      <c r="AK7" s="403">
        <f t="shared" ca="1" si="7"/>
        <v>8923.3108653872932</v>
      </c>
      <c r="AL7" s="403">
        <f t="shared" ca="1" si="8"/>
        <v>9637.1757346182785</v>
      </c>
      <c r="AM7" s="403">
        <f t="shared" ca="1" si="9"/>
        <v>10408.149793387742</v>
      </c>
      <c r="AN7" s="552">
        <f t="shared" ca="1" si="10"/>
        <v>11240.801776858762</v>
      </c>
    </row>
    <row r="8" spans="1:40" s="106" customFormat="1" ht="15.75" x14ac:dyDescent="0.25">
      <c r="A8" s="399" t="s">
        <v>365</v>
      </c>
      <c r="B8" s="407">
        <v>6794.67</v>
      </c>
      <c r="C8" s="407">
        <v>6790.2539999999999</v>
      </c>
      <c r="D8" s="443">
        <v>9752.625</v>
      </c>
      <c r="E8" s="403">
        <v>9953.4660000000003</v>
      </c>
      <c r="F8" s="403">
        <v>9166.0967400000009</v>
      </c>
      <c r="G8" s="403">
        <f>SUM('CL - Monthly Financials'!AH86:AH88)</f>
        <v>8733.1883900000012</v>
      </c>
      <c r="H8" s="403">
        <f>'BS Assumptions'!L18</f>
        <v>10800.676633014002</v>
      </c>
      <c r="I8" s="403">
        <v>0</v>
      </c>
      <c r="J8" s="444">
        <v>0</v>
      </c>
      <c r="K8" s="403">
        <f>SUM(H8:J8)</f>
        <v>10800.676633014002</v>
      </c>
      <c r="L8" s="403">
        <f ca="1">'BS Assumptions'!M18</f>
        <v>14070.599866271737</v>
      </c>
      <c r="M8" s="403">
        <f ca="1">'BS Assumptions'!N18</f>
        <v>9361.4648260131908</v>
      </c>
      <c r="N8" s="403">
        <f ca="1">'BS Assumptions'!O18</f>
        <v>9998.2231733673107</v>
      </c>
      <c r="O8" s="403">
        <f ca="1">'BS Assumptions'!P18</f>
        <v>11298.392891958887</v>
      </c>
      <c r="P8" s="403">
        <f ca="1">'BS Assumptions'!Q18</f>
        <v>11714.140601063975</v>
      </c>
      <c r="Q8" s="403">
        <f ca="1">'BS Assumptions'!R18</f>
        <v>10222.719590006405</v>
      </c>
      <c r="R8" s="403">
        <f ca="1">'BS Assumptions'!S18</f>
        <v>10798.081027236696</v>
      </c>
      <c r="S8" s="403">
        <f ca="1">'BS Assumptions'!T18</f>
        <v>12202.264323315601</v>
      </c>
      <c r="T8" s="403">
        <f ca="1">'BS Assumptions'!U18</f>
        <v>12651.271849149096</v>
      </c>
      <c r="U8" s="403">
        <f ca="1">'BS Assumptions'!V18</f>
        <v>11040.537157206922</v>
      </c>
      <c r="V8" s="403">
        <f ca="1">'BS Assumptions'!W18</f>
        <v>11661.927509415635</v>
      </c>
      <c r="W8" s="403">
        <f ca="1">'BS Assumptions'!X18</f>
        <v>13178.445469180851</v>
      </c>
      <c r="X8" s="403">
        <f ca="1">'BS Assumptions'!Y18</f>
        <v>13663.373597081027</v>
      </c>
      <c r="Y8" s="403">
        <f ca="1">'BS Assumptions'!Z18</f>
        <v>11923.780129783476</v>
      </c>
      <c r="Z8" s="403">
        <f ca="1">'BS Assumptions'!AA18</f>
        <v>12594.881710168886</v>
      </c>
      <c r="AA8" s="403">
        <f ca="1">'BS Assumptions'!AB18</f>
        <v>14232.721106715322</v>
      </c>
      <c r="AB8" s="403">
        <f ca="1">'BS Assumptions'!AC18</f>
        <v>14756.44348484751</v>
      </c>
      <c r="AC8" s="403">
        <f ca="1">'BS Assumptions'!AD18</f>
        <v>12736.169545219273</v>
      </c>
      <c r="AD8" s="403">
        <f ca="1">'BS Assumptions'!AE18</f>
        <v>13602.472246982399</v>
      </c>
      <c r="AE8" s="403">
        <f ca="1">'BS Assumptions'!AF18</f>
        <v>15371.338795252546</v>
      </c>
      <c r="AF8" s="403">
        <f ca="1">'BS Assumptions'!AG18</f>
        <v>15936.958963635312</v>
      </c>
      <c r="AG8" s="401"/>
      <c r="AH8" s="403">
        <f t="shared" si="4"/>
        <v>9752.625</v>
      </c>
      <c r="AI8" s="403">
        <f t="shared" ca="1" si="5"/>
        <v>14070.599866271737</v>
      </c>
      <c r="AJ8" s="403">
        <f t="shared" ca="1" si="6"/>
        <v>11714.140601063975</v>
      </c>
      <c r="AK8" s="403">
        <f t="shared" ca="1" si="7"/>
        <v>12651.271849149096</v>
      </c>
      <c r="AL8" s="403">
        <f t="shared" ca="1" si="8"/>
        <v>13663.373597081027</v>
      </c>
      <c r="AM8" s="403">
        <f t="shared" ca="1" si="9"/>
        <v>14756.44348484751</v>
      </c>
      <c r="AN8" s="552">
        <f t="shared" ca="1" si="10"/>
        <v>15936.958963635312</v>
      </c>
    </row>
    <row r="9" spans="1:40" s="106" customFormat="1" ht="15.75" x14ac:dyDescent="0.25">
      <c r="A9" s="399" t="s">
        <v>410</v>
      </c>
      <c r="B9" s="407">
        <v>306.23200000000003</v>
      </c>
      <c r="C9" s="407">
        <v>309.09100000000001</v>
      </c>
      <c r="D9" s="443">
        <v>383.55900000000003</v>
      </c>
      <c r="E9" s="403">
        <v>438.16199999999998</v>
      </c>
      <c r="F9" s="403">
        <v>548.03833999999995</v>
      </c>
      <c r="G9" s="403">
        <f>'CL - Monthly Financials'!AH84</f>
        <v>613.06064000000003</v>
      </c>
      <c r="H9" s="403">
        <f>'BS Assumptions'!$L$24</f>
        <v>552.80532913491527</v>
      </c>
      <c r="I9" s="403">
        <v>0</v>
      </c>
      <c r="J9" s="444">
        <v>0</v>
      </c>
      <c r="K9" s="403">
        <f>SUM(H9:J9)</f>
        <v>552.80532913491527</v>
      </c>
      <c r="L9" s="403">
        <f ca="1">'BS Assumptions'!M24</f>
        <v>1095.628348816</v>
      </c>
      <c r="M9" s="403">
        <f ca="1">'BS Assumptions'!N24</f>
        <v>511.06808154051885</v>
      </c>
      <c r="N9" s="403">
        <f ca="1">'BS Assumptions'!O24</f>
        <v>542.43831088068544</v>
      </c>
      <c r="O9" s="403">
        <f ca="1">'BS Assumptions'!P24</f>
        <v>612.60856072053173</v>
      </c>
      <c r="P9" s="403">
        <f ca="1">'BS Assumptions'!Q24</f>
        <v>1110.6797458582637</v>
      </c>
      <c r="Q9" s="403">
        <f ca="1">'BS Assumptions'!R24</f>
        <v>547.28483967263776</v>
      </c>
      <c r="R9" s="403">
        <f ca="1">'BS Assumptions'!S24</f>
        <v>580.94889215181774</v>
      </c>
      <c r="S9" s="403">
        <f ca="1">'BS Assumptions'!T24</f>
        <v>656.25006217103623</v>
      </c>
      <c r="T9" s="403">
        <f ca="1">'BS Assumptions'!U24</f>
        <v>1190.7407199545084</v>
      </c>
      <c r="U9" s="403">
        <f ca="1">'BS Assumptions'!V24</f>
        <v>586.07032699131139</v>
      </c>
      <c r="V9" s="403">
        <f ca="1">'BS Assumptions'!W24</f>
        <v>622.19444484397002</v>
      </c>
      <c r="W9" s="403">
        <f ca="1">'BS Assumptions'!X24</f>
        <v>702.99839267228515</v>
      </c>
      <c r="X9" s="403">
        <f ca="1">'BS Assumptions'!Y24</f>
        <v>1276.5479831399341</v>
      </c>
      <c r="Y9" s="403">
        <f ca="1">'BS Assumptions'!Z24</f>
        <v>631.30648058326005</v>
      </c>
      <c r="Z9" s="403">
        <f ca="1">'BS Assumptions'!AA24</f>
        <v>670.32052786413135</v>
      </c>
      <c r="AA9" s="403">
        <f ca="1">'BS Assumptions'!AB24</f>
        <v>757.58879151871179</v>
      </c>
      <c r="AB9" s="403">
        <f ca="1">'BS Assumptions'!AC24</f>
        <v>1377.0223492237728</v>
      </c>
      <c r="AC9" s="403">
        <f ca="1">'BS Assumptions'!AD24</f>
        <v>680.07905283419677</v>
      </c>
      <c r="AD9" s="403">
        <f ca="1">'BS Assumptions'!AE24</f>
        <v>722.21422389753775</v>
      </c>
      <c r="AE9" s="403">
        <f ca="1">'BS Assumptions'!AF24</f>
        <v>816.46394864448462</v>
      </c>
      <c r="AF9" s="403">
        <f ca="1">'BS Assumptions'!AG24</f>
        <v>1485.4521909659506</v>
      </c>
      <c r="AG9" s="401"/>
      <c r="AH9" s="403">
        <f t="shared" si="4"/>
        <v>383.55900000000003</v>
      </c>
      <c r="AI9" s="403">
        <f t="shared" ca="1" si="5"/>
        <v>1095.628348816</v>
      </c>
      <c r="AJ9" s="403">
        <f t="shared" ca="1" si="6"/>
        <v>1110.6797458582637</v>
      </c>
      <c r="AK9" s="403">
        <f t="shared" ca="1" si="7"/>
        <v>1190.7407199545084</v>
      </c>
      <c r="AL9" s="403">
        <f t="shared" ca="1" si="8"/>
        <v>1276.5479831399341</v>
      </c>
      <c r="AM9" s="403">
        <f t="shared" ca="1" si="9"/>
        <v>1377.0223492237728</v>
      </c>
      <c r="AN9" s="552">
        <f t="shared" ca="1" si="10"/>
        <v>1485.4521909659506</v>
      </c>
    </row>
    <row r="10" spans="1:40" s="106" customFormat="1" ht="15.75" x14ac:dyDescent="0.25">
      <c r="A10" s="399" t="s">
        <v>0</v>
      </c>
      <c r="B10" s="445">
        <v>322.64400000000001</v>
      </c>
      <c r="C10" s="445">
        <v>392.09199999999998</v>
      </c>
      <c r="D10" s="445">
        <v>560.43200000000002</v>
      </c>
      <c r="E10" s="446">
        <v>476.33800000000002</v>
      </c>
      <c r="F10" s="446">
        <v>628.61665000000005</v>
      </c>
      <c r="G10" s="446">
        <v>628.61665000000005</v>
      </c>
      <c r="H10" s="446">
        <f>'BS Assumptions'!L21</f>
        <v>543.69150163999984</v>
      </c>
      <c r="I10" s="446">
        <v>0</v>
      </c>
      <c r="J10" s="446">
        <v>0</v>
      </c>
      <c r="K10" s="446">
        <f>SUM(H10:J10)</f>
        <v>543.69150163999984</v>
      </c>
      <c r="L10" s="446">
        <f ca="1">'BS Assumptions'!M21</f>
        <v>1149.8203130400002</v>
      </c>
      <c r="M10" s="446">
        <f ca="1">'BS Assumptions'!N21</f>
        <v>596.08766655773547</v>
      </c>
      <c r="N10" s="446">
        <f ca="1">'BS Assumptions'!O21</f>
        <v>624.76045579540357</v>
      </c>
      <c r="O10" s="446">
        <f ca="1">'BS Assumptions'!P21</f>
        <v>688.89695803755615</v>
      </c>
      <c r="P10" s="446">
        <f ca="1">'BS Assumptions'!Q21</f>
        <v>1144.140366109305</v>
      </c>
      <c r="Q10" s="446">
        <f ca="1">'BS Assumptions'!R21</f>
        <v>627.43427051342508</v>
      </c>
      <c r="R10" s="446">
        <f ca="1">'BS Assumptions'!S21</f>
        <v>657.64559966140712</v>
      </c>
      <c r="S10" s="446">
        <f ca="1">'BS Assumptions'!T21</f>
        <v>725.22357275557749</v>
      </c>
      <c r="T10" s="446">
        <f ca="1">'BS Assumptions'!U21</f>
        <v>1204.8946758945913</v>
      </c>
      <c r="U10" s="446">
        <f ca="1">'BS Assumptions'!V21</f>
        <v>660.13846266151779</v>
      </c>
      <c r="V10" s="446">
        <f ca="1">'BS Assumptions'!W21</f>
        <v>691.95099225434285</v>
      </c>
      <c r="W10" s="446">
        <f ca="1">'BS Assumptions'!X21</f>
        <v>763.11059792250444</v>
      </c>
      <c r="X10" s="446">
        <f ca="1">'BS Assumptions'!Y21</f>
        <v>1268.2042695278856</v>
      </c>
      <c r="Y10" s="446">
        <f ca="1">'BS Assumptions'!Z21</f>
        <v>707.17638568869233</v>
      </c>
      <c r="Z10" s="446">
        <f ca="1">'BS Assumptions'!AA21</f>
        <v>741.53391764894354</v>
      </c>
      <c r="AA10" s="446">
        <f ca="1">'BS Assumptions'!AB21</f>
        <v>818.38629177055793</v>
      </c>
      <c r="AB10" s="446">
        <f ca="1">'BS Assumptions'!AC21</f>
        <v>1363.8874571043698</v>
      </c>
      <c r="AC10" s="446">
        <f ca="1">'BS Assumptions'!AD21</f>
        <v>757.68868485875362</v>
      </c>
      <c r="AD10" s="446">
        <f ca="1">'BS Assumptions'!AE21</f>
        <v>794.79481937582489</v>
      </c>
      <c r="AE10" s="446">
        <f ca="1">'BS Assumptions'!AF21</f>
        <v>877.79538342716853</v>
      </c>
      <c r="AF10" s="446">
        <f ca="1">'BS Assumptions'!AG21</f>
        <v>1466.9366419876853</v>
      </c>
      <c r="AG10" s="447"/>
      <c r="AH10" s="446">
        <f t="shared" si="4"/>
        <v>560.43200000000002</v>
      </c>
      <c r="AI10" s="446">
        <f t="shared" ca="1" si="5"/>
        <v>1149.8203130400002</v>
      </c>
      <c r="AJ10" s="446">
        <f t="shared" ca="1" si="6"/>
        <v>1144.140366109305</v>
      </c>
      <c r="AK10" s="446">
        <f t="shared" ca="1" si="7"/>
        <v>1204.8946758945913</v>
      </c>
      <c r="AL10" s="446">
        <f t="shared" ca="1" si="8"/>
        <v>1268.2042695278856</v>
      </c>
      <c r="AM10" s="446">
        <f t="shared" ca="1" si="9"/>
        <v>1363.8874571043698</v>
      </c>
      <c r="AN10" s="553">
        <f t="shared" ca="1" si="10"/>
        <v>1466.9366419876853</v>
      </c>
    </row>
    <row r="11" spans="1:40" ht="15.75" x14ac:dyDescent="0.25">
      <c r="A11" s="405" t="s">
        <v>121</v>
      </c>
      <c r="B11" s="398">
        <f t="shared" ref="B11:H11" si="11">SUM(B6:B10)</f>
        <v>9985.223</v>
      </c>
      <c r="C11" s="398">
        <f t="shared" si="11"/>
        <v>11687.964</v>
      </c>
      <c r="D11" s="398">
        <f t="shared" si="11"/>
        <v>17269.161</v>
      </c>
      <c r="E11" s="398">
        <f t="shared" si="11"/>
        <v>14247.066000000001</v>
      </c>
      <c r="F11" s="398">
        <f t="shared" si="11"/>
        <v>13870.84347</v>
      </c>
      <c r="G11" s="398">
        <f t="shared" ref="G11" si="12">SUM(G6:G10)</f>
        <v>14151.320250000001</v>
      </c>
      <c r="H11" s="398">
        <f t="shared" ca="1" si="11"/>
        <v>15144.456097640337</v>
      </c>
      <c r="I11" s="398">
        <f>SUM(I6:I7)</f>
        <v>0</v>
      </c>
      <c r="J11" s="398">
        <f>SUM(J6:J7)</f>
        <v>0</v>
      </c>
      <c r="K11" s="398">
        <f ca="1">SUM(K6:K10)</f>
        <v>15144.456097640337</v>
      </c>
      <c r="L11" s="398">
        <f ca="1">SUM(L6:L10)</f>
        <v>21367.501406500462</v>
      </c>
      <c r="M11" s="398">
        <f t="shared" ref="M11:AF11" ca="1" si="13">SUM(M6:M10)</f>
        <v>14200.223308340703</v>
      </c>
      <c r="N11" s="398">
        <f t="shared" ca="1" si="13"/>
        <v>15144.042998677271</v>
      </c>
      <c r="O11" s="398">
        <f t="shared" ca="1" si="13"/>
        <v>17082.895653287233</v>
      </c>
      <c r="P11" s="398">
        <f t="shared" ca="1" si="13"/>
        <v>22331.285588390147</v>
      </c>
      <c r="Q11" s="398">
        <f t="shared" ca="1" si="13"/>
        <v>15463.148885970817</v>
      </c>
      <c r="R11" s="398">
        <f t="shared" ca="1" si="13"/>
        <v>16325.586262374503</v>
      </c>
      <c r="S11" s="398">
        <f t="shared" ca="1" si="13"/>
        <v>18417.374980218094</v>
      </c>
      <c r="T11" s="398">
        <f t="shared" ca="1" si="13"/>
        <v>24070.218110385489</v>
      </c>
      <c r="U11" s="398">
        <f t="shared" ca="1" si="13"/>
        <v>16669.712947500368</v>
      </c>
      <c r="V11" s="398">
        <f t="shared" ca="1" si="13"/>
        <v>17600.096549304501</v>
      </c>
      <c r="W11" s="398">
        <f t="shared" ca="1" si="13"/>
        <v>19856.882443509588</v>
      </c>
      <c r="X11" s="398">
        <f t="shared" ca="1" si="13"/>
        <v>25945.301584367127</v>
      </c>
      <c r="Y11" s="398">
        <f t="shared" ca="1" si="13"/>
        <v>17987.867356747298</v>
      </c>
      <c r="Z11" s="398">
        <f t="shared" ca="1" si="13"/>
        <v>18992.681646695753</v>
      </c>
      <c r="AA11" s="398">
        <f t="shared" ca="1" si="13"/>
        <v>21430.010412437263</v>
      </c>
      <c r="AB11" s="398">
        <f t="shared" ca="1" si="13"/>
        <v>28005.503084563396</v>
      </c>
      <c r="AC11" s="398">
        <f t="shared" ca="1" si="13"/>
        <v>19214.692709936942</v>
      </c>
      <c r="AD11" s="398">
        <f t="shared" ca="1" si="13"/>
        <v>20496.302420550579</v>
      </c>
      <c r="AE11" s="398">
        <f t="shared" ca="1" si="13"/>
        <v>23129.617487557356</v>
      </c>
      <c r="AF11" s="398">
        <f t="shared" ca="1" si="13"/>
        <v>30232.149573316394</v>
      </c>
      <c r="AG11" s="398"/>
      <c r="AH11" s="398">
        <f t="shared" si="4"/>
        <v>17269.161</v>
      </c>
      <c r="AI11" s="398">
        <f t="shared" ca="1" si="5"/>
        <v>21367.501406500462</v>
      </c>
      <c r="AJ11" s="398">
        <f t="shared" ca="1" si="6"/>
        <v>22331.285588390147</v>
      </c>
      <c r="AK11" s="398">
        <f t="shared" ca="1" si="7"/>
        <v>24070.218110385489</v>
      </c>
      <c r="AL11" s="398">
        <f t="shared" ca="1" si="8"/>
        <v>25945.301584367127</v>
      </c>
      <c r="AM11" s="398">
        <f t="shared" ca="1" si="9"/>
        <v>28005.503084563396</v>
      </c>
      <c r="AN11" s="554">
        <f t="shared" ca="1" si="10"/>
        <v>30232.149573316394</v>
      </c>
    </row>
    <row r="12" spans="1:40" ht="15.75" x14ac:dyDescent="0.25">
      <c r="A12" s="399"/>
      <c r="B12" s="398"/>
      <c r="C12" s="398"/>
      <c r="D12" s="398"/>
      <c r="E12" s="398"/>
      <c r="F12" s="398"/>
      <c r="G12" s="398"/>
      <c r="H12" s="398"/>
      <c r="I12" s="398"/>
      <c r="J12" s="398"/>
      <c r="K12" s="398"/>
      <c r="L12" s="398"/>
      <c r="M12" s="398"/>
      <c r="N12" s="398"/>
      <c r="O12" s="398"/>
      <c r="P12" s="398"/>
      <c r="Q12" s="398"/>
      <c r="R12" s="398"/>
      <c r="S12" s="398"/>
      <c r="T12" s="398"/>
      <c r="U12" s="398"/>
      <c r="V12" s="398"/>
      <c r="W12" s="398"/>
      <c r="X12" s="398"/>
      <c r="Y12" s="398"/>
      <c r="Z12" s="398"/>
      <c r="AA12" s="398"/>
      <c r="AB12" s="398"/>
      <c r="AC12" s="398"/>
      <c r="AD12" s="398"/>
      <c r="AE12" s="398"/>
      <c r="AF12" s="398"/>
      <c r="AG12" s="398"/>
      <c r="AH12" s="398"/>
      <c r="AI12" s="398"/>
      <c r="AJ12" s="398"/>
      <c r="AK12" s="398"/>
      <c r="AL12" s="398"/>
      <c r="AM12" s="398"/>
      <c r="AN12" s="554"/>
    </row>
    <row r="13" spans="1:40" ht="15.75" hidden="1" outlineLevel="1" x14ac:dyDescent="0.25">
      <c r="A13" s="399"/>
      <c r="B13" s="398"/>
      <c r="C13" s="398"/>
      <c r="D13" s="398"/>
      <c r="E13" s="398"/>
      <c r="F13" s="398"/>
      <c r="G13" s="398"/>
      <c r="H13" s="398"/>
      <c r="I13" s="398"/>
      <c r="J13" s="398"/>
      <c r="K13" s="398"/>
      <c r="L13" s="398"/>
      <c r="M13" s="398"/>
      <c r="N13" s="398"/>
      <c r="O13" s="398"/>
      <c r="P13" s="398"/>
      <c r="Q13" s="398"/>
      <c r="R13" s="398"/>
      <c r="S13" s="398"/>
      <c r="T13" s="398"/>
      <c r="U13" s="398"/>
      <c r="V13" s="398"/>
      <c r="W13" s="398"/>
      <c r="X13" s="398"/>
      <c r="Y13" s="398"/>
      <c r="Z13" s="398"/>
      <c r="AA13" s="398"/>
      <c r="AB13" s="398"/>
      <c r="AC13" s="398"/>
      <c r="AD13" s="398"/>
      <c r="AE13" s="398"/>
      <c r="AF13" s="398"/>
      <c r="AG13" s="398"/>
      <c r="AH13" s="398">
        <f t="shared" ref="AH13:AH24" si="14">D13</f>
        <v>0</v>
      </c>
      <c r="AI13" s="398">
        <f t="shared" ref="AI13:AI24" si="15">L13</f>
        <v>0</v>
      </c>
      <c r="AJ13" s="398">
        <f t="shared" si="6"/>
        <v>0</v>
      </c>
      <c r="AK13" s="398">
        <f t="shared" si="7"/>
        <v>0</v>
      </c>
      <c r="AL13" s="398">
        <f t="shared" si="8"/>
        <v>0</v>
      </c>
      <c r="AM13" s="398">
        <f t="shared" si="9"/>
        <v>0</v>
      </c>
      <c r="AN13" s="554">
        <f t="shared" si="10"/>
        <v>0</v>
      </c>
    </row>
    <row r="14" spans="1:40" ht="15.75" hidden="1" outlineLevel="1" x14ac:dyDescent="0.25">
      <c r="A14" s="399"/>
      <c r="B14" s="398"/>
      <c r="C14" s="398"/>
      <c r="D14" s="398"/>
      <c r="E14" s="398"/>
      <c r="F14" s="398"/>
      <c r="G14" s="398"/>
      <c r="H14" s="398"/>
      <c r="I14" s="398"/>
      <c r="J14" s="398"/>
      <c r="K14" s="398"/>
      <c r="L14" s="398"/>
      <c r="M14" s="398"/>
      <c r="N14" s="398"/>
      <c r="O14" s="398"/>
      <c r="P14" s="398"/>
      <c r="Q14" s="398"/>
      <c r="R14" s="398"/>
      <c r="S14" s="398"/>
      <c r="T14" s="398"/>
      <c r="U14" s="398"/>
      <c r="V14" s="398"/>
      <c r="W14" s="398"/>
      <c r="X14" s="398"/>
      <c r="Y14" s="398"/>
      <c r="Z14" s="398"/>
      <c r="AA14" s="398"/>
      <c r="AB14" s="398"/>
      <c r="AC14" s="398"/>
      <c r="AD14" s="398"/>
      <c r="AE14" s="398"/>
      <c r="AF14" s="398"/>
      <c r="AG14" s="398"/>
      <c r="AH14" s="398">
        <f t="shared" si="14"/>
        <v>0</v>
      </c>
      <c r="AI14" s="398">
        <f t="shared" si="15"/>
        <v>0</v>
      </c>
      <c r="AJ14" s="398">
        <f t="shared" si="6"/>
        <v>0</v>
      </c>
      <c r="AK14" s="398">
        <f t="shared" si="7"/>
        <v>0</v>
      </c>
      <c r="AL14" s="398">
        <f t="shared" si="8"/>
        <v>0</v>
      </c>
      <c r="AM14" s="398">
        <f t="shared" si="9"/>
        <v>0</v>
      </c>
      <c r="AN14" s="554">
        <f t="shared" si="10"/>
        <v>0</v>
      </c>
    </row>
    <row r="15" spans="1:40" ht="15.75" hidden="1" outlineLevel="1" x14ac:dyDescent="0.25">
      <c r="A15" s="399"/>
      <c r="B15" s="398"/>
      <c r="C15" s="398"/>
      <c r="D15" s="398"/>
      <c r="E15" s="398"/>
      <c r="F15" s="398"/>
      <c r="G15" s="398"/>
      <c r="H15" s="398"/>
      <c r="I15" s="398"/>
      <c r="J15" s="398"/>
      <c r="K15" s="398"/>
      <c r="L15" s="398"/>
      <c r="M15" s="398"/>
      <c r="N15" s="398"/>
      <c r="O15" s="398"/>
      <c r="P15" s="398"/>
      <c r="Q15" s="398"/>
      <c r="R15" s="398"/>
      <c r="S15" s="398"/>
      <c r="T15" s="398"/>
      <c r="U15" s="398"/>
      <c r="V15" s="398"/>
      <c r="W15" s="398"/>
      <c r="X15" s="398"/>
      <c r="Y15" s="398"/>
      <c r="Z15" s="398"/>
      <c r="AA15" s="398"/>
      <c r="AB15" s="398"/>
      <c r="AC15" s="398"/>
      <c r="AD15" s="398"/>
      <c r="AE15" s="398"/>
      <c r="AF15" s="398"/>
      <c r="AG15" s="398"/>
      <c r="AH15" s="398">
        <f t="shared" si="14"/>
        <v>0</v>
      </c>
      <c r="AI15" s="398">
        <f t="shared" si="15"/>
        <v>0</v>
      </c>
      <c r="AJ15" s="398">
        <f t="shared" si="6"/>
        <v>0</v>
      </c>
      <c r="AK15" s="398">
        <f t="shared" si="7"/>
        <v>0</v>
      </c>
      <c r="AL15" s="398">
        <f t="shared" si="8"/>
        <v>0</v>
      </c>
      <c r="AM15" s="398">
        <f t="shared" si="9"/>
        <v>0</v>
      </c>
      <c r="AN15" s="554">
        <f t="shared" si="10"/>
        <v>0</v>
      </c>
    </row>
    <row r="16" spans="1:40" ht="15.75" hidden="1" outlineLevel="1" x14ac:dyDescent="0.25">
      <c r="A16" s="399"/>
      <c r="B16" s="398"/>
      <c r="C16" s="398"/>
      <c r="D16" s="398"/>
      <c r="E16" s="398"/>
      <c r="F16" s="398"/>
      <c r="G16" s="398"/>
      <c r="H16" s="398"/>
      <c r="I16" s="398"/>
      <c r="J16" s="398"/>
      <c r="K16" s="398"/>
      <c r="L16" s="398"/>
      <c r="M16" s="398"/>
      <c r="N16" s="398"/>
      <c r="O16" s="398"/>
      <c r="P16" s="398"/>
      <c r="Q16" s="398"/>
      <c r="R16" s="398"/>
      <c r="S16" s="398"/>
      <c r="T16" s="398"/>
      <c r="U16" s="398"/>
      <c r="V16" s="398"/>
      <c r="W16" s="398"/>
      <c r="X16" s="398"/>
      <c r="Y16" s="398"/>
      <c r="Z16" s="398"/>
      <c r="AA16" s="398"/>
      <c r="AB16" s="398"/>
      <c r="AC16" s="398"/>
      <c r="AD16" s="398"/>
      <c r="AE16" s="398"/>
      <c r="AF16" s="398"/>
      <c r="AG16" s="398"/>
      <c r="AH16" s="398">
        <f t="shared" si="14"/>
        <v>0</v>
      </c>
      <c r="AI16" s="398">
        <f t="shared" si="15"/>
        <v>0</v>
      </c>
      <c r="AJ16" s="398">
        <f t="shared" si="6"/>
        <v>0</v>
      </c>
      <c r="AK16" s="398">
        <f t="shared" si="7"/>
        <v>0</v>
      </c>
      <c r="AL16" s="398">
        <f t="shared" si="8"/>
        <v>0</v>
      </c>
      <c r="AM16" s="398">
        <f t="shared" si="9"/>
        <v>0</v>
      </c>
      <c r="AN16" s="554">
        <f t="shared" si="10"/>
        <v>0</v>
      </c>
    </row>
    <row r="17" spans="1:40" ht="15.75" hidden="1" outlineLevel="1" x14ac:dyDescent="0.25">
      <c r="A17" s="399"/>
      <c r="B17" s="398"/>
      <c r="C17" s="398"/>
      <c r="D17" s="398"/>
      <c r="E17" s="398"/>
      <c r="F17" s="398"/>
      <c r="G17" s="398"/>
      <c r="H17" s="398"/>
      <c r="I17" s="398"/>
      <c r="J17" s="398"/>
      <c r="K17" s="398"/>
      <c r="L17" s="398"/>
      <c r="M17" s="398"/>
      <c r="N17" s="398"/>
      <c r="O17" s="398"/>
      <c r="P17" s="398"/>
      <c r="Q17" s="398"/>
      <c r="R17" s="398"/>
      <c r="S17" s="398"/>
      <c r="T17" s="398"/>
      <c r="U17" s="398"/>
      <c r="V17" s="398"/>
      <c r="W17" s="398"/>
      <c r="X17" s="398"/>
      <c r="Y17" s="398"/>
      <c r="Z17" s="398"/>
      <c r="AA17" s="398"/>
      <c r="AB17" s="398"/>
      <c r="AC17" s="398"/>
      <c r="AD17" s="398"/>
      <c r="AE17" s="398"/>
      <c r="AF17" s="398"/>
      <c r="AG17" s="398"/>
      <c r="AH17" s="398">
        <f t="shared" si="14"/>
        <v>0</v>
      </c>
      <c r="AI17" s="398">
        <f t="shared" si="15"/>
        <v>0</v>
      </c>
      <c r="AJ17" s="398">
        <f t="shared" si="6"/>
        <v>0</v>
      </c>
      <c r="AK17" s="398">
        <f t="shared" si="7"/>
        <v>0</v>
      </c>
      <c r="AL17" s="398">
        <f t="shared" si="8"/>
        <v>0</v>
      </c>
      <c r="AM17" s="398">
        <f t="shared" si="9"/>
        <v>0</v>
      </c>
      <c r="AN17" s="554">
        <f t="shared" si="10"/>
        <v>0</v>
      </c>
    </row>
    <row r="18" spans="1:40" ht="15.75" hidden="1" outlineLevel="1" x14ac:dyDescent="0.25">
      <c r="A18" s="399"/>
      <c r="B18" s="398"/>
      <c r="C18" s="398"/>
      <c r="D18" s="398"/>
      <c r="E18" s="398"/>
      <c r="F18" s="398"/>
      <c r="G18" s="398"/>
      <c r="H18" s="398"/>
      <c r="I18" s="398"/>
      <c r="J18" s="398"/>
      <c r="K18" s="398"/>
      <c r="L18" s="398"/>
      <c r="M18" s="398"/>
      <c r="N18" s="398"/>
      <c r="O18" s="398"/>
      <c r="P18" s="398"/>
      <c r="Q18" s="398"/>
      <c r="R18" s="398"/>
      <c r="S18" s="398"/>
      <c r="T18" s="398"/>
      <c r="U18" s="398"/>
      <c r="V18" s="398"/>
      <c r="W18" s="398"/>
      <c r="X18" s="398"/>
      <c r="Y18" s="398"/>
      <c r="Z18" s="398"/>
      <c r="AA18" s="398"/>
      <c r="AB18" s="398"/>
      <c r="AC18" s="398"/>
      <c r="AD18" s="398"/>
      <c r="AE18" s="398"/>
      <c r="AF18" s="398"/>
      <c r="AG18" s="398"/>
      <c r="AH18" s="398">
        <f t="shared" si="14"/>
        <v>0</v>
      </c>
      <c r="AI18" s="398">
        <f t="shared" si="15"/>
        <v>0</v>
      </c>
      <c r="AJ18" s="398">
        <f t="shared" si="6"/>
        <v>0</v>
      </c>
      <c r="AK18" s="398">
        <f t="shared" si="7"/>
        <v>0</v>
      </c>
      <c r="AL18" s="398">
        <f t="shared" si="8"/>
        <v>0</v>
      </c>
      <c r="AM18" s="398">
        <f t="shared" si="9"/>
        <v>0</v>
      </c>
      <c r="AN18" s="554">
        <f t="shared" si="10"/>
        <v>0</v>
      </c>
    </row>
    <row r="19" spans="1:40" ht="15.75" hidden="1" outlineLevel="1" x14ac:dyDescent="0.25">
      <c r="A19" s="399"/>
      <c r="B19" s="398"/>
      <c r="C19" s="398"/>
      <c r="D19" s="398"/>
      <c r="E19" s="398"/>
      <c r="F19" s="398"/>
      <c r="G19" s="398"/>
      <c r="H19" s="398"/>
      <c r="I19" s="398"/>
      <c r="J19" s="398"/>
      <c r="K19" s="398"/>
      <c r="L19" s="398"/>
      <c r="M19" s="398"/>
      <c r="N19" s="398"/>
      <c r="O19" s="398"/>
      <c r="P19" s="398"/>
      <c r="Q19" s="398"/>
      <c r="R19" s="398"/>
      <c r="S19" s="398"/>
      <c r="T19" s="398"/>
      <c r="U19" s="398"/>
      <c r="V19" s="398"/>
      <c r="W19" s="398"/>
      <c r="X19" s="398"/>
      <c r="Y19" s="398"/>
      <c r="Z19" s="398"/>
      <c r="AA19" s="398"/>
      <c r="AB19" s="398"/>
      <c r="AC19" s="398"/>
      <c r="AD19" s="398"/>
      <c r="AE19" s="398"/>
      <c r="AF19" s="398"/>
      <c r="AG19" s="398"/>
      <c r="AH19" s="398">
        <f t="shared" si="14"/>
        <v>0</v>
      </c>
      <c r="AI19" s="398">
        <f t="shared" si="15"/>
        <v>0</v>
      </c>
      <c r="AJ19" s="398">
        <f t="shared" si="6"/>
        <v>0</v>
      </c>
      <c r="AK19" s="398">
        <f t="shared" si="7"/>
        <v>0</v>
      </c>
      <c r="AL19" s="398">
        <f t="shared" si="8"/>
        <v>0</v>
      </c>
      <c r="AM19" s="398">
        <f t="shared" si="9"/>
        <v>0</v>
      </c>
      <c r="AN19" s="554">
        <f t="shared" si="10"/>
        <v>0</v>
      </c>
    </row>
    <row r="20" spans="1:40" ht="15.75" hidden="1" outlineLevel="1" x14ac:dyDescent="0.25">
      <c r="A20" s="399"/>
      <c r="B20" s="398"/>
      <c r="C20" s="398"/>
      <c r="D20" s="398"/>
      <c r="E20" s="398"/>
      <c r="F20" s="398"/>
      <c r="G20" s="398"/>
      <c r="H20" s="398"/>
      <c r="I20" s="398"/>
      <c r="J20" s="398"/>
      <c r="K20" s="398"/>
      <c r="L20" s="398"/>
      <c r="M20" s="398"/>
      <c r="N20" s="398"/>
      <c r="O20" s="398"/>
      <c r="P20" s="398"/>
      <c r="Q20" s="398"/>
      <c r="R20" s="398"/>
      <c r="S20" s="398"/>
      <c r="T20" s="398"/>
      <c r="U20" s="398"/>
      <c r="V20" s="398"/>
      <c r="W20" s="398"/>
      <c r="X20" s="398"/>
      <c r="Y20" s="398"/>
      <c r="Z20" s="398"/>
      <c r="AA20" s="398"/>
      <c r="AB20" s="398"/>
      <c r="AC20" s="398"/>
      <c r="AD20" s="398"/>
      <c r="AE20" s="398"/>
      <c r="AF20" s="398"/>
      <c r="AG20" s="398"/>
      <c r="AH20" s="398">
        <f t="shared" si="14"/>
        <v>0</v>
      </c>
      <c r="AI20" s="398">
        <f t="shared" si="15"/>
        <v>0</v>
      </c>
      <c r="AJ20" s="398">
        <f t="shared" si="6"/>
        <v>0</v>
      </c>
      <c r="AK20" s="398">
        <f t="shared" si="7"/>
        <v>0</v>
      </c>
      <c r="AL20" s="398">
        <f t="shared" si="8"/>
        <v>0</v>
      </c>
      <c r="AM20" s="398">
        <f t="shared" si="9"/>
        <v>0</v>
      </c>
      <c r="AN20" s="554">
        <f t="shared" si="10"/>
        <v>0</v>
      </c>
    </row>
    <row r="21" spans="1:40" ht="15.75" hidden="1" outlineLevel="1" x14ac:dyDescent="0.25">
      <c r="A21" s="399"/>
      <c r="B21" s="406"/>
      <c r="C21" s="406"/>
      <c r="D21" s="406"/>
      <c r="E21" s="406"/>
      <c r="F21" s="406"/>
      <c r="G21" s="406"/>
      <c r="H21" s="406"/>
      <c r="I21" s="406"/>
      <c r="J21" s="406"/>
      <c r="K21" s="406"/>
      <c r="L21" s="406"/>
      <c r="M21" s="406"/>
      <c r="N21" s="406"/>
      <c r="O21" s="406"/>
      <c r="P21" s="406"/>
      <c r="Q21" s="406"/>
      <c r="R21" s="406"/>
      <c r="S21" s="406"/>
      <c r="T21" s="406"/>
      <c r="U21" s="406"/>
      <c r="V21" s="406"/>
      <c r="W21" s="406"/>
      <c r="X21" s="406"/>
      <c r="Y21" s="406"/>
      <c r="Z21" s="406"/>
      <c r="AA21" s="406"/>
      <c r="AB21" s="406"/>
      <c r="AC21" s="406"/>
      <c r="AD21" s="406"/>
      <c r="AE21" s="406"/>
      <c r="AF21" s="406"/>
      <c r="AG21" s="398"/>
      <c r="AH21" s="406">
        <f t="shared" si="14"/>
        <v>0</v>
      </c>
      <c r="AI21" s="406">
        <f t="shared" si="15"/>
        <v>0</v>
      </c>
      <c r="AJ21" s="406">
        <f t="shared" si="6"/>
        <v>0</v>
      </c>
      <c r="AK21" s="406">
        <f t="shared" si="7"/>
        <v>0</v>
      </c>
      <c r="AL21" s="406">
        <f t="shared" si="8"/>
        <v>0</v>
      </c>
      <c r="AM21" s="406">
        <f t="shared" si="9"/>
        <v>0</v>
      </c>
      <c r="AN21" s="555">
        <f t="shared" si="10"/>
        <v>0</v>
      </c>
    </row>
    <row r="22" spans="1:40" ht="15.75" collapsed="1" x14ac:dyDescent="0.25">
      <c r="A22" s="399" t="s">
        <v>366</v>
      </c>
      <c r="B22" s="407">
        <v>6805.4920000000002</v>
      </c>
      <c r="C22" s="407">
        <v>9536.5040000000008</v>
      </c>
      <c r="D22" s="407">
        <v>13561.177</v>
      </c>
      <c r="E22" s="398">
        <v>13771.973</v>
      </c>
      <c r="F22" s="398">
        <v>14781.758390000001</v>
      </c>
      <c r="G22" s="398">
        <v>14781.758390000001</v>
      </c>
      <c r="H22" s="398">
        <f ca="1">F22+HLOOKUP(H3,'CapEx and Depreciation'!$F$6:$K$12,5,FALSE)/3</f>
        <v>15101.613042500001</v>
      </c>
      <c r="I22" s="407">
        <v>0</v>
      </c>
      <c r="J22" s="398">
        <v>0</v>
      </c>
      <c r="K22" s="398">
        <f ca="1">SUM(H22:J22)</f>
        <v>15101.613042500001</v>
      </c>
      <c r="L22" s="398">
        <f ca="1">K22+HLOOKUP(L3,'CapEx and Depreciation'!$F$6:$K$12,5,FALSE)/3</f>
        <v>15421.467695000001</v>
      </c>
      <c r="M22" s="398">
        <f ca="1">L22+HLOOKUP(M3,'CapEx and Depreciation'!$F$6:$K$12,5,FALSE)/4</f>
        <v>15796.467695000001</v>
      </c>
      <c r="N22" s="398">
        <f ca="1">M22+HLOOKUP(N3,'CapEx and Depreciation'!$F$6:$K$12,5,FALSE)/4</f>
        <v>16171.467695000001</v>
      </c>
      <c r="O22" s="398">
        <f ca="1">N22+HLOOKUP(O3,'CapEx and Depreciation'!$F$6:$K$12,5,FALSE)/4</f>
        <v>16546.467694999999</v>
      </c>
      <c r="P22" s="398">
        <f ca="1">O22+HLOOKUP(P3,'CapEx and Depreciation'!$F$6:$K$12,5,FALSE)/4</f>
        <v>16921.467694999999</v>
      </c>
      <c r="Q22" s="398">
        <f ca="1">P22+HLOOKUP(Q3,'CapEx and Depreciation'!$F$6:$K$12,5,FALSE)/4</f>
        <v>17296.467694999999</v>
      </c>
      <c r="R22" s="398">
        <f ca="1">Q22+HLOOKUP(R3,'CapEx and Depreciation'!$F$6:$K$12,5,FALSE)/4</f>
        <v>17671.467694999999</v>
      </c>
      <c r="S22" s="398">
        <f ca="1">R22+HLOOKUP(S3,'CapEx and Depreciation'!$F$6:$K$12,5,FALSE)/4</f>
        <v>18046.467694999999</v>
      </c>
      <c r="T22" s="398">
        <f ca="1">S22+HLOOKUP(T3,'CapEx and Depreciation'!$F$6:$K$12,5,FALSE)/4</f>
        <v>18421.467694999999</v>
      </c>
      <c r="U22" s="398">
        <f ca="1">T22+HLOOKUP(U3,'CapEx and Depreciation'!$F$6:$K$12,5,FALSE)/4</f>
        <v>18796.467694999999</v>
      </c>
      <c r="V22" s="398">
        <f ca="1">U22+HLOOKUP(V3,'CapEx and Depreciation'!$F$6:$K$12,5,FALSE)/4</f>
        <v>19171.467694999999</v>
      </c>
      <c r="W22" s="398">
        <f ca="1">V22+HLOOKUP(W3,'CapEx and Depreciation'!$F$6:$K$12,5,FALSE)/4</f>
        <v>19546.467694999999</v>
      </c>
      <c r="X22" s="398">
        <f ca="1">W22+HLOOKUP(X3,'CapEx and Depreciation'!$F$6:$K$12,5,FALSE)/4</f>
        <v>19921.467694999999</v>
      </c>
      <c r="Y22" s="398">
        <f ca="1">X22+HLOOKUP(Y3,'CapEx and Depreciation'!$F$6:$K$12,5,FALSE)/4</f>
        <v>20296.467694999999</v>
      </c>
      <c r="Z22" s="398">
        <f ca="1">Y22+HLOOKUP(Z3,'CapEx and Depreciation'!$F$6:$K$12,5,FALSE)/4</f>
        <v>20671.467694999999</v>
      </c>
      <c r="AA22" s="398">
        <f ca="1">Z22+HLOOKUP(AA3,'CapEx and Depreciation'!$F$6:$K$12,5,FALSE)/4</f>
        <v>21046.467694999999</v>
      </c>
      <c r="AB22" s="398">
        <f ca="1">AA22+HLOOKUP(AB3,'CapEx and Depreciation'!$F$6:$K$12,5,FALSE)/4</f>
        <v>21421.467694999999</v>
      </c>
      <c r="AC22" s="398">
        <f ca="1">AB22+HLOOKUP(AC3,'CapEx and Depreciation'!$F$6:$K$12,5,FALSE)/4</f>
        <v>21796.467694999999</v>
      </c>
      <c r="AD22" s="398">
        <f ca="1">AC22+HLOOKUP(AD3,'CapEx and Depreciation'!$F$6:$K$12,5,FALSE)/4</f>
        <v>22171.467694999999</v>
      </c>
      <c r="AE22" s="398">
        <f ca="1">AD22+HLOOKUP(AE3,'CapEx and Depreciation'!$F$6:$K$12,5,FALSE)/4</f>
        <v>22546.467694999999</v>
      </c>
      <c r="AF22" s="398">
        <f ca="1">AE22+HLOOKUP(AF3,'CapEx and Depreciation'!$F$6:$K$12,5,FALSE)/4</f>
        <v>22921.467694999999</v>
      </c>
      <c r="AG22" s="448"/>
      <c r="AH22" s="398">
        <f t="shared" si="14"/>
        <v>13561.177</v>
      </c>
      <c r="AI22" s="398">
        <f t="shared" ca="1" si="15"/>
        <v>15421.467695000001</v>
      </c>
      <c r="AJ22" s="398">
        <f t="shared" ca="1" si="6"/>
        <v>16921.467694999999</v>
      </c>
      <c r="AK22" s="398">
        <f t="shared" ca="1" si="7"/>
        <v>18421.467694999999</v>
      </c>
      <c r="AL22" s="398">
        <f t="shared" ca="1" si="8"/>
        <v>19921.467694999999</v>
      </c>
      <c r="AM22" s="398">
        <f t="shared" ca="1" si="9"/>
        <v>21421.467694999999</v>
      </c>
      <c r="AN22" s="554">
        <f t="shared" ca="1" si="10"/>
        <v>22921.467694999999</v>
      </c>
    </row>
    <row r="23" spans="1:40" ht="15.75" x14ac:dyDescent="0.25">
      <c r="A23" s="399" t="s">
        <v>367</v>
      </c>
      <c r="B23" s="449">
        <v>-3504.8560000000002</v>
      </c>
      <c r="C23" s="449">
        <v>-4316.3209999999999</v>
      </c>
      <c r="D23" s="449">
        <v>-5598.4210000000003</v>
      </c>
      <c r="E23" s="406">
        <v>-5788.9210000000003</v>
      </c>
      <c r="F23" s="406">
        <v>-5979.4210000000003</v>
      </c>
      <c r="G23" s="406">
        <v>-5979.4210000000003</v>
      </c>
      <c r="H23" s="406">
        <f>F23-'Summary Income Statement'!J40</f>
        <v>-6169.9210000000003</v>
      </c>
      <c r="I23" s="406">
        <v>0</v>
      </c>
      <c r="J23" s="406">
        <v>0</v>
      </c>
      <c r="K23" s="406">
        <f>SUM(H23:J23)</f>
        <v>-6169.9210000000003</v>
      </c>
      <c r="L23" s="406">
        <f ca="1">-'Summary Income Statement'!K40+K23</f>
        <v>-6555.4576923750001</v>
      </c>
      <c r="M23" s="406">
        <f ca="1">L23-'Summary Income Statement'!L40</f>
        <v>-6950.3693847499999</v>
      </c>
      <c r="N23" s="406">
        <f ca="1">M23-'Summary Income Statement'!M40</f>
        <v>-7354.6560771249997</v>
      </c>
      <c r="O23" s="406">
        <f ca="1">N23-'Summary Income Statement'!N40</f>
        <v>-7768.3177694999995</v>
      </c>
      <c r="P23" s="406">
        <f ca="1">O23-'Summary Income Statement'!O40</f>
        <v>-8191.3544618749993</v>
      </c>
      <c r="Q23" s="406">
        <f ca="1">P23-'Summary Income Statement'!P40</f>
        <v>-8623.7661542499991</v>
      </c>
      <c r="R23" s="406">
        <f ca="1">Q23-'Summary Income Statement'!Q40</f>
        <v>-9065.5528466249998</v>
      </c>
      <c r="S23" s="406">
        <f ca="1">R23-'Summary Income Statement'!R40</f>
        <v>-9516.7145390000005</v>
      </c>
      <c r="T23" s="406">
        <f ca="1">S23-'Summary Income Statement'!S40</f>
        <v>-9977.2512313750012</v>
      </c>
      <c r="U23" s="406">
        <f ca="1">T23-'Summary Income Statement'!T40</f>
        <v>-10447.162923750002</v>
      </c>
      <c r="V23" s="406">
        <f ca="1">U23-'Summary Income Statement'!U40</f>
        <v>-10926.449616125003</v>
      </c>
      <c r="W23" s="406">
        <f ca="1">V23-'Summary Income Statement'!V40</f>
        <v>-11415.111308500003</v>
      </c>
      <c r="X23" s="406">
        <f ca="1">W23-'Summary Income Statement'!W40</f>
        <v>-11913.148000875004</v>
      </c>
      <c r="Y23" s="406">
        <f ca="1">X23-'Summary Income Statement'!X40</f>
        <v>-12420.559693250005</v>
      </c>
      <c r="Z23" s="406">
        <f ca="1">Y23-'Summary Income Statement'!Y40</f>
        <v>-12937.346385625005</v>
      </c>
      <c r="AA23" s="406">
        <f ca="1">Z23-'Summary Income Statement'!Z40</f>
        <v>-13463.508078000006</v>
      </c>
      <c r="AB23" s="406">
        <f ca="1">AA23-'Summary Income Statement'!AA40</f>
        <v>-13999.044770375007</v>
      </c>
      <c r="AC23" s="406">
        <f ca="1">AB23-'Summary Income Statement'!AB40</f>
        <v>-14543.956462750008</v>
      </c>
      <c r="AD23" s="406">
        <f ca="1">AC23-'Summary Income Statement'!AC40</f>
        <v>-15098.243155125008</v>
      </c>
      <c r="AE23" s="406">
        <f ca="1">AD23-'Summary Income Statement'!AD40</f>
        <v>-15661.904847500009</v>
      </c>
      <c r="AF23" s="406">
        <f ca="1">AE23-'Summary Income Statement'!AE40</f>
        <v>-16234.94153987501</v>
      </c>
      <c r="AG23" s="398"/>
      <c r="AH23" s="406">
        <f t="shared" si="14"/>
        <v>-5598.4210000000003</v>
      </c>
      <c r="AI23" s="406">
        <f t="shared" ca="1" si="15"/>
        <v>-6555.4576923750001</v>
      </c>
      <c r="AJ23" s="406">
        <f t="shared" ca="1" si="6"/>
        <v>-8191.3544618749993</v>
      </c>
      <c r="AK23" s="406">
        <f t="shared" ca="1" si="7"/>
        <v>-9977.2512313750012</v>
      </c>
      <c r="AL23" s="406">
        <f t="shared" ca="1" si="8"/>
        <v>-11913.148000875004</v>
      </c>
      <c r="AM23" s="406">
        <f t="shared" ca="1" si="9"/>
        <v>-13999.044770375007</v>
      </c>
      <c r="AN23" s="555">
        <f t="shared" ca="1" si="10"/>
        <v>-16234.94153987501</v>
      </c>
    </row>
    <row r="24" spans="1:40" ht="15.75" x14ac:dyDescent="0.25">
      <c r="A24" s="405" t="s">
        <v>199</v>
      </c>
      <c r="B24" s="398">
        <f>SUM(B22:B23)</f>
        <v>3300.636</v>
      </c>
      <c r="C24" s="398">
        <f>SUM(C22:C23)</f>
        <v>5220.1830000000009</v>
      </c>
      <c r="D24" s="398">
        <f>SUM(D22:D23)</f>
        <v>7962.7559999999994</v>
      </c>
      <c r="E24" s="398">
        <f t="shared" ref="E24:AE24" si="16">SUM(E22:E23)</f>
        <v>7983.0519999999997</v>
      </c>
      <c r="F24" s="398">
        <f t="shared" si="16"/>
        <v>8802.3373900000006</v>
      </c>
      <c r="G24" s="398">
        <f t="shared" ref="G24" si="17">SUM(G22:G23)</f>
        <v>8802.3373900000006</v>
      </c>
      <c r="H24" s="398">
        <f t="shared" ca="1" si="16"/>
        <v>8931.6920425000008</v>
      </c>
      <c r="I24" s="398">
        <f t="shared" si="16"/>
        <v>0</v>
      </c>
      <c r="J24" s="398">
        <f>SUM(J22:J23)</f>
        <v>0</v>
      </c>
      <c r="K24" s="398">
        <f t="shared" ca="1" si="16"/>
        <v>8931.6920425000008</v>
      </c>
      <c r="L24" s="398">
        <f t="shared" ca="1" si="16"/>
        <v>8866.0100026250002</v>
      </c>
      <c r="M24" s="398">
        <f ca="1">SUM(M22:M23)</f>
        <v>8846.0983102500013</v>
      </c>
      <c r="N24" s="398">
        <f ca="1">SUM(N22:N23)</f>
        <v>8816.8116178750024</v>
      </c>
      <c r="O24" s="398">
        <f t="shared" ca="1" si="16"/>
        <v>8778.1499254999999</v>
      </c>
      <c r="P24" s="398">
        <f t="shared" ca="1" si="16"/>
        <v>8730.113233125001</v>
      </c>
      <c r="Q24" s="398">
        <f t="shared" ca="1" si="16"/>
        <v>8672.7015407500003</v>
      </c>
      <c r="R24" s="398">
        <f t="shared" ca="1" si="16"/>
        <v>8605.9148483749996</v>
      </c>
      <c r="S24" s="398">
        <f t="shared" ca="1" si="16"/>
        <v>8529.7531559999989</v>
      </c>
      <c r="T24" s="398">
        <f t="shared" ca="1" si="16"/>
        <v>8444.2164636249981</v>
      </c>
      <c r="U24" s="398">
        <f t="shared" ca="1" si="16"/>
        <v>8349.3047712499974</v>
      </c>
      <c r="V24" s="398">
        <f t="shared" ca="1" si="16"/>
        <v>8245.0180788749967</v>
      </c>
      <c r="W24" s="398">
        <f t="shared" ca="1" si="16"/>
        <v>8131.356386499996</v>
      </c>
      <c r="X24" s="398">
        <f t="shared" ca="1" si="16"/>
        <v>8008.3196941249953</v>
      </c>
      <c r="Y24" s="398">
        <f t="shared" ca="1" si="16"/>
        <v>7875.9080017499946</v>
      </c>
      <c r="Z24" s="398">
        <f t="shared" ca="1" si="16"/>
        <v>7734.1213093749939</v>
      </c>
      <c r="AA24" s="398">
        <f t="shared" ca="1" si="16"/>
        <v>7582.9596169999932</v>
      </c>
      <c r="AB24" s="398">
        <f t="shared" ca="1" si="16"/>
        <v>7422.4229246249924</v>
      </c>
      <c r="AC24" s="398">
        <f t="shared" ca="1" si="16"/>
        <v>7252.5112322499917</v>
      </c>
      <c r="AD24" s="398">
        <f t="shared" ca="1" si="16"/>
        <v>7073.224539874991</v>
      </c>
      <c r="AE24" s="398">
        <f t="shared" ca="1" si="16"/>
        <v>6884.5628474999903</v>
      </c>
      <c r="AF24" s="398">
        <f ca="1">SUM(AF22:AF23)</f>
        <v>6686.5261551249896</v>
      </c>
      <c r="AG24" s="398"/>
      <c r="AH24" s="398">
        <f t="shared" si="14"/>
        <v>7962.7559999999994</v>
      </c>
      <c r="AI24" s="398">
        <f t="shared" ca="1" si="15"/>
        <v>8866.0100026250002</v>
      </c>
      <c r="AJ24" s="398">
        <f t="shared" ca="1" si="6"/>
        <v>8730.113233125001</v>
      </c>
      <c r="AK24" s="398">
        <f t="shared" ca="1" si="7"/>
        <v>8444.2164636249981</v>
      </c>
      <c r="AL24" s="398">
        <f t="shared" ca="1" si="8"/>
        <v>8008.3196941249953</v>
      </c>
      <c r="AM24" s="398">
        <f t="shared" ca="1" si="9"/>
        <v>7422.4229246249924</v>
      </c>
      <c r="AN24" s="554">
        <f t="shared" ca="1" si="10"/>
        <v>6686.5261551249896</v>
      </c>
    </row>
    <row r="25" spans="1:40" ht="15.75" x14ac:dyDescent="0.25">
      <c r="A25" s="399"/>
      <c r="B25" s="398"/>
      <c r="C25" s="398"/>
      <c r="D25" s="398"/>
      <c r="E25" s="398"/>
      <c r="F25" s="398"/>
      <c r="G25" s="398"/>
      <c r="H25" s="398"/>
      <c r="I25" s="398"/>
      <c r="J25" s="398"/>
      <c r="K25" s="398"/>
      <c r="L25" s="398"/>
      <c r="M25" s="398"/>
      <c r="N25" s="398"/>
      <c r="O25" s="398"/>
      <c r="P25" s="398"/>
      <c r="Q25" s="398"/>
      <c r="R25" s="398"/>
      <c r="S25" s="398"/>
      <c r="T25" s="398"/>
      <c r="U25" s="398"/>
      <c r="V25" s="398"/>
      <c r="W25" s="398"/>
      <c r="X25" s="398"/>
      <c r="Y25" s="398"/>
      <c r="Z25" s="398"/>
      <c r="AA25" s="398"/>
      <c r="AB25" s="398"/>
      <c r="AC25" s="398"/>
      <c r="AD25" s="398"/>
      <c r="AE25" s="398"/>
      <c r="AF25" s="398"/>
      <c r="AG25" s="398"/>
      <c r="AH25" s="398"/>
      <c r="AI25" s="398"/>
      <c r="AJ25" s="398"/>
      <c r="AK25" s="398"/>
      <c r="AL25" s="398"/>
      <c r="AM25" s="398"/>
      <c r="AN25" s="554"/>
    </row>
    <row r="26" spans="1:40" ht="15.75" x14ac:dyDescent="0.25">
      <c r="A26" s="399" t="s">
        <v>369</v>
      </c>
      <c r="B26" s="407">
        <v>46.573999999999998</v>
      </c>
      <c r="C26" s="407">
        <v>46.573999999999998</v>
      </c>
      <c r="D26" s="407">
        <v>174.38499999999999</v>
      </c>
      <c r="E26" s="398">
        <v>178.155</v>
      </c>
      <c r="F26" s="398">
        <v>217.16236000000001</v>
      </c>
      <c r="G26" s="398">
        <v>217.16236000000001</v>
      </c>
      <c r="H26" s="398">
        <f>F26</f>
        <v>217.16236000000001</v>
      </c>
      <c r="I26" s="398">
        <v>0</v>
      </c>
      <c r="J26" s="398">
        <v>0</v>
      </c>
      <c r="K26" s="398">
        <f>SUM(H26:J26)</f>
        <v>217.16236000000001</v>
      </c>
      <c r="L26" s="398">
        <f>K26</f>
        <v>217.16236000000001</v>
      </c>
      <c r="M26" s="398">
        <f t="shared" ref="M26:AF26" si="18">L26</f>
        <v>217.16236000000001</v>
      </c>
      <c r="N26" s="398">
        <f t="shared" si="18"/>
        <v>217.16236000000001</v>
      </c>
      <c r="O26" s="398">
        <f t="shared" si="18"/>
        <v>217.16236000000001</v>
      </c>
      <c r="P26" s="398">
        <f t="shared" si="18"/>
        <v>217.16236000000001</v>
      </c>
      <c r="Q26" s="398">
        <f t="shared" si="18"/>
        <v>217.16236000000001</v>
      </c>
      <c r="R26" s="398">
        <f t="shared" si="18"/>
        <v>217.16236000000001</v>
      </c>
      <c r="S26" s="398">
        <f t="shared" si="18"/>
        <v>217.16236000000001</v>
      </c>
      <c r="T26" s="398">
        <f t="shared" si="18"/>
        <v>217.16236000000001</v>
      </c>
      <c r="U26" s="398">
        <f t="shared" si="18"/>
        <v>217.16236000000001</v>
      </c>
      <c r="V26" s="398">
        <f t="shared" si="18"/>
        <v>217.16236000000001</v>
      </c>
      <c r="W26" s="398">
        <f t="shared" si="18"/>
        <v>217.16236000000001</v>
      </c>
      <c r="X26" s="398">
        <f t="shared" si="18"/>
        <v>217.16236000000001</v>
      </c>
      <c r="Y26" s="398">
        <f t="shared" si="18"/>
        <v>217.16236000000001</v>
      </c>
      <c r="Z26" s="398">
        <f t="shared" si="18"/>
        <v>217.16236000000001</v>
      </c>
      <c r="AA26" s="398">
        <f t="shared" si="18"/>
        <v>217.16236000000001</v>
      </c>
      <c r="AB26" s="398">
        <f t="shared" si="18"/>
        <v>217.16236000000001</v>
      </c>
      <c r="AC26" s="398">
        <f t="shared" si="18"/>
        <v>217.16236000000001</v>
      </c>
      <c r="AD26" s="398">
        <f t="shared" si="18"/>
        <v>217.16236000000001</v>
      </c>
      <c r="AE26" s="398">
        <f t="shared" si="18"/>
        <v>217.16236000000001</v>
      </c>
      <c r="AF26" s="398">
        <f t="shared" si="18"/>
        <v>217.16236000000001</v>
      </c>
      <c r="AG26" s="398"/>
      <c r="AH26" s="398">
        <f>D26</f>
        <v>174.38499999999999</v>
      </c>
      <c r="AI26" s="398">
        <f>L26</f>
        <v>217.16236000000001</v>
      </c>
      <c r="AJ26" s="398">
        <f t="shared" si="6"/>
        <v>217.16236000000001</v>
      </c>
      <c r="AK26" s="398">
        <f t="shared" si="7"/>
        <v>217.16236000000001</v>
      </c>
      <c r="AL26" s="398">
        <f t="shared" si="8"/>
        <v>217.16236000000001</v>
      </c>
      <c r="AM26" s="398">
        <f t="shared" si="9"/>
        <v>217.16236000000001</v>
      </c>
      <c r="AN26" s="554">
        <f t="shared" si="10"/>
        <v>217.16236000000001</v>
      </c>
    </row>
    <row r="27" spans="1:40" ht="15.75" x14ac:dyDescent="0.25">
      <c r="A27" s="399" t="s">
        <v>205</v>
      </c>
      <c r="B27" s="398">
        <v>0</v>
      </c>
      <c r="C27" s="398">
        <v>0</v>
      </c>
      <c r="D27" s="398">
        <v>0</v>
      </c>
      <c r="E27" s="398">
        <v>0</v>
      </c>
      <c r="F27" s="398">
        <v>0</v>
      </c>
      <c r="G27" s="398">
        <v>0</v>
      </c>
      <c r="H27" s="398">
        <v>0</v>
      </c>
      <c r="I27" s="398">
        <v>0</v>
      </c>
      <c r="J27" s="398">
        <v>0</v>
      </c>
      <c r="K27" s="398">
        <f>SUM(H27:J27)</f>
        <v>0</v>
      </c>
      <c r="L27" s="398">
        <f>K27</f>
        <v>0</v>
      </c>
      <c r="M27" s="398">
        <f t="shared" ref="M27:AF27" si="19">L27</f>
        <v>0</v>
      </c>
      <c r="N27" s="398">
        <f t="shared" si="19"/>
        <v>0</v>
      </c>
      <c r="O27" s="398">
        <f t="shared" si="19"/>
        <v>0</v>
      </c>
      <c r="P27" s="398">
        <f t="shared" si="19"/>
        <v>0</v>
      </c>
      <c r="Q27" s="398">
        <f t="shared" si="19"/>
        <v>0</v>
      </c>
      <c r="R27" s="398">
        <f t="shared" si="19"/>
        <v>0</v>
      </c>
      <c r="S27" s="398">
        <f t="shared" si="19"/>
        <v>0</v>
      </c>
      <c r="T27" s="398">
        <f t="shared" si="19"/>
        <v>0</v>
      </c>
      <c r="U27" s="398">
        <f t="shared" si="19"/>
        <v>0</v>
      </c>
      <c r="V27" s="398">
        <f t="shared" si="19"/>
        <v>0</v>
      </c>
      <c r="W27" s="398">
        <f t="shared" si="19"/>
        <v>0</v>
      </c>
      <c r="X27" s="398">
        <f t="shared" si="19"/>
        <v>0</v>
      </c>
      <c r="Y27" s="398">
        <f t="shared" si="19"/>
        <v>0</v>
      </c>
      <c r="Z27" s="398">
        <f t="shared" si="19"/>
        <v>0</v>
      </c>
      <c r="AA27" s="398">
        <f t="shared" si="19"/>
        <v>0</v>
      </c>
      <c r="AB27" s="398">
        <f t="shared" si="19"/>
        <v>0</v>
      </c>
      <c r="AC27" s="398">
        <f t="shared" si="19"/>
        <v>0</v>
      </c>
      <c r="AD27" s="398">
        <f t="shared" si="19"/>
        <v>0</v>
      </c>
      <c r="AE27" s="398">
        <f t="shared" si="19"/>
        <v>0</v>
      </c>
      <c r="AF27" s="398">
        <f t="shared" si="19"/>
        <v>0</v>
      </c>
      <c r="AG27" s="398"/>
      <c r="AH27" s="398">
        <f>D27</f>
        <v>0</v>
      </c>
      <c r="AI27" s="398">
        <f>L27</f>
        <v>0</v>
      </c>
      <c r="AJ27" s="398">
        <f t="shared" si="6"/>
        <v>0</v>
      </c>
      <c r="AK27" s="398">
        <f t="shared" si="7"/>
        <v>0</v>
      </c>
      <c r="AL27" s="398">
        <f t="shared" si="8"/>
        <v>0</v>
      </c>
      <c r="AM27" s="398">
        <f t="shared" si="9"/>
        <v>0</v>
      </c>
      <c r="AN27" s="554">
        <f t="shared" si="10"/>
        <v>0</v>
      </c>
    </row>
    <row r="28" spans="1:40" ht="15.75" x14ac:dyDescent="0.25">
      <c r="A28" s="399" t="s">
        <v>368</v>
      </c>
      <c r="B28" s="398">
        <v>0</v>
      </c>
      <c r="C28" s="398">
        <v>0</v>
      </c>
      <c r="D28" s="398">
        <v>0</v>
      </c>
      <c r="E28" s="398">
        <v>0</v>
      </c>
      <c r="F28" s="398">
        <v>0</v>
      </c>
      <c r="G28" s="398">
        <v>0</v>
      </c>
      <c r="H28" s="398">
        <v>0</v>
      </c>
      <c r="I28" s="398">
        <v>0</v>
      </c>
      <c r="J28" s="398">
        <v>0</v>
      </c>
      <c r="K28" s="398">
        <f>SUM(H28:J28)</f>
        <v>0</v>
      </c>
      <c r="L28" s="398">
        <v>0</v>
      </c>
      <c r="M28" s="398">
        <v>0</v>
      </c>
      <c r="N28" s="398">
        <v>0</v>
      </c>
      <c r="O28" s="398">
        <v>0</v>
      </c>
      <c r="P28" s="398">
        <v>0</v>
      </c>
      <c r="Q28" s="398">
        <v>0</v>
      </c>
      <c r="R28" s="398">
        <v>0</v>
      </c>
      <c r="S28" s="398">
        <v>0</v>
      </c>
      <c r="T28" s="398">
        <v>0</v>
      </c>
      <c r="U28" s="398">
        <v>0</v>
      </c>
      <c r="V28" s="398">
        <v>0</v>
      </c>
      <c r="W28" s="398">
        <v>0</v>
      </c>
      <c r="X28" s="398">
        <v>0</v>
      </c>
      <c r="Y28" s="398">
        <v>0</v>
      </c>
      <c r="Z28" s="398">
        <v>0</v>
      </c>
      <c r="AA28" s="398">
        <v>0</v>
      </c>
      <c r="AB28" s="398">
        <v>0</v>
      </c>
      <c r="AC28" s="398">
        <v>0</v>
      </c>
      <c r="AD28" s="398">
        <v>0</v>
      </c>
      <c r="AE28" s="398">
        <v>0</v>
      </c>
      <c r="AF28" s="398">
        <v>0</v>
      </c>
      <c r="AG28" s="398"/>
      <c r="AH28" s="398">
        <f>D28</f>
        <v>0</v>
      </c>
      <c r="AI28" s="398">
        <f>L28</f>
        <v>0</v>
      </c>
      <c r="AJ28" s="398">
        <f t="shared" si="6"/>
        <v>0</v>
      </c>
      <c r="AK28" s="398">
        <f t="shared" si="7"/>
        <v>0</v>
      </c>
      <c r="AL28" s="398">
        <f t="shared" si="8"/>
        <v>0</v>
      </c>
      <c r="AM28" s="398">
        <f t="shared" si="9"/>
        <v>0</v>
      </c>
      <c r="AN28" s="554">
        <f t="shared" si="10"/>
        <v>0</v>
      </c>
    </row>
    <row r="29" spans="1:40" ht="16.5" thickBot="1" x14ac:dyDescent="0.3">
      <c r="A29" s="405" t="s">
        <v>370</v>
      </c>
      <c r="B29" s="408">
        <f t="shared" ref="B29:AF29" si="20">SUM(B11,B24,B26:B28)</f>
        <v>13332.433000000001</v>
      </c>
      <c r="C29" s="408">
        <f t="shared" si="20"/>
        <v>16954.721000000001</v>
      </c>
      <c r="D29" s="408">
        <f t="shared" si="20"/>
        <v>25406.302</v>
      </c>
      <c r="E29" s="408">
        <f t="shared" si="20"/>
        <v>22408.273000000001</v>
      </c>
      <c r="F29" s="408">
        <f t="shared" si="20"/>
        <v>22890.343219999999</v>
      </c>
      <c r="G29" s="408">
        <f t="shared" ref="G29" si="21">SUM(G11,G24,G26:G28)</f>
        <v>23170.82</v>
      </c>
      <c r="H29" s="408">
        <f t="shared" ca="1" si="20"/>
        <v>24293.310500140335</v>
      </c>
      <c r="I29" s="408">
        <f t="shared" si="20"/>
        <v>0</v>
      </c>
      <c r="J29" s="408">
        <f t="shared" si="20"/>
        <v>0</v>
      </c>
      <c r="K29" s="408">
        <f t="shared" ca="1" si="20"/>
        <v>24293.310500140335</v>
      </c>
      <c r="L29" s="408">
        <f ca="1">SUM(L11,L24,L26:L28)</f>
        <v>30450.67376912546</v>
      </c>
      <c r="M29" s="408">
        <f t="shared" ca="1" si="20"/>
        <v>23263.483978590702</v>
      </c>
      <c r="N29" s="408">
        <f t="shared" ca="1" si="20"/>
        <v>24178.01697655227</v>
      </c>
      <c r="O29" s="408">
        <f t="shared" ca="1" si="20"/>
        <v>26078.207938787233</v>
      </c>
      <c r="P29" s="408">
        <f t="shared" ca="1" si="20"/>
        <v>31278.561181515146</v>
      </c>
      <c r="Q29" s="408">
        <f t="shared" ca="1" si="20"/>
        <v>24353.012786720818</v>
      </c>
      <c r="R29" s="408">
        <f t="shared" ca="1" si="20"/>
        <v>25148.6634707495</v>
      </c>
      <c r="S29" s="408">
        <f t="shared" ca="1" si="20"/>
        <v>27164.290496218091</v>
      </c>
      <c r="T29" s="408">
        <f t="shared" ca="1" si="20"/>
        <v>32731.596934010486</v>
      </c>
      <c r="U29" s="408">
        <f t="shared" ca="1" si="20"/>
        <v>25236.180078750363</v>
      </c>
      <c r="V29" s="408">
        <f t="shared" ca="1" si="20"/>
        <v>26062.276988179496</v>
      </c>
      <c r="W29" s="408">
        <f t="shared" ca="1" si="20"/>
        <v>28205.401190009583</v>
      </c>
      <c r="X29" s="408">
        <f t="shared" ca="1" si="20"/>
        <v>34170.783638492125</v>
      </c>
      <c r="Y29" s="408">
        <f t="shared" ca="1" si="20"/>
        <v>26080.937718497291</v>
      </c>
      <c r="Z29" s="408">
        <f t="shared" ca="1" si="20"/>
        <v>26943.965316070746</v>
      </c>
      <c r="AA29" s="408">
        <f t="shared" ca="1" si="20"/>
        <v>29230.132389437254</v>
      </c>
      <c r="AB29" s="408">
        <f t="shared" ca="1" si="20"/>
        <v>35645.088369188394</v>
      </c>
      <c r="AC29" s="408">
        <f t="shared" ca="1" si="20"/>
        <v>26684.366302186932</v>
      </c>
      <c r="AD29" s="408">
        <f t="shared" ca="1" si="20"/>
        <v>27786.689320425568</v>
      </c>
      <c r="AE29" s="408">
        <f t="shared" ca="1" si="20"/>
        <v>30231.342695057345</v>
      </c>
      <c r="AF29" s="408">
        <f t="shared" ca="1" si="20"/>
        <v>37135.838088441385</v>
      </c>
      <c r="AG29" s="398"/>
      <c r="AH29" s="408">
        <f>D29</f>
        <v>25406.302</v>
      </c>
      <c r="AI29" s="408">
        <f ca="1">L29</f>
        <v>30450.67376912546</v>
      </c>
      <c r="AJ29" s="408">
        <f t="shared" ca="1" si="6"/>
        <v>31278.561181515146</v>
      </c>
      <c r="AK29" s="408">
        <f t="shared" ca="1" si="7"/>
        <v>32731.596934010486</v>
      </c>
      <c r="AL29" s="408">
        <f t="shared" ca="1" si="8"/>
        <v>34170.783638492125</v>
      </c>
      <c r="AM29" s="408">
        <f t="shared" ca="1" si="9"/>
        <v>35645.088369188394</v>
      </c>
      <c r="AN29" s="556">
        <f t="shared" ca="1" si="10"/>
        <v>37135.838088441385</v>
      </c>
    </row>
    <row r="30" spans="1:40" ht="16.5" thickTop="1" x14ac:dyDescent="0.25">
      <c r="A30" s="399"/>
      <c r="B30" s="398"/>
      <c r="C30" s="398"/>
      <c r="D30" s="398"/>
      <c r="E30" s="398"/>
      <c r="F30" s="398"/>
      <c r="G30" s="398"/>
      <c r="H30" s="398"/>
      <c r="I30" s="398"/>
      <c r="J30" s="398"/>
      <c r="K30" s="398"/>
      <c r="L30" s="398"/>
      <c r="M30" s="398"/>
      <c r="N30" s="398"/>
      <c r="O30" s="398"/>
      <c r="P30" s="398"/>
      <c r="Q30" s="398"/>
      <c r="R30" s="398"/>
      <c r="S30" s="398"/>
      <c r="T30" s="398"/>
      <c r="U30" s="398"/>
      <c r="V30" s="398"/>
      <c r="W30" s="398"/>
      <c r="X30" s="398"/>
      <c r="Y30" s="398"/>
      <c r="Z30" s="398"/>
      <c r="AA30" s="398"/>
      <c r="AB30" s="398"/>
      <c r="AC30" s="398"/>
      <c r="AD30" s="398"/>
      <c r="AE30" s="398"/>
      <c r="AF30" s="398"/>
      <c r="AG30" s="398"/>
      <c r="AH30" s="398"/>
      <c r="AI30" s="398"/>
      <c r="AJ30" s="398"/>
      <c r="AK30" s="398"/>
      <c r="AL30" s="398"/>
      <c r="AM30" s="398"/>
      <c r="AN30" s="554"/>
    </row>
    <row r="31" spans="1:40" ht="15.75" x14ac:dyDescent="0.25">
      <c r="A31" s="399" t="s">
        <v>371</v>
      </c>
      <c r="B31" s="407">
        <v>2167.127</v>
      </c>
      <c r="C31" s="407">
        <v>3471.7289999999998</v>
      </c>
      <c r="D31" s="407">
        <v>5803.7960000000003</v>
      </c>
      <c r="E31" s="398">
        <v>2617.0909999999999</v>
      </c>
      <c r="F31" s="398">
        <v>3191.2104100000001</v>
      </c>
      <c r="G31" s="398">
        <v>3191.2104100000001</v>
      </c>
      <c r="H31" s="398">
        <f>'BS Assumptions'!L27</f>
        <v>3780.2368215549009</v>
      </c>
      <c r="I31" s="398">
        <v>0</v>
      </c>
      <c r="J31" s="398">
        <v>0</v>
      </c>
      <c r="K31" s="398">
        <f>SUM(H31:J31)</f>
        <v>3780.2368215549009</v>
      </c>
      <c r="L31" s="398">
        <f ca="1">'BS Assumptions'!M27</f>
        <v>7295.8665973260859</v>
      </c>
      <c r="M31" s="398">
        <f ca="1">'BS Assumptions'!N27</f>
        <v>3276.5126891046166</v>
      </c>
      <c r="N31" s="398">
        <f ca="1">'BS Assumptions'!O27</f>
        <v>3499.3781106785586</v>
      </c>
      <c r="O31" s="398">
        <f ca="1">'BS Assumptions'!P27</f>
        <v>3954.4375121856106</v>
      </c>
      <c r="P31" s="398">
        <f ca="1">'BS Assumptions'!Q27</f>
        <v>7454.4531097679837</v>
      </c>
      <c r="Q31" s="398">
        <f ca="1">'BS Assumptions'!R27</f>
        <v>3577.9518565022422</v>
      </c>
      <c r="R31" s="398">
        <f ca="1">'BS Assumptions'!S27</f>
        <v>3779.3283595328439</v>
      </c>
      <c r="S31" s="398">
        <f ca="1">'BS Assumptions'!T27</f>
        <v>4270.7925131604607</v>
      </c>
      <c r="T31" s="398">
        <f ca="1">'BS Assumptions'!U27</f>
        <v>8050.8093585494244</v>
      </c>
      <c r="U31" s="398">
        <f ca="1">'BS Assumptions'!V27</f>
        <v>3864.1880050224227</v>
      </c>
      <c r="V31" s="398">
        <f ca="1">'BS Assumptions'!W27</f>
        <v>4081.6746282954723</v>
      </c>
      <c r="W31" s="398">
        <f ca="1">'BS Assumptions'!X27</f>
        <v>4612.4559142132985</v>
      </c>
      <c r="X31" s="398">
        <f ca="1">'BS Assumptions'!Y27</f>
        <v>8694.8741072333796</v>
      </c>
      <c r="Y31" s="398">
        <f ca="1">'BS Assumptions'!Z27</f>
        <v>4173.3230454242166</v>
      </c>
      <c r="Z31" s="398">
        <f ca="1">'BS Assumptions'!AA27</f>
        <v>4408.2085985591102</v>
      </c>
      <c r="AA31" s="398">
        <f ca="1">'BS Assumptions'!AB27</f>
        <v>4981.4523873503631</v>
      </c>
      <c r="AB31" s="398">
        <f ca="1">'BS Assumptions'!AC27</f>
        <v>9390.4640358120523</v>
      </c>
      <c r="AC31" s="398">
        <f ca="1">'BS Assumptions'!AD27</f>
        <v>4457.6593408267454</v>
      </c>
      <c r="AD31" s="398">
        <f ca="1">'BS Assumptions'!AE27</f>
        <v>4760.8652864438391</v>
      </c>
      <c r="AE31" s="398">
        <f ca="1">'BS Assumptions'!AF27</f>
        <v>5379.9685783383911</v>
      </c>
      <c r="AF31" s="398">
        <f ca="1">'BS Assumptions'!AG27</f>
        <v>10141.701158677017</v>
      </c>
      <c r="AG31" s="398"/>
      <c r="AH31" s="398">
        <f>D31</f>
        <v>5803.7960000000003</v>
      </c>
      <c r="AI31" s="398">
        <f ca="1">L31</f>
        <v>7295.8665973260859</v>
      </c>
      <c r="AJ31" s="398">
        <f t="shared" ca="1" si="6"/>
        <v>7454.4531097679837</v>
      </c>
      <c r="AK31" s="398">
        <f t="shared" ca="1" si="7"/>
        <v>8050.8093585494244</v>
      </c>
      <c r="AL31" s="398">
        <f t="shared" ca="1" si="8"/>
        <v>8694.8741072333796</v>
      </c>
      <c r="AM31" s="398">
        <f t="shared" ca="1" si="9"/>
        <v>9390.4640358120523</v>
      </c>
      <c r="AN31" s="554">
        <f t="shared" ca="1" si="10"/>
        <v>10141.701158677017</v>
      </c>
    </row>
    <row r="32" spans="1:40" ht="15.75" outlineLevel="1" x14ac:dyDescent="0.25">
      <c r="A32" s="399" t="s">
        <v>411</v>
      </c>
      <c r="B32" s="407">
        <v>0</v>
      </c>
      <c r="C32" s="407">
        <v>0</v>
      </c>
      <c r="D32" s="407">
        <v>234.56299999999999</v>
      </c>
      <c r="E32" s="398">
        <v>-15.436999999999999</v>
      </c>
      <c r="F32" s="398">
        <v>-15.43694</v>
      </c>
      <c r="G32" s="398">
        <v>-15.43694</v>
      </c>
      <c r="H32" s="398">
        <f>'BS Assumptions'!L30</f>
        <v>65.670488976271173</v>
      </c>
      <c r="I32" s="398">
        <v>0</v>
      </c>
      <c r="J32" s="398">
        <v>0</v>
      </c>
      <c r="K32" s="398">
        <f>SUM(H32:J32)</f>
        <v>65.670488976271173</v>
      </c>
      <c r="L32" s="398">
        <v>0</v>
      </c>
      <c r="M32" s="398">
        <v>0</v>
      </c>
      <c r="N32" s="398">
        <v>0</v>
      </c>
      <c r="O32" s="398">
        <v>0</v>
      </c>
      <c r="P32" s="398">
        <v>0</v>
      </c>
      <c r="Q32" s="398">
        <v>0</v>
      </c>
      <c r="R32" s="398">
        <v>0</v>
      </c>
      <c r="S32" s="398">
        <v>0</v>
      </c>
      <c r="T32" s="398">
        <v>0</v>
      </c>
      <c r="U32" s="398">
        <v>0</v>
      </c>
      <c r="V32" s="398">
        <v>0</v>
      </c>
      <c r="W32" s="398">
        <v>0</v>
      </c>
      <c r="X32" s="398">
        <v>0</v>
      </c>
      <c r="Y32" s="398">
        <v>0</v>
      </c>
      <c r="Z32" s="398">
        <v>0</v>
      </c>
      <c r="AA32" s="398">
        <v>0</v>
      </c>
      <c r="AB32" s="398">
        <v>0</v>
      </c>
      <c r="AC32" s="398">
        <v>0</v>
      </c>
      <c r="AD32" s="398">
        <v>0</v>
      </c>
      <c r="AE32" s="398">
        <v>0</v>
      </c>
      <c r="AF32" s="398">
        <v>0</v>
      </c>
      <c r="AG32" s="398"/>
      <c r="AH32" s="398">
        <f>D32</f>
        <v>234.56299999999999</v>
      </c>
      <c r="AI32" s="398">
        <f>L32</f>
        <v>0</v>
      </c>
      <c r="AJ32" s="398">
        <f t="shared" si="6"/>
        <v>0</v>
      </c>
      <c r="AK32" s="398">
        <f t="shared" si="7"/>
        <v>0</v>
      </c>
      <c r="AL32" s="398">
        <f t="shared" si="8"/>
        <v>0</v>
      </c>
      <c r="AM32" s="398">
        <f t="shared" si="9"/>
        <v>0</v>
      </c>
      <c r="AN32" s="554">
        <f t="shared" si="10"/>
        <v>0</v>
      </c>
    </row>
    <row r="33" spans="1:40" ht="15.75" outlineLevel="1" x14ac:dyDescent="0.25">
      <c r="A33" s="399" t="s">
        <v>276</v>
      </c>
      <c r="B33" s="407">
        <v>222.56700000000001</v>
      </c>
      <c r="C33" s="407">
        <v>365.55799999999999</v>
      </c>
      <c r="D33" s="407">
        <v>500.02100000000002</v>
      </c>
      <c r="E33" s="398">
        <v>407.36078000000003</v>
      </c>
      <c r="F33" s="398">
        <v>465.85358999999994</v>
      </c>
      <c r="G33" s="398">
        <v>465.85358999999994</v>
      </c>
      <c r="H33" s="398">
        <f>'BS Assumptions'!L33</f>
        <v>531.50275222069536</v>
      </c>
      <c r="I33" s="398">
        <v>0</v>
      </c>
      <c r="J33" s="398">
        <v>0</v>
      </c>
      <c r="K33" s="398">
        <f>SUM(H33:J33)</f>
        <v>531.50275222069536</v>
      </c>
      <c r="L33" s="398">
        <f ca="1">'BS Assumptions'!M33</f>
        <v>1053.4078673192371</v>
      </c>
      <c r="M33" s="398">
        <f ca="1">'BS Assumptions'!N33</f>
        <v>491.3738663410075</v>
      </c>
      <c r="N33" s="398">
        <f ca="1">'BS Assumptions'!O33</f>
        <v>521.53523120734314</v>
      </c>
      <c r="O33" s="398">
        <f ca="1">'BS Assumptions'!P33</f>
        <v>589.00144209256757</v>
      </c>
      <c r="P33" s="398">
        <f ca="1">'BS Assumptions'!Q33</f>
        <v>1067.8792526896505</v>
      </c>
      <c r="Q33" s="398">
        <f ca="1">'BS Assumptions'!R33</f>
        <v>526.19499705234796</v>
      </c>
      <c r="R33" s="398">
        <f ca="1">'BS Assumptions'!S33</f>
        <v>558.56179165540675</v>
      </c>
      <c r="S33" s="398">
        <f ca="1">'BS Assumptions'!T33</f>
        <v>630.96120063593298</v>
      </c>
      <c r="T33" s="398">
        <f ca="1">'BS Assumptions'!U33</f>
        <v>1144.8550447722168</v>
      </c>
      <c r="U33" s="398">
        <f ca="1">'BS Assumptions'!V33</f>
        <v>563.48586993223796</v>
      </c>
      <c r="V33" s="398">
        <f ca="1">'BS Assumptions'!W33</f>
        <v>598.21793029475111</v>
      </c>
      <c r="W33" s="398">
        <f ca="1">'BS Assumptions'!X33</f>
        <v>675.90806531616192</v>
      </c>
      <c r="X33" s="398">
        <f ca="1">'BS Assumptions'!Y33</f>
        <v>1227.3556903700974</v>
      </c>
      <c r="Y33" s="398">
        <f ca="1">'BS Assumptions'!Z33</f>
        <v>606.97883005189522</v>
      </c>
      <c r="Z33" s="398">
        <f ca="1">'BS Assumptions'!AA33</f>
        <v>644.48945524340922</v>
      </c>
      <c r="AA33" s="398">
        <f ca="1">'BS Assumptions'!AB33</f>
        <v>728.39480106653309</v>
      </c>
      <c r="AB33" s="398">
        <f ca="1">'BS Assumptions'!AC33</f>
        <v>1323.9582361247833</v>
      </c>
      <c r="AC33" s="398">
        <f ca="1">'BS Assumptions'!AD33</f>
        <v>653.8719315073788</v>
      </c>
      <c r="AD33" s="398">
        <f ca="1">'BS Assumptions'!AE33</f>
        <v>694.38340671421406</v>
      </c>
      <c r="AE33" s="398">
        <f ca="1">'BS Assumptions'!AF33</f>
        <v>785.00118020318769</v>
      </c>
      <c r="AF33" s="398">
        <f ca="1">'BS Assumptions'!AG33</f>
        <v>1428.2096900660983</v>
      </c>
      <c r="AG33" s="398"/>
      <c r="AH33" s="398">
        <f>D33</f>
        <v>500.02100000000002</v>
      </c>
      <c r="AI33" s="398">
        <f ca="1">L33</f>
        <v>1053.4078673192371</v>
      </c>
      <c r="AJ33" s="398">
        <f t="shared" ca="1" si="6"/>
        <v>1067.8792526896505</v>
      </c>
      <c r="AK33" s="398">
        <f t="shared" ca="1" si="7"/>
        <v>1144.8550447722168</v>
      </c>
      <c r="AL33" s="398">
        <f t="shared" ca="1" si="8"/>
        <v>1227.3556903700974</v>
      </c>
      <c r="AM33" s="398">
        <f t="shared" ca="1" si="9"/>
        <v>1323.9582361247833</v>
      </c>
      <c r="AN33" s="554">
        <f t="shared" ca="1" si="10"/>
        <v>1428.2096900660983</v>
      </c>
    </row>
    <row r="34" spans="1:40" s="174" customFormat="1" ht="15.75" outlineLevel="1" x14ac:dyDescent="0.25">
      <c r="A34" s="399" t="s">
        <v>412</v>
      </c>
      <c r="B34" s="449">
        <v>903.43799999999999</v>
      </c>
      <c r="C34" s="449">
        <v>1421.5809999999999</v>
      </c>
      <c r="D34" s="449">
        <v>2094.299</v>
      </c>
      <c r="E34" s="406">
        <v>2094.299</v>
      </c>
      <c r="F34" s="406">
        <v>2094.299</v>
      </c>
      <c r="G34" s="406">
        <v>2094.299</v>
      </c>
      <c r="H34" s="406">
        <f>F34</f>
        <v>2094.299</v>
      </c>
      <c r="I34" s="406">
        <f>-H34</f>
        <v>-2094.299</v>
      </c>
      <c r="J34" s="406">
        <v>0</v>
      </c>
      <c r="K34" s="406">
        <f>SUM(H34:J34)</f>
        <v>0</v>
      </c>
      <c r="L34" s="406">
        <f>K34</f>
        <v>0</v>
      </c>
      <c r="M34" s="406">
        <f t="shared" ref="M34:AF34" si="22">L34</f>
        <v>0</v>
      </c>
      <c r="N34" s="406">
        <f t="shared" si="22"/>
        <v>0</v>
      </c>
      <c r="O34" s="406">
        <f t="shared" si="22"/>
        <v>0</v>
      </c>
      <c r="P34" s="406">
        <f t="shared" si="22"/>
        <v>0</v>
      </c>
      <c r="Q34" s="406">
        <f t="shared" si="22"/>
        <v>0</v>
      </c>
      <c r="R34" s="406">
        <f t="shared" si="22"/>
        <v>0</v>
      </c>
      <c r="S34" s="406">
        <f t="shared" si="22"/>
        <v>0</v>
      </c>
      <c r="T34" s="406">
        <f t="shared" si="22"/>
        <v>0</v>
      </c>
      <c r="U34" s="406">
        <f t="shared" si="22"/>
        <v>0</v>
      </c>
      <c r="V34" s="406">
        <f t="shared" si="22"/>
        <v>0</v>
      </c>
      <c r="W34" s="406">
        <f t="shared" si="22"/>
        <v>0</v>
      </c>
      <c r="X34" s="406">
        <f t="shared" si="22"/>
        <v>0</v>
      </c>
      <c r="Y34" s="406">
        <f t="shared" si="22"/>
        <v>0</v>
      </c>
      <c r="Z34" s="406">
        <f t="shared" si="22"/>
        <v>0</v>
      </c>
      <c r="AA34" s="406">
        <f t="shared" si="22"/>
        <v>0</v>
      </c>
      <c r="AB34" s="406">
        <f t="shared" si="22"/>
        <v>0</v>
      </c>
      <c r="AC34" s="406">
        <f t="shared" si="22"/>
        <v>0</v>
      </c>
      <c r="AD34" s="406">
        <f t="shared" si="22"/>
        <v>0</v>
      </c>
      <c r="AE34" s="406">
        <f t="shared" si="22"/>
        <v>0</v>
      </c>
      <c r="AF34" s="406">
        <f t="shared" si="22"/>
        <v>0</v>
      </c>
      <c r="AG34" s="406"/>
      <c r="AH34" s="406">
        <f>D34</f>
        <v>2094.299</v>
      </c>
      <c r="AI34" s="406">
        <f>L34</f>
        <v>0</v>
      </c>
      <c r="AJ34" s="406">
        <f t="shared" si="6"/>
        <v>0</v>
      </c>
      <c r="AK34" s="406">
        <f t="shared" si="7"/>
        <v>0</v>
      </c>
      <c r="AL34" s="406">
        <f t="shared" si="8"/>
        <v>0</v>
      </c>
      <c r="AM34" s="406">
        <f t="shared" si="9"/>
        <v>0</v>
      </c>
      <c r="AN34" s="555">
        <f t="shared" si="10"/>
        <v>0</v>
      </c>
    </row>
    <row r="35" spans="1:40" ht="15.75" x14ac:dyDescent="0.25">
      <c r="A35" s="405" t="s">
        <v>372</v>
      </c>
      <c r="B35" s="398">
        <f>SUM(B31:B34)</f>
        <v>3293.1320000000001</v>
      </c>
      <c r="C35" s="398">
        <f>SUM(C31:C34)</f>
        <v>5258.8679999999995</v>
      </c>
      <c r="D35" s="398">
        <f t="shared" ref="D35:AF35" si="23">SUM(D31:D34)</f>
        <v>8632.6790000000001</v>
      </c>
      <c r="E35" s="398">
        <f t="shared" si="23"/>
        <v>5103.3137800000004</v>
      </c>
      <c r="F35" s="398">
        <f t="shared" si="23"/>
        <v>5735.9260599999998</v>
      </c>
      <c r="G35" s="398">
        <f t="shared" ref="G35" si="24">SUM(G31:G34)</f>
        <v>5735.9260599999998</v>
      </c>
      <c r="H35" s="398">
        <f t="shared" si="23"/>
        <v>6471.7090627518674</v>
      </c>
      <c r="I35" s="398">
        <f t="shared" si="23"/>
        <v>-2094.299</v>
      </c>
      <c r="J35" s="398">
        <f>SUM(J31:J34)</f>
        <v>0</v>
      </c>
      <c r="K35" s="398">
        <f t="shared" si="23"/>
        <v>4377.4100627518674</v>
      </c>
      <c r="L35" s="398">
        <f t="shared" ca="1" si="23"/>
        <v>8349.274464645323</v>
      </c>
      <c r="M35" s="398">
        <f t="shared" ca="1" si="23"/>
        <v>3767.8865554456243</v>
      </c>
      <c r="N35" s="398">
        <f t="shared" ca="1" si="23"/>
        <v>4020.9133418859019</v>
      </c>
      <c r="O35" s="398">
        <f t="shared" ca="1" si="23"/>
        <v>4543.4389542781782</v>
      </c>
      <c r="P35" s="398">
        <f t="shared" ca="1" si="23"/>
        <v>8522.3323624576333</v>
      </c>
      <c r="Q35" s="398">
        <f t="shared" ca="1" si="23"/>
        <v>4104.1468535545901</v>
      </c>
      <c r="R35" s="398">
        <f t="shared" ca="1" si="23"/>
        <v>4337.8901511882505</v>
      </c>
      <c r="S35" s="398">
        <f t="shared" ca="1" si="23"/>
        <v>4901.7537137963936</v>
      </c>
      <c r="T35" s="398">
        <f t="shared" ca="1" si="23"/>
        <v>9195.6644033216417</v>
      </c>
      <c r="U35" s="398">
        <f t="shared" ca="1" si="23"/>
        <v>4427.6738749546603</v>
      </c>
      <c r="V35" s="398">
        <f t="shared" ca="1" si="23"/>
        <v>4679.8925585902234</v>
      </c>
      <c r="W35" s="398">
        <f t="shared" ca="1" si="23"/>
        <v>5288.3639795294603</v>
      </c>
      <c r="X35" s="398">
        <f t="shared" ca="1" si="23"/>
        <v>9922.229797603477</v>
      </c>
      <c r="Y35" s="398">
        <f t="shared" ca="1" si="23"/>
        <v>4780.3018754761115</v>
      </c>
      <c r="Z35" s="398">
        <f t="shared" ca="1" si="23"/>
        <v>5052.6980538025191</v>
      </c>
      <c r="AA35" s="398">
        <f t="shared" ca="1" si="23"/>
        <v>5709.8471884168957</v>
      </c>
      <c r="AB35" s="398">
        <f t="shared" ca="1" si="23"/>
        <v>10714.422271936835</v>
      </c>
      <c r="AC35" s="398">
        <f t="shared" ca="1" si="23"/>
        <v>5111.531272334124</v>
      </c>
      <c r="AD35" s="398">
        <f t="shared" ca="1" si="23"/>
        <v>5455.2486931580534</v>
      </c>
      <c r="AE35" s="398">
        <f t="shared" ca="1" si="23"/>
        <v>6164.9697585415788</v>
      </c>
      <c r="AF35" s="398">
        <f t="shared" ca="1" si="23"/>
        <v>11569.910848743115</v>
      </c>
      <c r="AG35" s="398"/>
      <c r="AH35" s="398">
        <f>SUM(AH31:AH34)</f>
        <v>8632.6790000000001</v>
      </c>
      <c r="AI35" s="398">
        <f ca="1">L35</f>
        <v>8349.274464645323</v>
      </c>
      <c r="AJ35" s="398">
        <f t="shared" ca="1" si="6"/>
        <v>8522.3323624576333</v>
      </c>
      <c r="AK35" s="398">
        <f t="shared" ca="1" si="7"/>
        <v>9195.6644033216417</v>
      </c>
      <c r="AL35" s="398">
        <f t="shared" ca="1" si="8"/>
        <v>9922.229797603477</v>
      </c>
      <c r="AM35" s="398">
        <f t="shared" ca="1" si="9"/>
        <v>10714.422271936835</v>
      </c>
      <c r="AN35" s="554">
        <f t="shared" ca="1" si="10"/>
        <v>11569.910848743115</v>
      </c>
    </row>
    <row r="36" spans="1:40" ht="15.75" x14ac:dyDescent="0.25">
      <c r="A36" s="399"/>
      <c r="B36" s="398"/>
      <c r="C36" s="398"/>
      <c r="D36" s="398"/>
      <c r="E36" s="398"/>
      <c r="F36" s="398"/>
      <c r="G36" s="398"/>
      <c r="H36" s="398"/>
      <c r="I36" s="398"/>
      <c r="J36" s="398"/>
      <c r="K36" s="398"/>
      <c r="L36" s="398"/>
      <c r="M36" s="398"/>
      <c r="N36" s="398"/>
      <c r="O36" s="398"/>
      <c r="P36" s="398"/>
      <c r="Q36" s="398"/>
      <c r="R36" s="398"/>
      <c r="S36" s="398"/>
      <c r="T36" s="398"/>
      <c r="U36" s="398"/>
      <c r="V36" s="398"/>
      <c r="W36" s="398"/>
      <c r="X36" s="398"/>
      <c r="Y36" s="398"/>
      <c r="Z36" s="398"/>
      <c r="AA36" s="398"/>
      <c r="AB36" s="398"/>
      <c r="AC36" s="398"/>
      <c r="AD36" s="398"/>
      <c r="AE36" s="398"/>
      <c r="AF36" s="398"/>
      <c r="AG36" s="398"/>
      <c r="AH36" s="398"/>
      <c r="AI36" s="398"/>
      <c r="AJ36" s="398"/>
      <c r="AK36" s="398"/>
      <c r="AL36" s="398"/>
      <c r="AM36" s="398"/>
      <c r="AN36" s="554"/>
    </row>
    <row r="37" spans="1:40" ht="15.75" x14ac:dyDescent="0.25">
      <c r="A37" s="399" t="s">
        <v>375</v>
      </c>
      <c r="B37" s="407">
        <v>5776.3670000000002</v>
      </c>
      <c r="C37" s="407">
        <v>6698.6840000000002</v>
      </c>
      <c r="D37" s="407">
        <v>10274.316000000001</v>
      </c>
      <c r="E37" s="398">
        <v>10368.088930000002</v>
      </c>
      <c r="F37" s="398">
        <v>10139.659820000001</v>
      </c>
      <c r="G37" s="398">
        <v>10139.659820000001</v>
      </c>
      <c r="H37" s="398">
        <f>F37</f>
        <v>10139.659820000001</v>
      </c>
      <c r="I37" s="398">
        <f>-H37</f>
        <v>-10139.659820000001</v>
      </c>
      <c r="J37" s="398">
        <v>0</v>
      </c>
      <c r="K37" s="398">
        <f>SUM(H37:J37)</f>
        <v>0</v>
      </c>
      <c r="L37" s="398">
        <v>0</v>
      </c>
      <c r="M37" s="398">
        <v>0</v>
      </c>
      <c r="N37" s="398">
        <v>0</v>
      </c>
      <c r="O37" s="398">
        <v>0</v>
      </c>
      <c r="P37" s="398">
        <v>0</v>
      </c>
      <c r="Q37" s="398">
        <v>0</v>
      </c>
      <c r="R37" s="398">
        <v>0</v>
      </c>
      <c r="S37" s="398">
        <v>0</v>
      </c>
      <c r="T37" s="398">
        <v>0</v>
      </c>
      <c r="U37" s="398">
        <v>0</v>
      </c>
      <c r="V37" s="398">
        <v>0</v>
      </c>
      <c r="W37" s="398">
        <v>0</v>
      </c>
      <c r="X37" s="398">
        <v>0</v>
      </c>
      <c r="Y37" s="398">
        <v>0</v>
      </c>
      <c r="Z37" s="398">
        <v>0</v>
      </c>
      <c r="AA37" s="398">
        <v>0</v>
      </c>
      <c r="AB37" s="398">
        <v>0</v>
      </c>
      <c r="AC37" s="398">
        <v>0</v>
      </c>
      <c r="AD37" s="398">
        <v>0</v>
      </c>
      <c r="AE37" s="398">
        <v>0</v>
      </c>
      <c r="AF37" s="398">
        <v>0</v>
      </c>
      <c r="AG37" s="398"/>
      <c r="AH37" s="398">
        <f>D37</f>
        <v>10274.316000000001</v>
      </c>
      <c r="AI37" s="398">
        <f t="shared" ref="AI37:AI42" si="25">L37</f>
        <v>0</v>
      </c>
      <c r="AJ37" s="398">
        <f t="shared" si="6"/>
        <v>0</v>
      </c>
      <c r="AK37" s="398">
        <f t="shared" si="7"/>
        <v>0</v>
      </c>
      <c r="AL37" s="398">
        <f t="shared" si="8"/>
        <v>0</v>
      </c>
      <c r="AM37" s="398">
        <f t="shared" si="9"/>
        <v>0</v>
      </c>
      <c r="AN37" s="554">
        <f t="shared" si="10"/>
        <v>0</v>
      </c>
    </row>
    <row r="38" spans="1:40" ht="15.75" x14ac:dyDescent="0.25">
      <c r="A38" s="399" t="s">
        <v>376</v>
      </c>
      <c r="B38" s="407">
        <v>0</v>
      </c>
      <c r="C38" s="407">
        <v>0</v>
      </c>
      <c r="D38" s="407">
        <v>0</v>
      </c>
      <c r="E38" s="398">
        <v>0</v>
      </c>
      <c r="F38" s="398">
        <v>0</v>
      </c>
      <c r="G38" s="398">
        <v>0</v>
      </c>
      <c r="H38" s="398">
        <v>0</v>
      </c>
      <c r="I38" s="398">
        <v>0</v>
      </c>
      <c r="J38" s="398">
        <v>0</v>
      </c>
      <c r="K38" s="398">
        <f ca="1">'Debt and Spec. Dist'!O34</f>
        <v>0</v>
      </c>
      <c r="L38" s="398">
        <f ca="1">'Debt and Spec. Dist'!P34</f>
        <v>3135.0987689098852</v>
      </c>
      <c r="M38" s="398">
        <f ca="1">'Debt and Spec. Dist'!Q34</f>
        <v>1022.5864918797997</v>
      </c>
      <c r="N38" s="398">
        <f ca="1">'Debt and Spec. Dist'!R34</f>
        <v>1982.0832987105832</v>
      </c>
      <c r="O38" s="398">
        <f ca="1">'Debt and Spec. Dist'!S34</f>
        <v>3445.8345038746647</v>
      </c>
      <c r="P38" s="398">
        <f ca="1">'Debt and Spec. Dist'!T34</f>
        <v>3087.7894113782809</v>
      </c>
      <c r="Q38" s="398">
        <f ca="1">'Debt and Spec. Dist'!U34</f>
        <v>1847.637069344471</v>
      </c>
      <c r="R38" s="398">
        <f ca="1">'Debt and Spec. Dist'!V34</f>
        <v>2635.3009190233774</v>
      </c>
      <c r="S38" s="398">
        <f ca="1">'Debt and Spec. Dist'!W34</f>
        <v>4171.4102981024607</v>
      </c>
      <c r="T38" s="398">
        <f ca="1">'Debt and Spec. Dist'!X34</f>
        <v>3784.8613834055755</v>
      </c>
      <c r="U38" s="398">
        <f ca="1">'Debt and Spec. Dist'!Y34</f>
        <v>2440.8649390666496</v>
      </c>
      <c r="V38" s="398">
        <f ca="1">'Debt and Spec. Dist'!Z34</f>
        <v>3173.1161434814685</v>
      </c>
      <c r="W38" s="398">
        <f ca="1">'Debt and Spec. Dist'!AA34</f>
        <v>4706.5701945805449</v>
      </c>
      <c r="X38" s="398">
        <f ca="1">'Debt and Spec. Dist'!AB34</f>
        <v>4108.2054683845527</v>
      </c>
      <c r="Y38" s="398">
        <f ca="1">'Debt and Spec. Dist'!AC34</f>
        <v>2634.835154372201</v>
      </c>
      <c r="Z38" s="398">
        <f ca="1">'Debt and Spec. Dist'!AD34</f>
        <v>3403.1742331294158</v>
      </c>
      <c r="AA38" s="398">
        <f ca="1">'Debt and Spec. Dist'!AE34</f>
        <v>5036.6666620049273</v>
      </c>
      <c r="AB38" s="398">
        <f ca="1">'Debt and Spec. Dist'!AF34</f>
        <v>5036.6666620049273</v>
      </c>
      <c r="AC38" s="398">
        <f ca="1">'Debt and Spec. Dist'!AG34</f>
        <v>5036.6666620049273</v>
      </c>
      <c r="AD38" s="398">
        <f ca="1">'Debt and Spec. Dist'!AH34</f>
        <v>5942.5113478077801</v>
      </c>
      <c r="AE38" s="398">
        <f ca="1">'Debt and Spec. Dist'!AI34</f>
        <v>7659.0102778606442</v>
      </c>
      <c r="AF38" s="398">
        <f ca="1">'Debt and Spec. Dist'!AJ34</f>
        <v>7663.0102778732289</v>
      </c>
      <c r="AG38" s="398"/>
      <c r="AH38" s="398">
        <v>0</v>
      </c>
      <c r="AI38" s="398">
        <f t="shared" ca="1" si="25"/>
        <v>3135.0987689098852</v>
      </c>
      <c r="AJ38" s="398">
        <f t="shared" ca="1" si="6"/>
        <v>3087.7894113782809</v>
      </c>
      <c r="AK38" s="398">
        <f t="shared" ca="1" si="7"/>
        <v>3784.8613834055755</v>
      </c>
      <c r="AL38" s="398">
        <f t="shared" ca="1" si="8"/>
        <v>4108.2054683845527</v>
      </c>
      <c r="AM38" s="398">
        <f t="shared" ca="1" si="9"/>
        <v>5036.6666620049273</v>
      </c>
      <c r="AN38" s="554">
        <f t="shared" ca="1" si="10"/>
        <v>7663.0102778732289</v>
      </c>
    </row>
    <row r="39" spans="1:40" ht="15.75" x14ac:dyDescent="0.25">
      <c r="A39" s="399" t="s">
        <v>460</v>
      </c>
      <c r="B39" s="407">
        <v>0</v>
      </c>
      <c r="C39" s="407">
        <v>0</v>
      </c>
      <c r="D39" s="407">
        <v>0</v>
      </c>
      <c r="E39" s="398">
        <v>0</v>
      </c>
      <c r="F39" s="398">
        <v>0</v>
      </c>
      <c r="G39" s="398">
        <v>0</v>
      </c>
      <c r="H39" s="398">
        <v>0</v>
      </c>
      <c r="I39" s="398">
        <f>'Valuation &amp; Sources &amp; Uses'!I9</f>
        <v>10000</v>
      </c>
      <c r="J39" s="398">
        <f>'Valuation &amp; Sources &amp; Uses'!J9</f>
        <v>0</v>
      </c>
      <c r="K39" s="398">
        <f>'Debt and Spec. Dist'!O49</f>
        <v>0</v>
      </c>
      <c r="L39" s="398">
        <f>'Debt and Spec. Dist'!P49</f>
        <v>10000</v>
      </c>
      <c r="M39" s="398">
        <f ca="1">'Debt and Spec. Dist'!Q49</f>
        <v>9558.496940719624</v>
      </c>
      <c r="N39" s="398">
        <f ca="1">'Debt and Spec. Dist'!R49</f>
        <v>9112.8467437860563</v>
      </c>
      <c r="O39" s="398">
        <f ca="1">'Debt and Spec. Dist'!S49</f>
        <v>8663.9279335833762</v>
      </c>
      <c r="P39" s="398">
        <f ca="1">'Debt and Spec. Dist'!T49</f>
        <v>8210.7457694609402</v>
      </c>
      <c r="Q39" s="398">
        <f ca="1">'Debt and Spec. Dist'!U49</f>
        <v>7751.6120070098559</v>
      </c>
      <c r="R39" s="398">
        <f ca="1">'Debt and Spec. Dist'!V49</f>
        <v>7288.9893330207797</v>
      </c>
      <c r="S39" s="398">
        <f ca="1">'Debt and Spec. Dist'!W49</f>
        <v>6822.7494628301019</v>
      </c>
      <c r="T39" s="398">
        <f ca="1">'Debt and Spec. Dist'!X49</f>
        <v>6352.0817416941127</v>
      </c>
      <c r="U39" s="398">
        <f ca="1">'Debt and Spec. Dist'!Y49</f>
        <v>5875.6818761122167</v>
      </c>
      <c r="V39" s="398">
        <f ca="1">'Debt and Spec. Dist'!Z49</f>
        <v>5395.4381679828939</v>
      </c>
      <c r="W39" s="398">
        <f ca="1">'Debt and Spec. Dist'!AA49</f>
        <v>4911.2153605700541</v>
      </c>
      <c r="X39" s="398">
        <f ca="1">'Debt and Spec. Dist'!AB49</f>
        <v>4422.3939193795686</v>
      </c>
      <c r="Y39" s="398">
        <f ca="1">'Debt and Spec. Dist'!AC49</f>
        <v>3928.0681734596396</v>
      </c>
      <c r="Z39" s="398">
        <f ca="1">'Debt and Spec. Dist'!AD49</f>
        <v>3429.5300912589155</v>
      </c>
      <c r="AA39" s="398">
        <f ca="1">'Debt and Spec. Dist'!AE49</f>
        <v>2926.6371775500256</v>
      </c>
      <c r="AB39" s="398">
        <f ca="1">'Debt and Spec. Dist'!AF49</f>
        <v>2418.9683212293521</v>
      </c>
      <c r="AC39" s="398">
        <f ca="1">'Debt and Spec. Dist'!AG49</f>
        <v>1906.2549242985074</v>
      </c>
      <c r="AD39" s="398">
        <f ca="1">'Debt and Spec. Dist'!AH49</f>
        <v>1388.7254949778223</v>
      </c>
      <c r="AE39" s="398">
        <f ca="1">'Debt and Spec. Dist'!AI49</f>
        <v>866.45118740155976</v>
      </c>
      <c r="AF39" s="398">
        <f ca="1">'Debt and Spec. Dist'!AJ49</f>
        <v>339.21687332570843</v>
      </c>
      <c r="AG39" s="398"/>
      <c r="AH39" s="398">
        <v>0</v>
      </c>
      <c r="AI39" s="398">
        <f t="shared" si="25"/>
        <v>10000</v>
      </c>
      <c r="AJ39" s="398">
        <f t="shared" ca="1" si="6"/>
        <v>8210.7457694609402</v>
      </c>
      <c r="AK39" s="398">
        <f t="shared" ca="1" si="7"/>
        <v>6352.0817416941127</v>
      </c>
      <c r="AL39" s="398">
        <f t="shared" ca="1" si="8"/>
        <v>4422.3939193795686</v>
      </c>
      <c r="AM39" s="398">
        <f t="shared" ca="1" si="9"/>
        <v>2418.9683212293521</v>
      </c>
      <c r="AN39" s="554">
        <f t="shared" ca="1" si="10"/>
        <v>339.21687332570843</v>
      </c>
    </row>
    <row r="40" spans="1:40" ht="15.75" x14ac:dyDescent="0.25">
      <c r="A40" s="399" t="s">
        <v>461</v>
      </c>
      <c r="B40" s="407"/>
      <c r="C40" s="407"/>
      <c r="D40" s="407"/>
      <c r="E40" s="398"/>
      <c r="F40" s="398"/>
      <c r="G40" s="398"/>
      <c r="H40" s="398"/>
      <c r="I40" s="398">
        <f>K40</f>
        <v>0</v>
      </c>
      <c r="J40" s="398">
        <v>0</v>
      </c>
      <c r="K40" s="398">
        <f>'Debt and Spec. Dist'!O67</f>
        <v>0</v>
      </c>
      <c r="L40" s="398">
        <f>'Debt and Spec. Dist'!P67</f>
        <v>7150.5259110169463</v>
      </c>
      <c r="M40" s="398">
        <f ca="1">'Debt and Spec. Dist'!Q67</f>
        <v>7150.5259110169463</v>
      </c>
      <c r="N40" s="398">
        <f ca="1">'Debt and Spec. Dist'!R67</f>
        <v>7150.5259110169463</v>
      </c>
      <c r="O40" s="398">
        <f ca="1">'Debt and Spec. Dist'!S67</f>
        <v>7150.5259110169463</v>
      </c>
      <c r="P40" s="398">
        <f ca="1">'Debt and Spec. Dist'!T67</f>
        <v>7150.5259110169463</v>
      </c>
      <c r="Q40" s="398">
        <f ca="1">'Debt and Spec. Dist'!U67</f>
        <v>7150.5259110169463</v>
      </c>
      <c r="R40" s="398">
        <f ca="1">'Debt and Spec. Dist'!V67</f>
        <v>7150.5259110169463</v>
      </c>
      <c r="S40" s="398">
        <f ca="1">'Debt and Spec. Dist'!W67</f>
        <v>7150.5259110169463</v>
      </c>
      <c r="T40" s="398">
        <f ca="1">'Debt and Spec. Dist'!X67</f>
        <v>7150.5259110169463</v>
      </c>
      <c r="U40" s="398">
        <f ca="1">'Debt and Spec. Dist'!Y67</f>
        <v>7150.5259110169463</v>
      </c>
      <c r="V40" s="398">
        <f ca="1">'Debt and Spec. Dist'!Z67</f>
        <v>7150.5259110169463</v>
      </c>
      <c r="W40" s="398">
        <f ca="1">'Debt and Spec. Dist'!AA67</f>
        <v>7150.5259110169463</v>
      </c>
      <c r="X40" s="398">
        <f ca="1">'Debt and Spec. Dist'!AB67</f>
        <v>7150.5259110169463</v>
      </c>
      <c r="Y40" s="398">
        <f ca="1">'Debt and Spec. Dist'!AC67</f>
        <v>7150.5259110169463</v>
      </c>
      <c r="Z40" s="398">
        <f ca="1">'Debt and Spec. Dist'!AD67</f>
        <v>7150.5259110169463</v>
      </c>
      <c r="AA40" s="398">
        <f ca="1">'Debt and Spec. Dist'!AE67</f>
        <v>7150.5259110169463</v>
      </c>
      <c r="AB40" s="398">
        <f ca="1">'Debt and Spec. Dist'!AF67</f>
        <v>6484.861324149083</v>
      </c>
      <c r="AC40" s="398">
        <f ca="1">'Debt and Spec. Dist'!AG67</f>
        <v>4718.1959326108063</v>
      </c>
      <c r="AD40" s="398">
        <f ca="1">'Debt and Spec. Dist'!AH67</f>
        <v>4718.1959326108063</v>
      </c>
      <c r="AE40" s="398">
        <f ca="1">'Debt and Spec. Dist'!AI67</f>
        <v>4717.1959326108081</v>
      </c>
      <c r="AF40" s="398">
        <f ca="1">'Debt and Spec. Dist'!AJ67</f>
        <v>3825.3709556068588</v>
      </c>
      <c r="AG40" s="398"/>
      <c r="AH40" s="398">
        <v>0</v>
      </c>
      <c r="AI40" s="398">
        <f t="shared" si="25"/>
        <v>7150.5259110169463</v>
      </c>
      <c r="AJ40" s="398">
        <f ca="1">P40</f>
        <v>7150.5259110169463</v>
      </c>
      <c r="AK40" s="398">
        <f ca="1">T40</f>
        <v>7150.5259110169463</v>
      </c>
      <c r="AL40" s="398">
        <f ca="1">X40</f>
        <v>7150.5259110169463</v>
      </c>
      <c r="AM40" s="398">
        <f ca="1">AB40</f>
        <v>6484.861324149083</v>
      </c>
      <c r="AN40" s="554">
        <f ca="1">AF40</f>
        <v>3825.3709556068588</v>
      </c>
    </row>
    <row r="41" spans="1:40" ht="15.75" x14ac:dyDescent="0.25">
      <c r="A41" s="399" t="s">
        <v>462</v>
      </c>
      <c r="B41" s="449">
        <v>0</v>
      </c>
      <c r="C41" s="449">
        <v>0</v>
      </c>
      <c r="D41" s="449">
        <v>0</v>
      </c>
      <c r="E41" s="406">
        <v>0</v>
      </c>
      <c r="F41" s="406">
        <v>0</v>
      </c>
      <c r="G41" s="406">
        <v>0</v>
      </c>
      <c r="H41" s="406">
        <v>0</v>
      </c>
      <c r="I41" s="406">
        <f>'Valuation &amp; Sources &amp; Uses'!$I$17</f>
        <v>2000</v>
      </c>
      <c r="J41" s="406">
        <v>0</v>
      </c>
      <c r="K41" s="406">
        <f>'Debt and Spec. Dist'!O84</f>
        <v>0</v>
      </c>
      <c r="L41" s="406">
        <f>'Debt and Spec. Dist'!P84</f>
        <v>2000</v>
      </c>
      <c r="M41" s="406">
        <f ca="1">'Debt and Spec. Dist'!Q84</f>
        <v>1916.7467228485111</v>
      </c>
      <c r="N41" s="406">
        <f ca="1">'Debt and Spec. Dist'!R84</f>
        <v>1831.8162156282187</v>
      </c>
      <c r="O41" s="406">
        <f ca="1">'Debt and Spec. Dist'!S84</f>
        <v>1745.5706801349211</v>
      </c>
      <c r="P41" s="406">
        <f ca="1">'Debt and Spec. Dist'!T84</f>
        <v>1657.5683441843262</v>
      </c>
      <c r="Q41" s="406">
        <f ca="1">'Debt and Spec. Dist'!U84</f>
        <v>1567.0594561009425</v>
      </c>
      <c r="R41" s="406">
        <f ca="1">'Debt and Spec. Dist'!V84</f>
        <v>1475.0841091033581</v>
      </c>
      <c r="S41" s="406">
        <f ca="1">'Debt and Spec. Dist'!W84</f>
        <v>1381.5720278776821</v>
      </c>
      <c r="T41" s="406">
        <f ca="1">'Debt and Spec. Dist'!X84</f>
        <v>1286.1551284359621</v>
      </c>
      <c r="U41" s="406">
        <f ca="1">'Debt and Spec. Dist'!Y84</f>
        <v>1188.2467518263243</v>
      </c>
      <c r="V41" s="406">
        <f ca="1">'Debt and Spec. Dist'!Z84</f>
        <v>1088.6398006469842</v>
      </c>
      <c r="W41" s="406">
        <f ca="1">'Debt and Spec. Dist'!AA84</f>
        <v>987.25594340492682</v>
      </c>
      <c r="X41" s="406">
        <f ca="1">'Debt and Spec. Dist'!AB84</f>
        <v>883.80692179526852</v>
      </c>
      <c r="Y41" s="406">
        <f ca="1">'Debt and Spec. Dist'!AC84</f>
        <v>777.88275357574435</v>
      </c>
      <c r="Z41" s="406">
        <f ca="1">'Debt and Spec. Dist'!AD84</f>
        <v>670.00856222797324</v>
      </c>
      <c r="AA41" s="406">
        <f ca="1">'Debt and Spec. Dist'!AE84</f>
        <v>560.09728908100078</v>
      </c>
      <c r="AB41" s="406">
        <f ca="1">'Debt and Spec. Dist'!AF84</f>
        <v>447.94715019074886</v>
      </c>
      <c r="AC41" s="406">
        <f ca="1">'Debt and Spec. Dist'!AG84</f>
        <v>333.42603834086697</v>
      </c>
      <c r="AD41" s="406">
        <f ca="1">'Debt and Spec. Dist'!AH84</f>
        <v>216.59777103861859</v>
      </c>
      <c r="AE41" s="406">
        <f ca="1">'Debt and Spec. Dist'!AI84</f>
        <v>97.450631005911433</v>
      </c>
      <c r="AF41" s="406">
        <f ca="1">'Debt and Spec. Dist'!AJ84</f>
        <v>97.450631005911433</v>
      </c>
      <c r="AG41" s="406"/>
      <c r="AH41" s="406">
        <v>0</v>
      </c>
      <c r="AI41" s="406">
        <f t="shared" si="25"/>
        <v>2000</v>
      </c>
      <c r="AJ41" s="406">
        <f t="shared" ca="1" si="6"/>
        <v>1657.5683441843262</v>
      </c>
      <c r="AK41" s="406">
        <f t="shared" ca="1" si="7"/>
        <v>1286.1551284359621</v>
      </c>
      <c r="AL41" s="406">
        <f t="shared" ca="1" si="8"/>
        <v>883.80692179526852</v>
      </c>
      <c r="AM41" s="406">
        <f t="shared" ca="1" si="9"/>
        <v>447.94715019074886</v>
      </c>
      <c r="AN41" s="555">
        <f t="shared" ca="1" si="10"/>
        <v>97.450631005911433</v>
      </c>
    </row>
    <row r="42" spans="1:40" ht="15.75" x14ac:dyDescent="0.25">
      <c r="A42" s="399" t="s">
        <v>2</v>
      </c>
      <c r="B42" s="398">
        <f>SUM(B35,B37:B41)</f>
        <v>9069.4989999999998</v>
      </c>
      <c r="C42" s="398">
        <f>SUM(C35,C37:C41)</f>
        <v>11957.552</v>
      </c>
      <c r="D42" s="398">
        <f t="shared" ref="D42:AF42" si="26">SUM(D35,D37:D41)</f>
        <v>18906.995000000003</v>
      </c>
      <c r="E42" s="398">
        <f t="shared" si="26"/>
        <v>15471.402710000002</v>
      </c>
      <c r="F42" s="398">
        <f>SUM(F35,F37:F41)</f>
        <v>15875.585880000001</v>
      </c>
      <c r="G42" s="398">
        <f>SUM(G35,G37:G41)</f>
        <v>15875.585880000001</v>
      </c>
      <c r="H42" s="398">
        <f t="shared" si="26"/>
        <v>16611.368882751867</v>
      </c>
      <c r="I42" s="398">
        <f t="shared" si="26"/>
        <v>-233.95881999999983</v>
      </c>
      <c r="J42" s="398">
        <f>SUM(J35,J37:J41)</f>
        <v>0</v>
      </c>
      <c r="K42" s="398">
        <f t="shared" ca="1" si="26"/>
        <v>4377.4100627518674</v>
      </c>
      <c r="L42" s="398">
        <f t="shared" ca="1" si="26"/>
        <v>30634.899144572155</v>
      </c>
      <c r="M42" s="398">
        <f t="shared" ca="1" si="26"/>
        <v>23416.242621910504</v>
      </c>
      <c r="N42" s="398">
        <f t="shared" ca="1" si="26"/>
        <v>24098.185511027707</v>
      </c>
      <c r="O42" s="398">
        <f t="shared" ca="1" si="26"/>
        <v>25549.297982888089</v>
      </c>
      <c r="P42" s="398">
        <f t="shared" ca="1" si="26"/>
        <v>28628.961798498123</v>
      </c>
      <c r="Q42" s="398">
        <f t="shared" ca="1" si="26"/>
        <v>22420.981297026807</v>
      </c>
      <c r="R42" s="398">
        <f t="shared" ca="1" si="26"/>
        <v>22887.790423352712</v>
      </c>
      <c r="S42" s="398">
        <f t="shared" ca="1" si="26"/>
        <v>24428.011413623586</v>
      </c>
      <c r="T42" s="398">
        <f t="shared" ca="1" si="26"/>
        <v>27769.288567874239</v>
      </c>
      <c r="U42" s="398">
        <f t="shared" ca="1" si="26"/>
        <v>21082.993352976799</v>
      </c>
      <c r="V42" s="398">
        <f t="shared" ca="1" si="26"/>
        <v>21487.612581718517</v>
      </c>
      <c r="W42" s="398">
        <f t="shared" ca="1" si="26"/>
        <v>23043.93138910193</v>
      </c>
      <c r="X42" s="398">
        <f t="shared" ca="1" si="26"/>
        <v>26487.162018179813</v>
      </c>
      <c r="Y42" s="398">
        <f t="shared" ca="1" si="26"/>
        <v>19271.613867900644</v>
      </c>
      <c r="Z42" s="398">
        <f t="shared" ca="1" si="26"/>
        <v>19705.93685143577</v>
      </c>
      <c r="AA42" s="398">
        <f t="shared" ca="1" si="26"/>
        <v>21383.774228069797</v>
      </c>
      <c r="AB42" s="398">
        <f t="shared" ca="1" si="26"/>
        <v>25102.865729510948</v>
      </c>
      <c r="AC42" s="398">
        <f t="shared" ca="1" si="26"/>
        <v>17106.07482958923</v>
      </c>
      <c r="AD42" s="398">
        <f t="shared" ca="1" si="26"/>
        <v>17721.279239593077</v>
      </c>
      <c r="AE42" s="398">
        <f t="shared" ca="1" si="26"/>
        <v>19505.077787420501</v>
      </c>
      <c r="AF42" s="398">
        <f t="shared" ca="1" si="26"/>
        <v>23494.959586554822</v>
      </c>
      <c r="AG42" s="398"/>
      <c r="AH42" s="398">
        <f>D42</f>
        <v>18906.995000000003</v>
      </c>
      <c r="AI42" s="398">
        <f t="shared" ca="1" si="25"/>
        <v>30634.899144572155</v>
      </c>
      <c r="AJ42" s="398">
        <f t="shared" ca="1" si="6"/>
        <v>28628.961798498123</v>
      </c>
      <c r="AK42" s="398">
        <f t="shared" ca="1" si="7"/>
        <v>27769.288567874239</v>
      </c>
      <c r="AL42" s="398">
        <f t="shared" ca="1" si="8"/>
        <v>26487.162018179813</v>
      </c>
      <c r="AM42" s="398">
        <f t="shared" ca="1" si="9"/>
        <v>25102.865729510948</v>
      </c>
      <c r="AN42" s="554">
        <f t="shared" ca="1" si="10"/>
        <v>23494.959586554822</v>
      </c>
    </row>
    <row r="43" spans="1:40" ht="15.75" x14ac:dyDescent="0.25">
      <c r="A43" s="399"/>
      <c r="B43" s="398"/>
      <c r="C43" s="398"/>
      <c r="D43" s="398"/>
      <c r="E43" s="398"/>
      <c r="F43" s="398"/>
      <c r="G43" s="398"/>
      <c r="H43" s="398"/>
      <c r="I43" s="398"/>
      <c r="J43" s="398"/>
      <c r="K43" s="398"/>
      <c r="L43" s="398"/>
      <c r="M43" s="398"/>
      <c r="N43" s="398"/>
      <c r="O43" s="398"/>
      <c r="P43" s="398"/>
      <c r="Q43" s="398"/>
      <c r="R43" s="398"/>
      <c r="S43" s="398"/>
      <c r="T43" s="398"/>
      <c r="U43" s="398"/>
      <c r="V43" s="398"/>
      <c r="W43" s="398"/>
      <c r="X43" s="398"/>
      <c r="Y43" s="398"/>
      <c r="Z43" s="398"/>
      <c r="AA43" s="398"/>
      <c r="AB43" s="398"/>
      <c r="AC43" s="398"/>
      <c r="AD43" s="398"/>
      <c r="AE43" s="398"/>
      <c r="AF43" s="398"/>
      <c r="AG43" s="398"/>
      <c r="AH43" s="398"/>
      <c r="AI43" s="398"/>
      <c r="AJ43" s="398"/>
      <c r="AK43" s="398"/>
      <c r="AL43" s="398"/>
      <c r="AM43" s="398"/>
      <c r="AN43" s="554"/>
    </row>
    <row r="44" spans="1:40" ht="15.75" x14ac:dyDescent="0.25">
      <c r="A44" s="399" t="s">
        <v>413</v>
      </c>
      <c r="B44" s="407">
        <v>54.5</v>
      </c>
      <c r="C44" s="407">
        <v>54.5</v>
      </c>
      <c r="D44" s="407">
        <v>54.5</v>
      </c>
      <c r="E44" s="398">
        <f>0.00084+54.499</f>
        <v>54.499839999999999</v>
      </c>
      <c r="F44" s="398">
        <f>0.00084+54.499</f>
        <v>54.499839999999999</v>
      </c>
      <c r="G44" s="398">
        <f>0.00084+54.499</f>
        <v>54.499839999999999</v>
      </c>
      <c r="H44" s="398">
        <f>D44</f>
        <v>54.5</v>
      </c>
      <c r="I44" s="398">
        <f>-(I42-I29)</f>
        <v>233.95881999999983</v>
      </c>
      <c r="J44" s="398">
        <f>-(J42-J29)</f>
        <v>0</v>
      </c>
      <c r="K44" s="398">
        <f>SUM(H44:J44)</f>
        <v>288.45881999999983</v>
      </c>
      <c r="L44" s="398">
        <f>K44</f>
        <v>288.45881999999983</v>
      </c>
      <c r="M44" s="398">
        <f t="shared" ref="M44:AF44" si="27">L44</f>
        <v>288.45881999999983</v>
      </c>
      <c r="N44" s="398">
        <f t="shared" si="27"/>
        <v>288.45881999999983</v>
      </c>
      <c r="O44" s="398">
        <f t="shared" si="27"/>
        <v>288.45881999999983</v>
      </c>
      <c r="P44" s="398">
        <f t="shared" si="27"/>
        <v>288.45881999999983</v>
      </c>
      <c r="Q44" s="398">
        <f t="shared" si="27"/>
        <v>288.45881999999983</v>
      </c>
      <c r="R44" s="398">
        <f t="shared" si="27"/>
        <v>288.45881999999983</v>
      </c>
      <c r="S44" s="398">
        <f t="shared" si="27"/>
        <v>288.45881999999983</v>
      </c>
      <c r="T44" s="398">
        <f t="shared" si="27"/>
        <v>288.45881999999983</v>
      </c>
      <c r="U44" s="398">
        <f t="shared" si="27"/>
        <v>288.45881999999983</v>
      </c>
      <c r="V44" s="398">
        <f t="shared" si="27"/>
        <v>288.45881999999983</v>
      </c>
      <c r="W44" s="398">
        <f t="shared" si="27"/>
        <v>288.45881999999983</v>
      </c>
      <c r="X44" s="398">
        <f t="shared" si="27"/>
        <v>288.45881999999983</v>
      </c>
      <c r="Y44" s="398">
        <f t="shared" si="27"/>
        <v>288.45881999999983</v>
      </c>
      <c r="Z44" s="398">
        <f t="shared" si="27"/>
        <v>288.45881999999983</v>
      </c>
      <c r="AA44" s="398">
        <f t="shared" si="27"/>
        <v>288.45881999999983</v>
      </c>
      <c r="AB44" s="398">
        <f t="shared" si="27"/>
        <v>288.45881999999983</v>
      </c>
      <c r="AC44" s="398">
        <f t="shared" si="27"/>
        <v>288.45881999999983</v>
      </c>
      <c r="AD44" s="398">
        <f t="shared" si="27"/>
        <v>288.45881999999983</v>
      </c>
      <c r="AE44" s="398">
        <f t="shared" si="27"/>
        <v>288.45881999999983</v>
      </c>
      <c r="AF44" s="398">
        <f t="shared" si="27"/>
        <v>288.45881999999983</v>
      </c>
      <c r="AG44" s="398"/>
      <c r="AH44" s="398">
        <f>D44</f>
        <v>54.5</v>
      </c>
      <c r="AI44" s="398">
        <f t="shared" ref="AI44:AI50" si="28">L44</f>
        <v>288.45881999999983</v>
      </c>
      <c r="AJ44" s="398">
        <f t="shared" si="6"/>
        <v>288.45881999999983</v>
      </c>
      <c r="AK44" s="398">
        <f t="shared" si="7"/>
        <v>288.45881999999983</v>
      </c>
      <c r="AL44" s="398">
        <f t="shared" si="8"/>
        <v>288.45881999999983</v>
      </c>
      <c r="AM44" s="398">
        <f t="shared" si="9"/>
        <v>288.45881999999983</v>
      </c>
      <c r="AN44" s="554">
        <f t="shared" si="10"/>
        <v>288.45881999999983</v>
      </c>
    </row>
    <row r="45" spans="1:40" ht="15.75" x14ac:dyDescent="0.25">
      <c r="A45" s="399" t="s">
        <v>93</v>
      </c>
      <c r="B45" s="407">
        <v>0</v>
      </c>
      <c r="C45" s="407">
        <v>0</v>
      </c>
      <c r="D45" s="407">
        <v>0</v>
      </c>
      <c r="E45" s="398">
        <v>0</v>
      </c>
      <c r="F45" s="398">
        <v>0</v>
      </c>
      <c r="G45" s="398">
        <v>0</v>
      </c>
      <c r="H45" s="398">
        <v>0</v>
      </c>
      <c r="I45" s="398">
        <v>0</v>
      </c>
      <c r="J45" s="398">
        <v>0</v>
      </c>
      <c r="K45" s="398">
        <v>0</v>
      </c>
      <c r="L45" s="398">
        <f ca="1">SOCF!H36</f>
        <v>0</v>
      </c>
      <c r="M45" s="398">
        <f ca="1">L45+SOCF!I36</f>
        <v>0</v>
      </c>
      <c r="N45" s="398">
        <f ca="1">M45+SOCF!J36</f>
        <v>0</v>
      </c>
      <c r="O45" s="398">
        <f ca="1">N45+SOCF!K36</f>
        <v>0</v>
      </c>
      <c r="P45" s="398">
        <f ca="1">O45+SOCF!L36</f>
        <v>0</v>
      </c>
      <c r="Q45" s="398">
        <f ca="1">P45+SOCF!M36</f>
        <v>0</v>
      </c>
      <c r="R45" s="398">
        <f ca="1">Q45+SOCF!N36</f>
        <v>0</v>
      </c>
      <c r="S45" s="398">
        <f ca="1">R45+SOCF!O36</f>
        <v>0</v>
      </c>
      <c r="T45" s="398">
        <f ca="1">S45+SOCF!P36</f>
        <v>0</v>
      </c>
      <c r="U45" s="398">
        <f ca="1">T45+SOCF!Q36</f>
        <v>0</v>
      </c>
      <c r="V45" s="398">
        <f ca="1">U45+SOCF!R36</f>
        <v>0</v>
      </c>
      <c r="W45" s="398">
        <f ca="1">V45+SOCF!S36</f>
        <v>0</v>
      </c>
      <c r="X45" s="398">
        <f ca="1">W45+SOCF!T36</f>
        <v>0</v>
      </c>
      <c r="Y45" s="398">
        <f ca="1">X45+SOCF!U36</f>
        <v>0</v>
      </c>
      <c r="Z45" s="398">
        <f ca="1">Y45+SOCF!V36</f>
        <v>0</v>
      </c>
      <c r="AA45" s="398">
        <f ca="1">Z45+SOCF!W36</f>
        <v>0</v>
      </c>
      <c r="AB45" s="398">
        <f ca="1">AA45+SOCF!X36</f>
        <v>0</v>
      </c>
      <c r="AC45" s="398">
        <f ca="1">AB45+SOCF!Y36</f>
        <v>0</v>
      </c>
      <c r="AD45" s="398">
        <f ca="1">AC45+SOCF!Z36</f>
        <v>0</v>
      </c>
      <c r="AE45" s="398">
        <f ca="1">AD45+SOCF!AA36</f>
        <v>0</v>
      </c>
      <c r="AF45" s="398">
        <f ca="1">AE45+SOCF!AB36</f>
        <v>0</v>
      </c>
      <c r="AG45" s="398"/>
      <c r="AH45" s="398">
        <f>D45</f>
        <v>0</v>
      </c>
      <c r="AI45" s="398">
        <f t="shared" ca="1" si="28"/>
        <v>0</v>
      </c>
      <c r="AJ45" s="398">
        <f t="shared" ca="1" si="6"/>
        <v>0</v>
      </c>
      <c r="AK45" s="398">
        <f t="shared" ca="1" si="7"/>
        <v>0</v>
      </c>
      <c r="AL45" s="398">
        <f t="shared" ca="1" si="8"/>
        <v>0</v>
      </c>
      <c r="AM45" s="398">
        <f t="shared" ca="1" si="9"/>
        <v>0</v>
      </c>
      <c r="AN45" s="554">
        <f t="shared" ca="1" si="10"/>
        <v>0</v>
      </c>
    </row>
    <row r="46" spans="1:40" ht="15.75" x14ac:dyDescent="0.25">
      <c r="A46" s="399" t="s">
        <v>126</v>
      </c>
      <c r="B46" s="407">
        <v>0</v>
      </c>
      <c r="C46" s="407">
        <v>0</v>
      </c>
      <c r="D46" s="407">
        <v>0</v>
      </c>
      <c r="E46" s="398">
        <v>0</v>
      </c>
      <c r="F46" s="398">
        <v>0</v>
      </c>
      <c r="G46" s="398">
        <v>0</v>
      </c>
      <c r="H46" s="398">
        <v>0</v>
      </c>
      <c r="I46" s="398">
        <v>0</v>
      </c>
      <c r="J46" s="398">
        <v>0</v>
      </c>
      <c r="K46" s="398">
        <f>SOCF!G35</f>
        <v>0</v>
      </c>
      <c r="L46" s="398">
        <f>K46+SOCF!H35</f>
        <v>0</v>
      </c>
      <c r="M46" s="398">
        <f>L46+SOCF!I35</f>
        <v>0</v>
      </c>
      <c r="N46" s="398">
        <f ca="1">M46+SOCF!J35</f>
        <v>0</v>
      </c>
      <c r="O46" s="398">
        <f ca="1">N46+SOCF!K35</f>
        <v>0</v>
      </c>
      <c r="P46" s="398">
        <f ca="1">O46+SOCF!L35</f>
        <v>-13.815026401876594</v>
      </c>
      <c r="Q46" s="398">
        <f ca="1">P46+SOCF!M35</f>
        <v>-880.41423958451423</v>
      </c>
      <c r="R46" s="398">
        <f ca="1">Q46+SOCF!N35</f>
        <v>-903.98701360809696</v>
      </c>
      <c r="S46" s="398">
        <f ca="1">R46+SOCF!O35</f>
        <v>-1023.3008929717108</v>
      </c>
      <c r="T46" s="398">
        <f ca="1">S46+SOCF!P35</f>
        <v>-1255.8710346110615</v>
      </c>
      <c r="U46" s="398">
        <f ca="1">T46+SOCF!Q35</f>
        <v>-2331.4057060293026</v>
      </c>
      <c r="V46" s="398">
        <f ca="1">U46+SOCF!R35</f>
        <v>-2400.5658826838544</v>
      </c>
      <c r="W46" s="398">
        <f ca="1">V46+SOCF!S35</f>
        <v>-2574.8459811672874</v>
      </c>
      <c r="X46" s="398">
        <f ca="1">W46+SOCF!T35</f>
        <v>-2875.0462656653876</v>
      </c>
      <c r="Y46" s="398">
        <f ca="1">X46+SOCF!U35</f>
        <v>-4107.035275101176</v>
      </c>
      <c r="Z46" s="398">
        <f ca="1">Y46+SOCF!V35</f>
        <v>-4279.5056456547836</v>
      </c>
      <c r="AA46" s="398">
        <f ca="1">Z46+SOCF!W35</f>
        <v>-4565.7624514007066</v>
      </c>
      <c r="AB46" s="398">
        <f ca="1">AA46+SOCF!X35</f>
        <v>-4988.2731901955385</v>
      </c>
      <c r="AC46" s="398">
        <f ca="1">AB46+SOCF!Y35</f>
        <v>-6415.7076005722556</v>
      </c>
      <c r="AD46" s="398">
        <f ca="1">AC46+SOCF!Z35</f>
        <v>-6704.2463471800456</v>
      </c>
      <c r="AE46" s="398">
        <f ca="1">AD46+SOCF!AA35</f>
        <v>-7137.473193983411</v>
      </c>
      <c r="AF46" s="398">
        <f ca="1">AE46+SOCF!AB35</f>
        <v>-7718.209734225542</v>
      </c>
      <c r="AG46" s="398"/>
      <c r="AH46" s="398">
        <v>0</v>
      </c>
      <c r="AI46" s="398">
        <f t="shared" si="28"/>
        <v>0</v>
      </c>
      <c r="AJ46" s="398">
        <f t="shared" ca="1" si="6"/>
        <v>-13.815026401876594</v>
      </c>
      <c r="AK46" s="398">
        <f t="shared" ca="1" si="7"/>
        <v>-1255.8710346110615</v>
      </c>
      <c r="AL46" s="398">
        <f t="shared" ca="1" si="8"/>
        <v>-2875.0462656653876</v>
      </c>
      <c r="AM46" s="398">
        <f t="shared" ca="1" si="9"/>
        <v>-4988.2731901955385</v>
      </c>
      <c r="AN46" s="554">
        <f t="shared" ca="1" si="10"/>
        <v>-7718.209734225542</v>
      </c>
    </row>
    <row r="47" spans="1:40" ht="15.75" x14ac:dyDescent="0.25">
      <c r="A47" s="399" t="s">
        <v>319</v>
      </c>
      <c r="B47" s="407">
        <v>0</v>
      </c>
      <c r="C47" s="407">
        <v>0</v>
      </c>
      <c r="D47" s="407">
        <v>0</v>
      </c>
      <c r="E47" s="398">
        <v>0</v>
      </c>
      <c r="F47" s="398">
        <v>0</v>
      </c>
      <c r="G47" s="398">
        <v>0</v>
      </c>
      <c r="H47" s="398">
        <v>0</v>
      </c>
      <c r="I47" s="398">
        <v>0</v>
      </c>
      <c r="J47" s="398">
        <v>0</v>
      </c>
      <c r="K47" s="398">
        <v>0</v>
      </c>
      <c r="L47" s="398">
        <f>SOCF!H37</f>
        <v>0</v>
      </c>
      <c r="M47" s="398">
        <f>L47+SOCF!I37</f>
        <v>0</v>
      </c>
      <c r="N47" s="398">
        <f>M47+SOCF!J37</f>
        <v>0</v>
      </c>
      <c r="O47" s="398">
        <f>N47+SOCF!K37</f>
        <v>0</v>
      </c>
      <c r="P47" s="398">
        <f>O47+SOCF!L37</f>
        <v>0</v>
      </c>
      <c r="Q47" s="398">
        <f>P47+SOCF!M37</f>
        <v>0</v>
      </c>
      <c r="R47" s="398">
        <f>Q47+SOCF!N37</f>
        <v>0</v>
      </c>
      <c r="S47" s="398">
        <f>R47+SOCF!O37</f>
        <v>0</v>
      </c>
      <c r="T47" s="398">
        <f>S47+SOCF!P37</f>
        <v>0</v>
      </c>
      <c r="U47" s="398">
        <f>T47+SOCF!Q37</f>
        <v>0</v>
      </c>
      <c r="V47" s="398">
        <f>U47+SOCF!R37</f>
        <v>0</v>
      </c>
      <c r="W47" s="398">
        <f>V47+SOCF!S37</f>
        <v>0</v>
      </c>
      <c r="X47" s="398">
        <f>W47+SOCF!T37</f>
        <v>0</v>
      </c>
      <c r="Y47" s="398">
        <f>X47+SOCF!U37</f>
        <v>0</v>
      </c>
      <c r="Z47" s="398">
        <f>Y47+SOCF!V37</f>
        <v>0</v>
      </c>
      <c r="AA47" s="398">
        <f>Z47+SOCF!W37</f>
        <v>0</v>
      </c>
      <c r="AB47" s="398">
        <f>AA47+SOCF!X37</f>
        <v>0</v>
      </c>
      <c r="AC47" s="398">
        <f>AB47+SOCF!Y37</f>
        <v>0</v>
      </c>
      <c r="AD47" s="398">
        <f>AC47+SOCF!Z37</f>
        <v>0</v>
      </c>
      <c r="AE47" s="398">
        <f>AD47+SOCF!AA37</f>
        <v>0</v>
      </c>
      <c r="AF47" s="398">
        <f>AE47+SOCF!AB37</f>
        <v>0</v>
      </c>
      <c r="AG47" s="398"/>
      <c r="AH47" s="398"/>
      <c r="AI47" s="398">
        <f t="shared" si="28"/>
        <v>0</v>
      </c>
      <c r="AJ47" s="398">
        <f t="shared" si="6"/>
        <v>0</v>
      </c>
      <c r="AK47" s="398">
        <f t="shared" si="7"/>
        <v>0</v>
      </c>
      <c r="AL47" s="398">
        <f t="shared" si="8"/>
        <v>0</v>
      </c>
      <c r="AM47" s="398">
        <f t="shared" si="9"/>
        <v>0</v>
      </c>
      <c r="AN47" s="554">
        <f t="shared" si="10"/>
        <v>0</v>
      </c>
    </row>
    <row r="48" spans="1:40" ht="15.75" x14ac:dyDescent="0.25">
      <c r="A48" s="399" t="s">
        <v>373</v>
      </c>
      <c r="B48" s="449">
        <v>4208.4340000000002</v>
      </c>
      <c r="C48" s="449">
        <v>4942.6689999999999</v>
      </c>
      <c r="D48" s="449">
        <v>6444.8069999999998</v>
      </c>
      <c r="E48" s="406">
        <f>6444.80728+437.56659</f>
        <v>6882.3738700000004</v>
      </c>
      <c r="F48" s="406">
        <f>6444.80728+515.45117</f>
        <v>6960.2584500000003</v>
      </c>
      <c r="G48" s="406">
        <f>6444.80728+515.45117</f>
        <v>6960.2584500000003</v>
      </c>
      <c r="H48" s="406">
        <f ca="1">F48+'Summary Income Statement'!J46</f>
        <v>7627.4427273884694</v>
      </c>
      <c r="I48" s="406">
        <v>0</v>
      </c>
      <c r="J48" s="406">
        <v>0</v>
      </c>
      <c r="K48" s="406">
        <f ca="1">SUM(H48:I48)</f>
        <v>7627.4427273884694</v>
      </c>
      <c r="L48" s="406">
        <f ca="1">K48+'Summary Income Statement'!K46</f>
        <v>9812.9415944801367</v>
      </c>
      <c r="M48" s="406">
        <f ca="1">L48+'Summary Income Statement'!L46</f>
        <v>9844.4083266070247</v>
      </c>
      <c r="N48" s="406">
        <f ca="1">M48+'Summary Income Statement'!M46</f>
        <v>10076.998435451394</v>
      </c>
      <c r="O48" s="406">
        <f ca="1">N48+'Summary Income Statement'!N46</f>
        <v>10526.076925825973</v>
      </c>
      <c r="P48" s="406">
        <f ca="1">O48+'Summary Income Statement'!O46</f>
        <v>12660.581379345724</v>
      </c>
      <c r="Q48" s="406">
        <f ca="1">P48+'Summary Income Statement'!P46</f>
        <v>12809.612699205352</v>
      </c>
      <c r="R48" s="406">
        <f ca="1">Q48+'Summary Income Statement'!Q46</f>
        <v>13162.027030931717</v>
      </c>
      <c r="S48" s="406">
        <f ca="1">R48+'Summary Income Statement'!R46</f>
        <v>13756.746945493051</v>
      </c>
      <c r="T48" s="406">
        <f ca="1">S48+'Summary Income Statement'!S46</f>
        <v>16215.346370674142</v>
      </c>
      <c r="U48" s="406">
        <f ca="1">T48+'Summary Income Statement'!T46</f>
        <v>16481.759401729701</v>
      </c>
      <c r="V48" s="406">
        <f ca="1">U48+'Summary Income Statement'!U46</f>
        <v>16972.397259071666</v>
      </c>
      <c r="W48" s="406">
        <f ca="1">V48+'Summary Income Statement'!V46</f>
        <v>17733.482752001779</v>
      </c>
      <c r="X48" s="406">
        <f ca="1">W48+'Summary Income Statement'!W46</f>
        <v>20555.834855904533</v>
      </c>
      <c r="Y48" s="406">
        <f ca="1">X48+'Summary Income Statement'!X46</f>
        <v>20913.52609562466</v>
      </c>
      <c r="Z48" s="406">
        <f ca="1">Y48+'Summary Income Statement'!Y46</f>
        <v>21514.701080216601</v>
      </c>
      <c r="AA48" s="406">
        <f ca="1">Z48+'Summary Income Statement'!Z46</f>
        <v>22409.287582695004</v>
      </c>
      <c r="AB48" s="406">
        <f ca="1">AA48+'Summary Income Statement'!AA46</f>
        <v>25527.662799799822</v>
      </c>
      <c r="AC48" s="406">
        <f ca="1">AB48+'Summary Income Statement'!AB46</f>
        <v>25991.1660430968</v>
      </c>
      <c r="AD48" s="406">
        <f ca="1">AC48+'Summary Income Statement'!AC46</f>
        <v>26766.823397939501</v>
      </c>
      <c r="AE48" s="406">
        <f ca="1">AD48+'Summary Income Statement'!AD46</f>
        <v>27860.905071535013</v>
      </c>
      <c r="AF48" s="406">
        <f ca="1">AE48+'Summary Income Statement'!AE46</f>
        <v>31356.255206613292</v>
      </c>
      <c r="AG48" s="398"/>
      <c r="AH48" s="406">
        <f>D48</f>
        <v>6444.8069999999998</v>
      </c>
      <c r="AI48" s="406">
        <f t="shared" ca="1" si="28"/>
        <v>9812.9415944801367</v>
      </c>
      <c r="AJ48" s="406">
        <f t="shared" ca="1" si="6"/>
        <v>12660.581379345724</v>
      </c>
      <c r="AK48" s="406">
        <f t="shared" ca="1" si="7"/>
        <v>16215.346370674142</v>
      </c>
      <c r="AL48" s="406">
        <f t="shared" ca="1" si="8"/>
        <v>20555.834855904533</v>
      </c>
      <c r="AM48" s="406">
        <f t="shared" ca="1" si="9"/>
        <v>25527.662799799822</v>
      </c>
      <c r="AN48" s="555">
        <f t="shared" ca="1" si="10"/>
        <v>31356.255206613292</v>
      </c>
    </row>
    <row r="49" spans="1:40" ht="15.75" x14ac:dyDescent="0.25">
      <c r="A49" s="405" t="s">
        <v>3</v>
      </c>
      <c r="B49" s="398">
        <f t="shared" ref="B49:J49" si="29">SUM(B44:B48)</f>
        <v>4262.9340000000002</v>
      </c>
      <c r="C49" s="398">
        <f t="shared" si="29"/>
        <v>4997.1689999999999</v>
      </c>
      <c r="D49" s="398">
        <f t="shared" si="29"/>
        <v>6499.3069999999998</v>
      </c>
      <c r="E49" s="398">
        <f t="shared" si="29"/>
        <v>6936.8737100000008</v>
      </c>
      <c r="F49" s="398">
        <f>SUM(F44:F48)</f>
        <v>7014.7582900000007</v>
      </c>
      <c r="G49" s="398">
        <f>SUM(G44:G48)</f>
        <v>7014.7582900000007</v>
      </c>
      <c r="H49" s="398">
        <f t="shared" ca="1" si="29"/>
        <v>7681.9427273884694</v>
      </c>
      <c r="I49" s="398">
        <f t="shared" si="29"/>
        <v>233.95881999999983</v>
      </c>
      <c r="J49" s="398">
        <f t="shared" si="29"/>
        <v>0</v>
      </c>
      <c r="K49" s="398">
        <f t="shared" ref="K49:AF49" ca="1" si="30">SUM(K44:K48)</f>
        <v>7915.9015473884692</v>
      </c>
      <c r="L49" s="398">
        <f t="shared" ca="1" si="30"/>
        <v>10101.400414480137</v>
      </c>
      <c r="M49" s="398">
        <f t="shared" ca="1" si="30"/>
        <v>10132.867146607025</v>
      </c>
      <c r="N49" s="398">
        <f t="shared" ca="1" si="30"/>
        <v>10365.457255451394</v>
      </c>
      <c r="O49" s="398">
        <f t="shared" ca="1" si="30"/>
        <v>10814.535745825973</v>
      </c>
      <c r="P49" s="398">
        <f t="shared" ca="1" si="30"/>
        <v>12935.225172943847</v>
      </c>
      <c r="Q49" s="398">
        <f t="shared" ca="1" si="30"/>
        <v>12217.657279620838</v>
      </c>
      <c r="R49" s="398">
        <f t="shared" ca="1" si="30"/>
        <v>12546.498837323619</v>
      </c>
      <c r="S49" s="398">
        <f t="shared" ca="1" si="30"/>
        <v>13021.90487252134</v>
      </c>
      <c r="T49" s="398">
        <f t="shared" ca="1" si="30"/>
        <v>15247.93415606308</v>
      </c>
      <c r="U49" s="398">
        <f t="shared" ca="1" si="30"/>
        <v>14438.8125157004</v>
      </c>
      <c r="V49" s="398">
        <f t="shared" ca="1" si="30"/>
        <v>14860.29019638781</v>
      </c>
      <c r="W49" s="398">
        <f t="shared" ca="1" si="30"/>
        <v>15447.095590834491</v>
      </c>
      <c r="X49" s="398">
        <f t="shared" ca="1" si="30"/>
        <v>17969.247410239146</v>
      </c>
      <c r="Y49" s="398">
        <f t="shared" ca="1" si="30"/>
        <v>17094.949640523482</v>
      </c>
      <c r="Z49" s="398">
        <f t="shared" ca="1" si="30"/>
        <v>17523.654254561818</v>
      </c>
      <c r="AA49" s="398">
        <f t="shared" ca="1" si="30"/>
        <v>18131.983951294296</v>
      </c>
      <c r="AB49" s="398">
        <f t="shared" ca="1" si="30"/>
        <v>20827.848429604284</v>
      </c>
      <c r="AC49" s="398">
        <f t="shared" ca="1" si="30"/>
        <v>19863.917262524545</v>
      </c>
      <c r="AD49" s="398">
        <f t="shared" ca="1" si="30"/>
        <v>20351.035870759457</v>
      </c>
      <c r="AE49" s="398">
        <f t="shared" ca="1" si="30"/>
        <v>21011.8906975516</v>
      </c>
      <c r="AF49" s="398">
        <f t="shared" ca="1" si="30"/>
        <v>23926.504292387748</v>
      </c>
      <c r="AG49" s="398"/>
      <c r="AH49" s="398">
        <f>D49</f>
        <v>6499.3069999999998</v>
      </c>
      <c r="AI49" s="398">
        <f t="shared" ca="1" si="28"/>
        <v>10101.400414480137</v>
      </c>
      <c r="AJ49" s="398">
        <f t="shared" ca="1" si="6"/>
        <v>12935.225172943847</v>
      </c>
      <c r="AK49" s="398">
        <f t="shared" ca="1" si="7"/>
        <v>15247.93415606308</v>
      </c>
      <c r="AL49" s="398">
        <f t="shared" ca="1" si="8"/>
        <v>17969.247410239146</v>
      </c>
      <c r="AM49" s="398">
        <f t="shared" ca="1" si="9"/>
        <v>20827.848429604284</v>
      </c>
      <c r="AN49" s="554">
        <f t="shared" ca="1" si="10"/>
        <v>23926.504292387748</v>
      </c>
    </row>
    <row r="50" spans="1:40" ht="16.5" thickBot="1" x14ac:dyDescent="0.3">
      <c r="A50" s="405" t="s">
        <v>374</v>
      </c>
      <c r="B50" s="411">
        <f t="shared" ref="B50:AF50" si="31">SUM(B49,B42)</f>
        <v>13332.433000000001</v>
      </c>
      <c r="C50" s="411">
        <f t="shared" si="31"/>
        <v>16954.720999999998</v>
      </c>
      <c r="D50" s="411">
        <f t="shared" si="31"/>
        <v>25406.302000000003</v>
      </c>
      <c r="E50" s="411">
        <f t="shared" si="31"/>
        <v>22408.276420000002</v>
      </c>
      <c r="F50" s="411">
        <f>SUM(F49,F42)</f>
        <v>22890.34417</v>
      </c>
      <c r="G50" s="411">
        <f>SUM(G49,G42)</f>
        <v>22890.34417</v>
      </c>
      <c r="H50" s="411">
        <f t="shared" ca="1" si="31"/>
        <v>24293.311610140336</v>
      </c>
      <c r="I50" s="411">
        <f t="shared" si="31"/>
        <v>0</v>
      </c>
      <c r="J50" s="411">
        <f>SUM(J49,J42)</f>
        <v>0</v>
      </c>
      <c r="K50" s="411">
        <f t="shared" ca="1" si="31"/>
        <v>12293.311610140336</v>
      </c>
      <c r="L50" s="411">
        <f t="shared" ca="1" si="31"/>
        <v>40736.299559052291</v>
      </c>
      <c r="M50" s="411">
        <f t="shared" ca="1" si="31"/>
        <v>33549.109768517526</v>
      </c>
      <c r="N50" s="411">
        <f t="shared" ca="1" si="31"/>
        <v>34463.642766479097</v>
      </c>
      <c r="O50" s="411">
        <f t="shared" ca="1" si="31"/>
        <v>36363.83372871406</v>
      </c>
      <c r="P50" s="411">
        <f t="shared" ca="1" si="31"/>
        <v>41564.186971441974</v>
      </c>
      <c r="Q50" s="411">
        <f t="shared" ca="1" si="31"/>
        <v>34638.638576647645</v>
      </c>
      <c r="R50" s="411">
        <f t="shared" ca="1" si="31"/>
        <v>35434.289260676334</v>
      </c>
      <c r="S50" s="411">
        <f t="shared" ca="1" si="31"/>
        <v>37449.916286144929</v>
      </c>
      <c r="T50" s="411">
        <f t="shared" ca="1" si="31"/>
        <v>43017.222723937317</v>
      </c>
      <c r="U50" s="411">
        <f t="shared" ca="1" si="31"/>
        <v>35521.805868677198</v>
      </c>
      <c r="V50" s="411">
        <f t="shared" ca="1" si="31"/>
        <v>36347.902778106327</v>
      </c>
      <c r="W50" s="411">
        <f t="shared" ca="1" si="31"/>
        <v>38491.026979936418</v>
      </c>
      <c r="X50" s="411">
        <f t="shared" ca="1" si="31"/>
        <v>44456.409428418963</v>
      </c>
      <c r="Y50" s="411">
        <f t="shared" ca="1" si="31"/>
        <v>36366.563508424122</v>
      </c>
      <c r="Z50" s="411">
        <f t="shared" ca="1" si="31"/>
        <v>37229.591105997592</v>
      </c>
      <c r="AA50" s="411">
        <f t="shared" ca="1" si="31"/>
        <v>39515.758179364093</v>
      </c>
      <c r="AB50" s="411">
        <f t="shared" ca="1" si="31"/>
        <v>45930.714159115232</v>
      </c>
      <c r="AC50" s="411">
        <f t="shared" ca="1" si="31"/>
        <v>36969.992092113775</v>
      </c>
      <c r="AD50" s="411">
        <f t="shared" ca="1" si="31"/>
        <v>38072.315110352531</v>
      </c>
      <c r="AE50" s="411">
        <f t="shared" ca="1" si="31"/>
        <v>40516.968484972102</v>
      </c>
      <c r="AF50" s="411">
        <f t="shared" ca="1" si="31"/>
        <v>47421.463878942566</v>
      </c>
      <c r="AG50" s="398"/>
      <c r="AH50" s="411">
        <f>D50</f>
        <v>25406.302000000003</v>
      </c>
      <c r="AI50" s="411">
        <f t="shared" ca="1" si="28"/>
        <v>40736.299559052291</v>
      </c>
      <c r="AJ50" s="411">
        <f t="shared" ca="1" si="6"/>
        <v>41564.186971441974</v>
      </c>
      <c r="AK50" s="411">
        <f t="shared" ca="1" si="7"/>
        <v>43017.222723937317</v>
      </c>
      <c r="AL50" s="411">
        <f t="shared" ca="1" si="8"/>
        <v>44456.409428418963</v>
      </c>
      <c r="AM50" s="411">
        <f t="shared" ca="1" si="9"/>
        <v>45930.714159115232</v>
      </c>
      <c r="AN50" s="557">
        <f t="shared" ca="1" si="10"/>
        <v>47421.463878942566</v>
      </c>
    </row>
    <row r="51" spans="1:40" ht="17.25" thickTop="1" thickBot="1" x14ac:dyDescent="0.3">
      <c r="A51" s="412" t="s">
        <v>24</v>
      </c>
      <c r="B51" s="413">
        <f t="shared" ref="B51:AF51" si="32">ROUND(B29-B50,0)</f>
        <v>0</v>
      </c>
      <c r="C51" s="413">
        <f t="shared" si="32"/>
        <v>0</v>
      </c>
      <c r="D51" s="413">
        <f t="shared" si="32"/>
        <v>0</v>
      </c>
      <c r="E51" s="413">
        <f t="shared" si="32"/>
        <v>0</v>
      </c>
      <c r="F51" s="413">
        <f>ROUND(F29-F50,0)</f>
        <v>0</v>
      </c>
      <c r="G51" s="413">
        <f>ROUND(G29-G50,0)</f>
        <v>280</v>
      </c>
      <c r="H51" s="413">
        <f t="shared" ca="1" si="32"/>
        <v>0</v>
      </c>
      <c r="I51" s="413">
        <f t="shared" si="32"/>
        <v>0</v>
      </c>
      <c r="J51" s="413">
        <f t="shared" si="32"/>
        <v>0</v>
      </c>
      <c r="K51" s="413">
        <f t="shared" ca="1" si="32"/>
        <v>12000</v>
      </c>
      <c r="L51" s="413">
        <f t="shared" ca="1" si="32"/>
        <v>-10286</v>
      </c>
      <c r="M51" s="413">
        <f t="shared" ca="1" si="32"/>
        <v>-10286</v>
      </c>
      <c r="N51" s="413">
        <f t="shared" ca="1" si="32"/>
        <v>-10286</v>
      </c>
      <c r="O51" s="413">
        <f t="shared" ca="1" si="32"/>
        <v>-10286</v>
      </c>
      <c r="P51" s="413">
        <f t="shared" ca="1" si="32"/>
        <v>-10286</v>
      </c>
      <c r="Q51" s="413">
        <f t="shared" ca="1" si="32"/>
        <v>-10286</v>
      </c>
      <c r="R51" s="413">
        <f t="shared" ca="1" si="32"/>
        <v>-10286</v>
      </c>
      <c r="S51" s="413">
        <f t="shared" ca="1" si="32"/>
        <v>-10286</v>
      </c>
      <c r="T51" s="413">
        <f t="shared" ca="1" si="32"/>
        <v>-10286</v>
      </c>
      <c r="U51" s="413">
        <f t="shared" ca="1" si="32"/>
        <v>-10286</v>
      </c>
      <c r="V51" s="413">
        <f t="shared" ca="1" si="32"/>
        <v>-10286</v>
      </c>
      <c r="W51" s="413">
        <f t="shared" ca="1" si="32"/>
        <v>-10286</v>
      </c>
      <c r="X51" s="413">
        <f t="shared" ca="1" si="32"/>
        <v>-10286</v>
      </c>
      <c r="Y51" s="413">
        <f t="shared" ca="1" si="32"/>
        <v>-10286</v>
      </c>
      <c r="Z51" s="413">
        <f t="shared" ca="1" si="32"/>
        <v>-10286</v>
      </c>
      <c r="AA51" s="413">
        <f t="shared" ca="1" si="32"/>
        <v>-10286</v>
      </c>
      <c r="AB51" s="413">
        <f t="shared" ca="1" si="32"/>
        <v>-10286</v>
      </c>
      <c r="AC51" s="413">
        <f t="shared" ca="1" si="32"/>
        <v>-10286</v>
      </c>
      <c r="AD51" s="413">
        <f t="shared" ca="1" si="32"/>
        <v>-10286</v>
      </c>
      <c r="AE51" s="413">
        <f t="shared" ca="1" si="32"/>
        <v>-10286</v>
      </c>
      <c r="AF51" s="413">
        <f t="shared" ca="1" si="32"/>
        <v>-10286</v>
      </c>
      <c r="AG51" s="413"/>
      <c r="AH51" s="413">
        <f>ROUND(AH29-AH50,0)</f>
        <v>0</v>
      </c>
      <c r="AI51" s="413">
        <f ca="1">M51</f>
        <v>-10286</v>
      </c>
      <c r="AJ51" s="413">
        <f ca="1">Q51</f>
        <v>-10286</v>
      </c>
      <c r="AK51" s="413">
        <f ca="1">U51</f>
        <v>-10286</v>
      </c>
      <c r="AL51" s="413">
        <f ca="1">Y51</f>
        <v>-10286</v>
      </c>
      <c r="AM51" s="413">
        <f ca="1">AC51</f>
        <v>-10286</v>
      </c>
      <c r="AN51" s="558">
        <f ca="1">AD51</f>
        <v>-10286</v>
      </c>
    </row>
    <row r="52" spans="1:40" x14ac:dyDescent="0.2">
      <c r="A52" s="125"/>
      <c r="B52" s="111"/>
      <c r="C52" s="120"/>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H52" s="174"/>
      <c r="AI52" s="174"/>
      <c r="AJ52" s="174"/>
      <c r="AK52" s="174"/>
      <c r="AL52" s="174"/>
      <c r="AM52" s="174"/>
      <c r="AN52" s="174"/>
    </row>
    <row r="53" spans="1:40" x14ac:dyDescent="0.2">
      <c r="N53" s="563"/>
    </row>
    <row r="54" spans="1:40" x14ac:dyDescent="0.2">
      <c r="M54" s="450"/>
    </row>
  </sheetData>
  <pageMargins left="0.25" right="0.25" top="0.75" bottom="0.75" header="0.3" footer="0.3"/>
  <pageSetup scale="49" fitToHeight="0" orientation="landscape" r:id="rId1"/>
  <colBreaks count="2" manualBreakCount="2">
    <brk id="19" max="1048575" man="1"/>
    <brk id="39"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AI51"/>
  <sheetViews>
    <sheetView showGridLines="0" view="pageBreakPreview" zoomScale="85" zoomScaleNormal="80" zoomScaleSheetLayoutView="85" zoomScalePageLayoutView="80" workbookViewId="0">
      <pane xSplit="6" ySplit="7" topLeftCell="G8" activePane="bottomRight" state="frozen"/>
      <selection pane="topRight" activeCell="G1" sqref="G1"/>
      <selection pane="bottomLeft" activeCell="A8" sqref="A8"/>
      <selection pane="bottomRight" activeCell="I14" sqref="I14"/>
    </sheetView>
  </sheetViews>
  <sheetFormatPr defaultColWidth="19.85546875" defaultRowHeight="12.75" outlineLevelCol="2" x14ac:dyDescent="0.2"/>
  <cols>
    <col min="1" max="1" width="2.7109375" style="278" customWidth="1"/>
    <col min="2" max="5" width="3" style="278" customWidth="1"/>
    <col min="6" max="6" width="38" style="278" customWidth="1"/>
    <col min="7" max="8" width="10.85546875" style="280" customWidth="1" outlineLevel="2"/>
    <col min="9" max="9" width="10.7109375" style="280" customWidth="1" outlineLevel="2"/>
    <col min="10" max="11" width="11.140625" style="280" customWidth="1" outlineLevel="2"/>
    <col min="12" max="12" width="11.5703125" style="280" customWidth="1" outlineLevel="2"/>
    <col min="13" max="16" width="10.85546875" style="280" customWidth="1" outlineLevel="2"/>
    <col min="17" max="19" width="11.140625" style="280" customWidth="1" outlineLevel="2"/>
    <col min="20" max="20" width="11.5703125" style="280" customWidth="1" outlineLevel="2"/>
    <col min="21" max="22" width="11.5703125" style="106" customWidth="1" outlineLevel="2"/>
    <col min="23" max="23" width="11.42578125" style="106" customWidth="1" outlineLevel="2"/>
    <col min="24" max="28" width="11.5703125" style="106" customWidth="1" outlineLevel="2"/>
    <col min="29" max="29" width="1.5703125" style="106" customWidth="1" outlineLevel="2"/>
    <col min="30" max="30" width="10.5703125" style="280" bestFit="1" customWidth="1"/>
    <col min="31" max="31" width="10.5703125" style="106" bestFit="1" customWidth="1"/>
    <col min="32" max="32" width="11.5703125" style="106" bestFit="1" customWidth="1"/>
    <col min="33" max="35" width="10.5703125" style="106" bestFit="1" customWidth="1"/>
    <col min="36" max="16384" width="19.85546875" style="106"/>
  </cols>
  <sheetData>
    <row r="1" spans="1:35" x14ac:dyDescent="0.2">
      <c r="A1" s="107" t="str">
        <f>'Valuation &amp; Sources &amp; Uses'!B2</f>
        <v>Colorado Timberline</v>
      </c>
      <c r="B1" s="414"/>
      <c r="C1" s="414"/>
      <c r="D1" s="414"/>
      <c r="E1" s="414"/>
      <c r="F1" s="414"/>
      <c r="G1" s="414"/>
      <c r="H1" s="414"/>
      <c r="I1" s="414"/>
      <c r="J1" s="414"/>
      <c r="K1" s="414"/>
      <c r="L1" s="414"/>
      <c r="M1" s="414"/>
      <c r="N1" s="414"/>
      <c r="O1" s="414"/>
      <c r="P1" s="414"/>
      <c r="Q1" s="414"/>
      <c r="R1" s="414"/>
      <c r="S1" s="414"/>
      <c r="T1" s="414"/>
      <c r="U1" s="108"/>
      <c r="V1" s="108"/>
      <c r="W1" s="108"/>
      <c r="X1" s="108"/>
      <c r="Y1" s="108"/>
      <c r="Z1" s="108"/>
      <c r="AA1" s="108"/>
      <c r="AB1" s="108"/>
      <c r="AC1" s="108"/>
      <c r="AD1" s="414"/>
      <c r="AE1" s="108"/>
      <c r="AF1" s="108"/>
      <c r="AG1" s="108"/>
      <c r="AH1" s="108"/>
      <c r="AI1" s="109"/>
    </row>
    <row r="2" spans="1:35" x14ac:dyDescent="0.2">
      <c r="A2" s="110" t="str">
        <f ca="1">REPLACE(CELL("filename",B2),1,FIND("]",CELL("filename",B2)),"")</f>
        <v>SOCF</v>
      </c>
      <c r="B2" s="415"/>
      <c r="C2" s="415"/>
      <c r="D2" s="415"/>
      <c r="E2" s="415"/>
      <c r="F2" s="415"/>
      <c r="G2" s="415"/>
      <c r="H2" s="415"/>
      <c r="I2" s="415"/>
      <c r="J2" s="415"/>
      <c r="K2" s="415"/>
      <c r="L2" s="415"/>
      <c r="M2" s="415"/>
      <c r="N2" s="415"/>
      <c r="O2" s="415"/>
      <c r="P2" s="415"/>
      <c r="Q2" s="415"/>
      <c r="R2" s="415"/>
      <c r="S2" s="415"/>
      <c r="T2" s="415"/>
      <c r="U2" s="111"/>
      <c r="V2" s="111"/>
      <c r="W2" s="111"/>
      <c r="X2" s="111"/>
      <c r="Y2" s="111"/>
      <c r="Z2" s="111"/>
      <c r="AA2" s="111"/>
      <c r="AB2" s="111"/>
      <c r="AC2" s="111"/>
      <c r="AD2" s="415"/>
      <c r="AE2" s="111"/>
      <c r="AF2" s="111"/>
      <c r="AG2" s="111"/>
      <c r="AH2" s="111"/>
      <c r="AI2" s="113"/>
    </row>
    <row r="3" spans="1:35" x14ac:dyDescent="0.2">
      <c r="A3" s="110" t="str">
        <f>'Summary Income Statement'!A3</f>
        <v>Financial Model_v12 - Term + Mezzanine</v>
      </c>
      <c r="B3" s="415"/>
      <c r="C3" s="415"/>
      <c r="D3" s="415"/>
      <c r="E3" s="415"/>
      <c r="F3" s="415"/>
      <c r="G3" s="415"/>
      <c r="H3" s="415"/>
      <c r="I3" s="415"/>
      <c r="J3" s="415"/>
      <c r="K3" s="415"/>
      <c r="L3" s="415"/>
      <c r="M3" s="415"/>
      <c r="N3" s="415"/>
      <c r="O3" s="415"/>
      <c r="P3" s="415"/>
      <c r="Q3" s="415"/>
      <c r="R3" s="415"/>
      <c r="S3" s="415"/>
      <c r="T3" s="415"/>
      <c r="U3" s="111"/>
      <c r="V3" s="111"/>
      <c r="W3" s="111"/>
      <c r="X3" s="111"/>
      <c r="Y3" s="111"/>
      <c r="Z3" s="111"/>
      <c r="AA3" s="111"/>
      <c r="AB3" s="111"/>
      <c r="AC3" s="111"/>
      <c r="AD3" s="415"/>
      <c r="AE3" s="111"/>
      <c r="AF3" s="111"/>
      <c r="AG3" s="111"/>
      <c r="AH3" s="111"/>
      <c r="AI3" s="113"/>
    </row>
    <row r="4" spans="1:35" x14ac:dyDescent="0.2">
      <c r="A4" s="110"/>
      <c r="B4" s="415"/>
      <c r="C4" s="415"/>
      <c r="D4" s="415"/>
      <c r="E4" s="415"/>
      <c r="F4" s="415"/>
      <c r="G4" s="232">
        <v>3</v>
      </c>
      <c r="H4" s="232">
        <f t="shared" ref="H4:N4" si="0">ROUNDUP(MONTH(H6)/3,0)</f>
        <v>4</v>
      </c>
      <c r="I4" s="232">
        <f t="shared" si="0"/>
        <v>1</v>
      </c>
      <c r="J4" s="232">
        <f t="shared" si="0"/>
        <v>2</v>
      </c>
      <c r="K4" s="232">
        <f t="shared" si="0"/>
        <v>3</v>
      </c>
      <c r="L4" s="232">
        <f t="shared" si="0"/>
        <v>4</v>
      </c>
      <c r="M4" s="232">
        <f t="shared" si="0"/>
        <v>1</v>
      </c>
      <c r="N4" s="232">
        <f t="shared" si="0"/>
        <v>2</v>
      </c>
      <c r="O4" s="232">
        <f t="shared" ref="O4:T4" si="1">ROUNDUP(MONTH(O6)/3,0)</f>
        <v>3</v>
      </c>
      <c r="P4" s="232">
        <f t="shared" si="1"/>
        <v>4</v>
      </c>
      <c r="Q4" s="232">
        <f t="shared" si="1"/>
        <v>1</v>
      </c>
      <c r="R4" s="232">
        <f t="shared" si="1"/>
        <v>2</v>
      </c>
      <c r="S4" s="232">
        <f t="shared" si="1"/>
        <v>3</v>
      </c>
      <c r="T4" s="232">
        <f t="shared" si="1"/>
        <v>4</v>
      </c>
      <c r="U4" s="232">
        <f t="shared" ref="U4:AB4" si="2">ROUNDUP(MONTH(U6)/3,0)</f>
        <v>1</v>
      </c>
      <c r="V4" s="232">
        <f t="shared" si="2"/>
        <v>2</v>
      </c>
      <c r="W4" s="232">
        <f t="shared" si="2"/>
        <v>3</v>
      </c>
      <c r="X4" s="232">
        <f t="shared" si="2"/>
        <v>4</v>
      </c>
      <c r="Y4" s="232">
        <f t="shared" si="2"/>
        <v>1</v>
      </c>
      <c r="Z4" s="232">
        <f t="shared" si="2"/>
        <v>2</v>
      </c>
      <c r="AA4" s="232">
        <f t="shared" si="2"/>
        <v>3</v>
      </c>
      <c r="AB4" s="232">
        <f t="shared" si="2"/>
        <v>4</v>
      </c>
      <c r="AC4" s="111"/>
      <c r="AD4" s="232">
        <f t="shared" ref="AD4:AI4" si="3">ROUNDUP(MONTH(AD6)/3,0)</f>
        <v>2</v>
      </c>
      <c r="AE4" s="232">
        <f t="shared" si="3"/>
        <v>3</v>
      </c>
      <c r="AF4" s="232">
        <f t="shared" si="3"/>
        <v>4</v>
      </c>
      <c r="AG4" s="232">
        <f t="shared" si="3"/>
        <v>1</v>
      </c>
      <c r="AH4" s="232">
        <f t="shared" si="3"/>
        <v>2</v>
      </c>
      <c r="AI4" s="416">
        <f t="shared" si="3"/>
        <v>3</v>
      </c>
    </row>
    <row r="5" spans="1:35" x14ac:dyDescent="0.2">
      <c r="A5" s="417"/>
      <c r="B5" s="415"/>
      <c r="C5" s="415"/>
      <c r="D5" s="415"/>
      <c r="E5" s="415"/>
      <c r="F5" s="415"/>
      <c r="G5" s="232">
        <v>2015</v>
      </c>
      <c r="H5" s="232">
        <f t="shared" ref="H5:N5" si="4">YEAR(H6)</f>
        <v>2015</v>
      </c>
      <c r="I5" s="232">
        <f t="shared" si="4"/>
        <v>2016</v>
      </c>
      <c r="J5" s="232">
        <f t="shared" si="4"/>
        <v>2016</v>
      </c>
      <c r="K5" s="232">
        <f t="shared" si="4"/>
        <v>2016</v>
      </c>
      <c r="L5" s="232">
        <f t="shared" si="4"/>
        <v>2016</v>
      </c>
      <c r="M5" s="232">
        <f t="shared" si="4"/>
        <v>2017</v>
      </c>
      <c r="N5" s="232">
        <f t="shared" si="4"/>
        <v>2017</v>
      </c>
      <c r="O5" s="232">
        <f>YEAR(O6)</f>
        <v>2017</v>
      </c>
      <c r="P5" s="232">
        <f>YEAR(P6)</f>
        <v>2017</v>
      </c>
      <c r="Q5" s="232">
        <f>YEAR(Q6)</f>
        <v>2018</v>
      </c>
      <c r="R5" s="232">
        <f>YEAR(R6)</f>
        <v>2018</v>
      </c>
      <c r="S5" s="232">
        <f t="shared" ref="S5:AB5" si="5">YEAR(S6)</f>
        <v>2018</v>
      </c>
      <c r="T5" s="232">
        <f t="shared" si="5"/>
        <v>2018</v>
      </c>
      <c r="U5" s="232">
        <f t="shared" si="5"/>
        <v>2019</v>
      </c>
      <c r="V5" s="232">
        <f t="shared" si="5"/>
        <v>2019</v>
      </c>
      <c r="W5" s="232">
        <f t="shared" si="5"/>
        <v>2019</v>
      </c>
      <c r="X5" s="232">
        <f t="shared" si="5"/>
        <v>2019</v>
      </c>
      <c r="Y5" s="232">
        <f t="shared" si="5"/>
        <v>2020</v>
      </c>
      <c r="Z5" s="232">
        <f t="shared" si="5"/>
        <v>2020</v>
      </c>
      <c r="AA5" s="232">
        <f t="shared" si="5"/>
        <v>2020</v>
      </c>
      <c r="AB5" s="232">
        <f t="shared" si="5"/>
        <v>2020</v>
      </c>
      <c r="AC5" s="111"/>
      <c r="AD5" s="232">
        <v>2015</v>
      </c>
      <c r="AE5" s="232">
        <v>2016</v>
      </c>
      <c r="AF5" s="232">
        <v>2017</v>
      </c>
      <c r="AG5" s="232">
        <v>2018</v>
      </c>
      <c r="AH5" s="232">
        <v>2019</v>
      </c>
      <c r="AI5" s="416">
        <v>2020</v>
      </c>
    </row>
    <row r="6" spans="1:35" x14ac:dyDescent="0.2">
      <c r="A6" s="418"/>
      <c r="B6" s="415"/>
      <c r="C6" s="415"/>
      <c r="D6" s="415"/>
      <c r="E6" s="415"/>
      <c r="F6" s="415"/>
      <c r="G6" s="419">
        <v>42277</v>
      </c>
      <c r="H6" s="419">
        <f t="shared" ref="H6:N6" si="6">EOMONTH(G6,3)</f>
        <v>42369</v>
      </c>
      <c r="I6" s="419">
        <f t="shared" si="6"/>
        <v>42460</v>
      </c>
      <c r="J6" s="419">
        <f t="shared" si="6"/>
        <v>42551</v>
      </c>
      <c r="K6" s="419">
        <f t="shared" si="6"/>
        <v>42643</v>
      </c>
      <c r="L6" s="419">
        <f t="shared" si="6"/>
        <v>42735</v>
      </c>
      <c r="M6" s="419">
        <f t="shared" si="6"/>
        <v>42825</v>
      </c>
      <c r="N6" s="419">
        <f t="shared" si="6"/>
        <v>42916</v>
      </c>
      <c r="O6" s="419">
        <f t="shared" ref="O6:T6" si="7">EOMONTH(N6,3)</f>
        <v>43008</v>
      </c>
      <c r="P6" s="419">
        <f t="shared" si="7"/>
        <v>43100</v>
      </c>
      <c r="Q6" s="419">
        <f t="shared" si="7"/>
        <v>43190</v>
      </c>
      <c r="R6" s="419">
        <f t="shared" si="7"/>
        <v>43281</v>
      </c>
      <c r="S6" s="419">
        <f t="shared" si="7"/>
        <v>43373</v>
      </c>
      <c r="T6" s="419">
        <f t="shared" si="7"/>
        <v>43465</v>
      </c>
      <c r="U6" s="419">
        <f t="shared" ref="U6:AB6" si="8">EOMONTH(T6,3)</f>
        <v>43555</v>
      </c>
      <c r="V6" s="419">
        <f t="shared" si="8"/>
        <v>43646</v>
      </c>
      <c r="W6" s="419">
        <f t="shared" si="8"/>
        <v>43738</v>
      </c>
      <c r="X6" s="419">
        <f t="shared" si="8"/>
        <v>43830</v>
      </c>
      <c r="Y6" s="419">
        <f t="shared" si="8"/>
        <v>43921</v>
      </c>
      <c r="Z6" s="419">
        <f t="shared" si="8"/>
        <v>44012</v>
      </c>
      <c r="AA6" s="419">
        <f t="shared" si="8"/>
        <v>44104</v>
      </c>
      <c r="AB6" s="419">
        <f t="shared" si="8"/>
        <v>44196</v>
      </c>
      <c r="AC6" s="111"/>
      <c r="AD6" s="419">
        <f t="shared" ref="AD6:AI6" si="9">EOMONTH(AC6,3)</f>
        <v>121</v>
      </c>
      <c r="AE6" s="419">
        <f t="shared" si="9"/>
        <v>213</v>
      </c>
      <c r="AF6" s="419">
        <f t="shared" si="9"/>
        <v>305</v>
      </c>
      <c r="AG6" s="419">
        <f t="shared" si="9"/>
        <v>397</v>
      </c>
      <c r="AH6" s="419">
        <f t="shared" si="9"/>
        <v>486</v>
      </c>
      <c r="AI6" s="420">
        <f t="shared" si="9"/>
        <v>578</v>
      </c>
    </row>
    <row r="7" spans="1:35" ht="13.5" thickBot="1" x14ac:dyDescent="0.25">
      <c r="A7" s="421"/>
      <c r="B7" s="415"/>
      <c r="C7" s="415"/>
      <c r="D7" s="415"/>
      <c r="E7" s="415"/>
      <c r="F7" s="415"/>
      <c r="G7" s="422" t="s">
        <v>421</v>
      </c>
      <c r="H7" s="422" t="str">
        <f t="shared" ref="H7:X7" si="10">"Q"&amp;H4&amp;"'"&amp;RIGHT(YEAR(H6),2)</f>
        <v>Q4'15</v>
      </c>
      <c r="I7" s="422" t="str">
        <f t="shared" si="10"/>
        <v>Q1'16</v>
      </c>
      <c r="J7" s="422" t="str">
        <f t="shared" si="10"/>
        <v>Q2'16</v>
      </c>
      <c r="K7" s="422" t="str">
        <f t="shared" si="10"/>
        <v>Q3'16</v>
      </c>
      <c r="L7" s="422" t="str">
        <f t="shared" si="10"/>
        <v>Q4'16</v>
      </c>
      <c r="M7" s="422" t="str">
        <f t="shared" si="10"/>
        <v>Q1'17</v>
      </c>
      <c r="N7" s="422" t="str">
        <f t="shared" si="10"/>
        <v>Q2'17</v>
      </c>
      <c r="O7" s="422" t="str">
        <f t="shared" si="10"/>
        <v>Q3'17</v>
      </c>
      <c r="P7" s="422" t="str">
        <f t="shared" si="10"/>
        <v>Q4'17</v>
      </c>
      <c r="Q7" s="422" t="str">
        <f t="shared" si="10"/>
        <v>Q1'18</v>
      </c>
      <c r="R7" s="422" t="str">
        <f t="shared" si="10"/>
        <v>Q2'18</v>
      </c>
      <c r="S7" s="422" t="str">
        <f t="shared" si="10"/>
        <v>Q3'18</v>
      </c>
      <c r="T7" s="422" t="str">
        <f t="shared" si="10"/>
        <v>Q4'18</v>
      </c>
      <c r="U7" s="422" t="str">
        <f t="shared" si="10"/>
        <v>Q1'19</v>
      </c>
      <c r="V7" s="422" t="str">
        <f t="shared" si="10"/>
        <v>Q2'19</v>
      </c>
      <c r="W7" s="422" t="str">
        <f t="shared" si="10"/>
        <v>Q3'19</v>
      </c>
      <c r="X7" s="422" t="str">
        <f t="shared" si="10"/>
        <v>Q4'19</v>
      </c>
      <c r="Y7" s="422" t="str">
        <f>"Q"&amp;Y4&amp;"'"&amp;RIGHT(YEAR(Y6),2)</f>
        <v>Q1'20</v>
      </c>
      <c r="Z7" s="422" t="str">
        <f>"Q"&amp;Z4&amp;"'"&amp;RIGHT(YEAR(Z6),2)</f>
        <v>Q2'20</v>
      </c>
      <c r="AA7" s="422" t="str">
        <f>"Q"&amp;AA4&amp;"'"&amp;RIGHT(YEAR(AA6),2)</f>
        <v>Q3'20</v>
      </c>
      <c r="AB7" s="422" t="str">
        <f>"Q"&amp;AB4&amp;"'"&amp;RIGHT(YEAR(AB6),2)</f>
        <v>Q4'20</v>
      </c>
      <c r="AC7" s="111"/>
      <c r="AD7" s="422" t="s">
        <v>35</v>
      </c>
      <c r="AE7" s="422" t="s">
        <v>36</v>
      </c>
      <c r="AF7" s="422" t="s">
        <v>37</v>
      </c>
      <c r="AG7" s="422" t="s">
        <v>38</v>
      </c>
      <c r="AH7" s="422" t="s">
        <v>203</v>
      </c>
      <c r="AI7" s="423" t="s">
        <v>311</v>
      </c>
    </row>
    <row r="8" spans="1:35" ht="13.5" thickTop="1" x14ac:dyDescent="0.2">
      <c r="A8" s="418" t="s">
        <v>12</v>
      </c>
      <c r="B8" s="282"/>
      <c r="C8" s="282"/>
      <c r="D8" s="282"/>
      <c r="E8" s="282"/>
      <c r="F8" s="282"/>
      <c r="U8" s="280"/>
      <c r="V8" s="280"/>
      <c r="W8" s="280"/>
      <c r="X8" s="280"/>
      <c r="Y8" s="280"/>
      <c r="Z8" s="280"/>
      <c r="AA8" s="280"/>
      <c r="AB8" s="280"/>
      <c r="AC8" s="111"/>
      <c r="AE8" s="280"/>
      <c r="AF8" s="280"/>
      <c r="AG8" s="280"/>
      <c r="AH8" s="280"/>
      <c r="AI8" s="424"/>
    </row>
    <row r="9" spans="1:35" x14ac:dyDescent="0.2">
      <c r="A9" s="425"/>
      <c r="B9" s="282" t="s">
        <v>5</v>
      </c>
      <c r="C9" s="282"/>
      <c r="D9" s="282"/>
      <c r="E9" s="282"/>
      <c r="F9" s="282"/>
      <c r="G9" s="280">
        <f ca="1">'Summary Income Statement'!J46</f>
        <v>667.18427738846913</v>
      </c>
      <c r="H9" s="280">
        <f ca="1">'Summary Income Statement'!K46</f>
        <v>2185.4988670916682</v>
      </c>
      <c r="I9" s="280">
        <f ca="1">'Summary Income Statement'!L46</f>
        <v>31.466732126888473</v>
      </c>
      <c r="J9" s="280">
        <f ca="1">'Summary Income Statement'!M46</f>
        <v>232.59010884436884</v>
      </c>
      <c r="K9" s="280">
        <f ca="1">'Summary Income Statement'!N46</f>
        <v>449.07849037457936</v>
      </c>
      <c r="L9" s="280">
        <f ca="1">'Summary Income Statement'!O46</f>
        <v>2134.5044535197503</v>
      </c>
      <c r="M9" s="280">
        <f ca="1">'Summary Income Statement'!P46</f>
        <v>149.03131985962818</v>
      </c>
      <c r="N9" s="280">
        <f ca="1">'Summary Income Statement'!Q46</f>
        <v>352.41433172636425</v>
      </c>
      <c r="O9" s="280">
        <f ca="1">'Summary Income Statement'!R46</f>
        <v>594.71991456133492</v>
      </c>
      <c r="P9" s="280">
        <f ca="1">'Summary Income Statement'!S46</f>
        <v>2458.5994251810907</v>
      </c>
      <c r="Q9" s="280">
        <f ca="1">'Summary Income Statement'!T46</f>
        <v>266.41303105555926</v>
      </c>
      <c r="R9" s="280">
        <f ca="1">'Summary Income Statement'!U46</f>
        <v>490.63785734196244</v>
      </c>
      <c r="S9" s="280">
        <f ca="1">'Summary Income Statement'!V46</f>
        <v>761.08549293011129</v>
      </c>
      <c r="T9" s="280">
        <f ca="1">'Summary Income Statement'!W46</f>
        <v>2822.3521039027528</v>
      </c>
      <c r="U9" s="280">
        <f ca="1">'Summary Income Statement'!X46</f>
        <v>357.69123972012812</v>
      </c>
      <c r="V9" s="280">
        <f ca="1">'Summary Income Statement'!Y46</f>
        <v>601.17498459193939</v>
      </c>
      <c r="W9" s="280">
        <f ca="1">'Summary Income Statement'!Z46</f>
        <v>894.58650247840342</v>
      </c>
      <c r="X9" s="280">
        <f ca="1">'Summary Income Statement'!AA46</f>
        <v>3118.3752171048163</v>
      </c>
      <c r="Y9" s="280">
        <f ca="1">'Summary Income Statement'!AB46</f>
        <v>463.50324329697833</v>
      </c>
      <c r="Z9" s="280">
        <f ca="1">'Summary Income Statement'!AC46</f>
        <v>775.65735484269999</v>
      </c>
      <c r="AA9" s="280">
        <f ca="1">'Summary Income Statement'!AD46</f>
        <v>1094.0816735955132</v>
      </c>
      <c r="AB9" s="280">
        <f ca="1">'Summary Income Statement'!AE46</f>
        <v>3495.350135078279</v>
      </c>
      <c r="AC9" s="111"/>
      <c r="AD9" s="280">
        <f ca="1">SUMIF($G$5:$X$5,AD$5,$G9:$X9)</f>
        <v>2852.6831444801373</v>
      </c>
      <c r="AE9" s="280">
        <f ca="1">SUMIF($G$5:$X$5,AE$5,$G9:$X9)</f>
        <v>2847.639784865587</v>
      </c>
      <c r="AF9" s="280">
        <f ca="1">SUMIF($G$5:$X$5,AF$5,$G9:$X9)</f>
        <v>3554.7649913284181</v>
      </c>
      <c r="AG9" s="280">
        <f ca="1">SUMIF($G$5:$X$5,AG$5,$G9:$X9)</f>
        <v>4340.4884852303858</v>
      </c>
      <c r="AH9" s="280">
        <f ca="1">SUMIF($G$5:$X$5,AH$5,$G9:$X9)</f>
        <v>4971.8279438952868</v>
      </c>
      <c r="AI9" s="424">
        <f ca="1">SUMIF($G$5:$AH$5,AI$5,$G9:$AH9)</f>
        <v>5828.59240681347</v>
      </c>
    </row>
    <row r="10" spans="1:35" x14ac:dyDescent="0.2">
      <c r="A10" s="421"/>
      <c r="B10" s="282" t="s">
        <v>13</v>
      </c>
      <c r="C10" s="282"/>
      <c r="D10" s="282"/>
      <c r="E10" s="282"/>
      <c r="F10" s="282"/>
      <c r="U10" s="280"/>
      <c r="V10" s="280"/>
      <c r="W10" s="280"/>
      <c r="X10" s="280"/>
      <c r="Y10" s="280"/>
      <c r="Z10" s="280"/>
      <c r="AA10" s="280"/>
      <c r="AB10" s="280"/>
      <c r="AC10" s="111"/>
      <c r="AE10" s="280"/>
      <c r="AF10" s="280"/>
      <c r="AG10" s="280"/>
      <c r="AH10" s="280"/>
      <c r="AI10" s="424"/>
    </row>
    <row r="11" spans="1:35" x14ac:dyDescent="0.2">
      <c r="A11" s="425"/>
      <c r="B11" s="282"/>
      <c r="C11" s="282" t="s">
        <v>100</v>
      </c>
      <c r="D11" s="282"/>
      <c r="E11" s="282"/>
      <c r="F11" s="282"/>
      <c r="G11" s="280">
        <f>'Summary Income Statement'!J54</f>
        <v>190.5</v>
      </c>
      <c r="H11" s="280">
        <f ca="1">'Summary Income Statement'!K54</f>
        <v>385.53669237500003</v>
      </c>
      <c r="I11" s="280">
        <f ca="1">'Summary Income Statement'!L54</f>
        <v>394.91169237500003</v>
      </c>
      <c r="J11" s="280">
        <f ca="1">'Summary Income Statement'!M54</f>
        <v>404.28669237500003</v>
      </c>
      <c r="K11" s="280">
        <f ca="1">'Summary Income Statement'!N54</f>
        <v>413.66169237499997</v>
      </c>
      <c r="L11" s="280">
        <f ca="1">'Summary Income Statement'!O54</f>
        <v>423.03669237499997</v>
      </c>
      <c r="M11" s="280">
        <f ca="1">'Summary Income Statement'!P54</f>
        <v>432.41169237499997</v>
      </c>
      <c r="N11" s="280">
        <f ca="1">'Summary Income Statement'!Q54</f>
        <v>441.78669237499997</v>
      </c>
      <c r="O11" s="280">
        <f ca="1">'Summary Income Statement'!R54</f>
        <v>451.16169237499997</v>
      </c>
      <c r="P11" s="280">
        <f ca="1">'Summary Income Statement'!S54</f>
        <v>460.53669237499997</v>
      </c>
      <c r="Q11" s="280">
        <f ca="1">'Summary Income Statement'!T54</f>
        <v>469.91169237499997</v>
      </c>
      <c r="R11" s="280">
        <f ca="1">'Summary Income Statement'!U54</f>
        <v>479.28669237499997</v>
      </c>
      <c r="S11" s="280">
        <f ca="1">'Summary Income Statement'!V54</f>
        <v>488.66169237499997</v>
      </c>
      <c r="T11" s="280">
        <f ca="1">'Summary Income Statement'!W54</f>
        <v>498.03669237499997</v>
      </c>
      <c r="U11" s="280">
        <f ca="1">'Summary Income Statement'!X54</f>
        <v>507.41169237499997</v>
      </c>
      <c r="V11" s="280">
        <f ca="1">'Summary Income Statement'!Y54</f>
        <v>516.78669237500003</v>
      </c>
      <c r="W11" s="280">
        <f ca="1">'Summary Income Statement'!Z54</f>
        <v>526.16169237500003</v>
      </c>
      <c r="X11" s="280">
        <f ca="1">'Summary Income Statement'!AA54</f>
        <v>535.53669237500003</v>
      </c>
      <c r="Y11" s="280">
        <f ca="1">'Summary Income Statement'!AB54</f>
        <v>544.91169237500003</v>
      </c>
      <c r="Z11" s="280">
        <f ca="1">'Summary Income Statement'!AC54</f>
        <v>554.28669237500003</v>
      </c>
      <c r="AA11" s="280">
        <f ca="1">'Summary Income Statement'!AD54</f>
        <v>563.66169237500003</v>
      </c>
      <c r="AB11" s="280">
        <f ca="1">'Summary Income Statement'!AE54</f>
        <v>573.03669237500003</v>
      </c>
      <c r="AC11" s="111"/>
      <c r="AD11" s="280">
        <f ca="1">SUMIF($G$5:$X$5,AD$5,$G11:$X11)</f>
        <v>576.03669237500003</v>
      </c>
      <c r="AE11" s="280">
        <f ca="1">SUMIF($G$5:$X$5,AE$5,$G11:$X11)</f>
        <v>1635.8967695000001</v>
      </c>
      <c r="AF11" s="280">
        <f ca="1">SUMIF($G$5:$X$5,AF$5,$G11:$X11)</f>
        <v>1785.8967694999999</v>
      </c>
      <c r="AG11" s="280">
        <f ca="1">SUMIF($G$5:$X$5,AG$5,$G11:$X11)</f>
        <v>1935.8967694999999</v>
      </c>
      <c r="AH11" s="280">
        <f ca="1">SUMIF($G$5:$X$5,AH$5,$G11:$X11)</f>
        <v>2085.8967695000001</v>
      </c>
      <c r="AI11" s="424">
        <f ca="1">SUMIF($G$5:$AH$5,AI$5,$G11:$AH11)</f>
        <v>2235.8967695000001</v>
      </c>
    </row>
    <row r="12" spans="1:35" x14ac:dyDescent="0.2">
      <c r="A12" s="425"/>
      <c r="B12" s="282"/>
      <c r="C12" s="282" t="s">
        <v>212</v>
      </c>
      <c r="D12" s="282"/>
      <c r="E12" s="282"/>
      <c r="F12" s="282"/>
      <c r="U12" s="280"/>
      <c r="V12" s="280"/>
      <c r="W12" s="280"/>
      <c r="X12" s="280"/>
      <c r="Y12" s="280"/>
      <c r="Z12" s="280"/>
      <c r="AA12" s="280"/>
      <c r="AB12" s="280"/>
      <c r="AC12" s="111"/>
      <c r="AE12" s="280"/>
      <c r="AF12" s="280"/>
      <c r="AG12" s="280"/>
      <c r="AH12" s="280"/>
      <c r="AI12" s="424"/>
    </row>
    <row r="13" spans="1:35" x14ac:dyDescent="0.2">
      <c r="A13" s="425"/>
      <c r="B13" s="282" t="s">
        <v>14</v>
      </c>
      <c r="C13" s="282"/>
      <c r="D13" s="282"/>
      <c r="E13" s="282"/>
      <c r="F13" s="282"/>
      <c r="U13" s="280"/>
      <c r="V13" s="280"/>
      <c r="W13" s="280"/>
      <c r="X13" s="280"/>
      <c r="Y13" s="280"/>
      <c r="Z13" s="280"/>
      <c r="AA13" s="280"/>
      <c r="AB13" s="280"/>
      <c r="AC13" s="111"/>
      <c r="AE13" s="280"/>
      <c r="AF13" s="280"/>
      <c r="AG13" s="280"/>
      <c r="AH13" s="280"/>
      <c r="AI13" s="424"/>
    </row>
    <row r="14" spans="1:35" x14ac:dyDescent="0.2">
      <c r="A14" s="425"/>
      <c r="B14" s="282"/>
      <c r="C14" s="282" t="str">
        <f>"Dec/(Inc) In "&amp;'Summary Balance Sheet'!A7</f>
        <v>Dec/(Inc) In Accounts Receivable</v>
      </c>
      <c r="D14" s="282"/>
      <c r="E14" s="282"/>
      <c r="F14" s="282"/>
      <c r="G14" s="280">
        <f>'Summary Balance Sheet'!F7-'Summary Balance Sheet'!H7</f>
        <v>-588.30124369565192</v>
      </c>
      <c r="H14" s="280">
        <f ca="1">'Summary Balance Sheet'!K7-'Summary Balance Sheet'!L7</f>
        <v>-4050.3276635869565</v>
      </c>
      <c r="I14" s="280">
        <f ca="1">'Summary Balance Sheet'!L7-'Summary Balance Sheet'!M7</f>
        <v>4454.948913053353</v>
      </c>
      <c r="J14" s="280">
        <f ca="1">'Summary Balance Sheet'!M7-'Summary Balance Sheet'!N7</f>
        <v>-247.01832440461567</v>
      </c>
      <c r="K14" s="280">
        <f ca="1">'Summary Balance Sheet'!N7-'Summary Balance Sheet'!O7</f>
        <v>-504.37618393638786</v>
      </c>
      <c r="L14" s="280">
        <f ca="1">'Summary Balance Sheet'!O7-'Summary Balance Sheet'!P7</f>
        <v>-3879.3276327883459</v>
      </c>
      <c r="M14" s="280">
        <f ca="1">'Summary Balance Sheet'!P7-'Summary Balance Sheet'!Q7</f>
        <v>4296.6146895802576</v>
      </c>
      <c r="N14" s="280">
        <f ca="1">'Summary Balance Sheet'!Q7-'Summary Balance Sheet'!R7</f>
        <v>-223.20055754623354</v>
      </c>
      <c r="O14" s="280">
        <f ca="1">'Summary Balance Sheet'!R7-'Summary Balance Sheet'!S7</f>
        <v>-544.72627865129925</v>
      </c>
      <c r="P14" s="280">
        <f ca="1">'Summary Balance Sheet'!S7-'Summary Balance Sheet'!T7</f>
        <v>-4189.6738434114131</v>
      </c>
      <c r="Q14" s="280">
        <f ca="1">'Summary Balance Sheet'!T7-'Summary Balance Sheet'!U7</f>
        <v>4640.3438647466774</v>
      </c>
      <c r="R14" s="280">
        <f ca="1">'Summary Balance Sheet'!U7-'Summary Balance Sheet'!V7</f>
        <v>-241.05660214993259</v>
      </c>
      <c r="S14" s="280">
        <f ca="1">'Summary Balance Sheet'!V7-'Summary Balance Sheet'!W7</f>
        <v>-588.30438094340207</v>
      </c>
      <c r="T14" s="280">
        <f ca="1">'Summary Balance Sheet'!W7-'Summary Balance Sheet'!X7</f>
        <v>-4524.847750884328</v>
      </c>
      <c r="U14" s="280">
        <f ca="1">'Summary Balance Sheet'!X7-'Summary Balance Sheet'!Y7</f>
        <v>5011.5713739264129</v>
      </c>
      <c r="V14" s="280">
        <f ca="1">'Summary Balance Sheet'!Y7-'Summary Balance Sheet'!Z7</f>
        <v>-260.34113032192636</v>
      </c>
      <c r="W14" s="280">
        <f ca="1">'Summary Balance Sheet'!Z7-'Summary Balance Sheet'!AA7</f>
        <v>-635.36873141887554</v>
      </c>
      <c r="X14" s="280">
        <f ca="1">'Summary Balance Sheet'!AA7-'Summary Balance Sheet'!AB7</f>
        <v>-4886.8355709550742</v>
      </c>
      <c r="Y14" s="280">
        <f ca="1">'Summary Balance Sheet'!AB7-'Summary Balance Sheet'!AC7</f>
        <v>5467.3943663630234</v>
      </c>
      <c r="Z14" s="280">
        <f ca="1">'Summary Balance Sheet'!AC7-'Summary Balance Sheet'!AD7</f>
        <v>-336.06570327017744</v>
      </c>
      <c r="AA14" s="280">
        <f ca="1">'Summary Balance Sheet'!AD7-'Summary Balance Sheet'!AE7</f>
        <v>-686.1982299323854</v>
      </c>
      <c r="AB14" s="280">
        <f ca="1">'Summary Balance Sheet'!AE7-'Summary Balance Sheet'!AF7</f>
        <v>-5277.7824166314804</v>
      </c>
      <c r="AC14" s="111"/>
      <c r="AD14" s="280">
        <f t="shared" ref="AD14:AH15" ca="1" si="11">SUMIF($G$5:$X$5,AD$5,$G14:$X14)</f>
        <v>-4638.6289072826085</v>
      </c>
      <c r="AE14" s="280">
        <f t="shared" ca="1" si="11"/>
        <v>-175.77322807599649</v>
      </c>
      <c r="AF14" s="280">
        <f t="shared" ca="1" si="11"/>
        <v>-660.98599002868832</v>
      </c>
      <c r="AG14" s="280">
        <f t="shared" ca="1" si="11"/>
        <v>-713.86486923098528</v>
      </c>
      <c r="AH14" s="280">
        <f t="shared" ca="1" si="11"/>
        <v>-770.97405876946323</v>
      </c>
      <c r="AI14" s="424">
        <f ca="1">SUMIF($G$5:$AH$5,AI$5,$G14:$AH14)</f>
        <v>-832.65198347101978</v>
      </c>
    </row>
    <row r="15" spans="1:35" x14ac:dyDescent="0.2">
      <c r="A15" s="425"/>
      <c r="B15" s="282"/>
      <c r="C15" s="282" t="str">
        <f>"Dec/(Inc) In "&amp;'Summary Balance Sheet'!A8</f>
        <v>Dec/(Inc) In Inventories</v>
      </c>
      <c r="D15" s="282"/>
      <c r="E15" s="282"/>
      <c r="F15" s="282"/>
      <c r="G15" s="280">
        <f>'Summary Balance Sheet'!F8-'Summary Balance Sheet'!H8</f>
        <v>-1634.5798930140008</v>
      </c>
      <c r="H15" s="280">
        <f ca="1">'Summary Balance Sheet'!K8-'Summary Balance Sheet'!L8</f>
        <v>-3269.9232332577358</v>
      </c>
      <c r="I15" s="280">
        <f ca="1">'Summary Balance Sheet'!L8-'Summary Balance Sheet'!M8</f>
        <v>4709.1350402585467</v>
      </c>
      <c r="J15" s="280">
        <f ca="1">'Summary Balance Sheet'!M8-'Summary Balance Sheet'!N8</f>
        <v>-636.75834735411991</v>
      </c>
      <c r="K15" s="280">
        <f ca="1">'Summary Balance Sheet'!N8-'Summary Balance Sheet'!O8</f>
        <v>-1300.1697185915764</v>
      </c>
      <c r="L15" s="280">
        <f ca="1">'Summary Balance Sheet'!O8-'Summary Balance Sheet'!P8</f>
        <v>-415.74770910508778</v>
      </c>
      <c r="M15" s="280">
        <f ca="1">'Summary Balance Sheet'!P8-'Summary Balance Sheet'!Q8</f>
        <v>1491.4210110575696</v>
      </c>
      <c r="N15" s="280">
        <f ca="1">'Summary Balance Sheet'!Q8-'Summary Balance Sheet'!R8</f>
        <v>-575.3614372302909</v>
      </c>
      <c r="O15" s="280">
        <f ca="1">'Summary Balance Sheet'!R8-'Summary Balance Sheet'!S8</f>
        <v>-1404.1832960789052</v>
      </c>
      <c r="P15" s="280">
        <f ca="1">'Summary Balance Sheet'!S8-'Summary Balance Sheet'!T8</f>
        <v>-449.00752583349458</v>
      </c>
      <c r="Q15" s="280">
        <f ca="1">'Summary Balance Sheet'!T8-'Summary Balance Sheet'!U8</f>
        <v>1610.7346919421743</v>
      </c>
      <c r="R15" s="280">
        <f ca="1">'Summary Balance Sheet'!U8-'Summary Balance Sheet'!V8</f>
        <v>-621.39035220871301</v>
      </c>
      <c r="S15" s="280">
        <f ca="1">'Summary Balance Sheet'!V8-'Summary Balance Sheet'!W8</f>
        <v>-1516.5179597652168</v>
      </c>
      <c r="T15" s="280">
        <f ca="1">'Summary Balance Sheet'!W8-'Summary Balance Sheet'!X8</f>
        <v>-484.92812790017524</v>
      </c>
      <c r="U15" s="280">
        <f ca="1">'Summary Balance Sheet'!X8-'Summary Balance Sheet'!Y8</f>
        <v>1739.5934672975509</v>
      </c>
      <c r="V15" s="280">
        <f ca="1">'Summary Balance Sheet'!Y8-'Summary Balance Sheet'!Z8</f>
        <v>-671.10158038540976</v>
      </c>
      <c r="W15" s="280">
        <f ca="1">'Summary Balance Sheet'!Z8-'Summary Balance Sheet'!AA8</f>
        <v>-1637.8393965464365</v>
      </c>
      <c r="X15" s="280">
        <f ca="1">'Summary Balance Sheet'!AA8-'Summary Balance Sheet'!AB8</f>
        <v>-523.72237813218817</v>
      </c>
      <c r="Y15" s="280">
        <f ca="1">'Summary Balance Sheet'!AB8-'Summary Balance Sheet'!AC8</f>
        <v>2020.2739396282377</v>
      </c>
      <c r="Z15" s="280">
        <f ca="1">'Summary Balance Sheet'!AC8-'Summary Balance Sheet'!AD8</f>
        <v>-866.30270176312661</v>
      </c>
      <c r="AA15" s="280">
        <f ca="1">'Summary Balance Sheet'!AD8-'Summary Balance Sheet'!AE8</f>
        <v>-1768.8665482701472</v>
      </c>
      <c r="AB15" s="280">
        <f ca="1">'Summary Balance Sheet'!AE8-'Summary Balance Sheet'!AF8</f>
        <v>-565.62016838276577</v>
      </c>
      <c r="AC15" s="111"/>
      <c r="AD15" s="280">
        <f t="shared" ca="1" si="11"/>
        <v>-4904.5031262717366</v>
      </c>
      <c r="AE15" s="280">
        <f t="shared" ca="1" si="11"/>
        <v>2356.4592652077627</v>
      </c>
      <c r="AF15" s="280">
        <f t="shared" ca="1" si="11"/>
        <v>-937.13124808512111</v>
      </c>
      <c r="AG15" s="280">
        <f t="shared" ca="1" si="11"/>
        <v>-1012.1017479319307</v>
      </c>
      <c r="AH15" s="280">
        <f t="shared" ca="1" si="11"/>
        <v>-1093.0698877664836</v>
      </c>
      <c r="AI15" s="424">
        <f ca="1">SUMIF($G$5:$AH$5,AI$5,$G15:$AH15)</f>
        <v>-1180.5154787878018</v>
      </c>
    </row>
    <row r="16" spans="1:35" x14ac:dyDescent="0.2">
      <c r="A16" s="425"/>
      <c r="B16" s="282"/>
      <c r="C16" s="282" t="str">
        <f>"Dec/(Inc) In "&amp;'Summary Balance Sheet'!A9</f>
        <v>Dec/(Inc) In Other Receivables</v>
      </c>
      <c r="D16" s="282"/>
      <c r="E16" s="282"/>
      <c r="F16" s="282"/>
      <c r="G16" s="280">
        <f>'Summary Balance Sheet'!F9-'Summary Balance Sheet'!H9</f>
        <v>-4.7669891349153204</v>
      </c>
      <c r="H16" s="280">
        <f ca="1">'Summary Balance Sheet'!K9-'Summary Balance Sheet'!L9</f>
        <v>-542.8230196810847</v>
      </c>
      <c r="I16" s="280">
        <f ca="1">'Summary Balance Sheet'!L9-'Summary Balance Sheet'!M9</f>
        <v>584.56026727548112</v>
      </c>
      <c r="J16" s="280">
        <f ca="1">'Summary Balance Sheet'!M9-'Summary Balance Sheet'!N9</f>
        <v>-31.370229340166588</v>
      </c>
      <c r="K16" s="280">
        <f ca="1">'Summary Balance Sheet'!N9-'Summary Balance Sheet'!O9</f>
        <v>-70.170249839846292</v>
      </c>
      <c r="L16" s="280">
        <f ca="1">'Summary Balance Sheet'!O9-'Summary Balance Sheet'!P9</f>
        <v>-498.07118513773196</v>
      </c>
      <c r="M16" s="280">
        <f ca="1">'Summary Balance Sheet'!P9-'Summary Balance Sheet'!Q9</f>
        <v>563.39490618562593</v>
      </c>
      <c r="N16" s="280">
        <f ca="1">'Summary Balance Sheet'!Q9-'Summary Balance Sheet'!R9</f>
        <v>-33.664052479179986</v>
      </c>
      <c r="O16" s="280">
        <f ca="1">'Summary Balance Sheet'!R9-'Summary Balance Sheet'!S9</f>
        <v>-75.301170019218489</v>
      </c>
      <c r="P16" s="280">
        <f ca="1">'Summary Balance Sheet'!S9-'Summary Balance Sheet'!T9</f>
        <v>-534.49065778347222</v>
      </c>
      <c r="Q16" s="280">
        <f ca="1">'Summary Balance Sheet'!T9-'Summary Balance Sheet'!U9</f>
        <v>604.67039296319706</v>
      </c>
      <c r="R16" s="280">
        <f ca="1">'Summary Balance Sheet'!U9-'Summary Balance Sheet'!V9</f>
        <v>-36.124117852658628</v>
      </c>
      <c r="S16" s="280">
        <f ca="1">'Summary Balance Sheet'!V9-'Summary Balance Sheet'!W9</f>
        <v>-80.803947828315131</v>
      </c>
      <c r="T16" s="280">
        <f ca="1">'Summary Balance Sheet'!W9-'Summary Balance Sheet'!X9</f>
        <v>-573.54959046764895</v>
      </c>
      <c r="U16" s="280">
        <f ca="1">'Summary Balance Sheet'!X9-'Summary Balance Sheet'!Y9</f>
        <v>645.24150255667405</v>
      </c>
      <c r="V16" s="280">
        <f ca="1">'Summary Balance Sheet'!Y9-'Summary Balance Sheet'!Z9</f>
        <v>-39.014047280871296</v>
      </c>
      <c r="W16" s="280">
        <f ca="1">'Summary Balance Sheet'!Z9-'Summary Balance Sheet'!AA9</f>
        <v>-87.268263654580437</v>
      </c>
      <c r="X16" s="280">
        <f ca="1">'Summary Balance Sheet'!AA9-'Summary Balance Sheet'!AB9</f>
        <v>-619.43355770506105</v>
      </c>
      <c r="Y16" s="280">
        <f ca="1">'Summary Balance Sheet'!AB9-'Summary Balance Sheet'!AC9</f>
        <v>696.94329638957606</v>
      </c>
      <c r="Z16" s="280">
        <f ca="1">'Summary Balance Sheet'!AC9-'Summary Balance Sheet'!AD9</f>
        <v>-42.135171063340977</v>
      </c>
      <c r="AA16" s="280">
        <f ca="1">'Summary Balance Sheet'!AD9-'Summary Balance Sheet'!AE9</f>
        <v>-94.249724746946868</v>
      </c>
      <c r="AB16" s="280">
        <f ca="1">'Summary Balance Sheet'!AE9-'Summary Balance Sheet'!AF9</f>
        <v>-668.98824232146603</v>
      </c>
      <c r="AC16" s="111"/>
      <c r="AE16" s="280"/>
      <c r="AF16" s="280"/>
      <c r="AG16" s="280"/>
      <c r="AH16" s="280"/>
      <c r="AI16" s="424"/>
    </row>
    <row r="17" spans="1:35" x14ac:dyDescent="0.2">
      <c r="A17" s="425"/>
      <c r="B17" s="282"/>
      <c r="C17" s="282" t="str">
        <f>"Dec/(Inc) In "&amp;'Summary Balance Sheet'!A10</f>
        <v>Dec/(Inc) In Prepaid Expenses</v>
      </c>
      <c r="D17" s="282"/>
      <c r="E17" s="282"/>
      <c r="F17" s="282"/>
      <c r="G17" s="280">
        <f>'Summary Balance Sheet'!F10-'Summary Balance Sheet'!H10</f>
        <v>84.925148360000208</v>
      </c>
      <c r="H17" s="280">
        <f ca="1">'Summary Balance Sheet'!K10-'Summary Balance Sheet'!L10</f>
        <v>-606.12881140000036</v>
      </c>
      <c r="I17" s="280">
        <f ca="1">'Summary Balance Sheet'!L10-'Summary Balance Sheet'!M10</f>
        <v>553.73264648226473</v>
      </c>
      <c r="J17" s="280">
        <f ca="1">'Summary Balance Sheet'!M10-'Summary Balance Sheet'!N10</f>
        <v>-28.672789237668098</v>
      </c>
      <c r="K17" s="280">
        <f ca="1">'Summary Balance Sheet'!N10-'Summary Balance Sheet'!O10</f>
        <v>-64.136502242152574</v>
      </c>
      <c r="L17" s="280">
        <f ca="1">'Summary Balance Sheet'!O10-'Summary Balance Sheet'!P10</f>
        <v>-455.24340807174883</v>
      </c>
      <c r="M17" s="280">
        <f ca="1">'Summary Balance Sheet'!P10-'Summary Balance Sheet'!Q10</f>
        <v>516.7060955958799</v>
      </c>
      <c r="N17" s="280">
        <f ca="1">'Summary Balance Sheet'!Q10-'Summary Balance Sheet'!R10</f>
        <v>-30.211329147982042</v>
      </c>
      <c r="O17" s="280">
        <f ca="1">'Summary Balance Sheet'!R10-'Summary Balance Sheet'!S10</f>
        <v>-67.577973094170375</v>
      </c>
      <c r="P17" s="280">
        <f ca="1">'Summary Balance Sheet'!S10-'Summary Balance Sheet'!T10</f>
        <v>-479.67110313901378</v>
      </c>
      <c r="Q17" s="280">
        <f ca="1">'Summary Balance Sheet'!T10-'Summary Balance Sheet'!U10</f>
        <v>544.75621323307348</v>
      </c>
      <c r="R17" s="280">
        <f ca="1">'Summary Balance Sheet'!U10-'Summary Balance Sheet'!V10</f>
        <v>-31.812529592825058</v>
      </c>
      <c r="S17" s="280">
        <f ca="1">'Summary Balance Sheet'!V10-'Summary Balance Sheet'!W10</f>
        <v>-71.159605668161589</v>
      </c>
      <c r="T17" s="280">
        <f ca="1">'Summary Balance Sheet'!W10-'Summary Balance Sheet'!X10</f>
        <v>-505.09367160538113</v>
      </c>
      <c r="U17" s="280">
        <f ca="1">'Summary Balance Sheet'!X10-'Summary Balance Sheet'!Y10</f>
        <v>561.02788383919324</v>
      </c>
      <c r="V17" s="280">
        <f ca="1">'Summary Balance Sheet'!Y10-'Summary Balance Sheet'!Z10</f>
        <v>-34.357531960251208</v>
      </c>
      <c r="W17" s="280">
        <f ca="1">'Summary Balance Sheet'!Z10-'Summary Balance Sheet'!AA10</f>
        <v>-76.852374121614389</v>
      </c>
      <c r="X17" s="280">
        <f ca="1">'Summary Balance Sheet'!AA10-'Summary Balance Sheet'!AB10</f>
        <v>-545.50116533381185</v>
      </c>
      <c r="Y17" s="280">
        <f ca="1">'Summary Balance Sheet'!AB10-'Summary Balance Sheet'!AC10</f>
        <v>606.19877224561617</v>
      </c>
      <c r="Z17" s="280">
        <f ca="1">'Summary Balance Sheet'!AC10-'Summary Balance Sheet'!AD10</f>
        <v>-37.106134517071268</v>
      </c>
      <c r="AA17" s="280">
        <f ca="1">'Summary Balance Sheet'!AD10-'Summary Balance Sheet'!AE10</f>
        <v>-83.000564051343645</v>
      </c>
      <c r="AB17" s="280">
        <f ca="1">'Summary Balance Sheet'!AE10-'Summary Balance Sheet'!AF10</f>
        <v>-589.1412585605168</v>
      </c>
      <c r="AC17" s="111"/>
      <c r="AE17" s="280"/>
      <c r="AF17" s="280"/>
      <c r="AG17" s="280"/>
      <c r="AH17" s="280"/>
      <c r="AI17" s="424"/>
    </row>
    <row r="18" spans="1:35" x14ac:dyDescent="0.2">
      <c r="A18" s="425"/>
      <c r="B18" s="282"/>
      <c r="C18" s="282" t="str">
        <f>"Inc/(Dec) In "&amp;'Summary Balance Sheet'!A31</f>
        <v>Inc/(Dec) In A/P Trade</v>
      </c>
      <c r="D18" s="282"/>
      <c r="E18" s="282"/>
      <c r="F18" s="282"/>
      <c r="G18" s="280">
        <f>'Summary Balance Sheet'!H31-'Summary Balance Sheet'!F31</f>
        <v>589.02641155490073</v>
      </c>
      <c r="H18" s="280">
        <f ca="1">'Summary Balance Sheet'!L31-'Summary Balance Sheet'!K31</f>
        <v>3515.629775771185</v>
      </c>
      <c r="I18" s="280">
        <f ca="1">'Summary Balance Sheet'!M31-'Summary Balance Sheet'!L31</f>
        <v>-4019.3539082214693</v>
      </c>
      <c r="J18" s="280">
        <f ca="1">'Summary Balance Sheet'!N31-'Summary Balance Sheet'!M31</f>
        <v>222.86542157394206</v>
      </c>
      <c r="K18" s="280">
        <f ca="1">'Summary Balance Sheet'!O31-'Summary Balance Sheet'!N31</f>
        <v>455.05940150705192</v>
      </c>
      <c r="L18" s="280">
        <f ca="1">'Summary Balance Sheet'!P31-'Summary Balance Sheet'!O31</f>
        <v>3500.0155975823732</v>
      </c>
      <c r="M18" s="280">
        <f ca="1">'Summary Balance Sheet'!Q31-'Summary Balance Sheet'!P31</f>
        <v>-3876.5012532657415</v>
      </c>
      <c r="N18" s="280">
        <f ca="1">'Summary Balance Sheet'!R31-'Summary Balance Sheet'!Q31</f>
        <v>201.37650303060173</v>
      </c>
      <c r="O18" s="280">
        <f ca="1">'Summary Balance Sheet'!S31-'Summary Balance Sheet'!R31</f>
        <v>491.46415362761672</v>
      </c>
      <c r="P18" s="280">
        <f ca="1">'Summary Balance Sheet'!T31-'Summary Balance Sheet'!S31</f>
        <v>3780.0168453889637</v>
      </c>
      <c r="Q18" s="280">
        <f ca="1">'Summary Balance Sheet'!U31-'Summary Balance Sheet'!T31</f>
        <v>-4186.6213535270017</v>
      </c>
      <c r="R18" s="280">
        <f ca="1">'Summary Balance Sheet'!V31-'Summary Balance Sheet'!U31</f>
        <v>217.48662327304964</v>
      </c>
      <c r="S18" s="280">
        <f ca="1">'Summary Balance Sheet'!W31-'Summary Balance Sheet'!V31</f>
        <v>530.78128591782615</v>
      </c>
      <c r="T18" s="280">
        <f ca="1">'Summary Balance Sheet'!X31-'Summary Balance Sheet'!W31</f>
        <v>4082.4181930200812</v>
      </c>
      <c r="U18" s="280">
        <f ca="1">'Summary Balance Sheet'!Y31-'Summary Balance Sheet'!X31</f>
        <v>-4521.551061809163</v>
      </c>
      <c r="V18" s="280">
        <f ca="1">'Summary Balance Sheet'!Z31-'Summary Balance Sheet'!Y31</f>
        <v>234.8855531348936</v>
      </c>
      <c r="W18" s="280">
        <f ca="1">'Summary Balance Sheet'!AA31-'Summary Balance Sheet'!Z31</f>
        <v>573.24378879125288</v>
      </c>
      <c r="X18" s="280">
        <f ca="1">'Summary Balance Sheet'!AB31-'Summary Balance Sheet'!AA31</f>
        <v>4409.0116484616892</v>
      </c>
      <c r="Y18" s="280">
        <f ca="1">'Summary Balance Sheet'!AC31-'Summary Balance Sheet'!AB31</f>
        <v>-4932.8046949853069</v>
      </c>
      <c r="Z18" s="280">
        <f ca="1">'Summary Balance Sheet'!AD31-'Summary Balance Sheet'!AC31</f>
        <v>303.20594561709368</v>
      </c>
      <c r="AA18" s="280">
        <f ca="1">'Summary Balance Sheet'!AE31-'Summary Balance Sheet'!AD31</f>
        <v>619.10329189455206</v>
      </c>
      <c r="AB18" s="280">
        <f ca="1">'Summary Balance Sheet'!AF31-'Summary Balance Sheet'!AE31</f>
        <v>4761.7325803386257</v>
      </c>
      <c r="AC18" s="111"/>
      <c r="AD18" s="280">
        <f ca="1">SUMIF($G$5:$X$5,AD$5,$G18:$X18)</f>
        <v>4104.6561873260853</v>
      </c>
      <c r="AE18" s="280">
        <f ca="1">SUMIF($G$5:$X$5,AE$5,$G18:$X18)</f>
        <v>158.58651244189787</v>
      </c>
      <c r="AF18" s="280">
        <f ca="1">SUMIF($G$5:$X$5,AF$5,$G18:$X18)</f>
        <v>596.35624878144063</v>
      </c>
      <c r="AG18" s="280">
        <f ca="1">SUMIF($G$5:$X$5,AG$5,$G18:$X18)</f>
        <v>644.06474868395526</v>
      </c>
      <c r="AH18" s="280">
        <f ca="1">SUMIF($G$5:$X$5,AH$5,$G18:$X18)</f>
        <v>695.5899285786727</v>
      </c>
      <c r="AI18" s="424">
        <f ca="1">SUMIF($G$5:$AH$5,AI$5,$G18:$AH18)</f>
        <v>751.23712286496448</v>
      </c>
    </row>
    <row r="19" spans="1:35" x14ac:dyDescent="0.2">
      <c r="A19" s="425"/>
      <c r="B19" s="282"/>
      <c r="C19" s="282" t="str">
        <f>"Inc/(Dec) In "&amp;'Summary Balance Sheet'!A32</f>
        <v>Inc/(Dec) In Income Tax Payable</v>
      </c>
      <c r="D19" s="282"/>
      <c r="E19" s="282"/>
      <c r="F19" s="282"/>
      <c r="G19" s="280">
        <f>'Summary Balance Sheet'!H32-'Summary Balance Sheet'!F32</f>
        <v>81.107428976271166</v>
      </c>
      <c r="H19" s="280">
        <f>'Summary Balance Sheet'!L32-'Summary Balance Sheet'!K32</f>
        <v>-65.670488976271173</v>
      </c>
      <c r="I19" s="280">
        <f>'Summary Balance Sheet'!M32-'Summary Balance Sheet'!L32</f>
        <v>0</v>
      </c>
      <c r="J19" s="280">
        <f>'Summary Balance Sheet'!N32-'Summary Balance Sheet'!M32</f>
        <v>0</v>
      </c>
      <c r="K19" s="280">
        <f>'Summary Balance Sheet'!O32-'Summary Balance Sheet'!N32</f>
        <v>0</v>
      </c>
      <c r="L19" s="280">
        <f>'Summary Balance Sheet'!P32-'Summary Balance Sheet'!O32</f>
        <v>0</v>
      </c>
      <c r="M19" s="280">
        <f>'Summary Balance Sheet'!Q32-'Summary Balance Sheet'!P32</f>
        <v>0</v>
      </c>
      <c r="N19" s="280">
        <f>'Summary Balance Sheet'!R32-'Summary Balance Sheet'!Q32</f>
        <v>0</v>
      </c>
      <c r="O19" s="280">
        <f>'Summary Balance Sheet'!S32-'Summary Balance Sheet'!R32</f>
        <v>0</v>
      </c>
      <c r="P19" s="280">
        <f>'Summary Balance Sheet'!T32-'Summary Balance Sheet'!S32</f>
        <v>0</v>
      </c>
      <c r="Q19" s="280">
        <f>'Summary Balance Sheet'!U32-'Summary Balance Sheet'!T32</f>
        <v>0</v>
      </c>
      <c r="R19" s="280">
        <f>'Summary Balance Sheet'!V32-'Summary Balance Sheet'!U32</f>
        <v>0</v>
      </c>
      <c r="S19" s="280">
        <f>'Summary Balance Sheet'!W32-'Summary Balance Sheet'!V32</f>
        <v>0</v>
      </c>
      <c r="T19" s="280">
        <f>'Summary Balance Sheet'!X32-'Summary Balance Sheet'!W32</f>
        <v>0</v>
      </c>
      <c r="U19" s="280">
        <f>'Summary Balance Sheet'!Y32-'Summary Balance Sheet'!X32</f>
        <v>0</v>
      </c>
      <c r="V19" s="280">
        <f>'Summary Balance Sheet'!Z32-'Summary Balance Sheet'!Y32</f>
        <v>0</v>
      </c>
      <c r="W19" s="280">
        <f>'Summary Balance Sheet'!AA32-'Summary Balance Sheet'!Z32</f>
        <v>0</v>
      </c>
      <c r="X19" s="280">
        <f>'Summary Balance Sheet'!AB32-'Summary Balance Sheet'!AA32</f>
        <v>0</v>
      </c>
      <c r="Y19" s="280">
        <f>'Summary Balance Sheet'!AC32-'Summary Balance Sheet'!AB32</f>
        <v>0</v>
      </c>
      <c r="Z19" s="280">
        <f>'Summary Balance Sheet'!AD32-'Summary Balance Sheet'!AC32</f>
        <v>0</v>
      </c>
      <c r="AA19" s="280">
        <f>'Summary Balance Sheet'!AE32-'Summary Balance Sheet'!AD32</f>
        <v>0</v>
      </c>
      <c r="AB19" s="280">
        <f>'Summary Balance Sheet'!AF32-'Summary Balance Sheet'!AE32</f>
        <v>0</v>
      </c>
      <c r="AC19" s="111"/>
      <c r="AE19" s="280"/>
      <c r="AF19" s="280"/>
      <c r="AG19" s="280"/>
      <c r="AH19" s="280"/>
      <c r="AI19" s="424"/>
    </row>
    <row r="20" spans="1:35" x14ac:dyDescent="0.2">
      <c r="A20" s="425"/>
      <c r="B20" s="282"/>
      <c r="C20" s="282" t="str">
        <f>"Inc/(Dec) In "&amp;'Summary Balance Sheet'!A33</f>
        <v>Inc/(Dec) In Accrued Liabilities</v>
      </c>
      <c r="D20" s="282"/>
      <c r="E20" s="282"/>
      <c r="F20" s="282"/>
      <c r="G20" s="426">
        <f>'Summary Balance Sheet'!H33-'Summary Balance Sheet'!F33</f>
        <v>65.649162220695416</v>
      </c>
      <c r="H20" s="426">
        <f ca="1">'Summary Balance Sheet'!L33-'Summary Balance Sheet'!K33</f>
        <v>521.90511509854173</v>
      </c>
      <c r="I20" s="426">
        <f ca="1">'Summary Balance Sheet'!M33-'Summary Balance Sheet'!L33</f>
        <v>-562.03400097822964</v>
      </c>
      <c r="J20" s="426">
        <f ca="1">'Summary Balance Sheet'!N33-'Summary Balance Sheet'!M33</f>
        <v>30.161364866335646</v>
      </c>
      <c r="K20" s="426">
        <f ca="1">'Summary Balance Sheet'!O33-'Summary Balance Sheet'!N33</f>
        <v>67.466210885224427</v>
      </c>
      <c r="L20" s="426">
        <f ca="1">'Summary Balance Sheet'!P33-'Summary Balance Sheet'!O33</f>
        <v>478.87781059708288</v>
      </c>
      <c r="M20" s="426">
        <f ca="1">'Summary Balance Sheet'!Q33-'Summary Balance Sheet'!P33</f>
        <v>-541.6842556373025</v>
      </c>
      <c r="N20" s="426">
        <f ca="1">'Summary Balance Sheet'!R33-'Summary Balance Sheet'!Q33</f>
        <v>32.366794603058793</v>
      </c>
      <c r="O20" s="426">
        <f ca="1">'Summary Balance Sheet'!S33-'Summary Balance Sheet'!R33</f>
        <v>72.399408980526232</v>
      </c>
      <c r="P20" s="426">
        <f ca="1">'Summary Balance Sheet'!T33-'Summary Balance Sheet'!S33</f>
        <v>513.89384413628386</v>
      </c>
      <c r="Q20" s="426">
        <f ca="1">'Summary Balance Sheet'!U33-'Summary Balance Sheet'!T33</f>
        <v>-581.36917483997888</v>
      </c>
      <c r="R20" s="426">
        <f ca="1">'Summary Balance Sheet'!V33-'Summary Balance Sheet'!U33</f>
        <v>34.732060362513153</v>
      </c>
      <c r="S20" s="426">
        <f ca="1">'Summary Balance Sheet'!W33-'Summary Balance Sheet'!V33</f>
        <v>77.690135021410811</v>
      </c>
      <c r="T20" s="426">
        <f ca="1">'Summary Balance Sheet'!X33-'Summary Balance Sheet'!W33</f>
        <v>551.44762505393544</v>
      </c>
      <c r="U20" s="426">
        <f ca="1">'Summary Balance Sheet'!Y33-'Summary Balance Sheet'!X33</f>
        <v>-620.37686031820215</v>
      </c>
      <c r="V20" s="426">
        <f ca="1">'Summary Balance Sheet'!Z33-'Summary Balance Sheet'!Y33</f>
        <v>37.510625191514009</v>
      </c>
      <c r="W20" s="426">
        <f ca="1">'Summary Balance Sheet'!AA33-'Summary Balance Sheet'!Z33</f>
        <v>83.905345823123866</v>
      </c>
      <c r="X20" s="426">
        <f ca="1">'Summary Balance Sheet'!AB33-'Summary Balance Sheet'!AA33</f>
        <v>595.56343505825021</v>
      </c>
      <c r="Y20" s="426">
        <f ca="1">'Summary Balance Sheet'!AC33-'Summary Balance Sheet'!AB33</f>
        <v>-670.08630461740449</v>
      </c>
      <c r="Z20" s="426">
        <f ca="1">'Summary Balance Sheet'!AD33-'Summary Balance Sheet'!AC33</f>
        <v>40.511475206835257</v>
      </c>
      <c r="AA20" s="426">
        <f ca="1">'Summary Balance Sheet'!AE33-'Summary Balance Sheet'!AD33</f>
        <v>90.617773488973626</v>
      </c>
      <c r="AB20" s="426">
        <f ca="1">'Summary Balance Sheet'!AF33-'Summary Balance Sheet'!AE33</f>
        <v>643.20850986291066</v>
      </c>
      <c r="AC20" s="111"/>
      <c r="AE20" s="280"/>
      <c r="AF20" s="280"/>
      <c r="AG20" s="280"/>
      <c r="AH20" s="280"/>
      <c r="AI20" s="424"/>
    </row>
    <row r="21" spans="1:35" ht="4.5" customHeight="1" x14ac:dyDescent="0.2">
      <c r="A21" s="421"/>
      <c r="B21" s="282"/>
      <c r="C21" s="282"/>
      <c r="D21" s="282"/>
      <c r="E21" s="282"/>
      <c r="F21" s="282"/>
      <c r="U21" s="280"/>
      <c r="V21" s="280"/>
      <c r="W21" s="280"/>
      <c r="X21" s="280"/>
      <c r="Y21" s="280"/>
      <c r="Z21" s="280"/>
      <c r="AA21" s="280"/>
      <c r="AB21" s="280"/>
      <c r="AC21" s="111"/>
      <c r="AE21" s="280"/>
      <c r="AF21" s="280"/>
      <c r="AG21" s="280"/>
      <c r="AH21" s="280"/>
      <c r="AI21" s="424"/>
    </row>
    <row r="22" spans="1:35" x14ac:dyDescent="0.2">
      <c r="A22" s="425" t="s">
        <v>15</v>
      </c>
      <c r="B22" s="282"/>
      <c r="C22" s="282"/>
      <c r="D22" s="282"/>
      <c r="E22" s="282"/>
      <c r="F22" s="282"/>
      <c r="G22" s="288">
        <f t="shared" ref="G22:AB22" ca="1" si="12">SUM(G9,G11:G11,G14:G20)</f>
        <v>-549.25569734423129</v>
      </c>
      <c r="H22" s="288">
        <f t="shared" ca="1" si="12"/>
        <v>-1926.3027665656539</v>
      </c>
      <c r="I22" s="288">
        <f t="shared" ca="1" si="12"/>
        <v>6147.3673823718364</v>
      </c>
      <c r="J22" s="288">
        <f t="shared" ca="1" si="12"/>
        <v>-53.916102676923686</v>
      </c>
      <c r="K22" s="288">
        <f t="shared" ca="1" si="12"/>
        <v>-553.58685946810738</v>
      </c>
      <c r="L22" s="288">
        <f t="shared" ca="1" si="12"/>
        <v>1288.0446189712916</v>
      </c>
      <c r="M22" s="288">
        <f t="shared" ca="1" si="12"/>
        <v>3031.3942057509166</v>
      </c>
      <c r="N22" s="288">
        <f t="shared" ca="1" si="12"/>
        <v>165.50694533133833</v>
      </c>
      <c r="O22" s="288">
        <f t="shared" ca="1" si="12"/>
        <v>-482.0435482991154</v>
      </c>
      <c r="P22" s="288">
        <f t="shared" ca="1" si="12"/>
        <v>1560.2036769139445</v>
      </c>
      <c r="Q22" s="288">
        <f t="shared" ca="1" si="12"/>
        <v>3368.8393579487001</v>
      </c>
      <c r="R22" s="288">
        <f t="shared" ca="1" si="12"/>
        <v>291.75963154839599</v>
      </c>
      <c r="S22" s="288">
        <f t="shared" ca="1" si="12"/>
        <v>-398.56728796074731</v>
      </c>
      <c r="T22" s="288">
        <f t="shared" ca="1" si="12"/>
        <v>1865.8354734942359</v>
      </c>
      <c r="U22" s="288">
        <f t="shared" ca="1" si="12"/>
        <v>3680.6092375875937</v>
      </c>
      <c r="V22" s="288">
        <f t="shared" ca="1" si="12"/>
        <v>385.54356534488841</v>
      </c>
      <c r="W22" s="288">
        <f t="shared" ca="1" si="12"/>
        <v>-359.43143627372672</v>
      </c>
      <c r="X22" s="288">
        <f t="shared" ca="1" si="12"/>
        <v>2082.9943208736204</v>
      </c>
      <c r="Y22" s="288">
        <f t="shared" ca="1" si="12"/>
        <v>4196.3343106957209</v>
      </c>
      <c r="Z22" s="288">
        <f t="shared" ca="1" si="12"/>
        <v>392.05175742791266</v>
      </c>
      <c r="AA22" s="288">
        <f t="shared" ca="1" si="12"/>
        <v>-264.85063564678421</v>
      </c>
      <c r="AB22" s="288">
        <f t="shared" ca="1" si="12"/>
        <v>2371.7958317585862</v>
      </c>
      <c r="AC22" s="111"/>
      <c r="AD22" s="288">
        <f t="shared" ref="AD22:AI22" ca="1" si="13">SUM(AD9,AD11:AD11,AD14:AD20)</f>
        <v>-2009.7560093731227</v>
      </c>
      <c r="AE22" s="288">
        <f t="shared" ca="1" si="13"/>
        <v>6822.8091039392511</v>
      </c>
      <c r="AF22" s="288">
        <f t="shared" ca="1" si="13"/>
        <v>4338.9007714960489</v>
      </c>
      <c r="AG22" s="288">
        <f t="shared" ca="1" si="13"/>
        <v>5194.4833862514251</v>
      </c>
      <c r="AH22" s="288">
        <f t="shared" ca="1" si="13"/>
        <v>5889.2706954380128</v>
      </c>
      <c r="AI22" s="427">
        <f t="shared" ca="1" si="13"/>
        <v>6802.558836919613</v>
      </c>
    </row>
    <row r="23" spans="1:35" ht="4.5" customHeight="1" x14ac:dyDescent="0.2">
      <c r="A23" s="421"/>
      <c r="B23" s="282"/>
      <c r="C23" s="282"/>
      <c r="D23" s="282"/>
      <c r="E23" s="282"/>
      <c r="F23" s="282"/>
      <c r="U23" s="280"/>
      <c r="V23" s="280"/>
      <c r="W23" s="280"/>
      <c r="X23" s="280"/>
      <c r="Y23" s="280"/>
      <c r="Z23" s="280"/>
      <c r="AA23" s="280"/>
      <c r="AB23" s="280"/>
      <c r="AC23" s="111"/>
      <c r="AE23" s="280"/>
      <c r="AF23" s="280"/>
      <c r="AG23" s="280"/>
      <c r="AH23" s="280"/>
      <c r="AI23" s="424"/>
    </row>
    <row r="24" spans="1:35" x14ac:dyDescent="0.2">
      <c r="A24" s="418" t="s">
        <v>16</v>
      </c>
      <c r="B24" s="282"/>
      <c r="C24" s="282"/>
      <c r="D24" s="282"/>
      <c r="E24" s="282"/>
      <c r="F24" s="282"/>
      <c r="U24" s="280"/>
      <c r="V24" s="280"/>
      <c r="W24" s="280"/>
      <c r="X24" s="280"/>
      <c r="Y24" s="280"/>
      <c r="Z24" s="280"/>
      <c r="AA24" s="280"/>
      <c r="AB24" s="280"/>
      <c r="AC24" s="111"/>
      <c r="AE24" s="280"/>
      <c r="AF24" s="280"/>
      <c r="AG24" s="280"/>
      <c r="AH24" s="280"/>
      <c r="AI24" s="424"/>
    </row>
    <row r="25" spans="1:35" x14ac:dyDescent="0.2">
      <c r="A25" s="418"/>
      <c r="B25" s="282" t="s">
        <v>17</v>
      </c>
      <c r="C25" s="282"/>
      <c r="D25" s="282"/>
      <c r="E25" s="282"/>
      <c r="F25" s="282"/>
      <c r="G25" s="280">
        <f ca="1">'Summary Balance Sheet'!F22-'Summary Balance Sheet'!H22</f>
        <v>-319.85465250000016</v>
      </c>
      <c r="H25" s="428">
        <f ca="1">'Summary Balance Sheet'!K22-'Summary Balance Sheet'!L22</f>
        <v>-319.85465250000016</v>
      </c>
      <c r="I25" s="428">
        <f ca="1">'Summary Balance Sheet'!L22-'Summary Balance Sheet'!M22</f>
        <v>-375</v>
      </c>
      <c r="J25" s="428">
        <f ca="1">'Summary Balance Sheet'!M22-'Summary Balance Sheet'!N22</f>
        <v>-375</v>
      </c>
      <c r="K25" s="428">
        <f ca="1">'Summary Balance Sheet'!N22-'Summary Balance Sheet'!O22</f>
        <v>-374.99999999999818</v>
      </c>
      <c r="L25" s="428">
        <f ca="1">'Summary Balance Sheet'!O22-'Summary Balance Sheet'!P22</f>
        <v>-375</v>
      </c>
      <c r="M25" s="428">
        <f ca="1">'Summary Balance Sheet'!P22-'Summary Balance Sheet'!Q22</f>
        <v>-375</v>
      </c>
      <c r="N25" s="428">
        <f ca="1">'Summary Balance Sheet'!Q22-'Summary Balance Sheet'!R22</f>
        <v>-375</v>
      </c>
      <c r="O25" s="428">
        <f ca="1">'Summary Balance Sheet'!R22-'Summary Balance Sheet'!S22</f>
        <v>-375</v>
      </c>
      <c r="P25" s="428">
        <f ca="1">'Summary Balance Sheet'!S22-'Summary Balance Sheet'!T22</f>
        <v>-375</v>
      </c>
      <c r="Q25" s="428">
        <f ca="1">'Summary Balance Sheet'!T22-'Summary Balance Sheet'!U22</f>
        <v>-375</v>
      </c>
      <c r="R25" s="428">
        <f ca="1">'Summary Balance Sheet'!U22-'Summary Balance Sheet'!V22</f>
        <v>-375</v>
      </c>
      <c r="S25" s="428">
        <f ca="1">'Summary Balance Sheet'!V22-'Summary Balance Sheet'!W22</f>
        <v>-375</v>
      </c>
      <c r="T25" s="428">
        <f ca="1">'Summary Balance Sheet'!W22-'Summary Balance Sheet'!X22</f>
        <v>-375</v>
      </c>
      <c r="U25" s="428">
        <f ca="1">'Summary Balance Sheet'!X22-'Summary Balance Sheet'!Y22</f>
        <v>-375</v>
      </c>
      <c r="V25" s="428">
        <f ca="1">'Summary Balance Sheet'!Y22-'Summary Balance Sheet'!Z22</f>
        <v>-375</v>
      </c>
      <c r="W25" s="428">
        <f ca="1">'Summary Balance Sheet'!Z22-'Summary Balance Sheet'!AA22</f>
        <v>-375</v>
      </c>
      <c r="X25" s="428">
        <f ca="1">'Summary Balance Sheet'!AA22-'Summary Balance Sheet'!AB22</f>
        <v>-375</v>
      </c>
      <c r="Y25" s="428">
        <f ca="1">'Summary Balance Sheet'!AB22-'Summary Balance Sheet'!AC22</f>
        <v>-375</v>
      </c>
      <c r="Z25" s="428">
        <f ca="1">'Summary Balance Sheet'!AC22-'Summary Balance Sheet'!AD22</f>
        <v>-375</v>
      </c>
      <c r="AA25" s="428">
        <f ca="1">'Summary Balance Sheet'!AD22-'Summary Balance Sheet'!AE22</f>
        <v>-375</v>
      </c>
      <c r="AB25" s="428">
        <f ca="1">'Summary Balance Sheet'!AE22-'Summary Balance Sheet'!AF22</f>
        <v>-375</v>
      </c>
      <c r="AC25" s="111"/>
      <c r="AD25" s="428">
        <f ca="1">SUMIF($G$5:$X$5,AD$5,$H25:$X25)</f>
        <v>-694.85465250000016</v>
      </c>
      <c r="AE25" s="428">
        <f ca="1">SUMIF($G$5:$X$5,AE$5,$H25:$X25)</f>
        <v>-1499.9999999999982</v>
      </c>
      <c r="AF25" s="428">
        <f ca="1">SUMIF($G$5:$X$5,AF$5,$H25:$X25)</f>
        <v>-1500</v>
      </c>
      <c r="AG25" s="428">
        <f ca="1">SUMIF($G$5:$X$5,AG$5,$H25:$X25)</f>
        <v>-1500</v>
      </c>
      <c r="AH25" s="428">
        <f ca="1">SUMIF($G$5:$X$5,AH$5,$H25:$X25)</f>
        <v>-1500</v>
      </c>
      <c r="AI25" s="429">
        <f ca="1">SUMIF($G$5:$AH$5,AI$5,$G25:$AH25)</f>
        <v>-1500</v>
      </c>
    </row>
    <row r="26" spans="1:35" ht="4.5" customHeight="1" x14ac:dyDescent="0.2">
      <c r="A26" s="421"/>
      <c r="B26" s="282"/>
      <c r="C26" s="282"/>
      <c r="D26" s="282"/>
      <c r="E26" s="282"/>
      <c r="F26" s="282"/>
      <c r="U26" s="280"/>
      <c r="V26" s="280"/>
      <c r="W26" s="280"/>
      <c r="X26" s="280"/>
      <c r="Y26" s="280"/>
      <c r="Z26" s="280"/>
      <c r="AA26" s="280"/>
      <c r="AB26" s="280"/>
      <c r="AC26" s="111"/>
      <c r="AE26" s="280"/>
      <c r="AF26" s="280"/>
      <c r="AG26" s="280"/>
      <c r="AH26" s="280"/>
      <c r="AI26" s="424"/>
    </row>
    <row r="27" spans="1:35" x14ac:dyDescent="0.2">
      <c r="A27" s="425" t="s">
        <v>18</v>
      </c>
      <c r="B27" s="282"/>
      <c r="C27" s="282"/>
      <c r="D27" s="282"/>
      <c r="E27" s="282"/>
      <c r="F27" s="282"/>
      <c r="G27" s="280">
        <f ca="1">G25</f>
        <v>-319.85465250000016</v>
      </c>
      <c r="H27" s="280">
        <f t="shared" ref="H27:AB27" ca="1" si="14">H25</f>
        <v>-319.85465250000016</v>
      </c>
      <c r="I27" s="280">
        <f t="shared" ca="1" si="14"/>
        <v>-375</v>
      </c>
      <c r="J27" s="280">
        <f t="shared" ca="1" si="14"/>
        <v>-375</v>
      </c>
      <c r="K27" s="280">
        <f t="shared" ca="1" si="14"/>
        <v>-374.99999999999818</v>
      </c>
      <c r="L27" s="280">
        <f t="shared" ca="1" si="14"/>
        <v>-375</v>
      </c>
      <c r="M27" s="280">
        <f t="shared" ca="1" si="14"/>
        <v>-375</v>
      </c>
      <c r="N27" s="280">
        <f t="shared" ca="1" si="14"/>
        <v>-375</v>
      </c>
      <c r="O27" s="280">
        <f t="shared" ca="1" si="14"/>
        <v>-375</v>
      </c>
      <c r="P27" s="280">
        <f t="shared" ca="1" si="14"/>
        <v>-375</v>
      </c>
      <c r="Q27" s="280">
        <f t="shared" ca="1" si="14"/>
        <v>-375</v>
      </c>
      <c r="R27" s="280">
        <f t="shared" ca="1" si="14"/>
        <v>-375</v>
      </c>
      <c r="S27" s="280">
        <f t="shared" ca="1" si="14"/>
        <v>-375</v>
      </c>
      <c r="T27" s="280">
        <f t="shared" ca="1" si="14"/>
        <v>-375</v>
      </c>
      <c r="U27" s="280">
        <f t="shared" ca="1" si="14"/>
        <v>-375</v>
      </c>
      <c r="V27" s="280">
        <f t="shared" ca="1" si="14"/>
        <v>-375</v>
      </c>
      <c r="W27" s="280">
        <f t="shared" ca="1" si="14"/>
        <v>-375</v>
      </c>
      <c r="X27" s="280">
        <f t="shared" ca="1" si="14"/>
        <v>-375</v>
      </c>
      <c r="Y27" s="280">
        <f t="shared" ca="1" si="14"/>
        <v>-375</v>
      </c>
      <c r="Z27" s="280">
        <f t="shared" ca="1" si="14"/>
        <v>-375</v>
      </c>
      <c r="AA27" s="280">
        <f t="shared" ca="1" si="14"/>
        <v>-375</v>
      </c>
      <c r="AB27" s="280">
        <f t="shared" ca="1" si="14"/>
        <v>-375</v>
      </c>
      <c r="AC27" s="111"/>
      <c r="AD27" s="280">
        <f t="shared" ref="AD27:AI27" ca="1" si="15">SUM(AD25:AD25)</f>
        <v>-694.85465250000016</v>
      </c>
      <c r="AE27" s="280">
        <f t="shared" ca="1" si="15"/>
        <v>-1499.9999999999982</v>
      </c>
      <c r="AF27" s="280">
        <f t="shared" ca="1" si="15"/>
        <v>-1500</v>
      </c>
      <c r="AG27" s="280">
        <f t="shared" ca="1" si="15"/>
        <v>-1500</v>
      </c>
      <c r="AH27" s="280">
        <f t="shared" ca="1" si="15"/>
        <v>-1500</v>
      </c>
      <c r="AI27" s="424">
        <f t="shared" ca="1" si="15"/>
        <v>-1500</v>
      </c>
    </row>
    <row r="28" spans="1:35" ht="4.5" customHeight="1" x14ac:dyDescent="0.2">
      <c r="A28" s="421"/>
      <c r="B28" s="282"/>
      <c r="C28" s="282"/>
      <c r="D28" s="282"/>
      <c r="E28" s="282"/>
      <c r="F28" s="282"/>
      <c r="U28" s="280"/>
      <c r="V28" s="280"/>
      <c r="W28" s="280"/>
      <c r="X28" s="280"/>
      <c r="Y28" s="280"/>
      <c r="Z28" s="280"/>
      <c r="AA28" s="280"/>
      <c r="AB28" s="280"/>
      <c r="AC28" s="111"/>
      <c r="AE28" s="280"/>
      <c r="AF28" s="280"/>
      <c r="AG28" s="280"/>
      <c r="AH28" s="280"/>
      <c r="AI28" s="424"/>
    </row>
    <row r="29" spans="1:35" x14ac:dyDescent="0.2">
      <c r="A29" s="418" t="s">
        <v>19</v>
      </c>
      <c r="B29" s="282"/>
      <c r="C29" s="282"/>
      <c r="D29" s="282"/>
      <c r="E29" s="282"/>
      <c r="F29" s="282"/>
      <c r="U29" s="280"/>
      <c r="V29" s="280"/>
      <c r="W29" s="280"/>
      <c r="X29" s="280"/>
      <c r="Y29" s="280"/>
      <c r="Z29" s="280"/>
      <c r="AA29" s="280"/>
      <c r="AB29" s="280"/>
      <c r="AC29" s="111"/>
      <c r="AE29" s="280"/>
      <c r="AF29" s="280"/>
      <c r="AG29" s="280"/>
      <c r="AH29" s="280"/>
      <c r="AI29" s="424"/>
    </row>
    <row r="30" spans="1:35" x14ac:dyDescent="0.2">
      <c r="A30" s="425"/>
      <c r="B30" s="282" t="str">
        <f>"Borrowings/(Payments) from "&amp;'Summary Balance Sheet'!A37</f>
        <v>Borrowings/(Payments) from Prior Term Loan</v>
      </c>
      <c r="C30" s="282"/>
      <c r="D30" s="282"/>
      <c r="E30" s="282"/>
      <c r="F30" s="282"/>
      <c r="G30" s="280">
        <v>0</v>
      </c>
      <c r="H30" s="280">
        <v>0</v>
      </c>
      <c r="I30" s="280">
        <v>0</v>
      </c>
      <c r="J30" s="280">
        <v>0</v>
      </c>
      <c r="K30" s="280">
        <v>0</v>
      </c>
      <c r="L30" s="280">
        <v>0</v>
      </c>
      <c r="M30" s="280">
        <v>0</v>
      </c>
      <c r="N30" s="280">
        <v>0</v>
      </c>
      <c r="O30" s="280">
        <v>0</v>
      </c>
      <c r="P30" s="280">
        <v>0</v>
      </c>
      <c r="Q30" s="280">
        <v>0</v>
      </c>
      <c r="R30" s="280">
        <v>0</v>
      </c>
      <c r="S30" s="280">
        <v>0</v>
      </c>
      <c r="T30" s="280">
        <v>0</v>
      </c>
      <c r="U30" s="280">
        <v>0</v>
      </c>
      <c r="V30" s="280">
        <v>0</v>
      </c>
      <c r="W30" s="280">
        <v>0</v>
      </c>
      <c r="X30" s="280">
        <v>0</v>
      </c>
      <c r="Y30" s="280">
        <v>0</v>
      </c>
      <c r="Z30" s="280">
        <v>0</v>
      </c>
      <c r="AA30" s="280">
        <v>0</v>
      </c>
      <c r="AB30" s="280">
        <v>0</v>
      </c>
      <c r="AC30" s="111"/>
      <c r="AD30" s="280">
        <f t="shared" ref="AD30:AH38" si="16">SUMIF($G$5:$X$5,AD$5,$G30:$X30)</f>
        <v>0</v>
      </c>
      <c r="AE30" s="280">
        <f t="shared" si="16"/>
        <v>0</v>
      </c>
      <c r="AF30" s="280">
        <f t="shared" si="16"/>
        <v>0</v>
      </c>
      <c r="AG30" s="280">
        <f t="shared" si="16"/>
        <v>0</v>
      </c>
      <c r="AH30" s="280">
        <f t="shared" si="16"/>
        <v>0</v>
      </c>
      <c r="AI30" s="424">
        <f t="shared" ref="AI30:AI38" si="17">SUMIF($G$5:$AH$5,AI$5,$G30:$AH30)</f>
        <v>0</v>
      </c>
    </row>
    <row r="31" spans="1:35" x14ac:dyDescent="0.2">
      <c r="A31" s="425"/>
      <c r="B31" s="282" t="str">
        <f>"Borrowings/(Payments) from "&amp;'Summary Balance Sheet'!A38</f>
        <v>Borrowings/(Payments) from New RLOC</v>
      </c>
      <c r="C31" s="282"/>
      <c r="D31" s="282"/>
      <c r="E31" s="282"/>
      <c r="F31" s="282"/>
      <c r="G31" s="280">
        <f>'Summary Balance Sheet'!H38-'Summary Balance Sheet'!F38</f>
        <v>0</v>
      </c>
      <c r="H31" s="280">
        <v>0</v>
      </c>
      <c r="I31" s="280">
        <f ca="1">'Summary Balance Sheet'!M38-'Summary Balance Sheet'!L38</f>
        <v>-2112.5122770300854</v>
      </c>
      <c r="J31" s="280">
        <f ca="1">'Summary Balance Sheet'!N38-'Summary Balance Sheet'!M38</f>
        <v>959.4968068307835</v>
      </c>
      <c r="K31" s="280">
        <f ca="1">'Summary Balance Sheet'!O38-'Summary Balance Sheet'!N38</f>
        <v>1463.7512051640815</v>
      </c>
      <c r="L31" s="280">
        <f ca="1">'Summary Balance Sheet'!P38-'Summary Balance Sheet'!O38</f>
        <v>-358.04509249638386</v>
      </c>
      <c r="M31" s="280">
        <f ca="1">'Summary Balance Sheet'!Q38-'Summary Balance Sheet'!P38</f>
        <v>-1240.1523420338099</v>
      </c>
      <c r="N31" s="280">
        <f ca="1">'Summary Balance Sheet'!R38-'Summary Balance Sheet'!Q38</f>
        <v>787.66384967890644</v>
      </c>
      <c r="O31" s="280">
        <f ca="1">'Summary Balance Sheet'!S38-'Summary Balance Sheet'!R38</f>
        <v>1536.1093790790833</v>
      </c>
      <c r="P31" s="280">
        <f ca="1">'Summary Balance Sheet'!T38-'Summary Balance Sheet'!S38</f>
        <v>-386.54891469688528</v>
      </c>
      <c r="Q31" s="280">
        <f ca="1">'Summary Balance Sheet'!U38-'Summary Balance Sheet'!T38</f>
        <v>-1343.9964443389258</v>
      </c>
      <c r="R31" s="280">
        <f ca="1">'Summary Balance Sheet'!V38-'Summary Balance Sheet'!U38</f>
        <v>732.25120441481886</v>
      </c>
      <c r="S31" s="280">
        <f ca="1">'Summary Balance Sheet'!W38-'Summary Balance Sheet'!V38</f>
        <v>1533.4540510990764</v>
      </c>
      <c r="T31" s="280">
        <f ca="1">'Summary Balance Sheet'!X38-'Summary Balance Sheet'!W38</f>
        <v>-598.36472619599226</v>
      </c>
      <c r="U31" s="280">
        <f ca="1">'Summary Balance Sheet'!Y38-'Summary Balance Sheet'!X38</f>
        <v>-1473.3703140123516</v>
      </c>
      <c r="V31" s="280">
        <f ca="1">'Summary Balance Sheet'!Z38-'Summary Balance Sheet'!Y38</f>
        <v>768.33907875721479</v>
      </c>
      <c r="W31" s="280">
        <f ca="1">'Summary Balance Sheet'!AA38-'Summary Balance Sheet'!Z38</f>
        <v>1633.4924288755115</v>
      </c>
      <c r="X31" s="280">
        <f ca="1">'Summary Balance Sheet'!AB38-'Summary Balance Sheet'!AA38</f>
        <v>0</v>
      </c>
      <c r="Y31" s="280">
        <f ca="1">'Summary Balance Sheet'!AC38-'Summary Balance Sheet'!AB38</f>
        <v>0</v>
      </c>
      <c r="Z31" s="280">
        <f ca="1">'Summary Balance Sheet'!AD38-'Summary Balance Sheet'!AC38</f>
        <v>905.84468580273096</v>
      </c>
      <c r="AA31" s="280">
        <f ca="1">'Summary Balance Sheet'!AE38-'Summary Balance Sheet'!AD38</f>
        <v>1716.4989300655707</v>
      </c>
      <c r="AB31" s="280">
        <f ca="1">'Summary Balance Sheet'!AF38-'Summary Balance Sheet'!AE38</f>
        <v>4.0000000701002136</v>
      </c>
      <c r="AC31" s="111"/>
      <c r="AD31" s="280">
        <f t="shared" si="16"/>
        <v>0</v>
      </c>
      <c r="AE31" s="280">
        <f t="shared" ca="1" si="16"/>
        <v>-47.309357531604292</v>
      </c>
      <c r="AF31" s="280">
        <f t="shared" ca="1" si="16"/>
        <v>697.07197202729458</v>
      </c>
      <c r="AG31" s="280">
        <f t="shared" ca="1" si="16"/>
        <v>323.34408497897721</v>
      </c>
      <c r="AH31" s="280">
        <f t="shared" ca="1" si="16"/>
        <v>928.46119362037462</v>
      </c>
      <c r="AI31" s="424">
        <f t="shared" ca="1" si="17"/>
        <v>2626.3436159384019</v>
      </c>
    </row>
    <row r="32" spans="1:35" x14ac:dyDescent="0.2">
      <c r="A32" s="425"/>
      <c r="B32" s="282" t="str">
        <f>"Borrowings/(Payments) from "&amp;'Summary Balance Sheet'!A39</f>
        <v>Borrowings/(Payments) from New Term A</v>
      </c>
      <c r="C32" s="282"/>
      <c r="D32" s="282"/>
      <c r="E32" s="282"/>
      <c r="F32" s="282"/>
      <c r="G32" s="280">
        <f>'Summary Balance Sheet'!H39-'Summary Balance Sheet'!F39</f>
        <v>0</v>
      </c>
      <c r="H32" s="280">
        <v>0</v>
      </c>
      <c r="I32" s="280">
        <f ca="1">'Summary Balance Sheet'!M39-'Summary Balance Sheet'!L39</f>
        <v>-441.50305928037596</v>
      </c>
      <c r="J32" s="280">
        <f ca="1">'Summary Balance Sheet'!N39-'Summary Balance Sheet'!M39</f>
        <v>-445.65019693356771</v>
      </c>
      <c r="K32" s="280">
        <f ca="1">'Summary Balance Sheet'!O39-'Summary Balance Sheet'!N39</f>
        <v>-448.91881020268011</v>
      </c>
      <c r="L32" s="280">
        <f ca="1">'Summary Balance Sheet'!P39-'Summary Balance Sheet'!O39</f>
        <v>-453.18216412243601</v>
      </c>
      <c r="M32" s="280">
        <f ca="1">'Summary Balance Sheet'!Q39-'Summary Balance Sheet'!P39</f>
        <v>-459.13376245108429</v>
      </c>
      <c r="N32" s="280">
        <f ca="1">'Summary Balance Sheet'!R39-'Summary Balance Sheet'!Q39</f>
        <v>-462.62267398907625</v>
      </c>
      <c r="O32" s="280">
        <f ca="1">'Summary Balance Sheet'!S39-'Summary Balance Sheet'!R39</f>
        <v>-466.23987019067772</v>
      </c>
      <c r="P32" s="280">
        <f ca="1">'Summary Balance Sheet'!T39-'Summary Balance Sheet'!S39</f>
        <v>-470.66772113598927</v>
      </c>
      <c r="Q32" s="280">
        <f ca="1">'Summary Balance Sheet'!U39-'Summary Balance Sheet'!T39</f>
        <v>-476.39986558189594</v>
      </c>
      <c r="R32" s="280">
        <f ca="1">'Summary Balance Sheet'!V39-'Summary Balance Sheet'!U39</f>
        <v>-480.24370812932284</v>
      </c>
      <c r="S32" s="280">
        <f ca="1">'Summary Balance Sheet'!W39-'Summary Balance Sheet'!V39</f>
        <v>-484.22280741283976</v>
      </c>
      <c r="T32" s="280">
        <f ca="1">'Summary Balance Sheet'!X39-'Summary Balance Sheet'!W39</f>
        <v>-488.82144119048553</v>
      </c>
      <c r="U32" s="280">
        <f ca="1">'Summary Balance Sheet'!Y39-'Summary Balance Sheet'!X39</f>
        <v>-494.32574591992898</v>
      </c>
      <c r="V32" s="280">
        <f ca="1">'Summary Balance Sheet'!Z39-'Summary Balance Sheet'!Y39</f>
        <v>-498.53808220072415</v>
      </c>
      <c r="W32" s="280">
        <f ca="1">'Summary Balance Sheet'!AA39-'Summary Balance Sheet'!Z39</f>
        <v>-502.89291370888986</v>
      </c>
      <c r="X32" s="280">
        <f ca="1">'Summary Balance Sheet'!AB39-'Summary Balance Sheet'!AA39</f>
        <v>-507.66885632067351</v>
      </c>
      <c r="Y32" s="280">
        <f ca="1">'Summary Balance Sheet'!AC39-'Summary Balance Sheet'!AB39</f>
        <v>-512.71339693084474</v>
      </c>
      <c r="Z32" s="280">
        <f ca="1">'Summary Balance Sheet'!AD39-'Summary Balance Sheet'!AC39</f>
        <v>-517.52942932068504</v>
      </c>
      <c r="AA32" s="280">
        <f ca="1">'Summary Balance Sheet'!AE39-'Summary Balance Sheet'!AD39</f>
        <v>-522.27430757626257</v>
      </c>
      <c r="AB32" s="280">
        <f ca="1">'Summary Balance Sheet'!AF39-'Summary Balance Sheet'!AE39</f>
        <v>-527.23431407585133</v>
      </c>
      <c r="AC32" s="111"/>
      <c r="AD32" s="280">
        <f t="shared" si="16"/>
        <v>0</v>
      </c>
      <c r="AE32" s="280">
        <f t="shared" ca="1" si="16"/>
        <v>-1789.2542305390598</v>
      </c>
      <c r="AF32" s="280">
        <f t="shared" ca="1" si="16"/>
        <v>-1858.6640277668275</v>
      </c>
      <c r="AG32" s="280">
        <f t="shared" ca="1" si="16"/>
        <v>-1929.6878223145441</v>
      </c>
      <c r="AH32" s="280">
        <f t="shared" ca="1" si="16"/>
        <v>-2003.4255981502165</v>
      </c>
      <c r="AI32" s="424">
        <f t="shared" ca="1" si="17"/>
        <v>-2079.7514479036436</v>
      </c>
    </row>
    <row r="33" spans="1:35" x14ac:dyDescent="0.2">
      <c r="A33" s="425"/>
      <c r="B33" s="282" t="str">
        <f>"Borrowings/(Payments) from "&amp;'Summary Balance Sheet'!A40</f>
        <v>Borrowings/(Payments) from New Mezzanine</v>
      </c>
      <c r="C33" s="282"/>
      <c r="D33" s="282"/>
      <c r="E33" s="282"/>
      <c r="F33" s="282"/>
      <c r="H33" s="280">
        <v>0</v>
      </c>
      <c r="I33" s="280">
        <f ca="1">'Summary Balance Sheet'!M40-'Summary Balance Sheet'!L40</f>
        <v>0</v>
      </c>
      <c r="J33" s="280">
        <f ca="1">'Summary Balance Sheet'!N40-'Summary Balance Sheet'!M40</f>
        <v>0</v>
      </c>
      <c r="K33" s="280">
        <f ca="1">'Summary Balance Sheet'!O40-'Summary Balance Sheet'!N40</f>
        <v>0</v>
      </c>
      <c r="L33" s="280">
        <f ca="1">'Summary Balance Sheet'!P40-'Summary Balance Sheet'!O40</f>
        <v>0</v>
      </c>
      <c r="M33" s="280">
        <f ca="1">'Summary Balance Sheet'!Q40-'Summary Balance Sheet'!P40</f>
        <v>0</v>
      </c>
      <c r="N33" s="280">
        <f ca="1">'Summary Balance Sheet'!R40-'Summary Balance Sheet'!Q40</f>
        <v>0</v>
      </c>
      <c r="O33" s="280">
        <f ca="1">'Summary Balance Sheet'!S40-'Summary Balance Sheet'!R40</f>
        <v>0</v>
      </c>
      <c r="P33" s="280">
        <f ca="1">'Summary Balance Sheet'!T40-'Summary Balance Sheet'!S40</f>
        <v>0</v>
      </c>
      <c r="Q33" s="280">
        <f ca="1">'Summary Balance Sheet'!U40-'Summary Balance Sheet'!T40</f>
        <v>0</v>
      </c>
      <c r="R33" s="280">
        <f ca="1">'Summary Balance Sheet'!V40-'Summary Balance Sheet'!U40</f>
        <v>0</v>
      </c>
      <c r="S33" s="280">
        <f ca="1">'Summary Balance Sheet'!W40-'Summary Balance Sheet'!V40</f>
        <v>0</v>
      </c>
      <c r="T33" s="280">
        <f ca="1">'Summary Balance Sheet'!X40-'Summary Balance Sheet'!W40</f>
        <v>0</v>
      </c>
      <c r="U33" s="280">
        <f ca="1">'Summary Balance Sheet'!Y40-'Summary Balance Sheet'!X40</f>
        <v>0</v>
      </c>
      <c r="V33" s="280">
        <f ca="1">'Summary Balance Sheet'!Z40-'Summary Balance Sheet'!Y40</f>
        <v>0</v>
      </c>
      <c r="W33" s="280">
        <f ca="1">'Summary Balance Sheet'!AA40-'Summary Balance Sheet'!Z40</f>
        <v>0</v>
      </c>
      <c r="X33" s="280">
        <f ca="1">'Summary Balance Sheet'!AB40-'Summary Balance Sheet'!AA40</f>
        <v>-665.66458686786336</v>
      </c>
      <c r="Y33" s="280">
        <f ca="1">'Summary Balance Sheet'!AC40-'Summary Balance Sheet'!AB40</f>
        <v>-1766.6653915382767</v>
      </c>
      <c r="Z33" s="280">
        <f ca="1">'Summary Balance Sheet'!AD40-'Summary Balance Sheet'!AC40</f>
        <v>0</v>
      </c>
      <c r="AA33" s="280">
        <f ca="1">'Summary Balance Sheet'!AE40-'Summary Balance Sheet'!AD40</f>
        <v>-1.0000000000236469</v>
      </c>
      <c r="AB33" s="280">
        <f ca="1">'Summary Balance Sheet'!AF40-'Summary Balance Sheet'!AE40</f>
        <v>-891.82497772519582</v>
      </c>
      <c r="AC33" s="111"/>
      <c r="AE33" s="280"/>
      <c r="AF33" s="280"/>
      <c r="AG33" s="280"/>
      <c r="AH33" s="280"/>
      <c r="AI33" s="424">
        <f t="shared" ca="1" si="17"/>
        <v>-2659.4903692634962</v>
      </c>
    </row>
    <row r="34" spans="1:35" x14ac:dyDescent="0.2">
      <c r="A34" s="425"/>
      <c r="B34" s="282" t="str">
        <f>"Borrowings/(Payments) from "&amp;'Summary Balance Sheet'!A41</f>
        <v>Borrowings/(Payments) from New Seller Note</v>
      </c>
      <c r="C34" s="282"/>
      <c r="D34" s="282"/>
      <c r="E34" s="282"/>
      <c r="F34" s="282"/>
      <c r="G34" s="280">
        <f>'Summary Balance Sheet'!H41-'Summary Balance Sheet'!F41</f>
        <v>0</v>
      </c>
      <c r="H34" s="280">
        <v>0</v>
      </c>
      <c r="I34" s="280">
        <f ca="1">'Summary Balance Sheet'!M41-'Summary Balance Sheet'!L41</f>
        <v>-83.253277151488874</v>
      </c>
      <c r="J34" s="280">
        <f ca="1">'Summary Balance Sheet'!N41-'Summary Balance Sheet'!M41</f>
        <v>-84.930507220292384</v>
      </c>
      <c r="K34" s="280">
        <f ca="1">'Summary Balance Sheet'!O41-'Summary Balance Sheet'!N41</f>
        <v>-86.245535493297666</v>
      </c>
      <c r="L34" s="280">
        <f ca="1">'Summary Balance Sheet'!P41-'Summary Balance Sheet'!O41</f>
        <v>-88.002335950594897</v>
      </c>
      <c r="M34" s="280">
        <f ca="1">'Summary Balance Sheet'!Q41-'Summary Balance Sheet'!P41</f>
        <v>-90.508888083383681</v>
      </c>
      <c r="N34" s="280">
        <f ca="1">'Summary Balance Sheet'!R41-'Summary Balance Sheet'!Q41</f>
        <v>-91.975346997584438</v>
      </c>
      <c r="O34" s="280">
        <f ca="1">'Summary Balance Sheet'!S41-'Summary Balance Sheet'!R41</f>
        <v>-93.512081225675956</v>
      </c>
      <c r="P34" s="280">
        <f ca="1">'Summary Balance Sheet'!T41-'Summary Balance Sheet'!S41</f>
        <v>-95.416899441720034</v>
      </c>
      <c r="Q34" s="280">
        <f ca="1">'Summary Balance Sheet'!U41-'Summary Balance Sheet'!T41</f>
        <v>-97.908376609637799</v>
      </c>
      <c r="R34" s="280">
        <f ca="1">'Summary Balance Sheet'!V41-'Summary Balance Sheet'!U41</f>
        <v>-99.606951179340058</v>
      </c>
      <c r="S34" s="280">
        <f ca="1">'Summary Balance Sheet'!W41-'Summary Balance Sheet'!V41</f>
        <v>-101.38385724205739</v>
      </c>
      <c r="T34" s="280">
        <f ca="1">'Summary Balance Sheet'!X41-'Summary Balance Sheet'!W41</f>
        <v>-103.4490216096583</v>
      </c>
      <c r="U34" s="280">
        <f ca="1">'Summary Balance Sheet'!Y41-'Summary Balance Sheet'!X41</f>
        <v>-105.92416821952418</v>
      </c>
      <c r="V34" s="280">
        <f ca="1">'Summary Balance Sheet'!Z41-'Summary Balance Sheet'!Y41</f>
        <v>-107.8741913477711</v>
      </c>
      <c r="W34" s="280">
        <f ca="1">'Summary Balance Sheet'!AA41-'Summary Balance Sheet'!Z41</f>
        <v>-109.91127314697246</v>
      </c>
      <c r="X34" s="280">
        <f ca="1">'Summary Balance Sheet'!AB41-'Summary Balance Sheet'!AA41</f>
        <v>-112.15013889025192</v>
      </c>
      <c r="Y34" s="280">
        <f ca="1">'Summary Balance Sheet'!AC41-'Summary Balance Sheet'!AB41</f>
        <v>-114.52111184988189</v>
      </c>
      <c r="Z34" s="280">
        <f ca="1">'Summary Balance Sheet'!AD41-'Summary Balance Sheet'!AC41</f>
        <v>-116.82826730224838</v>
      </c>
      <c r="AA34" s="280">
        <f ca="1">'Summary Balance Sheet'!AE41-'Summary Balance Sheet'!AD41</f>
        <v>-119.14714003270716</v>
      </c>
      <c r="AB34" s="280">
        <f ca="1">'Summary Balance Sheet'!AF41-'Summary Balance Sheet'!AE41</f>
        <v>0</v>
      </c>
      <c r="AC34" s="111"/>
      <c r="AD34" s="280">
        <f t="shared" si="16"/>
        <v>0</v>
      </c>
      <c r="AE34" s="280">
        <f t="shared" ca="1" si="16"/>
        <v>-342.43165581567382</v>
      </c>
      <c r="AF34" s="280">
        <f t="shared" ca="1" si="16"/>
        <v>-371.41321574836411</v>
      </c>
      <c r="AG34" s="280">
        <f t="shared" ca="1" si="16"/>
        <v>-402.34820664069355</v>
      </c>
      <c r="AH34" s="280">
        <f t="shared" ca="1" si="16"/>
        <v>-435.85977160451966</v>
      </c>
      <c r="AI34" s="424">
        <f t="shared" ca="1" si="17"/>
        <v>-350.49651918483744</v>
      </c>
    </row>
    <row r="35" spans="1:35" x14ac:dyDescent="0.2">
      <c r="A35" s="425"/>
      <c r="B35" s="282" t="s">
        <v>116</v>
      </c>
      <c r="C35" s="282"/>
      <c r="D35" s="282"/>
      <c r="E35" s="282"/>
      <c r="F35" s="282"/>
      <c r="G35" s="280">
        <f>Taxes!K33</f>
        <v>0</v>
      </c>
      <c r="H35" s="280">
        <f>Taxes!L33</f>
        <v>0</v>
      </c>
      <c r="I35" s="280">
        <f>Taxes!M33</f>
        <v>0</v>
      </c>
      <c r="J35" s="280">
        <f ca="1">Taxes!N33</f>
        <v>0</v>
      </c>
      <c r="K35" s="280">
        <f ca="1">Taxes!O33</f>
        <v>0</v>
      </c>
      <c r="L35" s="280">
        <f ca="1">Taxes!P33</f>
        <v>-13.815026401876594</v>
      </c>
      <c r="M35" s="280">
        <f ca="1">Taxes!Q33</f>
        <v>-866.59921318263764</v>
      </c>
      <c r="N35" s="280">
        <f ca="1">Taxes!R33</f>
        <v>-23.572774023582678</v>
      </c>
      <c r="O35" s="280">
        <f ca="1">Taxes!S33</f>
        <v>-119.31387936361391</v>
      </c>
      <c r="P35" s="280">
        <f ca="1">Taxes!T33</f>
        <v>-232.57014163935074</v>
      </c>
      <c r="Q35" s="280">
        <f ca="1">Taxes!U33</f>
        <v>-1075.5346714182408</v>
      </c>
      <c r="R35" s="280">
        <f ca="1">Taxes!V33</f>
        <v>-69.160176654551634</v>
      </c>
      <c r="S35" s="280">
        <f ca="1">Taxes!W33</f>
        <v>-174.28009848343308</v>
      </c>
      <c r="T35" s="280">
        <f ca="1">Taxes!X33</f>
        <v>-300.20028449810007</v>
      </c>
      <c r="U35" s="280">
        <f ca="1">Taxes!Y33</f>
        <v>-1231.9890094357886</v>
      </c>
      <c r="V35" s="280">
        <f ca="1">Taxes!Z33</f>
        <v>-172.47037055360767</v>
      </c>
      <c r="W35" s="280">
        <f ca="1">Taxes!AA33</f>
        <v>-286.25680574592275</v>
      </c>
      <c r="X35" s="280">
        <f ca="1">Taxes!AB33</f>
        <v>-422.51073879483158</v>
      </c>
      <c r="Y35" s="280">
        <f ca="1">Taxes!AC33</f>
        <v>-1427.4344103767173</v>
      </c>
      <c r="Z35" s="280">
        <f ca="1">Taxes!AD33</f>
        <v>-288.5387466077903</v>
      </c>
      <c r="AA35" s="280">
        <f ca="1">Taxes!AE33</f>
        <v>-433.22684680336505</v>
      </c>
      <c r="AB35" s="280">
        <f ca="1">Taxes!AF33</f>
        <v>-580.73654024213101</v>
      </c>
      <c r="AC35" s="111"/>
      <c r="AD35" s="280">
        <f t="shared" si="16"/>
        <v>0</v>
      </c>
      <c r="AE35" s="280">
        <f t="shared" ca="1" si="16"/>
        <v>-13.815026401876594</v>
      </c>
      <c r="AF35" s="280">
        <f t="shared" ca="1" si="16"/>
        <v>-1242.0560082091849</v>
      </c>
      <c r="AG35" s="280">
        <f t="shared" ca="1" si="16"/>
        <v>-1619.1752310543254</v>
      </c>
      <c r="AH35" s="280">
        <f t="shared" ca="1" si="16"/>
        <v>-2113.2269245301504</v>
      </c>
      <c r="AI35" s="424">
        <f t="shared" ca="1" si="17"/>
        <v>-2729.9365440300035</v>
      </c>
    </row>
    <row r="36" spans="1:35" x14ac:dyDescent="0.2">
      <c r="A36" s="425"/>
      <c r="B36" s="282" t="s">
        <v>107</v>
      </c>
      <c r="C36" s="282"/>
      <c r="D36" s="282"/>
      <c r="E36" s="282"/>
      <c r="F36" s="282"/>
      <c r="G36" s="288">
        <f ca="1">-'Debt and Spec. Dist'!O92</f>
        <v>0</v>
      </c>
      <c r="H36" s="288">
        <f ca="1">-'Debt and Spec. Dist'!P92</f>
        <v>0</v>
      </c>
      <c r="I36" s="288">
        <f ca="1">-'Debt and Spec. Dist'!Q92</f>
        <v>0</v>
      </c>
      <c r="J36" s="288">
        <f ca="1">-'Debt and Spec. Dist'!R92</f>
        <v>0</v>
      </c>
      <c r="K36" s="288">
        <f ca="1">-'Debt and Spec. Dist'!S92</f>
        <v>0</v>
      </c>
      <c r="L36" s="288">
        <f ca="1">-'Debt and Spec. Dist'!T92</f>
        <v>0</v>
      </c>
      <c r="M36" s="288">
        <f ca="1">-'Debt and Spec. Dist'!U92</f>
        <v>0</v>
      </c>
      <c r="N36" s="288">
        <f ca="1">-'Debt and Spec. Dist'!V92</f>
        <v>0</v>
      </c>
      <c r="O36" s="288">
        <f ca="1">-'Debt and Spec. Dist'!W92</f>
        <v>0</v>
      </c>
      <c r="P36" s="288">
        <f ca="1">-'Debt and Spec. Dist'!X92</f>
        <v>0</v>
      </c>
      <c r="Q36" s="288">
        <f ca="1">-'Debt and Spec. Dist'!Y92</f>
        <v>0</v>
      </c>
      <c r="R36" s="288">
        <f ca="1">-'Debt and Spec. Dist'!Z92</f>
        <v>0</v>
      </c>
      <c r="S36" s="288">
        <f ca="1">-'Debt and Spec. Dist'!AA92</f>
        <v>0</v>
      </c>
      <c r="T36" s="288">
        <f ca="1">-'Debt and Spec. Dist'!AB92</f>
        <v>0</v>
      </c>
      <c r="U36" s="288">
        <f ca="1">-'Debt and Spec. Dist'!AC92</f>
        <v>0</v>
      </c>
      <c r="V36" s="288">
        <f ca="1">-'Debt and Spec. Dist'!AD92</f>
        <v>0</v>
      </c>
      <c r="W36" s="288">
        <f ca="1">-'Debt and Spec. Dist'!AE92</f>
        <v>0</v>
      </c>
      <c r="X36" s="288">
        <f ca="1">-'Debt and Spec. Dist'!AF92</f>
        <v>0</v>
      </c>
      <c r="Y36" s="288">
        <f ca="1">-'Debt and Spec. Dist'!AG92</f>
        <v>0</v>
      </c>
      <c r="Z36" s="288">
        <f ca="1">-'Debt and Spec. Dist'!AH92</f>
        <v>0</v>
      </c>
      <c r="AA36" s="288">
        <f ca="1">-'Debt and Spec. Dist'!AI92</f>
        <v>0</v>
      </c>
      <c r="AB36" s="288">
        <f ca="1">-'Debt and Spec. Dist'!AJ92</f>
        <v>0</v>
      </c>
      <c r="AC36" s="111"/>
      <c r="AD36" s="280">
        <f t="shared" ca="1" si="16"/>
        <v>0</v>
      </c>
      <c r="AE36" s="280">
        <f t="shared" ca="1" si="16"/>
        <v>0</v>
      </c>
      <c r="AF36" s="280">
        <f t="shared" ca="1" si="16"/>
        <v>0</v>
      </c>
      <c r="AG36" s="280">
        <f t="shared" ca="1" si="16"/>
        <v>0</v>
      </c>
      <c r="AH36" s="280">
        <f t="shared" ca="1" si="16"/>
        <v>0</v>
      </c>
      <c r="AI36" s="424">
        <f t="shared" ca="1" si="17"/>
        <v>0</v>
      </c>
    </row>
    <row r="37" spans="1:35" x14ac:dyDescent="0.2">
      <c r="A37" s="425"/>
      <c r="B37" s="282" t="s">
        <v>319</v>
      </c>
      <c r="C37" s="282"/>
      <c r="D37" s="282"/>
      <c r="E37" s="282"/>
      <c r="F37" s="282"/>
      <c r="G37" s="280">
        <v>0</v>
      </c>
      <c r="H37" s="280">
        <v>0</v>
      </c>
      <c r="I37" s="280">
        <v>0</v>
      </c>
      <c r="J37" s="280">
        <v>0</v>
      </c>
      <c r="K37" s="280">
        <v>0</v>
      </c>
      <c r="L37" s="280">
        <v>0</v>
      </c>
      <c r="M37" s="280">
        <v>0</v>
      </c>
      <c r="N37" s="280">
        <v>0</v>
      </c>
      <c r="O37" s="280">
        <v>0</v>
      </c>
      <c r="P37" s="280">
        <v>0</v>
      </c>
      <c r="Q37" s="280">
        <v>0</v>
      </c>
      <c r="R37" s="280">
        <v>0</v>
      </c>
      <c r="S37" s="280">
        <v>0</v>
      </c>
      <c r="T37" s="280">
        <v>0</v>
      </c>
      <c r="U37" s="280">
        <v>0</v>
      </c>
      <c r="V37" s="280">
        <v>0</v>
      </c>
      <c r="W37" s="280">
        <v>0</v>
      </c>
      <c r="X37" s="280">
        <v>0</v>
      </c>
      <c r="Y37" s="280">
        <v>0</v>
      </c>
      <c r="Z37" s="280">
        <v>0</v>
      </c>
      <c r="AA37" s="280">
        <v>0</v>
      </c>
      <c r="AB37" s="280">
        <v>0</v>
      </c>
      <c r="AC37" s="111"/>
      <c r="AD37" s="280">
        <f t="shared" si="16"/>
        <v>0</v>
      </c>
      <c r="AE37" s="280">
        <f t="shared" si="16"/>
        <v>0</v>
      </c>
      <c r="AF37" s="280">
        <f t="shared" si="16"/>
        <v>0</v>
      </c>
      <c r="AG37" s="280">
        <f t="shared" si="16"/>
        <v>0</v>
      </c>
      <c r="AH37" s="280">
        <f t="shared" si="16"/>
        <v>0</v>
      </c>
      <c r="AI37" s="424">
        <f t="shared" si="17"/>
        <v>0</v>
      </c>
    </row>
    <row r="38" spans="1:35" s="111" customFormat="1" x14ac:dyDescent="0.2">
      <c r="A38" s="425"/>
      <c r="B38" s="282" t="s">
        <v>103</v>
      </c>
      <c r="C38" s="282"/>
      <c r="D38" s="282"/>
      <c r="E38" s="282"/>
      <c r="F38" s="282"/>
      <c r="G38" s="280">
        <v>0</v>
      </c>
      <c r="H38" s="280">
        <v>0</v>
      </c>
      <c r="I38" s="280">
        <v>0</v>
      </c>
      <c r="J38" s="280">
        <v>0</v>
      </c>
      <c r="K38" s="280">
        <v>0</v>
      </c>
      <c r="L38" s="280">
        <v>0</v>
      </c>
      <c r="M38" s="280">
        <v>0</v>
      </c>
      <c r="N38" s="280">
        <v>0</v>
      </c>
      <c r="O38" s="280">
        <v>0</v>
      </c>
      <c r="P38" s="280">
        <v>0</v>
      </c>
      <c r="Q38" s="280">
        <v>0</v>
      </c>
      <c r="R38" s="280">
        <v>0</v>
      </c>
      <c r="S38" s="280">
        <v>0</v>
      </c>
      <c r="T38" s="280">
        <v>0</v>
      </c>
      <c r="U38" s="280">
        <v>0</v>
      </c>
      <c r="V38" s="280">
        <v>0</v>
      </c>
      <c r="W38" s="280">
        <v>0</v>
      </c>
      <c r="X38" s="280">
        <v>0</v>
      </c>
      <c r="Y38" s="280">
        <v>0</v>
      </c>
      <c r="Z38" s="280">
        <v>0</v>
      </c>
      <c r="AA38" s="280">
        <v>0</v>
      </c>
      <c r="AB38" s="280">
        <v>0</v>
      </c>
      <c r="AD38" s="280">
        <f t="shared" si="16"/>
        <v>0</v>
      </c>
      <c r="AE38" s="280">
        <f t="shared" si="16"/>
        <v>0</v>
      </c>
      <c r="AF38" s="280">
        <f t="shared" si="16"/>
        <v>0</v>
      </c>
      <c r="AG38" s="280">
        <f t="shared" si="16"/>
        <v>0</v>
      </c>
      <c r="AH38" s="280">
        <f t="shared" si="16"/>
        <v>0</v>
      </c>
      <c r="AI38" s="424">
        <f t="shared" si="17"/>
        <v>0</v>
      </c>
    </row>
    <row r="39" spans="1:35" s="111" customFormat="1" ht="4.5" customHeight="1" x14ac:dyDescent="0.2">
      <c r="A39" s="425"/>
      <c r="B39" s="282"/>
      <c r="C39" s="282"/>
      <c r="D39" s="282"/>
      <c r="E39" s="282"/>
      <c r="F39" s="282"/>
      <c r="G39" s="280"/>
      <c r="H39" s="280"/>
      <c r="I39" s="280"/>
      <c r="J39" s="280"/>
      <c r="K39" s="280"/>
      <c r="L39" s="280"/>
      <c r="M39" s="280"/>
      <c r="N39" s="280"/>
      <c r="O39" s="280"/>
      <c r="P39" s="280"/>
      <c r="Q39" s="280"/>
      <c r="R39" s="280"/>
      <c r="S39" s="280"/>
      <c r="T39" s="280"/>
      <c r="U39" s="280"/>
      <c r="V39" s="280"/>
      <c r="W39" s="280"/>
      <c r="X39" s="280"/>
      <c r="Y39" s="280"/>
      <c r="Z39" s="280"/>
      <c r="AA39" s="280"/>
      <c r="AB39" s="280"/>
      <c r="AD39" s="280"/>
      <c r="AE39" s="280"/>
      <c r="AF39" s="280"/>
      <c r="AG39" s="280"/>
      <c r="AH39" s="280"/>
      <c r="AI39" s="424"/>
    </row>
    <row r="40" spans="1:35" x14ac:dyDescent="0.2">
      <c r="A40" s="425" t="s">
        <v>20</v>
      </c>
      <c r="B40" s="282"/>
      <c r="C40" s="282"/>
      <c r="D40" s="282"/>
      <c r="E40" s="282"/>
      <c r="F40" s="282"/>
      <c r="G40" s="280">
        <f t="shared" ref="G40:AB40" ca="1" si="18">SUM(G30:G38)</f>
        <v>0</v>
      </c>
      <c r="H40" s="280">
        <f t="shared" ca="1" si="18"/>
        <v>0</v>
      </c>
      <c r="I40" s="280">
        <f t="shared" ca="1" si="18"/>
        <v>-2637.2686134619503</v>
      </c>
      <c r="J40" s="280">
        <f t="shared" ca="1" si="18"/>
        <v>428.9161026769234</v>
      </c>
      <c r="K40" s="280">
        <f t="shared" ca="1" si="18"/>
        <v>928.58685946810374</v>
      </c>
      <c r="L40" s="280">
        <f t="shared" ca="1" si="18"/>
        <v>-913.04461897129136</v>
      </c>
      <c r="M40" s="280">
        <f t="shared" ca="1" si="18"/>
        <v>-2656.3942057509157</v>
      </c>
      <c r="N40" s="280">
        <f t="shared" ca="1" si="18"/>
        <v>209.49305466866309</v>
      </c>
      <c r="O40" s="280">
        <f t="shared" ca="1" si="18"/>
        <v>857.04354829911574</v>
      </c>
      <c r="P40" s="280">
        <f t="shared" ca="1" si="18"/>
        <v>-1185.2036769139454</v>
      </c>
      <c r="Q40" s="280">
        <f t="shared" ca="1" si="18"/>
        <v>-2993.8393579487001</v>
      </c>
      <c r="R40" s="280">
        <f t="shared" ca="1" si="18"/>
        <v>83.240368451604326</v>
      </c>
      <c r="S40" s="280">
        <f t="shared" ca="1" si="18"/>
        <v>773.56728796074617</v>
      </c>
      <c r="T40" s="280">
        <f t="shared" ca="1" si="18"/>
        <v>-1490.8354734942361</v>
      </c>
      <c r="U40" s="280">
        <f t="shared" ca="1" si="18"/>
        <v>-3305.6092375875933</v>
      </c>
      <c r="V40" s="280">
        <f t="shared" ca="1" si="18"/>
        <v>-10.543565344888123</v>
      </c>
      <c r="W40" s="280">
        <f t="shared" ca="1" si="18"/>
        <v>734.43143627372638</v>
      </c>
      <c r="X40" s="280">
        <f t="shared" ca="1" si="18"/>
        <v>-1707.9943208736204</v>
      </c>
      <c r="Y40" s="280">
        <f t="shared" ca="1" si="18"/>
        <v>-3821.3343106957209</v>
      </c>
      <c r="Z40" s="280">
        <f t="shared" ca="1" si="18"/>
        <v>-17.051757427992754</v>
      </c>
      <c r="AA40" s="280">
        <f t="shared" ca="1" si="18"/>
        <v>640.85063565321229</v>
      </c>
      <c r="AB40" s="280">
        <f t="shared" ca="1" si="18"/>
        <v>-1995.7958319730778</v>
      </c>
      <c r="AC40" s="111"/>
      <c r="AD40" s="280">
        <f t="shared" ref="AD40:AI40" ca="1" si="19">SUM(AD30:AD38)</f>
        <v>0</v>
      </c>
      <c r="AE40" s="280">
        <f t="shared" ca="1" si="19"/>
        <v>-2192.8102702882143</v>
      </c>
      <c r="AF40" s="280">
        <f t="shared" ca="1" si="19"/>
        <v>-2775.0612796970818</v>
      </c>
      <c r="AG40" s="280">
        <f t="shared" ca="1" si="19"/>
        <v>-3627.8671750305857</v>
      </c>
      <c r="AH40" s="280">
        <f t="shared" ca="1" si="19"/>
        <v>-3624.051100664512</v>
      </c>
      <c r="AI40" s="424">
        <f t="shared" ca="1" si="19"/>
        <v>-5193.3312644435791</v>
      </c>
    </row>
    <row r="41" spans="1:35" ht="5.25" customHeight="1" x14ac:dyDescent="0.2">
      <c r="A41" s="421"/>
      <c r="B41" s="282"/>
      <c r="C41" s="282"/>
      <c r="D41" s="282"/>
      <c r="E41" s="282"/>
      <c r="F41" s="282"/>
      <c r="U41" s="280"/>
      <c r="V41" s="280"/>
      <c r="W41" s="280"/>
      <c r="X41" s="280"/>
      <c r="Y41" s="280"/>
      <c r="Z41" s="280"/>
      <c r="AA41" s="280"/>
      <c r="AB41" s="280"/>
      <c r="AC41" s="111"/>
      <c r="AE41" s="280"/>
      <c r="AF41" s="280"/>
      <c r="AG41" s="280"/>
      <c r="AH41" s="280"/>
      <c r="AI41" s="424"/>
    </row>
    <row r="42" spans="1:35" x14ac:dyDescent="0.2">
      <c r="A42" s="421" t="s">
        <v>21</v>
      </c>
      <c r="B42" s="282"/>
      <c r="C42" s="282"/>
      <c r="D42" s="282"/>
      <c r="E42" s="282"/>
      <c r="F42" s="282"/>
      <c r="G42" s="280">
        <f>'Summary Balance Sheet'!F6</f>
        <v>80.168999999999997</v>
      </c>
      <c r="H42" s="280">
        <f ca="1">'Summary Balance Sheet'!H6</f>
        <v>-788.94134984423147</v>
      </c>
      <c r="I42" s="280">
        <f ca="1">'Summary Balance Sheet'!L6</f>
        <v>-3035.0987689098852</v>
      </c>
      <c r="J42" s="280">
        <f t="shared" ref="J42:AB42" ca="1" si="20">I46</f>
        <v>100.00000000000091</v>
      </c>
      <c r="K42" s="280">
        <f t="shared" ca="1" si="20"/>
        <v>100.00000000000091</v>
      </c>
      <c r="L42" s="280">
        <f t="shared" ca="1" si="20"/>
        <v>99.999999999999091</v>
      </c>
      <c r="M42" s="280">
        <f t="shared" ca="1" si="20"/>
        <v>99.999999999999091</v>
      </c>
      <c r="N42" s="280">
        <f t="shared" ca="1" si="20"/>
        <v>99.999999999999091</v>
      </c>
      <c r="O42" s="280">
        <f t="shared" ca="1" si="20"/>
        <v>100.00000000000051</v>
      </c>
      <c r="P42" s="280">
        <f t="shared" ca="1" si="20"/>
        <v>100.00000000000051</v>
      </c>
      <c r="Q42" s="280">
        <f t="shared" ca="1" si="20"/>
        <v>100.00000000000051</v>
      </c>
      <c r="R42" s="280">
        <f t="shared" ca="1" si="20"/>
        <v>100.00000000000051</v>
      </c>
      <c r="S42" s="280">
        <f t="shared" ca="1" si="20"/>
        <v>100.00000000000082</v>
      </c>
      <c r="T42" s="280">
        <f t="shared" ca="1" si="20"/>
        <v>99.999999999999687</v>
      </c>
      <c r="U42" s="280">
        <f t="shared" ca="1" si="20"/>
        <v>99.999999999999687</v>
      </c>
      <c r="V42" s="280">
        <f t="shared" ca="1" si="20"/>
        <v>99.999999999999687</v>
      </c>
      <c r="W42" s="280">
        <f t="shared" ca="1" si="20"/>
        <v>99.999999999999972</v>
      </c>
      <c r="X42" s="280">
        <f t="shared" ca="1" si="20"/>
        <v>99.999999999999972</v>
      </c>
      <c r="Y42" s="280">
        <f t="shared" ca="1" si="20"/>
        <v>99.999999999999972</v>
      </c>
      <c r="Z42" s="280">
        <f t="shared" ca="1" si="20"/>
        <v>99.999999999999972</v>
      </c>
      <c r="AA42" s="280">
        <f t="shared" ca="1" si="20"/>
        <v>99.999999999448761</v>
      </c>
      <c r="AB42" s="280">
        <f t="shared" ca="1" si="20"/>
        <v>101.00000008317207</v>
      </c>
      <c r="AC42" s="111"/>
      <c r="AD42" s="280">
        <f>'Summary Balance Sheet'!D6</f>
        <v>167.55699999999999</v>
      </c>
      <c r="AE42" s="280">
        <f ca="1">$I$42</f>
        <v>-3035.0987689098852</v>
      </c>
      <c r="AF42" s="280">
        <f ca="1">$M$42</f>
        <v>99.999999999999091</v>
      </c>
      <c r="AG42" s="280">
        <f ca="1">$Q$42</f>
        <v>100.00000000000051</v>
      </c>
      <c r="AH42" s="280">
        <f ca="1">$U$42</f>
        <v>99.999999999999687</v>
      </c>
      <c r="AI42" s="424">
        <f ca="1">$Y$42</f>
        <v>99.999999999999972</v>
      </c>
    </row>
    <row r="43" spans="1:35" x14ac:dyDescent="0.2">
      <c r="A43" s="421" t="s">
        <v>211</v>
      </c>
      <c r="B43" s="282"/>
      <c r="C43" s="282"/>
      <c r="D43" s="282"/>
      <c r="E43" s="282"/>
      <c r="F43" s="282"/>
      <c r="U43" s="280"/>
      <c r="V43" s="280"/>
      <c r="W43" s="280"/>
      <c r="X43" s="280"/>
      <c r="Y43" s="280"/>
      <c r="Z43" s="280"/>
      <c r="AA43" s="280"/>
      <c r="AB43" s="280"/>
      <c r="AC43" s="111"/>
      <c r="AD43" s="280">
        <f>-87</f>
        <v>-87</v>
      </c>
      <c r="AE43" s="280"/>
      <c r="AF43" s="280"/>
      <c r="AG43" s="280"/>
      <c r="AH43" s="280"/>
      <c r="AI43" s="424"/>
    </row>
    <row r="44" spans="1:35" ht="13.5" thickBot="1" x14ac:dyDescent="0.25">
      <c r="A44" s="425" t="s">
        <v>22</v>
      </c>
      <c r="B44" s="282"/>
      <c r="C44" s="282"/>
      <c r="D44" s="282"/>
      <c r="E44" s="282"/>
      <c r="F44" s="282"/>
      <c r="G44" s="430">
        <f t="shared" ref="G44:AB44" ca="1" si="21">+G22+G27+G40</f>
        <v>-869.11034984423145</v>
      </c>
      <c r="H44" s="430">
        <f t="shared" ca="1" si="21"/>
        <v>-2246.1574190656538</v>
      </c>
      <c r="I44" s="430">
        <f t="shared" ca="1" si="21"/>
        <v>3135.0987689098861</v>
      </c>
      <c r="J44" s="430">
        <f t="shared" ca="1" si="21"/>
        <v>0</v>
      </c>
      <c r="K44" s="430">
        <f t="shared" ca="1" si="21"/>
        <v>-1.8189894035458565E-12</v>
      </c>
      <c r="L44" s="430">
        <f t="shared" ca="1" si="21"/>
        <v>0</v>
      </c>
      <c r="M44" s="430">
        <f t="shared" ca="1" si="21"/>
        <v>0</v>
      </c>
      <c r="N44" s="430">
        <f t="shared" ca="1" si="21"/>
        <v>1.4210854715202004E-12</v>
      </c>
      <c r="O44" s="430">
        <f t="shared" ca="1" si="21"/>
        <v>0</v>
      </c>
      <c r="P44" s="430">
        <f t="shared" ca="1" si="21"/>
        <v>0</v>
      </c>
      <c r="Q44" s="430">
        <f t="shared" ca="1" si="21"/>
        <v>0</v>
      </c>
      <c r="R44" s="430">
        <f t="shared" ca="1" si="21"/>
        <v>3.1263880373444408E-13</v>
      </c>
      <c r="S44" s="430">
        <f t="shared" ca="1" si="21"/>
        <v>-1.1368683772161603E-12</v>
      </c>
      <c r="T44" s="430">
        <f t="shared" ca="1" si="21"/>
        <v>0</v>
      </c>
      <c r="U44" s="430">
        <f t="shared" ca="1" si="21"/>
        <v>0</v>
      </c>
      <c r="V44" s="430">
        <f t="shared" ca="1" si="21"/>
        <v>2.8421709430404007E-13</v>
      </c>
      <c r="W44" s="430">
        <f t="shared" ca="1" si="21"/>
        <v>0</v>
      </c>
      <c r="X44" s="430">
        <f t="shared" ca="1" si="21"/>
        <v>0</v>
      </c>
      <c r="Y44" s="430">
        <f t="shared" ca="1" si="21"/>
        <v>0</v>
      </c>
      <c r="Z44" s="430">
        <f t="shared" ca="1" si="21"/>
        <v>-8.0092377174878493E-11</v>
      </c>
      <c r="AA44" s="430">
        <f t="shared" ca="1" si="21"/>
        <v>1.0000000064280812</v>
      </c>
      <c r="AB44" s="430">
        <f t="shared" ca="1" si="21"/>
        <v>0.99999978550840751</v>
      </c>
      <c r="AC44" s="111"/>
      <c r="AD44" s="430">
        <f ca="1">SUMIF($G$5:$X$5,AD$5,$G44:$X44)</f>
        <v>-3115.2677689098855</v>
      </c>
      <c r="AE44" s="430">
        <f ca="1">SUMIF($G$5:$X$5,AE$5,$G44:$X44)</f>
        <v>3135.0987689098843</v>
      </c>
      <c r="AF44" s="430">
        <f ca="1">SUMIF($G$5:$X$5,AF$5,$G44:$X44)</f>
        <v>1.4210854715202004E-12</v>
      </c>
      <c r="AG44" s="430">
        <f ca="1">SUMIF($G$5:$X$5,AG$5,$G44:$X44)</f>
        <v>-8.2422957348171622E-13</v>
      </c>
      <c r="AH44" s="430">
        <f ca="1">SUMIF($G$5:$X$5,AH$5,$G44:$X44)</f>
        <v>2.8421709430404007E-13</v>
      </c>
      <c r="AI44" s="431">
        <f ca="1">SUMIF($G$5:$AH$5,AI$5,$G44:$AH44)</f>
        <v>1.9999997918563963</v>
      </c>
    </row>
    <row r="45" spans="1:35" ht="5.25" customHeight="1" x14ac:dyDescent="0.2">
      <c r="A45" s="421"/>
      <c r="B45" s="282"/>
      <c r="C45" s="282"/>
      <c r="D45" s="282"/>
      <c r="E45" s="282"/>
      <c r="F45" s="282"/>
      <c r="U45" s="280"/>
      <c r="V45" s="280"/>
      <c r="W45" s="280"/>
      <c r="X45" s="280"/>
      <c r="Y45" s="280"/>
      <c r="Z45" s="280"/>
      <c r="AA45" s="280"/>
      <c r="AB45" s="280"/>
      <c r="AC45" s="111"/>
      <c r="AE45" s="280"/>
      <c r="AF45" s="280"/>
      <c r="AG45" s="280"/>
      <c r="AH45" s="280"/>
      <c r="AI45" s="424"/>
    </row>
    <row r="46" spans="1:35" ht="13.5" thickBot="1" x14ac:dyDescent="0.25">
      <c r="A46" s="425" t="s">
        <v>23</v>
      </c>
      <c r="B46" s="282"/>
      <c r="C46" s="282"/>
      <c r="D46" s="282"/>
      <c r="E46" s="282"/>
      <c r="F46" s="282"/>
      <c r="G46" s="432">
        <f t="shared" ref="G46:AB46" ca="1" si="22">+G42+G44</f>
        <v>-788.94134984423147</v>
      </c>
      <c r="H46" s="432">
        <f t="shared" ca="1" si="22"/>
        <v>-3035.0987689098852</v>
      </c>
      <c r="I46" s="432">
        <f ca="1">+I42+I44</f>
        <v>100.00000000000091</v>
      </c>
      <c r="J46" s="432">
        <f ca="1">+J42+J44</f>
        <v>100.00000000000091</v>
      </c>
      <c r="K46" s="432">
        <f t="shared" ca="1" si="22"/>
        <v>99.999999999999091</v>
      </c>
      <c r="L46" s="432">
        <f t="shared" ca="1" si="22"/>
        <v>99.999999999999091</v>
      </c>
      <c r="M46" s="432">
        <f t="shared" ca="1" si="22"/>
        <v>99.999999999999091</v>
      </c>
      <c r="N46" s="432">
        <f t="shared" ca="1" si="22"/>
        <v>100.00000000000051</v>
      </c>
      <c r="O46" s="432">
        <f t="shared" ca="1" si="22"/>
        <v>100.00000000000051</v>
      </c>
      <c r="P46" s="432">
        <f t="shared" ca="1" si="22"/>
        <v>100.00000000000051</v>
      </c>
      <c r="Q46" s="432">
        <f t="shared" ca="1" si="22"/>
        <v>100.00000000000051</v>
      </c>
      <c r="R46" s="432">
        <f t="shared" ca="1" si="22"/>
        <v>100.00000000000082</v>
      </c>
      <c r="S46" s="432">
        <f t="shared" ca="1" si="22"/>
        <v>99.999999999999687</v>
      </c>
      <c r="T46" s="432">
        <f t="shared" ca="1" si="22"/>
        <v>99.999999999999687</v>
      </c>
      <c r="U46" s="432">
        <f t="shared" ca="1" si="22"/>
        <v>99.999999999999687</v>
      </c>
      <c r="V46" s="432">
        <f t="shared" ca="1" si="22"/>
        <v>99.999999999999972</v>
      </c>
      <c r="W46" s="432">
        <f t="shared" ca="1" si="22"/>
        <v>99.999999999999972</v>
      </c>
      <c r="X46" s="432">
        <f t="shared" ca="1" si="22"/>
        <v>99.999999999999972</v>
      </c>
      <c r="Y46" s="432">
        <f t="shared" ca="1" si="22"/>
        <v>99.999999999999972</v>
      </c>
      <c r="Z46" s="432">
        <f t="shared" ca="1" si="22"/>
        <v>99.999999999919879</v>
      </c>
      <c r="AA46" s="432">
        <f t="shared" ca="1" si="22"/>
        <v>101.00000000587684</v>
      </c>
      <c r="AB46" s="432">
        <f t="shared" ca="1" si="22"/>
        <v>101.99999986868048</v>
      </c>
      <c r="AC46" s="111"/>
      <c r="AD46" s="432">
        <f t="shared" ref="AD46:AI46" ca="1" si="23">SUM(AD42:AD44)</f>
        <v>-3034.7107689098857</v>
      </c>
      <c r="AE46" s="432">
        <f t="shared" ca="1" si="23"/>
        <v>99.999999999999091</v>
      </c>
      <c r="AF46" s="432">
        <f t="shared" ca="1" si="23"/>
        <v>100.00000000000051</v>
      </c>
      <c r="AG46" s="432">
        <f t="shared" ca="1" si="23"/>
        <v>99.999999999999687</v>
      </c>
      <c r="AH46" s="432">
        <f t="shared" ca="1" si="23"/>
        <v>99.999999999999972</v>
      </c>
      <c r="AI46" s="433">
        <f t="shared" ca="1" si="23"/>
        <v>101.99999979185637</v>
      </c>
    </row>
    <row r="47" spans="1:35" ht="14.25" thickTop="1" thickBot="1" x14ac:dyDescent="0.25">
      <c r="A47" s="434"/>
      <c r="B47" s="435"/>
      <c r="C47" s="435"/>
      <c r="D47" s="435"/>
      <c r="E47" s="435"/>
      <c r="F47" s="435" t="s">
        <v>24</v>
      </c>
      <c r="G47" s="430">
        <f ca="1">G46-'Summary Balance Sheet'!H6</f>
        <v>0</v>
      </c>
      <c r="H47" s="430">
        <f ca="1">H46-'Summary Balance Sheet'!L6</f>
        <v>0</v>
      </c>
      <c r="I47" s="430">
        <f ca="1">I46-'Summary Balance Sheet'!M6</f>
        <v>0</v>
      </c>
      <c r="J47" s="430">
        <f ca="1">J46-'Summary Balance Sheet'!N6</f>
        <v>0</v>
      </c>
      <c r="K47" s="430">
        <f ca="1">K46-'Summary Balance Sheet'!O6</f>
        <v>0</v>
      </c>
      <c r="L47" s="430">
        <f ca="1">L46-'Summary Balance Sheet'!P6</f>
        <v>0</v>
      </c>
      <c r="M47" s="430">
        <f ca="1">M46-'Summary Balance Sheet'!Q6</f>
        <v>0</v>
      </c>
      <c r="N47" s="430">
        <f ca="1">N46-'Summary Balance Sheet'!R6</f>
        <v>0</v>
      </c>
      <c r="O47" s="430">
        <f ca="1">O46-'Summary Balance Sheet'!S6</f>
        <v>0</v>
      </c>
      <c r="P47" s="430">
        <f ca="1">P46-'Summary Balance Sheet'!T6</f>
        <v>0</v>
      </c>
      <c r="Q47" s="430">
        <f ca="1">Q46-'Summary Balance Sheet'!U6</f>
        <v>0</v>
      </c>
      <c r="R47" s="430">
        <f ca="1">R46-'Summary Balance Sheet'!V6</f>
        <v>0</v>
      </c>
      <c r="S47" s="430">
        <f ca="1">S46-'Summary Balance Sheet'!W6</f>
        <v>0</v>
      </c>
      <c r="T47" s="430">
        <f ca="1">T46-'Summary Balance Sheet'!X6</f>
        <v>0</v>
      </c>
      <c r="U47" s="430">
        <f ca="1">U46-'Summary Balance Sheet'!Y6</f>
        <v>0</v>
      </c>
      <c r="V47" s="430">
        <f ca="1">V46-'Summary Balance Sheet'!Z6</f>
        <v>0</v>
      </c>
      <c r="W47" s="430">
        <f ca="1">W46-'Summary Balance Sheet'!AA6</f>
        <v>0</v>
      </c>
      <c r="X47" s="430">
        <f ca="1">X46-'Summary Balance Sheet'!AB6</f>
        <v>0</v>
      </c>
      <c r="Y47" s="430">
        <f ca="1">Y46-'Summary Balance Sheet'!AC6</f>
        <v>0</v>
      </c>
      <c r="Z47" s="430">
        <f ca="1">Z46-'Summary Balance Sheet'!AD6</f>
        <v>4.7111825551837683E-10</v>
      </c>
      <c r="AA47" s="430">
        <f ca="1">AA46-'Summary Balance Sheet'!AE6</f>
        <v>-7.7295226219575852E-8</v>
      </c>
      <c r="AB47" s="430">
        <f ca="1">AB46-'Summary Balance Sheet'!AF6</f>
        <v>6.9536911837531079E-6</v>
      </c>
      <c r="AC47" s="184"/>
      <c r="AD47" s="430">
        <f ca="1">AD46-H46</f>
        <v>0.38799999999946522</v>
      </c>
      <c r="AE47" s="430">
        <f ca="1">AE46-L46</f>
        <v>0</v>
      </c>
      <c r="AF47" s="430">
        <f ca="1">AF46-P46</f>
        <v>0</v>
      </c>
      <c r="AG47" s="430">
        <f ca="1">AG46-T46</f>
        <v>0</v>
      </c>
      <c r="AH47" s="430">
        <f ca="1">AH46-X46</f>
        <v>0</v>
      </c>
      <c r="AI47" s="431">
        <v>0</v>
      </c>
    </row>
    <row r="51" spans="1:1" x14ac:dyDescent="0.2">
      <c r="A51" s="436"/>
    </row>
  </sheetData>
  <pageMargins left="0.25" right="0.25" top="0.75" bottom="0.75" header="0.3" footer="0.3"/>
  <pageSetup scale="31" fitToHeight="0" orientation="landscape" r:id="rId1"/>
  <colBreaks count="1" manualBreakCount="1">
    <brk id="16"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7"/>
  <sheetViews>
    <sheetView showGridLines="0" zoomScale="80" zoomScaleNormal="80" zoomScaleSheetLayoutView="70" zoomScalePageLayoutView="80" workbookViewId="0">
      <pane xSplit="1" ySplit="11" topLeftCell="B12" activePane="bottomRight" state="frozen"/>
      <selection activeCell="AJ9" sqref="AJ9"/>
      <selection pane="topRight" activeCell="AJ9" sqref="AJ9"/>
      <selection pane="bottomLeft" activeCell="AJ9" sqref="AJ9"/>
      <selection pane="bottomRight" activeCell="A59" sqref="A59"/>
    </sheetView>
  </sheetViews>
  <sheetFormatPr defaultColWidth="8.85546875" defaultRowHeight="12.75" outlineLevelRow="1" x14ac:dyDescent="0.2"/>
  <cols>
    <col min="1" max="1" width="47" style="106" customWidth="1"/>
    <col min="2" max="2" width="11.85546875" style="229" bestFit="1" customWidth="1"/>
    <col min="3" max="3" width="10.85546875" style="229" bestFit="1" customWidth="1"/>
    <col min="4" max="4" width="11.28515625" style="229" bestFit="1" customWidth="1"/>
    <col min="5" max="16384" width="8.85546875" style="229"/>
  </cols>
  <sheetData>
    <row r="1" spans="1:4" ht="15.75" x14ac:dyDescent="0.25">
      <c r="A1" s="390" t="str">
        <f>'Valuation &amp; Sources &amp; Uses'!B2</f>
        <v>Colorado Timberline</v>
      </c>
      <c r="B1" s="391"/>
      <c r="C1" s="391"/>
      <c r="D1" s="391"/>
    </row>
    <row r="2" spans="1:4" ht="15.75" x14ac:dyDescent="0.25">
      <c r="A2" s="392" t="s">
        <v>361</v>
      </c>
    </row>
    <row r="3" spans="1:4" ht="15.75" x14ac:dyDescent="0.25">
      <c r="A3" s="392" t="str">
        <f>Economics!$A$3</f>
        <v>Financial Model_v12 - Term + Mezzanine</v>
      </c>
    </row>
    <row r="4" spans="1:4" ht="15.75" x14ac:dyDescent="0.25">
      <c r="A4" s="392"/>
      <c r="B4" s="393"/>
      <c r="C4" s="393"/>
      <c r="D4" s="393"/>
    </row>
    <row r="5" spans="1:4" ht="15.75" x14ac:dyDescent="0.25">
      <c r="A5" s="394" t="s">
        <v>396</v>
      </c>
      <c r="B5" s="395">
        <f>SUM('Valuation &amp; Sources &amp; Uses'!L8,'Valuation &amp; Sources &amp; Uses'!L16)</f>
        <v>21263.033552881352</v>
      </c>
      <c r="C5" s="393"/>
      <c r="D5" s="393"/>
    </row>
    <row r="6" spans="1:4" ht="15.75" x14ac:dyDescent="0.25">
      <c r="A6" s="396" t="s">
        <v>407</v>
      </c>
      <c r="B6" s="397">
        <f>SUM(B41,'Valuation &amp; Sources &amp; Uses'!L17)</f>
        <v>8471.7090627518664</v>
      </c>
      <c r="C6" s="393"/>
      <c r="D6" s="393"/>
    </row>
    <row r="7" spans="1:4" ht="15.75" x14ac:dyDescent="0.25">
      <c r="A7" s="392" t="s">
        <v>397</v>
      </c>
      <c r="B7" s="395">
        <f>SUM(B5:B6)</f>
        <v>29734.742615633219</v>
      </c>
      <c r="C7" s="393"/>
      <c r="D7" s="393"/>
    </row>
    <row r="8" spans="1:4" ht="15.75" x14ac:dyDescent="0.25">
      <c r="A8" s="392"/>
      <c r="B8" s="398"/>
      <c r="C8" s="398"/>
      <c r="D8" s="393">
        <f>MONTH(D11)</f>
        <v>6</v>
      </c>
    </row>
    <row r="9" spans="1:4" ht="15.75" x14ac:dyDescent="0.25">
      <c r="A9" s="392"/>
      <c r="B9" s="393">
        <v>2015</v>
      </c>
      <c r="C9" s="393"/>
      <c r="D9" s="393">
        <f>YEAR(D11)</f>
        <v>2015</v>
      </c>
    </row>
    <row r="10" spans="1:4" s="106" customFormat="1" ht="15.75" x14ac:dyDescent="0.25">
      <c r="A10" s="399"/>
      <c r="B10" s="400" t="s">
        <v>314</v>
      </c>
      <c r="C10" s="401"/>
      <c r="D10" s="400" t="s">
        <v>363</v>
      </c>
    </row>
    <row r="11" spans="1:4" s="106" customFormat="1" ht="15.75" x14ac:dyDescent="0.25">
      <c r="A11" s="399"/>
      <c r="B11" s="402">
        <v>42185</v>
      </c>
      <c r="C11" s="402" t="s">
        <v>364</v>
      </c>
      <c r="D11" s="402">
        <f>B11</f>
        <v>42185</v>
      </c>
    </row>
    <row r="12" spans="1:4" s="106" customFormat="1" ht="15.75" x14ac:dyDescent="0.25">
      <c r="A12" s="399" t="str">
        <f>'Summary Balance Sheet'!A6</f>
        <v>Cash</v>
      </c>
      <c r="B12" s="403">
        <f ca="1">'Summary Balance Sheet'!H6</f>
        <v>-788.94134984423147</v>
      </c>
      <c r="C12" s="403">
        <v>0</v>
      </c>
      <c r="D12" s="403">
        <f ca="1">SUM(B12:C12)</f>
        <v>-788.94134984423147</v>
      </c>
    </row>
    <row r="13" spans="1:4" s="106" customFormat="1" ht="15.75" x14ac:dyDescent="0.25">
      <c r="A13" s="399" t="str">
        <f>'Summary Balance Sheet'!A7</f>
        <v>Accounts Receivable</v>
      </c>
      <c r="B13" s="403">
        <f>'Summary Balance Sheet'!H7</f>
        <v>4036.2239836956519</v>
      </c>
      <c r="C13" s="403">
        <v>0</v>
      </c>
      <c r="D13" s="403">
        <f>SUM(B13:C13)</f>
        <v>4036.2239836956519</v>
      </c>
    </row>
    <row r="14" spans="1:4" s="106" customFormat="1" ht="15.75" x14ac:dyDescent="0.25">
      <c r="A14" s="399" t="str">
        <f>'Summary Balance Sheet'!A8</f>
        <v>Inventories</v>
      </c>
      <c r="B14" s="403">
        <f>'Summary Balance Sheet'!H8</f>
        <v>10800.676633014002</v>
      </c>
      <c r="C14" s="403">
        <v>0</v>
      </c>
      <c r="D14" s="403">
        <f>SUM(B14:C14)</f>
        <v>10800.676633014002</v>
      </c>
    </row>
    <row r="15" spans="1:4" s="106" customFormat="1" ht="15.75" x14ac:dyDescent="0.25">
      <c r="A15" s="399" t="str">
        <f>'Summary Balance Sheet'!A9</f>
        <v>Other Receivables</v>
      </c>
      <c r="B15" s="403">
        <f>'Summary Balance Sheet'!H9</f>
        <v>552.80532913491527</v>
      </c>
      <c r="C15" s="403"/>
      <c r="D15" s="403">
        <f>SUM(B15:C15)</f>
        <v>552.80532913491527</v>
      </c>
    </row>
    <row r="16" spans="1:4" s="106" customFormat="1" ht="18" x14ac:dyDescent="0.4">
      <c r="A16" s="399" t="str">
        <f>'Summary Balance Sheet'!A10</f>
        <v>Prepaid Expenses</v>
      </c>
      <c r="B16" s="404">
        <f>'Summary Balance Sheet'!H10</f>
        <v>543.69150163999984</v>
      </c>
      <c r="C16" s="404">
        <v>0</v>
      </c>
      <c r="D16" s="404">
        <f>SUM(B16:C16)</f>
        <v>543.69150163999984</v>
      </c>
    </row>
    <row r="17" spans="1:4" ht="15.75" x14ac:dyDescent="0.25">
      <c r="A17" s="405" t="s">
        <v>121</v>
      </c>
      <c r="B17" s="398">
        <f ca="1">SUM(B12:B16)</f>
        <v>15144.456097640337</v>
      </c>
      <c r="C17" s="398">
        <f>SUM(C12:C16)</f>
        <v>0</v>
      </c>
      <c r="D17" s="398">
        <f ca="1">SUM(D12:D16)</f>
        <v>15144.456097640337</v>
      </c>
    </row>
    <row r="18" spans="1:4" ht="15.75" x14ac:dyDescent="0.25">
      <c r="A18" s="399"/>
      <c r="B18" s="398"/>
      <c r="C18" s="398"/>
      <c r="D18" s="398"/>
    </row>
    <row r="19" spans="1:4" ht="15.75" hidden="1" outlineLevel="1" x14ac:dyDescent="0.25">
      <c r="A19" s="399"/>
      <c r="B19" s="398">
        <f>'Summary Balance Sheet'!H13</f>
        <v>0</v>
      </c>
      <c r="C19" s="398"/>
      <c r="D19" s="398"/>
    </row>
    <row r="20" spans="1:4" ht="15.75" hidden="1" outlineLevel="1" x14ac:dyDescent="0.25">
      <c r="A20" s="399"/>
      <c r="B20" s="398">
        <f>'Summary Balance Sheet'!H14</f>
        <v>0</v>
      </c>
      <c r="C20" s="398"/>
      <c r="D20" s="398"/>
    </row>
    <row r="21" spans="1:4" ht="15.75" hidden="1" outlineLevel="1" x14ac:dyDescent="0.25">
      <c r="A21" s="399"/>
      <c r="B21" s="398">
        <f>'Summary Balance Sheet'!H15</f>
        <v>0</v>
      </c>
      <c r="C21" s="398"/>
      <c r="D21" s="398"/>
    </row>
    <row r="22" spans="1:4" ht="15.75" hidden="1" outlineLevel="1" x14ac:dyDescent="0.25">
      <c r="A22" s="399"/>
      <c r="B22" s="398">
        <f>'Summary Balance Sheet'!H16</f>
        <v>0</v>
      </c>
      <c r="C22" s="398"/>
      <c r="D22" s="398"/>
    </row>
    <row r="23" spans="1:4" ht="15.75" hidden="1" outlineLevel="1" x14ac:dyDescent="0.25">
      <c r="A23" s="399"/>
      <c r="B23" s="398">
        <f>'Summary Balance Sheet'!H17</f>
        <v>0</v>
      </c>
      <c r="C23" s="398"/>
      <c r="D23" s="398"/>
    </row>
    <row r="24" spans="1:4" ht="15.75" hidden="1" outlineLevel="1" x14ac:dyDescent="0.25">
      <c r="A24" s="399"/>
      <c r="B24" s="398">
        <f>'Summary Balance Sheet'!H18</f>
        <v>0</v>
      </c>
      <c r="C24" s="398"/>
      <c r="D24" s="398"/>
    </row>
    <row r="25" spans="1:4" ht="15.75" hidden="1" outlineLevel="1" x14ac:dyDescent="0.25">
      <c r="A25" s="399"/>
      <c r="B25" s="398">
        <f>'Summary Balance Sheet'!H19</f>
        <v>0</v>
      </c>
      <c r="C25" s="398"/>
      <c r="D25" s="398"/>
    </row>
    <row r="26" spans="1:4" ht="15.75" hidden="1" outlineLevel="1" x14ac:dyDescent="0.25">
      <c r="A26" s="399"/>
      <c r="B26" s="398">
        <f>'Summary Balance Sheet'!H20</f>
        <v>0</v>
      </c>
      <c r="C26" s="398"/>
      <c r="D26" s="398"/>
    </row>
    <row r="27" spans="1:4" ht="15.75" hidden="1" outlineLevel="1" x14ac:dyDescent="0.25">
      <c r="A27" s="399"/>
      <c r="B27" s="406">
        <f>'Summary Balance Sheet'!H21</f>
        <v>0</v>
      </c>
      <c r="C27" s="406"/>
      <c r="D27" s="406"/>
    </row>
    <row r="28" spans="1:4" ht="15.75" collapsed="1" x14ac:dyDescent="0.25">
      <c r="A28" s="399" t="s">
        <v>366</v>
      </c>
      <c r="B28" s="398">
        <f ca="1">'Summary Balance Sheet'!H22</f>
        <v>15101.613042500001</v>
      </c>
      <c r="C28" s="407">
        <f ca="1">B30-B28+5000</f>
        <v>-1169.9210000000003</v>
      </c>
      <c r="D28" s="398">
        <f ca="1">SUM(B28:C28)</f>
        <v>13931.692042500001</v>
      </c>
    </row>
    <row r="29" spans="1:4" ht="15.75" x14ac:dyDescent="0.25">
      <c r="A29" s="399" t="s">
        <v>367</v>
      </c>
      <c r="B29" s="406">
        <f>'Summary Balance Sheet'!H23</f>
        <v>-6169.9210000000003</v>
      </c>
      <c r="C29" s="406">
        <f>-B29</f>
        <v>6169.9210000000003</v>
      </c>
      <c r="D29" s="406">
        <f>SUM(B29:C29)</f>
        <v>0</v>
      </c>
    </row>
    <row r="30" spans="1:4" ht="15.75" x14ac:dyDescent="0.25">
      <c r="A30" s="405" t="s">
        <v>199</v>
      </c>
      <c r="B30" s="398">
        <f ca="1">SUM(B28:B29)</f>
        <v>8931.6920425000008</v>
      </c>
      <c r="C30" s="398">
        <f ca="1">SUM(C28:C29)</f>
        <v>5000</v>
      </c>
      <c r="D30" s="398">
        <f ca="1">SUM(D28:D29)</f>
        <v>13931.692042500001</v>
      </c>
    </row>
    <row r="31" spans="1:4" ht="15.75" x14ac:dyDescent="0.25">
      <c r="A31" s="399"/>
      <c r="B31" s="398"/>
      <c r="C31" s="398"/>
      <c r="D31" s="398"/>
    </row>
    <row r="32" spans="1:4" ht="15.75" x14ac:dyDescent="0.25">
      <c r="A32" s="399" t="s">
        <v>369</v>
      </c>
      <c r="B32" s="398">
        <f>'Summary Balance Sheet'!H26</f>
        <v>217.16236000000001</v>
      </c>
      <c r="C32" s="398">
        <v>0</v>
      </c>
      <c r="D32" s="398">
        <f>SUM(B32:C32)</f>
        <v>217.16236000000001</v>
      </c>
    </row>
    <row r="33" spans="1:4" ht="15.75" x14ac:dyDescent="0.25">
      <c r="A33" s="399" t="s">
        <v>205</v>
      </c>
      <c r="B33" s="398">
        <f>'Summary Balance Sheet'!H27</f>
        <v>0</v>
      </c>
      <c r="C33" s="398">
        <f ca="1">B7-B35-C30</f>
        <v>441.43211549288026</v>
      </c>
      <c r="D33" s="398">
        <f ca="1">SUM(B33:C33)</f>
        <v>441.43211549288026</v>
      </c>
    </row>
    <row r="34" spans="1:4" ht="15.75" x14ac:dyDescent="0.25">
      <c r="A34" s="399" t="s">
        <v>368</v>
      </c>
      <c r="B34" s="398">
        <f>'Summary Balance Sheet'!H28</f>
        <v>0</v>
      </c>
      <c r="C34" s="398">
        <v>0</v>
      </c>
      <c r="D34" s="398">
        <v>0</v>
      </c>
    </row>
    <row r="35" spans="1:4" ht="16.5" thickBot="1" x14ac:dyDescent="0.3">
      <c r="A35" s="405" t="s">
        <v>370</v>
      </c>
      <c r="B35" s="408">
        <f ca="1">SUM(B32:B34,B30,B17)</f>
        <v>24293.310500140338</v>
      </c>
      <c r="C35" s="408">
        <f ca="1">SUM(C17,C30,C32:C34)</f>
        <v>5441.4321154928803</v>
      </c>
      <c r="D35" s="408">
        <f ca="1">SUM(D17,D30,D32:D34)</f>
        <v>29734.742615633215</v>
      </c>
    </row>
    <row r="36" spans="1:4" ht="16.5" thickTop="1" x14ac:dyDescent="0.25">
      <c r="A36" s="399"/>
      <c r="B36" s="398"/>
      <c r="C36" s="398"/>
      <c r="D36" s="398"/>
    </row>
    <row r="37" spans="1:4" ht="15.75" x14ac:dyDescent="0.25">
      <c r="A37" s="399" t="str">
        <f>'Summary Balance Sheet'!A31</f>
        <v>A/P Trade</v>
      </c>
      <c r="B37" s="398">
        <f>'Summary Balance Sheet'!H31</f>
        <v>3780.2368215549009</v>
      </c>
      <c r="C37" s="398">
        <v>0</v>
      </c>
      <c r="D37" s="398">
        <f>SUM(B37:C37)</f>
        <v>3780.2368215549009</v>
      </c>
    </row>
    <row r="38" spans="1:4" ht="15.75" outlineLevel="1" x14ac:dyDescent="0.25">
      <c r="A38" s="399" t="str">
        <f>'Summary Balance Sheet'!A32</f>
        <v>Income Tax Payable</v>
      </c>
      <c r="B38" s="398">
        <f>'Summary Balance Sheet'!H32</f>
        <v>65.670488976271173</v>
      </c>
      <c r="C38" s="398">
        <v>0</v>
      </c>
      <c r="D38" s="398">
        <f>SUM(B38:C38)</f>
        <v>65.670488976271173</v>
      </c>
    </row>
    <row r="39" spans="1:4" ht="15.75" outlineLevel="1" x14ac:dyDescent="0.25">
      <c r="A39" s="399" t="str">
        <f>'Summary Balance Sheet'!A33</f>
        <v>Accrued Liabilities</v>
      </c>
      <c r="B39" s="398">
        <f>'Summary Balance Sheet'!H33</f>
        <v>531.50275222069536</v>
      </c>
      <c r="C39" s="398">
        <v>0</v>
      </c>
      <c r="D39" s="398">
        <f>SUM(B39:C39)</f>
        <v>531.50275222069536</v>
      </c>
    </row>
    <row r="40" spans="1:4" s="174" customFormat="1" ht="18" outlineLevel="1" x14ac:dyDescent="0.4">
      <c r="A40" s="399" t="str">
        <f>'Summary Balance Sheet'!A34</f>
        <v>Deferred Tax Liability</v>
      </c>
      <c r="B40" s="409">
        <f>'Summary Balance Sheet'!H34</f>
        <v>2094.299</v>
      </c>
      <c r="C40" s="409">
        <f>-B40</f>
        <v>-2094.299</v>
      </c>
      <c r="D40" s="409">
        <f>SUM(B40:C40)</f>
        <v>0</v>
      </c>
    </row>
    <row r="41" spans="1:4" ht="15.75" x14ac:dyDescent="0.25">
      <c r="A41" s="405" t="s">
        <v>372</v>
      </c>
      <c r="B41" s="398">
        <f>SUM(B37:B40)</f>
        <v>6471.7090627518674</v>
      </c>
      <c r="C41" s="398">
        <f>SUM(C37:C40)</f>
        <v>-2094.299</v>
      </c>
      <c r="D41" s="398">
        <f>SUM(D37:D40)</f>
        <v>4377.4100627518674</v>
      </c>
    </row>
    <row r="42" spans="1:4" ht="15.75" x14ac:dyDescent="0.25">
      <c r="A42" s="399"/>
      <c r="B42" s="398"/>
      <c r="C42" s="398"/>
      <c r="D42" s="398"/>
    </row>
    <row r="43" spans="1:4" ht="15.75" x14ac:dyDescent="0.25">
      <c r="A43" s="399" t="s">
        <v>375</v>
      </c>
      <c r="B43" s="398">
        <f>'Summary Balance Sheet'!H37</f>
        <v>10139.659820000001</v>
      </c>
      <c r="C43" s="398">
        <f>-B43</f>
        <v>-10139.659820000001</v>
      </c>
      <c r="D43" s="398">
        <f>SUM(B43:C43)</f>
        <v>0</v>
      </c>
    </row>
    <row r="44" spans="1:4" ht="15.75" x14ac:dyDescent="0.25">
      <c r="A44" s="399" t="s">
        <v>376</v>
      </c>
      <c r="B44" s="398">
        <f>'Summary Balance Sheet'!H38</f>
        <v>0</v>
      </c>
      <c r="C44" s="398">
        <v>0</v>
      </c>
      <c r="D44" s="398">
        <f>SUM(B44:C44)</f>
        <v>0</v>
      </c>
    </row>
    <row r="45" spans="1:4" ht="15.75" x14ac:dyDescent="0.25">
      <c r="A45" s="399" t="s">
        <v>377</v>
      </c>
      <c r="B45" s="398">
        <f>'Summary Balance Sheet'!H39</f>
        <v>0</v>
      </c>
      <c r="C45" s="398">
        <v>0</v>
      </c>
      <c r="D45" s="398">
        <f>SUM(B45:C45)</f>
        <v>0</v>
      </c>
    </row>
    <row r="46" spans="1:4" ht="18" x14ac:dyDescent="0.4">
      <c r="A46" s="399" t="s">
        <v>404</v>
      </c>
      <c r="B46" s="409">
        <f>'Summary Balance Sheet'!H41</f>
        <v>0</v>
      </c>
      <c r="C46" s="409">
        <f>'Valuation &amp; Sources &amp; Uses'!I17</f>
        <v>2000</v>
      </c>
      <c r="D46" s="409">
        <f>SUM(B46:C46)</f>
        <v>2000</v>
      </c>
    </row>
    <row r="47" spans="1:4" ht="15.75" x14ac:dyDescent="0.25">
      <c r="A47" s="399" t="s">
        <v>2</v>
      </c>
      <c r="B47" s="398">
        <f>SUM(B43:B46,B41)</f>
        <v>16611.368882751867</v>
      </c>
      <c r="C47" s="398">
        <f>SUM(C43:C46,C41)</f>
        <v>-10233.95882</v>
      </c>
      <c r="D47" s="398">
        <f>SUM(D43:D46,D41)</f>
        <v>6377.4100627518674</v>
      </c>
    </row>
    <row r="48" spans="1:4" ht="15.75" x14ac:dyDescent="0.25">
      <c r="A48" s="399"/>
      <c r="B48" s="398"/>
      <c r="C48" s="398"/>
      <c r="D48" s="398"/>
    </row>
    <row r="49" spans="1:4" ht="15.75" x14ac:dyDescent="0.25">
      <c r="A49" s="399" t="str">
        <f>'Summary Balance Sheet'!A44</f>
        <v>Common Stock + APIC</v>
      </c>
      <c r="B49" s="398">
        <f>'Summary Balance Sheet'!H44</f>
        <v>54.5</v>
      </c>
      <c r="C49" s="410">
        <f ca="1">D49-B49</f>
        <v>15675.389825492879</v>
      </c>
      <c r="D49" s="398">
        <f ca="1">D35-D47-D53-D50</f>
        <v>15729.889825492879</v>
      </c>
    </row>
    <row r="50" spans="1:4" ht="15.75" x14ac:dyDescent="0.25">
      <c r="A50" s="399" t="str">
        <f>'Summary Balance Sheet'!A45</f>
        <v>Special Distributions</v>
      </c>
      <c r="B50" s="398">
        <f>'Summary Balance Sheet'!H45</f>
        <v>0</v>
      </c>
      <c r="C50" s="398">
        <v>0</v>
      </c>
      <c r="D50" s="398">
        <v>0</v>
      </c>
    </row>
    <row r="51" spans="1:4" ht="15.75" x14ac:dyDescent="0.25">
      <c r="A51" s="399" t="str">
        <f>'Summary Balance Sheet'!A46</f>
        <v>Tax Distributions</v>
      </c>
      <c r="B51" s="398">
        <f>'Summary Balance Sheet'!H46</f>
        <v>0</v>
      </c>
      <c r="C51" s="398">
        <v>0</v>
      </c>
      <c r="D51" s="398">
        <v>0</v>
      </c>
    </row>
    <row r="52" spans="1:4" ht="15.75" x14ac:dyDescent="0.25">
      <c r="A52" s="399" t="str">
        <f>'Summary Balance Sheet'!A47</f>
        <v>Management Fee Distributions</v>
      </c>
      <c r="B52" s="398">
        <f>'Summary Balance Sheet'!H47</f>
        <v>0</v>
      </c>
      <c r="C52" s="398">
        <v>0</v>
      </c>
      <c r="D52" s="398">
        <v>0</v>
      </c>
    </row>
    <row r="53" spans="1:4" ht="15.75" x14ac:dyDescent="0.25">
      <c r="A53" s="399" t="str">
        <f>'Summary Balance Sheet'!A48</f>
        <v>Retained earnings</v>
      </c>
      <c r="B53" s="406">
        <f ca="1">'Summary Balance Sheet'!H48</f>
        <v>7627.4427273884694</v>
      </c>
      <c r="C53" s="406">
        <v>0</v>
      </c>
      <c r="D53" s="406">
        <f ca="1">SUM(B53:C53)</f>
        <v>7627.4427273884694</v>
      </c>
    </row>
    <row r="54" spans="1:4" ht="15.75" x14ac:dyDescent="0.25">
      <c r="A54" s="405" t="s">
        <v>3</v>
      </c>
      <c r="B54" s="398">
        <f ca="1">SUM(B49:B53)</f>
        <v>7681.9427273884694</v>
      </c>
      <c r="C54" s="398">
        <f ca="1">SUM(C49:C53)</f>
        <v>15675.389825492879</v>
      </c>
      <c r="D54" s="398">
        <f ca="1">SUM(D49:D53)</f>
        <v>23357.332552881348</v>
      </c>
    </row>
    <row r="55" spans="1:4" ht="16.5" thickBot="1" x14ac:dyDescent="0.3">
      <c r="A55" s="405" t="s">
        <v>374</v>
      </c>
      <c r="B55" s="411">
        <f ca="1">B54+B47</f>
        <v>24293.311610140336</v>
      </c>
      <c r="C55" s="411">
        <f ca="1">C54+C47</f>
        <v>5441.4310054928792</v>
      </c>
      <c r="D55" s="411">
        <f ca="1">D54+D47</f>
        <v>29734.742615633215</v>
      </c>
    </row>
    <row r="56" spans="1:4" ht="17.25" thickTop="1" thickBot="1" x14ac:dyDescent="0.3">
      <c r="A56" s="412" t="s">
        <v>24</v>
      </c>
      <c r="B56" s="413">
        <v>0</v>
      </c>
      <c r="C56" s="413">
        <v>0</v>
      </c>
      <c r="D56" s="413">
        <f ca="1">ROUND(D35-D55,0)</f>
        <v>0</v>
      </c>
    </row>
    <row r="57" spans="1:4" x14ac:dyDescent="0.2">
      <c r="A57" s="125"/>
      <c r="B57" s="174"/>
      <c r="C57" s="174"/>
      <c r="D57" s="174"/>
    </row>
  </sheetData>
  <pageMargins left="0.25" right="0.25" top="0.75" bottom="0.75" header="0.3" footer="0.3"/>
  <pageSetup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G47"/>
  <sheetViews>
    <sheetView showGridLines="0" zoomScale="85" zoomScaleNormal="85" zoomScaleSheetLayoutView="100" zoomScalePageLayoutView="85" workbookViewId="0">
      <pane xSplit="6" ySplit="7" topLeftCell="G8" activePane="bottomRight" state="frozen"/>
      <selection activeCell="AJ9" sqref="AJ9"/>
      <selection pane="topRight" activeCell="AJ9" sqref="AJ9"/>
      <selection pane="bottomLeft" activeCell="AJ9" sqref="AJ9"/>
      <selection pane="bottomRight" activeCell="O32" sqref="O32"/>
    </sheetView>
  </sheetViews>
  <sheetFormatPr defaultColWidth="14.42578125" defaultRowHeight="14.1" customHeight="1" x14ac:dyDescent="0.2"/>
  <cols>
    <col min="1" max="5" width="2.85546875" style="354" customWidth="1"/>
    <col min="6" max="6" width="27" style="354" bestFit="1" customWidth="1"/>
    <col min="7" max="29" width="13.28515625" style="354" customWidth="1"/>
    <col min="30" max="16384" width="14.42578125" style="354"/>
  </cols>
  <sheetData>
    <row r="1" spans="1:33" ht="14.1" customHeight="1" x14ac:dyDescent="0.2">
      <c r="A1" s="227" t="str">
        <f>'Valuation &amp; Sources &amp; Uses'!B2</f>
        <v>Colorado Timberline</v>
      </c>
      <c r="B1" s="352"/>
      <c r="C1" s="352"/>
      <c r="D1" s="352"/>
      <c r="E1" s="352"/>
      <c r="F1" s="352"/>
      <c r="G1" s="352"/>
      <c r="H1" s="352"/>
      <c r="I1" s="353"/>
      <c r="J1" s="353"/>
      <c r="K1" s="353"/>
      <c r="L1" s="353"/>
      <c r="M1" s="353"/>
      <c r="N1" s="353"/>
    </row>
    <row r="2" spans="1:33" ht="14.1" customHeight="1" x14ac:dyDescent="0.2">
      <c r="A2" s="230" t="str">
        <f ca="1">REPLACE(CELL("filename",B2),1,FIND("]",CELL("filename",B2)),"")</f>
        <v>BS Assumptions</v>
      </c>
      <c r="B2" s="355"/>
      <c r="C2" s="355"/>
      <c r="D2" s="355"/>
      <c r="E2" s="355"/>
      <c r="F2" s="355"/>
      <c r="G2" s="355"/>
      <c r="H2" s="355"/>
      <c r="I2" s="353"/>
      <c r="J2" s="353"/>
      <c r="K2" s="353"/>
      <c r="L2" s="353"/>
      <c r="M2" s="353"/>
      <c r="N2" s="353"/>
    </row>
    <row r="3" spans="1:33" ht="14.1" customHeight="1" x14ac:dyDescent="0.2">
      <c r="A3" s="230" t="str">
        <f>'Valuation &amp; Sources &amp; Uses'!B4</f>
        <v>Financial Model_v12 - Term + Mezzanine</v>
      </c>
      <c r="B3" s="355"/>
      <c r="C3" s="355"/>
      <c r="D3" s="355"/>
      <c r="E3" s="355"/>
      <c r="F3" s="355"/>
      <c r="G3" s="355"/>
      <c r="H3" s="355"/>
      <c r="I3" s="356">
        <f>2.7*3</f>
        <v>8.1000000000000014</v>
      </c>
      <c r="J3" s="353"/>
      <c r="K3" s="353"/>
      <c r="L3" s="353"/>
      <c r="M3" s="353"/>
      <c r="N3" s="353"/>
    </row>
    <row r="4" spans="1:33" ht="14.1" customHeight="1" x14ac:dyDescent="0.2">
      <c r="A4" s="357"/>
      <c r="B4" s="355"/>
      <c r="C4" s="355"/>
      <c r="D4" s="355"/>
      <c r="E4" s="355"/>
      <c r="F4" s="355"/>
      <c r="G4" s="355"/>
      <c r="H4" s="355"/>
      <c r="I4" s="353"/>
      <c r="J4" s="358">
        <v>1</v>
      </c>
      <c r="K4" s="358">
        <v>2</v>
      </c>
      <c r="L4" s="358">
        <v>3</v>
      </c>
      <c r="M4" s="358">
        <v>4</v>
      </c>
      <c r="N4" s="358">
        <f>J4</f>
        <v>1</v>
      </c>
      <c r="O4" s="358">
        <f t="shared" ref="O4:AC4" si="0">K4</f>
        <v>2</v>
      </c>
      <c r="P4" s="358">
        <f t="shared" si="0"/>
        <v>3</v>
      </c>
      <c r="Q4" s="358">
        <f t="shared" si="0"/>
        <v>4</v>
      </c>
      <c r="R4" s="358">
        <f t="shared" si="0"/>
        <v>1</v>
      </c>
      <c r="S4" s="358">
        <f t="shared" si="0"/>
        <v>2</v>
      </c>
      <c r="T4" s="358">
        <f t="shared" si="0"/>
        <v>3</v>
      </c>
      <c r="U4" s="358">
        <f t="shared" si="0"/>
        <v>4</v>
      </c>
      <c r="V4" s="358">
        <f t="shared" si="0"/>
        <v>1</v>
      </c>
      <c r="W4" s="358">
        <f t="shared" si="0"/>
        <v>2</v>
      </c>
      <c r="X4" s="358">
        <f t="shared" si="0"/>
        <v>3</v>
      </c>
      <c r="Y4" s="358">
        <f t="shared" si="0"/>
        <v>4</v>
      </c>
      <c r="Z4" s="358">
        <f t="shared" si="0"/>
        <v>1</v>
      </c>
      <c r="AA4" s="358">
        <f t="shared" si="0"/>
        <v>2</v>
      </c>
      <c r="AB4" s="358">
        <f t="shared" si="0"/>
        <v>3</v>
      </c>
      <c r="AC4" s="358">
        <f t="shared" si="0"/>
        <v>4</v>
      </c>
      <c r="AD4" s="358">
        <f>Z4</f>
        <v>1</v>
      </c>
      <c r="AE4" s="358">
        <f>AA4</f>
        <v>2</v>
      </c>
      <c r="AF4" s="358">
        <f>AB4</f>
        <v>3</v>
      </c>
      <c r="AG4" s="358">
        <f>AC4</f>
        <v>4</v>
      </c>
    </row>
    <row r="5" spans="1:33" ht="14.1" customHeight="1" x14ac:dyDescent="0.2">
      <c r="A5" s="355"/>
      <c r="B5" s="355"/>
      <c r="C5" s="355"/>
      <c r="D5" s="355"/>
      <c r="E5" s="355"/>
      <c r="F5" s="355"/>
      <c r="G5" s="357"/>
      <c r="H5" s="353"/>
      <c r="I5" s="359" t="s">
        <v>310</v>
      </c>
      <c r="J5" s="358">
        <f>YEAR(J7)</f>
        <v>2015</v>
      </c>
      <c r="K5" s="358">
        <f t="shared" ref="K5:AC5" si="1">YEAR(K7)</f>
        <v>2015</v>
      </c>
      <c r="L5" s="358">
        <f t="shared" si="1"/>
        <v>2015</v>
      </c>
      <c r="M5" s="358">
        <f t="shared" si="1"/>
        <v>2015</v>
      </c>
      <c r="N5" s="358">
        <f t="shared" si="1"/>
        <v>2016</v>
      </c>
      <c r="O5" s="358">
        <f t="shared" si="1"/>
        <v>2016</v>
      </c>
      <c r="P5" s="358">
        <f t="shared" si="1"/>
        <v>2016</v>
      </c>
      <c r="Q5" s="358">
        <f t="shared" si="1"/>
        <v>2016</v>
      </c>
      <c r="R5" s="358">
        <f t="shared" si="1"/>
        <v>2017</v>
      </c>
      <c r="S5" s="358">
        <f t="shared" si="1"/>
        <v>2017</v>
      </c>
      <c r="T5" s="358">
        <f t="shared" si="1"/>
        <v>2017</v>
      </c>
      <c r="U5" s="358">
        <f t="shared" si="1"/>
        <v>2017</v>
      </c>
      <c r="V5" s="358">
        <f t="shared" si="1"/>
        <v>2018</v>
      </c>
      <c r="W5" s="358">
        <f t="shared" si="1"/>
        <v>2018</v>
      </c>
      <c r="X5" s="358">
        <f t="shared" si="1"/>
        <v>2018</v>
      </c>
      <c r="Y5" s="358">
        <f t="shared" si="1"/>
        <v>2018</v>
      </c>
      <c r="Z5" s="358">
        <f t="shared" si="1"/>
        <v>2019</v>
      </c>
      <c r="AA5" s="358">
        <f t="shared" si="1"/>
        <v>2019</v>
      </c>
      <c r="AB5" s="358">
        <f t="shared" si="1"/>
        <v>2019</v>
      </c>
      <c r="AC5" s="358">
        <f t="shared" si="1"/>
        <v>2019</v>
      </c>
      <c r="AD5" s="358">
        <f>YEAR(AD7)</f>
        <v>2020</v>
      </c>
      <c r="AE5" s="358">
        <f>YEAR(AE7)</f>
        <v>2020</v>
      </c>
      <c r="AF5" s="358">
        <f>YEAR(AF7)</f>
        <v>2020</v>
      </c>
      <c r="AG5" s="358">
        <f>YEAR(AG7)</f>
        <v>2020</v>
      </c>
    </row>
    <row r="6" spans="1:33" ht="14.1" customHeight="1" x14ac:dyDescent="0.2">
      <c r="A6" s="360"/>
      <c r="B6" s="355"/>
      <c r="C6" s="355"/>
      <c r="D6" s="355"/>
      <c r="E6" s="355"/>
      <c r="F6" s="355"/>
      <c r="G6" s="361" t="s">
        <v>10</v>
      </c>
      <c r="H6" s="361" t="s">
        <v>10</v>
      </c>
      <c r="I6" s="361" t="s">
        <v>218</v>
      </c>
      <c r="J6" s="361" t="s">
        <v>10</v>
      </c>
      <c r="K6" s="361" t="s">
        <v>10</v>
      </c>
      <c r="L6" s="361" t="s">
        <v>10</v>
      </c>
      <c r="M6" s="361" t="s">
        <v>10</v>
      </c>
      <c r="N6" s="361" t="s">
        <v>10</v>
      </c>
      <c r="O6" s="361" t="s">
        <v>10</v>
      </c>
      <c r="P6" s="361" t="s">
        <v>10</v>
      </c>
      <c r="Q6" s="361" t="s">
        <v>10</v>
      </c>
      <c r="R6" s="361" t="s">
        <v>10</v>
      </c>
      <c r="S6" s="361" t="s">
        <v>10</v>
      </c>
      <c r="T6" s="361" t="s">
        <v>10</v>
      </c>
      <c r="U6" s="361" t="s">
        <v>10</v>
      </c>
      <c r="V6" s="361" t="s">
        <v>10</v>
      </c>
      <c r="W6" s="361" t="s">
        <v>10</v>
      </c>
      <c r="X6" s="361" t="s">
        <v>10</v>
      </c>
      <c r="Y6" s="361" t="s">
        <v>10</v>
      </c>
      <c r="Z6" s="361" t="s">
        <v>10</v>
      </c>
      <c r="AA6" s="361" t="s">
        <v>10</v>
      </c>
      <c r="AB6" s="361" t="s">
        <v>10</v>
      </c>
      <c r="AC6" s="361" t="s">
        <v>10</v>
      </c>
      <c r="AD6" s="361" t="s">
        <v>10</v>
      </c>
      <c r="AE6" s="361" t="s">
        <v>10</v>
      </c>
      <c r="AF6" s="361" t="s">
        <v>10</v>
      </c>
      <c r="AG6" s="361" t="s">
        <v>10</v>
      </c>
    </row>
    <row r="7" spans="1:33" ht="14.1" customHeight="1" thickBot="1" x14ac:dyDescent="0.25">
      <c r="A7" s="362"/>
      <c r="B7" s="353"/>
      <c r="C7" s="353"/>
      <c r="D7" s="353"/>
      <c r="E7" s="353"/>
      <c r="F7" s="363">
        <v>40908</v>
      </c>
      <c r="G7" s="364">
        <v>41274</v>
      </c>
      <c r="H7" s="364">
        <f>EOMONTH(G7,12)</f>
        <v>41639</v>
      </c>
      <c r="I7" s="364">
        <v>42004</v>
      </c>
      <c r="J7" s="364">
        <f>EOMONTH(I7,3)</f>
        <v>42094</v>
      </c>
      <c r="K7" s="364">
        <f>EOMONTH(J7,3)</f>
        <v>42185</v>
      </c>
      <c r="L7" s="364">
        <f t="shared" ref="L7:Z7" si="2">EOMONTH(K7,3)</f>
        <v>42277</v>
      </c>
      <c r="M7" s="364">
        <f t="shared" si="2"/>
        <v>42369</v>
      </c>
      <c r="N7" s="364">
        <f t="shared" si="2"/>
        <v>42460</v>
      </c>
      <c r="O7" s="364">
        <f t="shared" si="2"/>
        <v>42551</v>
      </c>
      <c r="P7" s="364">
        <f t="shared" si="2"/>
        <v>42643</v>
      </c>
      <c r="Q7" s="364">
        <f t="shared" si="2"/>
        <v>42735</v>
      </c>
      <c r="R7" s="364">
        <f t="shared" si="2"/>
        <v>42825</v>
      </c>
      <c r="S7" s="364">
        <f t="shared" si="2"/>
        <v>42916</v>
      </c>
      <c r="T7" s="364">
        <f t="shared" si="2"/>
        <v>43008</v>
      </c>
      <c r="U7" s="364">
        <f t="shared" si="2"/>
        <v>43100</v>
      </c>
      <c r="V7" s="364">
        <f t="shared" si="2"/>
        <v>43190</v>
      </c>
      <c r="W7" s="364">
        <f t="shared" si="2"/>
        <v>43281</v>
      </c>
      <c r="X7" s="364">
        <f t="shared" si="2"/>
        <v>43373</v>
      </c>
      <c r="Y7" s="364">
        <f t="shared" si="2"/>
        <v>43465</v>
      </c>
      <c r="Z7" s="364">
        <f t="shared" si="2"/>
        <v>43555</v>
      </c>
      <c r="AA7" s="364">
        <f t="shared" ref="AA7:AG7" si="3">EOMONTH(Z7,3)</f>
        <v>43646</v>
      </c>
      <c r="AB7" s="364">
        <f t="shared" si="3"/>
        <v>43738</v>
      </c>
      <c r="AC7" s="364">
        <f t="shared" si="3"/>
        <v>43830</v>
      </c>
      <c r="AD7" s="364">
        <f t="shared" si="3"/>
        <v>43921</v>
      </c>
      <c r="AE7" s="364">
        <f t="shared" si="3"/>
        <v>44012</v>
      </c>
      <c r="AF7" s="364">
        <f t="shared" si="3"/>
        <v>44104</v>
      </c>
      <c r="AG7" s="364">
        <f t="shared" si="3"/>
        <v>44196</v>
      </c>
    </row>
    <row r="8" spans="1:33" s="368" customFormat="1" ht="14.1" customHeight="1" thickTop="1" x14ac:dyDescent="0.2">
      <c r="A8" s="365" t="s">
        <v>25</v>
      </c>
      <c r="B8" s="366"/>
      <c r="C8" s="366"/>
      <c r="D8" s="366"/>
      <c r="E8" s="366"/>
      <c r="F8" s="366"/>
      <c r="G8" s="366">
        <f>G7-F7</f>
        <v>366</v>
      </c>
      <c r="H8" s="367">
        <f t="shared" ref="H8:AC8" si="4">+H7-G7</f>
        <v>365</v>
      </c>
      <c r="I8" s="366">
        <f t="shared" si="4"/>
        <v>365</v>
      </c>
      <c r="J8" s="366">
        <f t="shared" si="4"/>
        <v>90</v>
      </c>
      <c r="K8" s="366">
        <f t="shared" si="4"/>
        <v>91</v>
      </c>
      <c r="L8" s="366">
        <f t="shared" si="4"/>
        <v>92</v>
      </c>
      <c r="M8" s="366">
        <f t="shared" si="4"/>
        <v>92</v>
      </c>
      <c r="N8" s="366">
        <f t="shared" si="4"/>
        <v>91</v>
      </c>
      <c r="O8" s="366">
        <f t="shared" si="4"/>
        <v>91</v>
      </c>
      <c r="P8" s="366">
        <f t="shared" si="4"/>
        <v>92</v>
      </c>
      <c r="Q8" s="366">
        <f t="shared" si="4"/>
        <v>92</v>
      </c>
      <c r="R8" s="366">
        <f t="shared" si="4"/>
        <v>90</v>
      </c>
      <c r="S8" s="366">
        <f t="shared" si="4"/>
        <v>91</v>
      </c>
      <c r="T8" s="366">
        <f t="shared" si="4"/>
        <v>92</v>
      </c>
      <c r="U8" s="366">
        <f t="shared" si="4"/>
        <v>92</v>
      </c>
      <c r="V8" s="366">
        <f t="shared" si="4"/>
        <v>90</v>
      </c>
      <c r="W8" s="366">
        <f t="shared" si="4"/>
        <v>91</v>
      </c>
      <c r="X8" s="366">
        <f t="shared" si="4"/>
        <v>92</v>
      </c>
      <c r="Y8" s="366">
        <f t="shared" si="4"/>
        <v>92</v>
      </c>
      <c r="Z8" s="366">
        <f t="shared" si="4"/>
        <v>90</v>
      </c>
      <c r="AA8" s="366">
        <f t="shared" si="4"/>
        <v>91</v>
      </c>
      <c r="AB8" s="366">
        <f t="shared" si="4"/>
        <v>92</v>
      </c>
      <c r="AC8" s="366">
        <f t="shared" si="4"/>
        <v>92</v>
      </c>
      <c r="AD8" s="366">
        <f>+AD7-AC7</f>
        <v>91</v>
      </c>
      <c r="AE8" s="366">
        <f>+AE7-AD7</f>
        <v>91</v>
      </c>
      <c r="AF8" s="366">
        <f>+AF7-AE7</f>
        <v>92</v>
      </c>
      <c r="AG8" s="366">
        <f>+AG7-AF7</f>
        <v>92</v>
      </c>
    </row>
    <row r="9" spans="1:33" s="368" customFormat="1" ht="13.5" customHeight="1" x14ac:dyDescent="0.2">
      <c r="A9" s="369" t="s">
        <v>239</v>
      </c>
      <c r="B9" s="370"/>
      <c r="C9" s="370"/>
      <c r="D9" s="370"/>
      <c r="E9" s="370"/>
      <c r="F9" s="370"/>
      <c r="G9" s="371">
        <f>'Summary Income Statement'!E19</f>
        <v>20894.092000000001</v>
      </c>
      <c r="H9" s="371">
        <f>'Summary Income Statement'!F19</f>
        <v>25799.011999999999</v>
      </c>
      <c r="I9" s="371">
        <f>'Summary Income Statement'!$G$19</f>
        <v>35229.434999999998</v>
      </c>
      <c r="J9" s="372">
        <f>'Summary Income Statement'!H19</f>
        <v>6609.8344200000001</v>
      </c>
      <c r="K9" s="372">
        <f>'Summary Income Statement'!I19</f>
        <v>6605.8242899999987</v>
      </c>
      <c r="L9" s="372">
        <f>'Summary Income Statement'!J19</f>
        <v>8251.8356999999996</v>
      </c>
      <c r="M9" s="372">
        <f ca="1">'Summary Income Statement'!K19</f>
        <v>16532.505590000001</v>
      </c>
      <c r="N9" s="372">
        <f ca="1">'Summary Income Statement'!L19</f>
        <v>7343.9077514413839</v>
      </c>
      <c r="O9" s="372">
        <f ca="1">'Summary Income Statement'!M19</f>
        <v>7843.4336963484948</v>
      </c>
      <c r="P9" s="372">
        <f ca="1">'Summary Income Statement'!N19</f>
        <v>8960.7943625880853</v>
      </c>
      <c r="Q9" s="372">
        <f ca="1">'Summary Income Statement'!O19</f>
        <v>16891.864189622036</v>
      </c>
      <c r="R9" s="372">
        <f ca="1">'Summary Income Statement'!P19</f>
        <v>7931.4203715566946</v>
      </c>
      <c r="S9" s="372">
        <f ca="1">'Summary Income Statement'!Q19</f>
        <v>8470.9083920563753</v>
      </c>
      <c r="T9" s="372">
        <f ca="1">'Summary Income Statement'!R19</f>
        <v>9677.6579115951317</v>
      </c>
      <c r="U9" s="372">
        <f ca="1">'Summary Income Statement'!S19</f>
        <v>18243.213324791799</v>
      </c>
      <c r="V9" s="372">
        <f ca="1">'Summary Income Statement'!T19</f>
        <v>8565.9340012812318</v>
      </c>
      <c r="W9" s="372">
        <f ca="1">'Summary Income Statement'!U19</f>
        <v>9148.5810634208865</v>
      </c>
      <c r="X9" s="372">
        <f ca="1">'Summary Income Statement'!V19</f>
        <v>10451.870544522744</v>
      </c>
      <c r="Y9" s="372">
        <f ca="1">'Summary Income Statement'!W19</f>
        <v>19702.670390775147</v>
      </c>
      <c r="Z9" s="372">
        <f ca="1">'Summary Income Statement'!X19</f>
        <v>9251.2087213837312</v>
      </c>
      <c r="AA9" s="372">
        <f ca="1">'Summary Income Statement'!Y19</f>
        <v>9880.4675484945583</v>
      </c>
      <c r="AB9" s="372">
        <f ca="1">'Summary Income Statement'!Z19</f>
        <v>11288.020188084565</v>
      </c>
      <c r="AC9" s="372">
        <f ca="1">'Summary Income Statement'!AA19</f>
        <v>21278.88402203716</v>
      </c>
      <c r="AD9" s="372">
        <f ca="1">'Summary Income Statement'!AB19</f>
        <v>9991.3054190944313</v>
      </c>
      <c r="AE9" s="372">
        <f ca="1">'Summary Income Statement'!AC19</f>
        <v>10670.904952374123</v>
      </c>
      <c r="AF9" s="372">
        <f ca="1">'Summary Income Statement'!AD19</f>
        <v>12191.061803131332</v>
      </c>
      <c r="AG9" s="372">
        <f ca="1">'Summary Income Statement'!AE19</f>
        <v>22981.194743800137</v>
      </c>
    </row>
    <row r="10" spans="1:33" s="368" customFormat="1" ht="14.1" customHeight="1" x14ac:dyDescent="0.2">
      <c r="A10" s="369" t="s">
        <v>201</v>
      </c>
      <c r="B10" s="370"/>
      <c r="C10" s="370"/>
      <c r="D10" s="370"/>
      <c r="E10" s="370"/>
      <c r="F10" s="370"/>
      <c r="G10" s="371">
        <f>'Summary Income Statement'!$F$29</f>
        <v>15820.248</v>
      </c>
      <c r="H10" s="371">
        <f>'Summary Income Statement'!$F$29</f>
        <v>15820.248</v>
      </c>
      <c r="I10" s="371">
        <f>'Summary Income Statement'!$G$29</f>
        <v>21313.172999999999</v>
      </c>
      <c r="J10" s="372">
        <f>'Summary Income Statement'!H29</f>
        <v>3751.63094</v>
      </c>
      <c r="K10" s="372">
        <f>'Summary Income Statement'!I29</f>
        <v>3824.8691100000001</v>
      </c>
      <c r="L10" s="372">
        <f>'Summary Income Statement'!J29</f>
        <v>4968.311251186441</v>
      </c>
      <c r="M10" s="372">
        <f ca="1">'Summary Income Statement'!K29</f>
        <v>9588.8532421999989</v>
      </c>
      <c r="N10" s="372">
        <f ca="1">'Summary Income Statement'!L29</f>
        <v>4259.4664958360017</v>
      </c>
      <c r="O10" s="372">
        <f ca="1">'Summary Income Statement'!M29</f>
        <v>4549.1915438821261</v>
      </c>
      <c r="P10" s="372">
        <f ca="1">'Summary Income Statement'!N29</f>
        <v>5197.2607303010882</v>
      </c>
      <c r="Q10" s="372">
        <f ca="1">'Summary Income Statement'!O29</f>
        <v>9797.2812299807792</v>
      </c>
      <c r="R10" s="372">
        <f ca="1">'Summary Income Statement'!P29</f>
        <v>4600.2238155028826</v>
      </c>
      <c r="S10" s="372">
        <f ca="1">'Summary Income Statement'!Q29</f>
        <v>4913.126867392697</v>
      </c>
      <c r="T10" s="372">
        <f ca="1">'Summary Income Statement'!R29</f>
        <v>5613.0415887251766</v>
      </c>
      <c r="U10" s="372">
        <f ca="1">'Summary Income Statement'!S29</f>
        <v>10581.063728379244</v>
      </c>
      <c r="V10" s="372">
        <f ca="1">'Summary Income Statement'!T29</f>
        <v>4968.2417207431145</v>
      </c>
      <c r="W10" s="372">
        <f ca="1">'Summary Income Statement'!U29</f>
        <v>5306.1770167841141</v>
      </c>
      <c r="X10" s="372">
        <f ca="1">'Summary Income Statement'!V29</f>
        <v>6062.0849158231913</v>
      </c>
      <c r="Y10" s="372">
        <f ca="1">'Summary Income Statement'!W29</f>
        <v>11427.548826649585</v>
      </c>
      <c r="Z10" s="372">
        <f ca="1">'Summary Income Statement'!X29</f>
        <v>5365.7010584025638</v>
      </c>
      <c r="AA10" s="372">
        <f ca="1">'Summary Income Statement'!Y29</f>
        <v>5730.6711781268432</v>
      </c>
      <c r="AB10" s="372">
        <f ca="1">'Summary Income Statement'!Z29</f>
        <v>6547.051709089048</v>
      </c>
      <c r="AC10" s="372">
        <f ca="1">'Summary Income Statement'!AA29</f>
        <v>12341.752732781553</v>
      </c>
      <c r="AD10" s="372">
        <f ca="1">'Summary Income Statement'!AB29</f>
        <v>5794.9571430747692</v>
      </c>
      <c r="AE10" s="372">
        <f ca="1">'Summary Income Statement'!AC29</f>
        <v>6189.1248723769913</v>
      </c>
      <c r="AF10" s="372">
        <f ca="1">'Summary Income Statement'!AD29</f>
        <v>7070.8158458161715</v>
      </c>
      <c r="AG10" s="372">
        <f ca="1">'Summary Income Statement'!AE29</f>
        <v>13329.092951404078</v>
      </c>
    </row>
    <row r="11" spans="1:33" s="368" customFormat="1" ht="14.1" customHeight="1" x14ac:dyDescent="0.2">
      <c r="A11" s="369" t="s">
        <v>309</v>
      </c>
      <c r="B11" s="370"/>
      <c r="C11" s="370"/>
      <c r="D11" s="370"/>
      <c r="E11" s="370"/>
      <c r="F11" s="370"/>
      <c r="G11" s="373">
        <f>SUM('Summary Income Statement'!E35:E37)</f>
        <v>5775.4110000000001</v>
      </c>
      <c r="H11" s="373">
        <f>SUM('Summary Income Statement'!F35:F37)</f>
        <v>6770.0640000000003</v>
      </c>
      <c r="I11" s="373">
        <f>SUM('Summary Income Statement'!G35:G37)</f>
        <v>8579.8580000000002</v>
      </c>
      <c r="J11" s="372">
        <f>SUM('Summary Income Statement'!H35:H37)</f>
        <v>1987.6673000000001</v>
      </c>
      <c r="K11" s="372">
        <f>SUM('Summary Income Statement'!I35:I37)</f>
        <v>1797.5195900000001</v>
      </c>
      <c r="L11" s="372">
        <f>SUM('Summary Income Statement'!J35:J37)</f>
        <v>1941.7553629999993</v>
      </c>
      <c r="M11" s="372">
        <f ca="1">SUM('Summary Income Statement'!K35:K37)</f>
        <v>4106.5011180000001</v>
      </c>
      <c r="N11" s="372">
        <f ca="1">SUM('Summary Income Statement'!L35:L37)</f>
        <v>2128.8845234204837</v>
      </c>
      <c r="O11" s="372">
        <f ca="1">SUM('Summary Income Statement'!M35:M37)</f>
        <v>2231.2873421264412</v>
      </c>
      <c r="P11" s="372">
        <f ca="1">SUM('Summary Income Statement'!N35:N37)</f>
        <v>2460.3462787055573</v>
      </c>
      <c r="Q11" s="372">
        <f ca="1">SUM('Summary Income Statement'!O35:O37)</f>
        <v>4086.2155932475171</v>
      </c>
      <c r="R11" s="372">
        <f ca="1">SUM('Summary Income Statement'!P35:P37)</f>
        <v>2240.8366804050893</v>
      </c>
      <c r="S11" s="372">
        <f ca="1">SUM('Summary Income Statement'!Q35:Q37)</f>
        <v>2348.7342845050252</v>
      </c>
      <c r="T11" s="372">
        <f ca="1">SUM('Summary Income Statement'!R35:R37)</f>
        <v>2590.0841884127767</v>
      </c>
      <c r="U11" s="372">
        <f ca="1">SUM('Summary Income Statement'!S35:S37)</f>
        <v>4303.1952710521109</v>
      </c>
      <c r="V11" s="372">
        <f ca="1">SUM('Summary Income Statement'!T35:T37)</f>
        <v>2357.6373666482777</v>
      </c>
      <c r="W11" s="372">
        <f ca="1">SUM('Summary Income Statement'!U35:U37)</f>
        <v>2471.2535437655101</v>
      </c>
      <c r="X11" s="372">
        <f ca="1">SUM('Summary Income Statement'!V35:V37)</f>
        <v>2725.3949925803727</v>
      </c>
      <c r="Y11" s="372">
        <f ca="1">SUM('Summary Income Statement'!W35:W37)</f>
        <v>4529.300962599591</v>
      </c>
      <c r="Z11" s="372">
        <f ca="1">SUM('Summary Income Statement'!X35:X37)</f>
        <v>2525.6299488881868</v>
      </c>
      <c r="AA11" s="372">
        <f ca="1">SUM('Summary Income Statement'!Y35:Y37)</f>
        <v>2648.3354201747979</v>
      </c>
      <c r="AB11" s="372">
        <f ca="1">SUM('Summary Income Statement'!Z35:Z37)</f>
        <v>2922.8081848948495</v>
      </c>
      <c r="AC11" s="372">
        <f ca="1">SUM('Summary Income Statement'!AA35:AA37)</f>
        <v>4871.0266325156063</v>
      </c>
      <c r="AD11" s="372">
        <f ca="1">SUM('Summary Income Statement'!AB35:AB37)</f>
        <v>2706.0310173526914</v>
      </c>
      <c r="AE11" s="372">
        <f ca="1">SUM('Summary Income Statement'!AC35:AC37)</f>
        <v>2838.5529263422313</v>
      </c>
      <c r="AF11" s="372">
        <f ca="1">SUM('Summary Income Statement'!AD35:AD37)</f>
        <v>3134.9835122398872</v>
      </c>
      <c r="AG11" s="372">
        <f ca="1">SUM('Summary Income Statement'!AE35:AE37)</f>
        <v>5239.0594356703041</v>
      </c>
    </row>
    <row r="12" spans="1:33" s="368" customFormat="1" ht="14.1" customHeight="1" x14ac:dyDescent="0.2">
      <c r="A12" s="365" t="s">
        <v>344</v>
      </c>
      <c r="B12" s="366"/>
      <c r="C12" s="366"/>
      <c r="D12" s="366"/>
      <c r="E12" s="366"/>
      <c r="F12" s="366"/>
      <c r="G12" s="374">
        <f>SUM(G10:G11)</f>
        <v>21595.659</v>
      </c>
      <c r="H12" s="374">
        <f t="shared" ref="H12:M12" si="5">SUM(H10:H11)</f>
        <v>22590.311999999998</v>
      </c>
      <c r="I12" s="374">
        <f t="shared" si="5"/>
        <v>29893.030999999999</v>
      </c>
      <c r="J12" s="366">
        <f t="shared" si="5"/>
        <v>5739.2982400000001</v>
      </c>
      <c r="K12" s="366">
        <f t="shared" si="5"/>
        <v>5622.3887000000004</v>
      </c>
      <c r="L12" s="366">
        <f t="shared" si="5"/>
        <v>6910.0666141864403</v>
      </c>
      <c r="M12" s="366">
        <f t="shared" ca="1" si="5"/>
        <v>13695.354360199999</v>
      </c>
      <c r="N12" s="366">
        <f t="shared" ref="N12:AC12" ca="1" si="6">SUM(N10:N11)</f>
        <v>6388.3510192564854</v>
      </c>
      <c r="O12" s="366">
        <f t="shared" ca="1" si="6"/>
        <v>6780.4788860085673</v>
      </c>
      <c r="P12" s="366">
        <f t="shared" ca="1" si="6"/>
        <v>7657.607009006646</v>
      </c>
      <c r="Q12" s="366">
        <f t="shared" ca="1" si="6"/>
        <v>13883.496823228295</v>
      </c>
      <c r="R12" s="366">
        <f t="shared" ca="1" si="6"/>
        <v>6841.0604959079719</v>
      </c>
      <c r="S12" s="366">
        <f t="shared" ca="1" si="6"/>
        <v>7261.8611518977223</v>
      </c>
      <c r="T12" s="366">
        <f t="shared" ca="1" si="6"/>
        <v>8203.1257771379533</v>
      </c>
      <c r="U12" s="366">
        <f t="shared" ca="1" si="6"/>
        <v>14884.258999431355</v>
      </c>
      <c r="V12" s="366">
        <f t="shared" ca="1" si="6"/>
        <v>7325.8790873913922</v>
      </c>
      <c r="W12" s="366">
        <f t="shared" ca="1" si="6"/>
        <v>7777.4305605496247</v>
      </c>
      <c r="X12" s="366">
        <f t="shared" ca="1" si="6"/>
        <v>8787.479908403564</v>
      </c>
      <c r="Y12" s="366">
        <f t="shared" ca="1" si="6"/>
        <v>15956.849789249176</v>
      </c>
      <c r="Z12" s="366">
        <f t="shared" ca="1" si="6"/>
        <v>7891.3310072907507</v>
      </c>
      <c r="AA12" s="366">
        <f t="shared" ca="1" si="6"/>
        <v>8379.0065983016411</v>
      </c>
      <c r="AB12" s="366">
        <f t="shared" ca="1" si="6"/>
        <v>9469.8598939838976</v>
      </c>
      <c r="AC12" s="366">
        <f t="shared" ca="1" si="6"/>
        <v>17212.77936529716</v>
      </c>
      <c r="AD12" s="366">
        <f ca="1">SUM(AD10:AD11)</f>
        <v>8500.9881604274597</v>
      </c>
      <c r="AE12" s="366">
        <f ca="1">SUM(AE10:AE11)</f>
        <v>9027.6777987192218</v>
      </c>
      <c r="AF12" s="366">
        <f ca="1">SUM(AF10:AF11)</f>
        <v>10205.799358056058</v>
      </c>
      <c r="AG12" s="366">
        <f ca="1">SUM(AG10:AG11)</f>
        <v>18568.152387074384</v>
      </c>
    </row>
    <row r="13" spans="1:33" s="368" customFormat="1" ht="14.1" customHeight="1" x14ac:dyDescent="0.2">
      <c r="A13" s="365"/>
      <c r="B13" s="366"/>
      <c r="C13" s="366"/>
      <c r="D13" s="366"/>
      <c r="E13" s="366"/>
      <c r="F13" s="366"/>
      <c r="G13" s="366"/>
      <c r="H13" s="366"/>
      <c r="I13" s="366"/>
      <c r="J13" s="366"/>
      <c r="K13" s="366"/>
      <c r="L13" s="366"/>
      <c r="M13" s="366"/>
      <c r="N13" s="366"/>
      <c r="O13" s="366"/>
      <c r="P13" s="366"/>
      <c r="Q13" s="366"/>
      <c r="R13" s="366"/>
      <c r="S13" s="366"/>
      <c r="T13" s="366"/>
      <c r="U13" s="366"/>
      <c r="V13" s="366"/>
      <c r="W13" s="366"/>
      <c r="X13" s="366"/>
      <c r="Y13" s="366"/>
      <c r="Z13" s="366"/>
      <c r="AA13" s="366"/>
      <c r="AB13" s="366"/>
      <c r="AC13" s="366"/>
      <c r="AD13" s="366"/>
      <c r="AE13" s="366"/>
      <c r="AF13" s="366"/>
      <c r="AG13" s="366"/>
    </row>
    <row r="14" spans="1:33" s="368" customFormat="1" ht="14.1" customHeight="1" x14ac:dyDescent="0.2">
      <c r="A14" s="365"/>
      <c r="B14" s="366"/>
      <c r="C14" s="366"/>
      <c r="D14" s="366"/>
      <c r="E14" s="366"/>
      <c r="F14" s="366"/>
      <c r="G14" s="366"/>
      <c r="H14" s="366"/>
      <c r="I14" s="366"/>
      <c r="J14" s="366"/>
      <c r="K14" s="366"/>
      <c r="L14" s="366"/>
      <c r="M14" s="366"/>
      <c r="N14" s="366"/>
      <c r="O14" s="366"/>
      <c r="P14" s="366"/>
      <c r="Q14" s="366"/>
      <c r="R14" s="366"/>
      <c r="S14" s="366"/>
      <c r="T14" s="366"/>
      <c r="U14" s="366"/>
      <c r="V14" s="366"/>
      <c r="W14" s="366"/>
      <c r="X14" s="366"/>
      <c r="Y14" s="366"/>
      <c r="Z14" s="366"/>
      <c r="AA14" s="366"/>
      <c r="AB14" s="366"/>
      <c r="AC14" s="366"/>
      <c r="AD14" s="366"/>
      <c r="AE14" s="366"/>
      <c r="AF14" s="366"/>
      <c r="AG14" s="366"/>
    </row>
    <row r="15" spans="1:33" ht="14.1" customHeight="1" thickBot="1" x14ac:dyDescent="0.25">
      <c r="A15" s="360" t="s">
        <v>27</v>
      </c>
      <c r="B15" s="355"/>
      <c r="C15" s="355"/>
      <c r="D15" s="355"/>
      <c r="E15" s="355"/>
      <c r="F15" s="355"/>
      <c r="G15" s="375">
        <f>'Summary Balance Sheet'!B7</f>
        <v>2519.413</v>
      </c>
      <c r="H15" s="375">
        <f>'Summary Balance Sheet'!C7</f>
        <v>4142.098</v>
      </c>
      <c r="I15" s="375">
        <f>'Summary Balance Sheet'!D7</f>
        <v>6404.9880000000003</v>
      </c>
      <c r="J15" s="375">
        <f>'Summary Balance Sheet'!E7</f>
        <v>3146.64</v>
      </c>
      <c r="K15" s="375">
        <f>'Summary Balance Sheet'!F7</f>
        <v>3447.92274</v>
      </c>
      <c r="L15" s="355">
        <f t="shared" ref="L15:AG15" si="7">L9/L8*L16</f>
        <v>4036.2239836956519</v>
      </c>
      <c r="M15" s="355">
        <f t="shared" ca="1" si="7"/>
        <v>8086.5516472826084</v>
      </c>
      <c r="N15" s="355">
        <f t="shared" ca="1" si="7"/>
        <v>3631.6027342292555</v>
      </c>
      <c r="O15" s="355">
        <f t="shared" ca="1" si="7"/>
        <v>3878.6210586338711</v>
      </c>
      <c r="P15" s="355">
        <f t="shared" ca="1" si="7"/>
        <v>4382.997242570259</v>
      </c>
      <c r="Q15" s="355">
        <f t="shared" ca="1" si="7"/>
        <v>8262.3248753586049</v>
      </c>
      <c r="R15" s="355">
        <f t="shared" ca="1" si="7"/>
        <v>3965.7101857783473</v>
      </c>
      <c r="S15" s="355">
        <f t="shared" ca="1" si="7"/>
        <v>4188.9107433245808</v>
      </c>
      <c r="T15" s="355">
        <f t="shared" ca="1" si="7"/>
        <v>4733.6370219758801</v>
      </c>
      <c r="U15" s="355">
        <f t="shared" ca="1" si="7"/>
        <v>8923.3108653872932</v>
      </c>
      <c r="V15" s="355">
        <f t="shared" ca="1" si="7"/>
        <v>4282.9670006406159</v>
      </c>
      <c r="W15" s="355">
        <f t="shared" ca="1" si="7"/>
        <v>4524.0236027905485</v>
      </c>
      <c r="X15" s="355">
        <f t="shared" ca="1" si="7"/>
        <v>5112.3279837339505</v>
      </c>
      <c r="Y15" s="355">
        <f t="shared" ca="1" si="7"/>
        <v>9637.1757346182785</v>
      </c>
      <c r="Z15" s="355">
        <f t="shared" ca="1" si="7"/>
        <v>4625.6043606918656</v>
      </c>
      <c r="AA15" s="355">
        <f t="shared" ca="1" si="7"/>
        <v>4885.945491013792</v>
      </c>
      <c r="AB15" s="355">
        <f t="shared" ca="1" si="7"/>
        <v>5521.3142224326675</v>
      </c>
      <c r="AC15" s="355">
        <f t="shared" ca="1" si="7"/>
        <v>10408.149793387742</v>
      </c>
      <c r="AD15" s="355">
        <f t="shared" ca="1" si="7"/>
        <v>4940.7554270247183</v>
      </c>
      <c r="AE15" s="355">
        <f t="shared" ca="1" si="7"/>
        <v>5276.8211302948957</v>
      </c>
      <c r="AF15" s="355">
        <f t="shared" ca="1" si="7"/>
        <v>5963.0193602272811</v>
      </c>
      <c r="AG15" s="355">
        <f t="shared" ca="1" si="7"/>
        <v>11240.801776858762</v>
      </c>
    </row>
    <row r="16" spans="1:33" ht="14.1" customHeight="1" thickBot="1" x14ac:dyDescent="0.25">
      <c r="A16" s="360"/>
      <c r="B16" s="366" t="s">
        <v>346</v>
      </c>
      <c r="C16" s="355"/>
      <c r="D16" s="355"/>
      <c r="E16" s="355"/>
      <c r="F16" s="355"/>
      <c r="G16" s="376">
        <f>IFERROR(AVERAGE(G15:G15)/(G$9/G$8),0)</f>
        <v>44.13233932347957</v>
      </c>
      <c r="H16" s="376">
        <f>AVERAGE(G15:H15)/(H$9/H$8)</f>
        <v>47.122957945056193</v>
      </c>
      <c r="I16" s="376">
        <f>AVERAGE(H15:I15)/(I$9/I$8)</f>
        <v>54.637356375428674</v>
      </c>
      <c r="J16" s="376">
        <f>AVERAGE(I15:J15)/(J$9/J$8)</f>
        <v>65.027840742794282</v>
      </c>
      <c r="K16" s="376">
        <f>AVERAGE(J15:K15)/(K$9/K$8)</f>
        <v>45.422432008102966</v>
      </c>
      <c r="L16" s="377">
        <v>45</v>
      </c>
      <c r="M16" s="377">
        <v>45</v>
      </c>
      <c r="N16" s="378">
        <f t="shared" ref="N16:AC16" si="8">M16</f>
        <v>45</v>
      </c>
      <c r="O16" s="378">
        <f t="shared" si="8"/>
        <v>45</v>
      </c>
      <c r="P16" s="378">
        <f t="shared" si="8"/>
        <v>45</v>
      </c>
      <c r="Q16" s="378">
        <f t="shared" si="8"/>
        <v>45</v>
      </c>
      <c r="R16" s="378">
        <f t="shared" si="8"/>
        <v>45</v>
      </c>
      <c r="S16" s="378">
        <f t="shared" si="8"/>
        <v>45</v>
      </c>
      <c r="T16" s="378">
        <f t="shared" si="8"/>
        <v>45</v>
      </c>
      <c r="U16" s="378">
        <f t="shared" si="8"/>
        <v>45</v>
      </c>
      <c r="V16" s="378">
        <f t="shared" si="8"/>
        <v>45</v>
      </c>
      <c r="W16" s="378">
        <f t="shared" si="8"/>
        <v>45</v>
      </c>
      <c r="X16" s="378">
        <f t="shared" si="8"/>
        <v>45</v>
      </c>
      <c r="Y16" s="378">
        <f t="shared" si="8"/>
        <v>45</v>
      </c>
      <c r="Z16" s="378">
        <f t="shared" si="8"/>
        <v>45</v>
      </c>
      <c r="AA16" s="378">
        <f t="shared" si="8"/>
        <v>45</v>
      </c>
      <c r="AB16" s="378">
        <f t="shared" si="8"/>
        <v>45</v>
      </c>
      <c r="AC16" s="378">
        <f t="shared" si="8"/>
        <v>45</v>
      </c>
      <c r="AD16" s="378">
        <f>AC16</f>
        <v>45</v>
      </c>
      <c r="AE16" s="378">
        <f>AD16</f>
        <v>45</v>
      </c>
      <c r="AF16" s="378">
        <f>AE16</f>
        <v>45</v>
      </c>
      <c r="AG16" s="378">
        <f>AF16</f>
        <v>45</v>
      </c>
    </row>
    <row r="17" spans="1:33" ht="14.1" customHeight="1" x14ac:dyDescent="0.2">
      <c r="A17" s="360"/>
      <c r="B17" s="355"/>
      <c r="C17" s="355"/>
      <c r="D17" s="355"/>
      <c r="E17" s="355"/>
      <c r="F17" s="355"/>
      <c r="G17" s="355"/>
      <c r="H17" s="355"/>
      <c r="I17" s="355"/>
      <c r="J17" s="355"/>
      <c r="K17" s="355"/>
      <c r="L17" s="355"/>
      <c r="M17" s="355"/>
      <c r="N17" s="355"/>
      <c r="O17" s="355"/>
      <c r="P17" s="355"/>
      <c r="Q17" s="355"/>
      <c r="R17" s="355"/>
      <c r="S17" s="355"/>
      <c r="T17" s="355"/>
      <c r="U17" s="355"/>
      <c r="V17" s="355"/>
      <c r="W17" s="355"/>
      <c r="X17" s="355"/>
      <c r="Y17" s="355"/>
      <c r="Z17" s="355"/>
      <c r="AA17" s="355"/>
      <c r="AB17" s="355"/>
      <c r="AC17" s="355"/>
      <c r="AD17" s="355"/>
      <c r="AE17" s="355"/>
      <c r="AF17" s="355"/>
      <c r="AG17" s="355"/>
    </row>
    <row r="18" spans="1:33" ht="14.1" customHeight="1" thickBot="1" x14ac:dyDescent="0.25">
      <c r="A18" s="360" t="s">
        <v>347</v>
      </c>
      <c r="B18" s="355"/>
      <c r="C18" s="355"/>
      <c r="D18" s="355"/>
      <c r="E18" s="355"/>
      <c r="F18" s="355"/>
      <c r="G18" s="375">
        <f>'Summary Balance Sheet'!B8</f>
        <v>6794.67</v>
      </c>
      <c r="H18" s="375">
        <f>'Summary Balance Sheet'!C8</f>
        <v>6790.2539999999999</v>
      </c>
      <c r="I18" s="375">
        <f>'Summary Balance Sheet'!D8</f>
        <v>9752.625</v>
      </c>
      <c r="J18" s="375">
        <f>'Summary Balance Sheet'!E8</f>
        <v>9953.4660000000003</v>
      </c>
      <c r="K18" s="375">
        <f>'Summary Balance Sheet'!F8</f>
        <v>9166.0967400000009</v>
      </c>
      <c r="L18" s="355">
        <f t="shared" ref="L18:AG18" si="9">L10/L8*L19</f>
        <v>10800.676633014002</v>
      </c>
      <c r="M18" s="355">
        <f t="shared" ca="1" si="9"/>
        <v>14070.599866271737</v>
      </c>
      <c r="N18" s="355">
        <f t="shared" ca="1" si="9"/>
        <v>9361.4648260131908</v>
      </c>
      <c r="O18" s="355">
        <f t="shared" ca="1" si="9"/>
        <v>9998.2231733673107</v>
      </c>
      <c r="P18" s="355">
        <f t="shared" ca="1" si="9"/>
        <v>11298.392891958887</v>
      </c>
      <c r="Q18" s="355">
        <f t="shared" ca="1" si="9"/>
        <v>11714.140601063975</v>
      </c>
      <c r="R18" s="355">
        <f t="shared" ca="1" si="9"/>
        <v>10222.719590006405</v>
      </c>
      <c r="S18" s="355">
        <f t="shared" ca="1" si="9"/>
        <v>10798.081027236696</v>
      </c>
      <c r="T18" s="355">
        <f t="shared" ca="1" si="9"/>
        <v>12202.264323315601</v>
      </c>
      <c r="U18" s="355">
        <f t="shared" ca="1" si="9"/>
        <v>12651.271849149096</v>
      </c>
      <c r="V18" s="355">
        <f t="shared" ca="1" si="9"/>
        <v>11040.537157206922</v>
      </c>
      <c r="W18" s="355">
        <f t="shared" ca="1" si="9"/>
        <v>11661.927509415635</v>
      </c>
      <c r="X18" s="355">
        <f t="shared" ca="1" si="9"/>
        <v>13178.445469180851</v>
      </c>
      <c r="Y18" s="355">
        <f t="shared" ca="1" si="9"/>
        <v>13663.373597081027</v>
      </c>
      <c r="Z18" s="355">
        <f t="shared" ca="1" si="9"/>
        <v>11923.780129783476</v>
      </c>
      <c r="AA18" s="355">
        <f t="shared" ca="1" si="9"/>
        <v>12594.881710168886</v>
      </c>
      <c r="AB18" s="355">
        <f t="shared" ca="1" si="9"/>
        <v>14232.721106715322</v>
      </c>
      <c r="AC18" s="355">
        <f t="shared" ca="1" si="9"/>
        <v>14756.44348484751</v>
      </c>
      <c r="AD18" s="355">
        <f t="shared" ca="1" si="9"/>
        <v>12736.169545219273</v>
      </c>
      <c r="AE18" s="355">
        <f t="shared" ca="1" si="9"/>
        <v>13602.472246982399</v>
      </c>
      <c r="AF18" s="355">
        <f t="shared" ca="1" si="9"/>
        <v>15371.338795252546</v>
      </c>
      <c r="AG18" s="355">
        <f t="shared" ca="1" si="9"/>
        <v>15936.958963635312</v>
      </c>
    </row>
    <row r="19" spans="1:33" ht="14.1" customHeight="1" thickBot="1" x14ac:dyDescent="0.25">
      <c r="A19" s="360"/>
      <c r="B19" s="366" t="s">
        <v>345</v>
      </c>
      <c r="C19" s="355"/>
      <c r="D19" s="355"/>
      <c r="E19" s="355"/>
      <c r="F19" s="355"/>
      <c r="G19" s="376">
        <f>IFERROR(AVERAGE(G18:G18)/(G$9/G$8),0)</f>
        <v>119.02164592747079</v>
      </c>
      <c r="H19" s="376">
        <f>AVERAGE(G18:H18)/(H$10/H$8)</f>
        <v>156.71363874953161</v>
      </c>
      <c r="I19" s="376">
        <f>AVERAGE(H18:I18)/(I$10/I$8)</f>
        <v>141.65302451680941</v>
      </c>
      <c r="J19" s="376">
        <f>AVERAGE(I18:J18)/(J$10/J$8)</f>
        <v>236.37029046359234</v>
      </c>
      <c r="K19" s="376">
        <f>AVERAGE(J18:K18)/(K$10/K$8)</f>
        <v>227.44310449619545</v>
      </c>
      <c r="L19" s="377">
        <v>200</v>
      </c>
      <c r="M19" s="377">
        <v>135</v>
      </c>
      <c r="N19" s="378">
        <v>200</v>
      </c>
      <c r="O19" s="378">
        <f>N19</f>
        <v>200</v>
      </c>
      <c r="P19" s="378">
        <f>O19</f>
        <v>200</v>
      </c>
      <c r="Q19" s="378">
        <v>110</v>
      </c>
      <c r="R19" s="378">
        <f>N19</f>
        <v>200</v>
      </c>
      <c r="S19" s="378">
        <f t="shared" ref="S19:AG19" si="10">O19</f>
        <v>200</v>
      </c>
      <c r="T19" s="378">
        <f t="shared" si="10"/>
        <v>200</v>
      </c>
      <c r="U19" s="378">
        <f t="shared" si="10"/>
        <v>110</v>
      </c>
      <c r="V19" s="378">
        <f t="shared" si="10"/>
        <v>200</v>
      </c>
      <c r="W19" s="378">
        <f t="shared" si="10"/>
        <v>200</v>
      </c>
      <c r="X19" s="378">
        <f t="shared" si="10"/>
        <v>200</v>
      </c>
      <c r="Y19" s="378">
        <f t="shared" si="10"/>
        <v>110</v>
      </c>
      <c r="Z19" s="378">
        <f t="shared" si="10"/>
        <v>200</v>
      </c>
      <c r="AA19" s="378">
        <f t="shared" si="10"/>
        <v>200</v>
      </c>
      <c r="AB19" s="378">
        <f t="shared" si="10"/>
        <v>200</v>
      </c>
      <c r="AC19" s="378">
        <f t="shared" si="10"/>
        <v>110</v>
      </c>
      <c r="AD19" s="378">
        <f t="shared" si="10"/>
        <v>200</v>
      </c>
      <c r="AE19" s="378">
        <f t="shared" si="10"/>
        <v>200</v>
      </c>
      <c r="AF19" s="378">
        <f t="shared" si="10"/>
        <v>200</v>
      </c>
      <c r="AG19" s="378">
        <f t="shared" si="10"/>
        <v>110</v>
      </c>
    </row>
    <row r="20" spans="1:33" ht="14.1" customHeight="1" x14ac:dyDescent="0.2">
      <c r="A20" s="360"/>
      <c r="B20" s="355"/>
      <c r="C20" s="355"/>
      <c r="D20" s="355"/>
      <c r="E20" s="355"/>
      <c r="F20" s="355"/>
      <c r="G20" s="355"/>
      <c r="H20" s="355"/>
      <c r="I20" s="355"/>
      <c r="J20" s="355"/>
      <c r="K20" s="355"/>
      <c r="L20" s="355"/>
      <c r="M20" s="355"/>
      <c r="N20" s="355"/>
      <c r="O20" s="355"/>
      <c r="P20" s="355"/>
      <c r="Q20" s="355"/>
      <c r="R20" s="355"/>
      <c r="S20" s="355"/>
      <c r="T20" s="355"/>
      <c r="U20" s="355"/>
      <c r="V20" s="355"/>
      <c r="W20" s="355"/>
      <c r="X20" s="355"/>
      <c r="Y20" s="355"/>
      <c r="Z20" s="355"/>
      <c r="AA20" s="355"/>
      <c r="AB20" s="355"/>
      <c r="AC20" s="355"/>
      <c r="AD20" s="355"/>
      <c r="AE20" s="355"/>
      <c r="AF20" s="355"/>
      <c r="AG20" s="355"/>
    </row>
    <row r="21" spans="1:33" ht="13.5" customHeight="1" thickBot="1" x14ac:dyDescent="0.25">
      <c r="A21" s="360" t="s">
        <v>0</v>
      </c>
      <c r="B21" s="355"/>
      <c r="C21" s="355"/>
      <c r="D21" s="355"/>
      <c r="E21" s="355"/>
      <c r="F21" s="355"/>
      <c r="G21" s="375">
        <f>'Summary Balance Sheet'!B10</f>
        <v>322.64400000000001</v>
      </c>
      <c r="H21" s="375">
        <f>'Summary Balance Sheet'!C10</f>
        <v>392.09199999999998</v>
      </c>
      <c r="I21" s="375">
        <f>'Summary Balance Sheet'!D10</f>
        <v>560.43200000000002</v>
      </c>
      <c r="J21" s="375">
        <f>'Summary Balance Sheet'!E10</f>
        <v>476.33800000000002</v>
      </c>
      <c r="K21" s="375">
        <f>'Summary Balance Sheet'!F10</f>
        <v>628.61665000000005</v>
      </c>
      <c r="L21" s="375">
        <f t="shared" ref="L21:AG21" si="11">L22*L11*4</f>
        <v>543.69150163999984</v>
      </c>
      <c r="M21" s="375">
        <f t="shared" ca="1" si="11"/>
        <v>1149.8203130400002</v>
      </c>
      <c r="N21" s="375">
        <f t="shared" ca="1" si="11"/>
        <v>596.08766655773547</v>
      </c>
      <c r="O21" s="375">
        <f t="shared" ca="1" si="11"/>
        <v>624.76045579540357</v>
      </c>
      <c r="P21" s="375">
        <f t="shared" ca="1" si="11"/>
        <v>688.89695803755615</v>
      </c>
      <c r="Q21" s="375">
        <f t="shared" ca="1" si="11"/>
        <v>1144.140366109305</v>
      </c>
      <c r="R21" s="375">
        <f t="shared" ca="1" si="11"/>
        <v>627.43427051342508</v>
      </c>
      <c r="S21" s="375">
        <f t="shared" ca="1" si="11"/>
        <v>657.64559966140712</v>
      </c>
      <c r="T21" s="375">
        <f t="shared" ca="1" si="11"/>
        <v>725.22357275557749</v>
      </c>
      <c r="U21" s="375">
        <f t="shared" ca="1" si="11"/>
        <v>1204.8946758945913</v>
      </c>
      <c r="V21" s="375">
        <f t="shared" ca="1" si="11"/>
        <v>660.13846266151779</v>
      </c>
      <c r="W21" s="375">
        <f t="shared" ca="1" si="11"/>
        <v>691.95099225434285</v>
      </c>
      <c r="X21" s="375">
        <f t="shared" ca="1" si="11"/>
        <v>763.11059792250444</v>
      </c>
      <c r="Y21" s="375">
        <f t="shared" ca="1" si="11"/>
        <v>1268.2042695278856</v>
      </c>
      <c r="Z21" s="375">
        <f t="shared" ca="1" si="11"/>
        <v>707.17638568869233</v>
      </c>
      <c r="AA21" s="375">
        <f t="shared" ca="1" si="11"/>
        <v>741.53391764894354</v>
      </c>
      <c r="AB21" s="375">
        <f t="shared" ca="1" si="11"/>
        <v>818.38629177055793</v>
      </c>
      <c r="AC21" s="375">
        <f t="shared" ca="1" si="11"/>
        <v>1363.8874571043698</v>
      </c>
      <c r="AD21" s="375">
        <f t="shared" ca="1" si="11"/>
        <v>757.68868485875362</v>
      </c>
      <c r="AE21" s="375">
        <f t="shared" ca="1" si="11"/>
        <v>794.79481937582489</v>
      </c>
      <c r="AF21" s="375">
        <f t="shared" ca="1" si="11"/>
        <v>877.79538342716853</v>
      </c>
      <c r="AG21" s="375">
        <f t="shared" ca="1" si="11"/>
        <v>1466.9366419876853</v>
      </c>
    </row>
    <row r="22" spans="1:33" ht="14.1" customHeight="1" thickBot="1" x14ac:dyDescent="0.25">
      <c r="A22" s="360"/>
      <c r="B22" s="366" t="s">
        <v>132</v>
      </c>
      <c r="C22" s="355"/>
      <c r="D22" s="355"/>
      <c r="E22" s="355"/>
      <c r="F22" s="366"/>
      <c r="G22" s="379">
        <f>IFERROR(G21/G11/4,0)</f>
        <v>1.3966278763537348E-2</v>
      </c>
      <c r="H22" s="379">
        <f>H21/H11</f>
        <v>5.7915552940119915E-2</v>
      </c>
      <c r="I22" s="379">
        <f>I21/I11</f>
        <v>6.5319495963686108E-2</v>
      </c>
      <c r="J22" s="379">
        <f>(J21)/(J11*4)</f>
        <v>5.9911686427602848E-2</v>
      </c>
      <c r="K22" s="379">
        <f>(K21)/(K11*4)</f>
        <v>8.742834480040354E-2</v>
      </c>
      <c r="L22" s="380">
        <v>7.0000000000000007E-2</v>
      </c>
      <c r="M22" s="380">
        <f t="shared" ref="M22:Z22" si="12">L22</f>
        <v>7.0000000000000007E-2</v>
      </c>
      <c r="N22" s="380">
        <f t="shared" si="12"/>
        <v>7.0000000000000007E-2</v>
      </c>
      <c r="O22" s="380">
        <f t="shared" si="12"/>
        <v>7.0000000000000007E-2</v>
      </c>
      <c r="P22" s="380">
        <f t="shared" si="12"/>
        <v>7.0000000000000007E-2</v>
      </c>
      <c r="Q22" s="380">
        <f t="shared" si="12"/>
        <v>7.0000000000000007E-2</v>
      </c>
      <c r="R22" s="380">
        <f t="shared" si="12"/>
        <v>7.0000000000000007E-2</v>
      </c>
      <c r="S22" s="380">
        <f t="shared" si="12"/>
        <v>7.0000000000000007E-2</v>
      </c>
      <c r="T22" s="380">
        <f t="shared" si="12"/>
        <v>7.0000000000000007E-2</v>
      </c>
      <c r="U22" s="380">
        <f t="shared" si="12"/>
        <v>7.0000000000000007E-2</v>
      </c>
      <c r="V22" s="380">
        <f t="shared" si="12"/>
        <v>7.0000000000000007E-2</v>
      </c>
      <c r="W22" s="380">
        <f t="shared" si="12"/>
        <v>7.0000000000000007E-2</v>
      </c>
      <c r="X22" s="380">
        <f t="shared" si="12"/>
        <v>7.0000000000000007E-2</v>
      </c>
      <c r="Y22" s="380">
        <f t="shared" si="12"/>
        <v>7.0000000000000007E-2</v>
      </c>
      <c r="Z22" s="380">
        <f t="shared" si="12"/>
        <v>7.0000000000000007E-2</v>
      </c>
      <c r="AA22" s="380">
        <f t="shared" ref="AA22:AG22" si="13">Z22</f>
        <v>7.0000000000000007E-2</v>
      </c>
      <c r="AB22" s="380">
        <f t="shared" si="13"/>
        <v>7.0000000000000007E-2</v>
      </c>
      <c r="AC22" s="380">
        <f t="shared" si="13"/>
        <v>7.0000000000000007E-2</v>
      </c>
      <c r="AD22" s="380">
        <f t="shared" si="13"/>
        <v>7.0000000000000007E-2</v>
      </c>
      <c r="AE22" s="380">
        <f t="shared" si="13"/>
        <v>7.0000000000000007E-2</v>
      </c>
      <c r="AF22" s="380">
        <f t="shared" si="13"/>
        <v>7.0000000000000007E-2</v>
      </c>
      <c r="AG22" s="380">
        <f t="shared" si="13"/>
        <v>7.0000000000000007E-2</v>
      </c>
    </row>
    <row r="23" spans="1:33" ht="14.1" customHeight="1" x14ac:dyDescent="0.2">
      <c r="A23" s="360"/>
      <c r="B23" s="355"/>
      <c r="C23" s="355"/>
      <c r="D23" s="355"/>
      <c r="E23" s="355"/>
      <c r="F23" s="355"/>
      <c r="G23" s="355"/>
      <c r="H23" s="355"/>
      <c r="I23" s="355"/>
      <c r="J23" s="355"/>
      <c r="K23" s="355"/>
      <c r="L23" s="355"/>
      <c r="M23" s="355"/>
      <c r="N23" s="355"/>
      <c r="O23" s="355"/>
      <c r="P23" s="355"/>
      <c r="Q23" s="355"/>
      <c r="R23" s="355"/>
      <c r="S23" s="355"/>
      <c r="T23" s="355"/>
      <c r="U23" s="355"/>
      <c r="V23" s="355"/>
      <c r="W23" s="355"/>
      <c r="X23" s="355"/>
      <c r="Y23" s="355"/>
      <c r="Z23" s="355"/>
      <c r="AA23" s="355"/>
      <c r="AB23" s="355"/>
      <c r="AC23" s="355"/>
      <c r="AD23" s="355"/>
      <c r="AE23" s="355"/>
      <c r="AF23" s="355"/>
      <c r="AG23" s="355"/>
    </row>
    <row r="24" spans="1:33" ht="13.5" customHeight="1" thickBot="1" x14ac:dyDescent="0.25">
      <c r="A24" s="360" t="s">
        <v>410</v>
      </c>
      <c r="B24" s="355"/>
      <c r="C24" s="355"/>
      <c r="D24" s="355"/>
      <c r="E24" s="355"/>
      <c r="F24" s="355"/>
      <c r="G24" s="375">
        <f>'Summary Balance Sheet'!B9</f>
        <v>306.23200000000003</v>
      </c>
      <c r="H24" s="375">
        <f>'Summary Balance Sheet'!C9</f>
        <v>309.09100000000001</v>
      </c>
      <c r="I24" s="375">
        <f>'Summary Balance Sheet'!D9</f>
        <v>383.55900000000003</v>
      </c>
      <c r="J24" s="375">
        <f>'Summary Balance Sheet'!E9</f>
        <v>438.16199999999998</v>
      </c>
      <c r="K24" s="375">
        <f>'Summary Balance Sheet'!F9</f>
        <v>548.03833999999995</v>
      </c>
      <c r="L24" s="375">
        <f>L25*L12*4</f>
        <v>552.80532913491527</v>
      </c>
      <c r="M24" s="375">
        <f t="shared" ref="M24:AG24" ca="1" si="14">M25*M12*4</f>
        <v>1095.628348816</v>
      </c>
      <c r="N24" s="375">
        <f t="shared" ca="1" si="14"/>
        <v>511.06808154051885</v>
      </c>
      <c r="O24" s="375">
        <f t="shared" ca="1" si="14"/>
        <v>542.43831088068544</v>
      </c>
      <c r="P24" s="375">
        <f t="shared" ca="1" si="14"/>
        <v>612.60856072053173</v>
      </c>
      <c r="Q24" s="375">
        <f t="shared" ca="1" si="14"/>
        <v>1110.6797458582637</v>
      </c>
      <c r="R24" s="375">
        <f t="shared" ca="1" si="14"/>
        <v>547.28483967263776</v>
      </c>
      <c r="S24" s="375">
        <f t="shared" ca="1" si="14"/>
        <v>580.94889215181774</v>
      </c>
      <c r="T24" s="375">
        <f t="shared" ca="1" si="14"/>
        <v>656.25006217103623</v>
      </c>
      <c r="U24" s="375">
        <f t="shared" ca="1" si="14"/>
        <v>1190.7407199545084</v>
      </c>
      <c r="V24" s="375">
        <f t="shared" ca="1" si="14"/>
        <v>586.07032699131139</v>
      </c>
      <c r="W24" s="375">
        <f t="shared" ca="1" si="14"/>
        <v>622.19444484397002</v>
      </c>
      <c r="X24" s="375">
        <f t="shared" ca="1" si="14"/>
        <v>702.99839267228515</v>
      </c>
      <c r="Y24" s="375">
        <f t="shared" ca="1" si="14"/>
        <v>1276.5479831399341</v>
      </c>
      <c r="Z24" s="375">
        <f t="shared" ca="1" si="14"/>
        <v>631.30648058326005</v>
      </c>
      <c r="AA24" s="375">
        <f t="shared" ca="1" si="14"/>
        <v>670.32052786413135</v>
      </c>
      <c r="AB24" s="375">
        <f t="shared" ca="1" si="14"/>
        <v>757.58879151871179</v>
      </c>
      <c r="AC24" s="375">
        <f t="shared" ca="1" si="14"/>
        <v>1377.0223492237728</v>
      </c>
      <c r="AD24" s="375">
        <f t="shared" ca="1" si="14"/>
        <v>680.07905283419677</v>
      </c>
      <c r="AE24" s="375">
        <f t="shared" ca="1" si="14"/>
        <v>722.21422389753775</v>
      </c>
      <c r="AF24" s="375">
        <f t="shared" ca="1" si="14"/>
        <v>816.46394864448462</v>
      </c>
      <c r="AG24" s="375">
        <f t="shared" ca="1" si="14"/>
        <v>1485.4521909659506</v>
      </c>
    </row>
    <row r="25" spans="1:33" ht="14.1" customHeight="1" thickBot="1" x14ac:dyDescent="0.25">
      <c r="A25" s="360"/>
      <c r="B25" s="366" t="s">
        <v>132</v>
      </c>
      <c r="C25" s="355"/>
      <c r="D25" s="355"/>
      <c r="E25" s="355"/>
      <c r="F25" s="366"/>
      <c r="G25" s="379">
        <f>G24/G12</f>
        <v>1.4180257245217664E-2</v>
      </c>
      <c r="H25" s="379">
        <f>H24/H12</f>
        <v>1.3682458214831208E-2</v>
      </c>
      <c r="I25" s="379">
        <f>I24/I12</f>
        <v>1.2831050822514452E-2</v>
      </c>
      <c r="J25" s="379">
        <f>J24/(J12*4)</f>
        <v>1.9086044219928881E-2</v>
      </c>
      <c r="K25" s="379">
        <f>K24/(K12*4)</f>
        <v>2.4368572204906427E-2</v>
      </c>
      <c r="L25" s="380">
        <v>0.02</v>
      </c>
      <c r="M25" s="380">
        <f t="shared" ref="M25:AG25" si="15">L25</f>
        <v>0.02</v>
      </c>
      <c r="N25" s="380">
        <f t="shared" si="15"/>
        <v>0.02</v>
      </c>
      <c r="O25" s="380">
        <f t="shared" si="15"/>
        <v>0.02</v>
      </c>
      <c r="P25" s="380">
        <f t="shared" si="15"/>
        <v>0.02</v>
      </c>
      <c r="Q25" s="380">
        <f t="shared" si="15"/>
        <v>0.02</v>
      </c>
      <c r="R25" s="380">
        <f t="shared" si="15"/>
        <v>0.02</v>
      </c>
      <c r="S25" s="380">
        <f t="shared" si="15"/>
        <v>0.02</v>
      </c>
      <c r="T25" s="380">
        <f t="shared" si="15"/>
        <v>0.02</v>
      </c>
      <c r="U25" s="380">
        <f t="shared" si="15"/>
        <v>0.02</v>
      </c>
      <c r="V25" s="380">
        <f t="shared" si="15"/>
        <v>0.02</v>
      </c>
      <c r="W25" s="380">
        <f t="shared" si="15"/>
        <v>0.02</v>
      </c>
      <c r="X25" s="380">
        <f t="shared" si="15"/>
        <v>0.02</v>
      </c>
      <c r="Y25" s="380">
        <f t="shared" si="15"/>
        <v>0.02</v>
      </c>
      <c r="Z25" s="380">
        <f t="shared" si="15"/>
        <v>0.02</v>
      </c>
      <c r="AA25" s="380">
        <f t="shared" si="15"/>
        <v>0.02</v>
      </c>
      <c r="AB25" s="380">
        <f t="shared" si="15"/>
        <v>0.02</v>
      </c>
      <c r="AC25" s="380">
        <f t="shared" si="15"/>
        <v>0.02</v>
      </c>
      <c r="AD25" s="380">
        <f t="shared" si="15"/>
        <v>0.02</v>
      </c>
      <c r="AE25" s="380">
        <f t="shared" si="15"/>
        <v>0.02</v>
      </c>
      <c r="AF25" s="380">
        <f t="shared" si="15"/>
        <v>0.02</v>
      </c>
      <c r="AG25" s="380">
        <f t="shared" si="15"/>
        <v>0.02</v>
      </c>
    </row>
    <row r="26" spans="1:33" ht="14.1" customHeight="1" x14ac:dyDescent="0.2">
      <c r="A26" s="360"/>
      <c r="B26" s="355"/>
      <c r="C26" s="355"/>
      <c r="D26" s="355"/>
      <c r="E26" s="355"/>
      <c r="F26" s="355"/>
      <c r="G26" s="355"/>
      <c r="H26" s="355"/>
      <c r="I26" s="355"/>
      <c r="J26" s="355"/>
      <c r="K26" s="355"/>
      <c r="L26" s="355"/>
      <c r="M26" s="355"/>
      <c r="N26" s="355"/>
      <c r="O26" s="355"/>
      <c r="P26" s="355"/>
      <c r="Q26" s="355"/>
      <c r="R26" s="355"/>
      <c r="S26" s="355"/>
      <c r="T26" s="355"/>
      <c r="U26" s="355"/>
      <c r="V26" s="355"/>
      <c r="W26" s="355"/>
      <c r="X26" s="355"/>
      <c r="Y26" s="355"/>
      <c r="Z26" s="355"/>
      <c r="AA26" s="355"/>
      <c r="AB26" s="355"/>
      <c r="AC26" s="355"/>
      <c r="AD26" s="355"/>
      <c r="AE26" s="355"/>
      <c r="AF26" s="355"/>
      <c r="AG26" s="355"/>
    </row>
    <row r="27" spans="1:33" ht="14.1" customHeight="1" thickBot="1" x14ac:dyDescent="0.25">
      <c r="A27" s="360" t="s">
        <v>6</v>
      </c>
      <c r="B27" s="355"/>
      <c r="C27" s="355"/>
      <c r="D27" s="355"/>
      <c r="E27" s="355"/>
      <c r="F27" s="355"/>
      <c r="G27" s="355">
        <f>'Summary Balance Sheet'!B31</f>
        <v>2167.127</v>
      </c>
      <c r="H27" s="355">
        <f>'Summary Balance Sheet'!C31</f>
        <v>3471.7289999999998</v>
      </c>
      <c r="I27" s="355">
        <f>'Summary Balance Sheet'!D31</f>
        <v>5803.7960000000003</v>
      </c>
      <c r="J27" s="355">
        <f>'Summary Balance Sheet'!E31</f>
        <v>2617.0909999999999</v>
      </c>
      <c r="K27" s="355">
        <f>'Summary Balance Sheet'!F31</f>
        <v>3191.2104100000001</v>
      </c>
      <c r="L27" s="355">
        <f t="shared" ref="L27:AG27" si="16">L10/L8*L28</f>
        <v>3780.2368215549009</v>
      </c>
      <c r="M27" s="355">
        <f t="shared" ca="1" si="16"/>
        <v>7295.8665973260859</v>
      </c>
      <c r="N27" s="355">
        <f t="shared" ca="1" si="16"/>
        <v>3276.5126891046166</v>
      </c>
      <c r="O27" s="355">
        <f t="shared" ca="1" si="16"/>
        <v>3499.3781106785586</v>
      </c>
      <c r="P27" s="355">
        <f t="shared" ca="1" si="16"/>
        <v>3954.4375121856106</v>
      </c>
      <c r="Q27" s="355">
        <f t="shared" ca="1" si="16"/>
        <v>7454.4531097679837</v>
      </c>
      <c r="R27" s="355">
        <f t="shared" ca="1" si="16"/>
        <v>3577.9518565022422</v>
      </c>
      <c r="S27" s="355">
        <f t="shared" ca="1" si="16"/>
        <v>3779.3283595328439</v>
      </c>
      <c r="T27" s="355">
        <f t="shared" ca="1" si="16"/>
        <v>4270.7925131604607</v>
      </c>
      <c r="U27" s="355">
        <f t="shared" ca="1" si="16"/>
        <v>8050.8093585494244</v>
      </c>
      <c r="V27" s="355">
        <f t="shared" ca="1" si="16"/>
        <v>3864.1880050224227</v>
      </c>
      <c r="W27" s="355">
        <f t="shared" ca="1" si="16"/>
        <v>4081.6746282954723</v>
      </c>
      <c r="X27" s="355">
        <f t="shared" ca="1" si="16"/>
        <v>4612.4559142132985</v>
      </c>
      <c r="Y27" s="355">
        <f t="shared" ca="1" si="16"/>
        <v>8694.8741072333796</v>
      </c>
      <c r="Z27" s="355">
        <f t="shared" ca="1" si="16"/>
        <v>4173.3230454242166</v>
      </c>
      <c r="AA27" s="355">
        <f t="shared" ca="1" si="16"/>
        <v>4408.2085985591102</v>
      </c>
      <c r="AB27" s="355">
        <f t="shared" ca="1" si="16"/>
        <v>4981.4523873503631</v>
      </c>
      <c r="AC27" s="355">
        <f t="shared" ca="1" si="16"/>
        <v>9390.4640358120523</v>
      </c>
      <c r="AD27" s="355">
        <f t="shared" ca="1" si="16"/>
        <v>4457.6593408267454</v>
      </c>
      <c r="AE27" s="355">
        <f t="shared" ca="1" si="16"/>
        <v>4760.8652864438391</v>
      </c>
      <c r="AF27" s="355">
        <f t="shared" ca="1" si="16"/>
        <v>5379.9685783383911</v>
      </c>
      <c r="AG27" s="355">
        <f t="shared" ca="1" si="16"/>
        <v>10141.701158677017</v>
      </c>
    </row>
    <row r="28" spans="1:33" ht="14.1" customHeight="1" thickBot="1" x14ac:dyDescent="0.25">
      <c r="A28" s="360"/>
      <c r="B28" s="366" t="s">
        <v>133</v>
      </c>
      <c r="C28" s="355"/>
      <c r="D28" s="355"/>
      <c r="E28" s="355"/>
      <c r="F28" s="366"/>
      <c r="G28" s="376">
        <f>IFERROR(AVERAGE(G27:G27)/(G$9/G$8),0)</f>
        <v>37.961375971734014</v>
      </c>
      <c r="H28" s="376">
        <f>AVERAGE(G27:H27)/(H$10/H$8)</f>
        <v>65.048994175059704</v>
      </c>
      <c r="I28" s="376">
        <f>AVERAGE(H27:I27)/(I$10/I$8)</f>
        <v>79.424274954273585</v>
      </c>
      <c r="J28" s="376">
        <f>AVERAGE(I27:J27)/(J$10/J$8)</f>
        <v>101.00671442911174</v>
      </c>
      <c r="K28" s="376">
        <f>AVERAGE(J27:K27)/(K$10/K$8)</f>
        <v>69.094577240317648</v>
      </c>
      <c r="L28" s="378">
        <v>70</v>
      </c>
      <c r="M28" s="378">
        <f t="shared" ref="M28:Z28" si="17">L28</f>
        <v>70</v>
      </c>
      <c r="N28" s="378">
        <f t="shared" si="17"/>
        <v>70</v>
      </c>
      <c r="O28" s="378">
        <f t="shared" si="17"/>
        <v>70</v>
      </c>
      <c r="P28" s="378">
        <f t="shared" si="17"/>
        <v>70</v>
      </c>
      <c r="Q28" s="378">
        <f t="shared" si="17"/>
        <v>70</v>
      </c>
      <c r="R28" s="378">
        <f t="shared" si="17"/>
        <v>70</v>
      </c>
      <c r="S28" s="378">
        <f t="shared" si="17"/>
        <v>70</v>
      </c>
      <c r="T28" s="378">
        <f t="shared" si="17"/>
        <v>70</v>
      </c>
      <c r="U28" s="378">
        <f t="shared" si="17"/>
        <v>70</v>
      </c>
      <c r="V28" s="378">
        <f t="shared" si="17"/>
        <v>70</v>
      </c>
      <c r="W28" s="378">
        <f t="shared" si="17"/>
        <v>70</v>
      </c>
      <c r="X28" s="378">
        <f t="shared" si="17"/>
        <v>70</v>
      </c>
      <c r="Y28" s="378">
        <f t="shared" si="17"/>
        <v>70</v>
      </c>
      <c r="Z28" s="378">
        <f t="shared" si="17"/>
        <v>70</v>
      </c>
      <c r="AA28" s="378">
        <f t="shared" ref="AA28:AG28" si="18">Z28</f>
        <v>70</v>
      </c>
      <c r="AB28" s="378">
        <f t="shared" si="18"/>
        <v>70</v>
      </c>
      <c r="AC28" s="378">
        <f t="shared" si="18"/>
        <v>70</v>
      </c>
      <c r="AD28" s="378">
        <f t="shared" si="18"/>
        <v>70</v>
      </c>
      <c r="AE28" s="378">
        <f t="shared" si="18"/>
        <v>70</v>
      </c>
      <c r="AF28" s="378">
        <f t="shared" si="18"/>
        <v>70</v>
      </c>
      <c r="AG28" s="378">
        <f t="shared" si="18"/>
        <v>70</v>
      </c>
    </row>
    <row r="29" spans="1:33" ht="14.1" customHeight="1" x14ac:dyDescent="0.2">
      <c r="A29" s="360"/>
      <c r="B29" s="355"/>
      <c r="C29" s="355"/>
      <c r="D29" s="355"/>
      <c r="E29" s="355"/>
      <c r="F29" s="355"/>
      <c r="G29" s="355"/>
      <c r="H29" s="355"/>
      <c r="I29" s="355"/>
      <c r="J29" s="355"/>
      <c r="K29" s="355"/>
      <c r="L29" s="355"/>
      <c r="M29" s="355"/>
      <c r="N29" s="355"/>
      <c r="O29" s="355"/>
      <c r="P29" s="355"/>
      <c r="Q29" s="355"/>
      <c r="R29" s="355"/>
      <c r="S29" s="355"/>
      <c r="T29" s="355"/>
      <c r="U29" s="355"/>
      <c r="V29" s="355"/>
      <c r="W29" s="355"/>
      <c r="X29" s="355"/>
      <c r="Y29" s="355"/>
      <c r="Z29" s="355"/>
      <c r="AA29" s="355"/>
      <c r="AB29" s="355"/>
      <c r="AC29" s="355"/>
      <c r="AD29" s="355"/>
      <c r="AE29" s="355"/>
      <c r="AF29" s="355"/>
      <c r="AG29" s="355"/>
    </row>
    <row r="30" spans="1:33" ht="14.1" customHeight="1" thickBot="1" x14ac:dyDescent="0.25">
      <c r="A30" s="360" t="s">
        <v>358</v>
      </c>
      <c r="B30" s="355"/>
      <c r="C30" s="355"/>
      <c r="D30" s="355"/>
      <c r="E30" s="355"/>
      <c r="F30" s="355"/>
      <c r="G30" s="355">
        <v>0</v>
      </c>
      <c r="H30" s="355">
        <f>'Summary Balance Sheet'!C32</f>
        <v>0</v>
      </c>
      <c r="I30" s="355">
        <f>'Summary Balance Sheet'!D32</f>
        <v>234.56299999999999</v>
      </c>
      <c r="J30" s="355">
        <f>'Summary Income Statement'!H31*4*'BS Assumptions'!J31</f>
        <v>57.164069600000005</v>
      </c>
      <c r="K30" s="355">
        <f>'Summary Income Statement'!I31*4*'BS Assumptions'!K31</f>
        <v>55.619103599999974</v>
      </c>
      <c r="L30" s="355">
        <f>'Summary Income Statement'!J31*4*'BS Assumptions'!L31</f>
        <v>65.670488976271173</v>
      </c>
      <c r="M30" s="355">
        <f ca="1">'Summary Income Statement'!K31*4*'BS Assumptions'!M31</f>
        <v>138.87304695600002</v>
      </c>
      <c r="N30" s="355">
        <f ca="1">'Summary Income Statement'!L31*4*'BS Assumptions'!N31</f>
        <v>61.688825112107644</v>
      </c>
      <c r="O30" s="355">
        <f ca="1">'Summary Income Statement'!M31*4*'BS Assumptions'!O31</f>
        <v>65.884843049327372</v>
      </c>
      <c r="P30" s="355">
        <f ca="1">'Summary Income Statement'!N31*4*'BS Assumptions'!P31</f>
        <v>75.27067264573995</v>
      </c>
      <c r="Q30" s="355">
        <f ca="1">'Summary Income Statement'!O31*4*'BS Assumptions'!Q31</f>
        <v>141.89165919282513</v>
      </c>
      <c r="R30" s="355">
        <f ca="1">'Summary Income Statement'!P31*4*'BS Assumptions'!R31</f>
        <v>66.623931121076239</v>
      </c>
      <c r="S30" s="355">
        <f ca="1">'Summary Income Statement'!Q31*4*'BS Assumptions'!S31</f>
        <v>71.155630493273563</v>
      </c>
      <c r="T30" s="355">
        <f ca="1">'Summary Income Statement'!R31*4*'BS Assumptions'!T31</f>
        <v>81.292326457399099</v>
      </c>
      <c r="U30" s="355">
        <f ca="1">'Summary Income Statement'!S31*4*'BS Assumptions'!U31</f>
        <v>153.24299192825112</v>
      </c>
      <c r="V30" s="355">
        <f ca="1">'Summary Income Statement'!T31*4*'BS Assumptions'!V31</f>
        <v>71.953845610762343</v>
      </c>
      <c r="W30" s="355">
        <f ca="1">'Summary Income Statement'!U31*4*'BS Assumptions'!W31</f>
        <v>76.848080932735442</v>
      </c>
      <c r="X30" s="355">
        <f ca="1">'Summary Income Statement'!V31*4*'BS Assumptions'!X31</f>
        <v>87.795712573991054</v>
      </c>
      <c r="Y30" s="355">
        <f ca="1">'Summary Income Statement'!W31*4*'BS Assumptions'!Y31</f>
        <v>165.50243128251125</v>
      </c>
      <c r="Z30" s="355">
        <f ca="1">'Summary Income Statement'!X31*4*'BS Assumptions'!Z31</f>
        <v>77.710153259623354</v>
      </c>
      <c r="AA30" s="355">
        <f ca="1">'Summary Income Statement'!Y31*4*'BS Assumptions'!AA31</f>
        <v>82.995927407354301</v>
      </c>
      <c r="AB30" s="355">
        <f ca="1">'Summary Income Statement'!Z31*4*'BS Assumptions'!AB31</f>
        <v>94.819369579910344</v>
      </c>
      <c r="AC30" s="355">
        <f ca="1">'Summary Income Statement'!AA31*4*'BS Assumptions'!AC31</f>
        <v>178.74262578511215</v>
      </c>
      <c r="AD30" s="355">
        <f ca="1">'Summary Income Statement'!AB31*4*'BS Assumptions'!AD31</f>
        <v>83.926965520393239</v>
      </c>
      <c r="AE30" s="355">
        <f ca="1">'Summary Income Statement'!AC31*4*'BS Assumptions'!AE31</f>
        <v>89.635601599942646</v>
      </c>
      <c r="AF30" s="355">
        <f ca="1">'Summary Income Statement'!AD31*4*'BS Assumptions'!AF31</f>
        <v>102.4049191463032</v>
      </c>
      <c r="AG30" s="355">
        <f ca="1">'Summary Income Statement'!AE31*4*'BS Assumptions'!AG31</f>
        <v>193.04203584792117</v>
      </c>
    </row>
    <row r="31" spans="1:33" ht="14.1" customHeight="1" thickBot="1" x14ac:dyDescent="0.25">
      <c r="A31" s="360"/>
      <c r="B31" s="366" t="s">
        <v>359</v>
      </c>
      <c r="C31" s="355"/>
      <c r="D31" s="355"/>
      <c r="E31" s="355"/>
      <c r="F31" s="366"/>
      <c r="G31" s="376">
        <v>0</v>
      </c>
      <c r="H31" s="381">
        <f>H30/'Summary Income Statement'!F31</f>
        <v>0</v>
      </c>
      <c r="I31" s="381">
        <f>I30/'Summary Income Statement'!G31</f>
        <v>1.6855316463573338E-2</v>
      </c>
      <c r="J31" s="382">
        <v>5.0000000000000001E-3</v>
      </c>
      <c r="K31" s="380">
        <f t="shared" ref="K31:Z31" si="19">J31</f>
        <v>5.0000000000000001E-3</v>
      </c>
      <c r="L31" s="380">
        <f t="shared" si="19"/>
        <v>5.0000000000000001E-3</v>
      </c>
      <c r="M31" s="380">
        <f t="shared" si="19"/>
        <v>5.0000000000000001E-3</v>
      </c>
      <c r="N31" s="380">
        <f t="shared" si="19"/>
        <v>5.0000000000000001E-3</v>
      </c>
      <c r="O31" s="380">
        <f t="shared" si="19"/>
        <v>5.0000000000000001E-3</v>
      </c>
      <c r="P31" s="380">
        <f t="shared" si="19"/>
        <v>5.0000000000000001E-3</v>
      </c>
      <c r="Q31" s="380">
        <f t="shared" si="19"/>
        <v>5.0000000000000001E-3</v>
      </c>
      <c r="R31" s="380">
        <f t="shared" si="19"/>
        <v>5.0000000000000001E-3</v>
      </c>
      <c r="S31" s="380">
        <f t="shared" si="19"/>
        <v>5.0000000000000001E-3</v>
      </c>
      <c r="T31" s="380">
        <f t="shared" si="19"/>
        <v>5.0000000000000001E-3</v>
      </c>
      <c r="U31" s="380">
        <f t="shared" si="19"/>
        <v>5.0000000000000001E-3</v>
      </c>
      <c r="V31" s="380">
        <f t="shared" si="19"/>
        <v>5.0000000000000001E-3</v>
      </c>
      <c r="W31" s="380">
        <f t="shared" si="19"/>
        <v>5.0000000000000001E-3</v>
      </c>
      <c r="X31" s="380">
        <f t="shared" si="19"/>
        <v>5.0000000000000001E-3</v>
      </c>
      <c r="Y31" s="380">
        <f t="shared" si="19"/>
        <v>5.0000000000000001E-3</v>
      </c>
      <c r="Z31" s="380">
        <f t="shared" si="19"/>
        <v>5.0000000000000001E-3</v>
      </c>
      <c r="AA31" s="380">
        <f t="shared" ref="AA31:AG31" si="20">Z31</f>
        <v>5.0000000000000001E-3</v>
      </c>
      <c r="AB31" s="380">
        <f t="shared" si="20"/>
        <v>5.0000000000000001E-3</v>
      </c>
      <c r="AC31" s="380">
        <f t="shared" si="20"/>
        <v>5.0000000000000001E-3</v>
      </c>
      <c r="AD31" s="380">
        <f t="shared" si="20"/>
        <v>5.0000000000000001E-3</v>
      </c>
      <c r="AE31" s="380">
        <f t="shared" si="20"/>
        <v>5.0000000000000001E-3</v>
      </c>
      <c r="AF31" s="380">
        <f t="shared" si="20"/>
        <v>5.0000000000000001E-3</v>
      </c>
      <c r="AG31" s="380">
        <f t="shared" si="20"/>
        <v>5.0000000000000001E-3</v>
      </c>
    </row>
    <row r="32" spans="1:33" ht="14.1" customHeight="1" x14ac:dyDescent="0.2">
      <c r="A32" s="360"/>
      <c r="B32" s="355"/>
      <c r="C32" s="355"/>
      <c r="D32" s="355"/>
      <c r="E32" s="355"/>
      <c r="F32" s="355"/>
      <c r="G32" s="355"/>
      <c r="H32" s="355"/>
      <c r="I32" s="355"/>
      <c r="J32" s="355"/>
      <c r="K32" s="355"/>
      <c r="L32" s="355"/>
      <c r="M32" s="355"/>
    </row>
    <row r="33" spans="1:33" ht="14.1" customHeight="1" thickBot="1" x14ac:dyDescent="0.25">
      <c r="A33" s="360" t="s">
        <v>276</v>
      </c>
      <c r="B33" s="355"/>
      <c r="C33" s="355"/>
      <c r="D33" s="355"/>
      <c r="E33" s="355"/>
      <c r="F33" s="355"/>
      <c r="G33" s="355">
        <f>'Summary Balance Sheet'!B33</f>
        <v>222.56700000000001</v>
      </c>
      <c r="H33" s="355">
        <f>'Summary Balance Sheet'!C33</f>
        <v>365.55799999999999</v>
      </c>
      <c r="I33" s="355">
        <f>'Summary Balance Sheet'!D33</f>
        <v>500.02100000000002</v>
      </c>
      <c r="J33" s="355">
        <f>'Summary Balance Sheet'!E33</f>
        <v>407.36078000000003</v>
      </c>
      <c r="K33" s="355">
        <f>'Summary Balance Sheet'!F33</f>
        <v>465.85358999999994</v>
      </c>
      <c r="L33" s="355">
        <f t="shared" ref="L33:AG33" si="21">L34*L12*4</f>
        <v>531.50275222069536</v>
      </c>
      <c r="M33" s="355">
        <f t="shared" ca="1" si="21"/>
        <v>1053.4078673192371</v>
      </c>
      <c r="N33" s="355">
        <f t="shared" ca="1" si="21"/>
        <v>491.3738663410075</v>
      </c>
      <c r="O33" s="355">
        <f t="shared" ca="1" si="21"/>
        <v>521.53523120734314</v>
      </c>
      <c r="P33" s="355">
        <f t="shared" ca="1" si="21"/>
        <v>589.00144209256757</v>
      </c>
      <c r="Q33" s="355">
        <f t="shared" ca="1" si="21"/>
        <v>1067.8792526896505</v>
      </c>
      <c r="R33" s="355">
        <f t="shared" ca="1" si="21"/>
        <v>526.19499705234796</v>
      </c>
      <c r="S33" s="355">
        <f t="shared" ca="1" si="21"/>
        <v>558.56179165540675</v>
      </c>
      <c r="T33" s="355">
        <f t="shared" ca="1" si="21"/>
        <v>630.96120063593298</v>
      </c>
      <c r="U33" s="355">
        <f t="shared" ca="1" si="21"/>
        <v>1144.8550447722168</v>
      </c>
      <c r="V33" s="355">
        <f t="shared" ca="1" si="21"/>
        <v>563.48586993223796</v>
      </c>
      <c r="W33" s="355">
        <f t="shared" ca="1" si="21"/>
        <v>598.21793029475111</v>
      </c>
      <c r="X33" s="355">
        <f t="shared" ca="1" si="21"/>
        <v>675.90806531616192</v>
      </c>
      <c r="Y33" s="355">
        <f t="shared" ca="1" si="21"/>
        <v>1227.3556903700974</v>
      </c>
      <c r="Z33" s="355">
        <f t="shared" ca="1" si="21"/>
        <v>606.97883005189522</v>
      </c>
      <c r="AA33" s="355">
        <f t="shared" ca="1" si="21"/>
        <v>644.48945524340922</v>
      </c>
      <c r="AB33" s="355">
        <f t="shared" ca="1" si="21"/>
        <v>728.39480106653309</v>
      </c>
      <c r="AC33" s="355">
        <f t="shared" ca="1" si="21"/>
        <v>1323.9582361247833</v>
      </c>
      <c r="AD33" s="355">
        <f t="shared" ca="1" si="21"/>
        <v>653.8719315073788</v>
      </c>
      <c r="AE33" s="355">
        <f t="shared" ca="1" si="21"/>
        <v>694.38340671421406</v>
      </c>
      <c r="AF33" s="355">
        <f t="shared" ca="1" si="21"/>
        <v>785.00118020318769</v>
      </c>
      <c r="AG33" s="355">
        <f t="shared" ca="1" si="21"/>
        <v>1428.2096900660983</v>
      </c>
    </row>
    <row r="34" spans="1:33" ht="14.1" customHeight="1" thickBot="1" x14ac:dyDescent="0.25">
      <c r="A34" s="360"/>
      <c r="B34" s="366" t="s">
        <v>360</v>
      </c>
      <c r="C34" s="355"/>
      <c r="D34" s="355"/>
      <c r="E34" s="355"/>
      <c r="F34" s="366"/>
      <c r="G34" s="376">
        <f>IFERROR(AVERAGE(G33:G33)/(G$9/G$8),0)</f>
        <v>3.8986868632530189</v>
      </c>
      <c r="H34" s="381">
        <f>H33/H12</f>
        <v>1.6182069552647171E-2</v>
      </c>
      <c r="I34" s="381">
        <f>I33/I12</f>
        <v>1.6727009047694093E-2</v>
      </c>
      <c r="J34" s="381">
        <f>J33/(J12*4)</f>
        <v>1.7744363638436744E-2</v>
      </c>
      <c r="K34" s="381">
        <f>K33/(K12*4)</f>
        <v>2.0714220185452489E-2</v>
      </c>
      <c r="L34" s="383">
        <f>AVERAGE(J34:K34)</f>
        <v>1.9229291911944616E-2</v>
      </c>
      <c r="M34" s="383">
        <f t="shared" ref="M34:AG34" si="22">L34</f>
        <v>1.9229291911944616E-2</v>
      </c>
      <c r="N34" s="383">
        <f t="shared" si="22"/>
        <v>1.9229291911944616E-2</v>
      </c>
      <c r="O34" s="383">
        <f t="shared" si="22"/>
        <v>1.9229291911944616E-2</v>
      </c>
      <c r="P34" s="383">
        <f t="shared" si="22"/>
        <v>1.9229291911944616E-2</v>
      </c>
      <c r="Q34" s="383">
        <f t="shared" si="22"/>
        <v>1.9229291911944616E-2</v>
      </c>
      <c r="R34" s="383">
        <f t="shared" si="22"/>
        <v>1.9229291911944616E-2</v>
      </c>
      <c r="S34" s="383">
        <f t="shared" si="22"/>
        <v>1.9229291911944616E-2</v>
      </c>
      <c r="T34" s="383">
        <f t="shared" si="22"/>
        <v>1.9229291911944616E-2</v>
      </c>
      <c r="U34" s="383">
        <f t="shared" si="22"/>
        <v>1.9229291911944616E-2</v>
      </c>
      <c r="V34" s="383">
        <f t="shared" si="22"/>
        <v>1.9229291911944616E-2</v>
      </c>
      <c r="W34" s="383">
        <f t="shared" si="22"/>
        <v>1.9229291911944616E-2</v>
      </c>
      <c r="X34" s="383">
        <f t="shared" si="22"/>
        <v>1.9229291911944616E-2</v>
      </c>
      <c r="Y34" s="383">
        <f t="shared" si="22"/>
        <v>1.9229291911944616E-2</v>
      </c>
      <c r="Z34" s="383">
        <f t="shared" si="22"/>
        <v>1.9229291911944616E-2</v>
      </c>
      <c r="AA34" s="383">
        <f t="shared" si="22"/>
        <v>1.9229291911944616E-2</v>
      </c>
      <c r="AB34" s="383">
        <f t="shared" si="22"/>
        <v>1.9229291911944616E-2</v>
      </c>
      <c r="AC34" s="383">
        <f t="shared" si="22"/>
        <v>1.9229291911944616E-2</v>
      </c>
      <c r="AD34" s="383">
        <f t="shared" si="22"/>
        <v>1.9229291911944616E-2</v>
      </c>
      <c r="AE34" s="383">
        <f t="shared" si="22"/>
        <v>1.9229291911944616E-2</v>
      </c>
      <c r="AF34" s="383">
        <f t="shared" si="22"/>
        <v>1.9229291911944616E-2</v>
      </c>
      <c r="AG34" s="383">
        <f t="shared" si="22"/>
        <v>1.9229291911944616E-2</v>
      </c>
    </row>
    <row r="35" spans="1:33" ht="14.1" customHeight="1" x14ac:dyDescent="0.2">
      <c r="A35" s="360"/>
      <c r="B35" s="355"/>
      <c r="C35" s="355"/>
      <c r="D35" s="355"/>
      <c r="E35" s="355"/>
      <c r="F35" s="355"/>
      <c r="G35" s="355"/>
      <c r="H35" s="355"/>
      <c r="I35" s="355"/>
      <c r="J35" s="355"/>
      <c r="K35" s="355"/>
      <c r="L35" s="355"/>
      <c r="M35" s="355"/>
    </row>
    <row r="36" spans="1:33" ht="14.1" customHeight="1" x14ac:dyDescent="0.2">
      <c r="A36" s="360"/>
      <c r="B36" s="355"/>
      <c r="C36" s="355"/>
      <c r="D36" s="355"/>
      <c r="E36" s="355"/>
      <c r="F36" s="355"/>
      <c r="G36" s="355"/>
      <c r="H36" s="355"/>
      <c r="I36" s="355"/>
      <c r="J36" s="355"/>
      <c r="K36" s="355"/>
      <c r="L36" s="355"/>
    </row>
    <row r="37" spans="1:33" ht="14.1" customHeight="1" x14ac:dyDescent="0.2">
      <c r="A37" s="360"/>
      <c r="B37" s="355"/>
      <c r="C37" s="355"/>
      <c r="D37" s="355"/>
      <c r="E37" s="355"/>
      <c r="F37" s="355"/>
      <c r="G37" s="355"/>
      <c r="H37" s="355"/>
      <c r="I37" s="355"/>
      <c r="J37" s="355"/>
      <c r="K37" s="355"/>
      <c r="L37" s="355"/>
    </row>
    <row r="38" spans="1:33" ht="14.1" customHeight="1" x14ac:dyDescent="0.2">
      <c r="A38" s="360"/>
      <c r="B38" s="355"/>
      <c r="C38" s="355"/>
      <c r="D38" s="355"/>
      <c r="E38" s="355"/>
      <c r="F38" s="355" t="s">
        <v>28</v>
      </c>
      <c r="H38" s="384" t="s">
        <v>33</v>
      </c>
      <c r="I38" s="384"/>
      <c r="J38" s="355"/>
      <c r="K38" s="355"/>
      <c r="L38" s="355"/>
      <c r="M38" s="355"/>
    </row>
    <row r="39" spans="1:33" ht="14.1" customHeight="1" thickBot="1" x14ac:dyDescent="0.25">
      <c r="A39" s="360"/>
      <c r="B39" s="355"/>
      <c r="C39" s="355"/>
      <c r="D39" s="355"/>
      <c r="E39" s="355"/>
      <c r="F39" s="355" t="s">
        <v>29</v>
      </c>
      <c r="H39" s="384" t="s">
        <v>33</v>
      </c>
      <c r="I39" s="384"/>
      <c r="J39" s="355"/>
      <c r="K39" s="355"/>
      <c r="L39" s="355"/>
      <c r="M39" s="355"/>
    </row>
    <row r="40" spans="1:33" ht="14.1" customHeight="1" thickBot="1" x14ac:dyDescent="0.25">
      <c r="A40" s="360"/>
      <c r="B40" s="355"/>
      <c r="C40" s="355"/>
      <c r="D40" s="355"/>
      <c r="E40" s="355"/>
      <c r="F40" s="355" t="s">
        <v>30</v>
      </c>
      <c r="H40" s="376" t="s">
        <v>33</v>
      </c>
      <c r="I40" s="385">
        <v>10</v>
      </c>
      <c r="J40" s="355" t="s">
        <v>31</v>
      </c>
      <c r="K40" s="355"/>
      <c r="L40" s="355"/>
      <c r="M40" s="355"/>
    </row>
    <row r="41" spans="1:33" ht="14.1" hidden="1" customHeight="1" x14ac:dyDescent="0.2">
      <c r="A41" s="360"/>
      <c r="B41" s="355"/>
      <c r="C41" s="355"/>
      <c r="D41" s="355"/>
      <c r="E41" s="355"/>
      <c r="F41" s="355"/>
      <c r="G41" s="355"/>
      <c r="H41" s="355"/>
      <c r="I41" s="386" t="e">
        <f>#REF!+1</f>
        <v>#REF!</v>
      </c>
      <c r="J41" s="386" t="e">
        <f>I41+1</f>
        <v>#REF!</v>
      </c>
      <c r="K41" s="386" t="e">
        <f>J41+1</f>
        <v>#REF!</v>
      </c>
      <c r="L41" s="386" t="e">
        <f>K41+1</f>
        <v>#REF!</v>
      </c>
      <c r="M41" s="386" t="e">
        <f>L41+1</f>
        <v>#REF!</v>
      </c>
    </row>
    <row r="42" spans="1:33" ht="14.1" hidden="1" customHeight="1" thickBot="1" x14ac:dyDescent="0.25">
      <c r="A42" s="360"/>
      <c r="B42" s="355"/>
      <c r="C42" s="355"/>
      <c r="D42" s="355"/>
      <c r="E42" s="355"/>
      <c r="F42" s="355"/>
      <c r="G42" s="355"/>
      <c r="H42" s="355"/>
      <c r="I42" s="387" t="s">
        <v>35</v>
      </c>
      <c r="J42" s="387" t="s">
        <v>36</v>
      </c>
      <c r="K42" s="387" t="s">
        <v>37</v>
      </c>
      <c r="L42" s="387" t="s">
        <v>38</v>
      </c>
      <c r="M42" s="387" t="s">
        <v>203</v>
      </c>
    </row>
    <row r="43" spans="1:33" ht="14.1" hidden="1" customHeight="1" thickBot="1" x14ac:dyDescent="0.25">
      <c r="A43" s="360"/>
      <c r="B43" s="355"/>
      <c r="C43" s="355"/>
      <c r="D43" s="355"/>
      <c r="E43" s="355"/>
      <c r="F43" s="355" t="s">
        <v>140</v>
      </c>
      <c r="G43" s="355"/>
      <c r="H43" s="355"/>
      <c r="I43" s="388">
        <v>1375</v>
      </c>
      <c r="J43" s="388">
        <v>1540</v>
      </c>
      <c r="K43" s="388">
        <v>1540</v>
      </c>
      <c r="L43" s="388">
        <v>1800</v>
      </c>
      <c r="M43" s="388">
        <v>1800</v>
      </c>
    </row>
    <row r="44" spans="1:33" ht="14.1" hidden="1" customHeight="1" thickBot="1" x14ac:dyDescent="0.25">
      <c r="A44" s="360"/>
      <c r="B44" s="355"/>
      <c r="C44" s="355"/>
      <c r="D44" s="355"/>
      <c r="E44" s="355"/>
      <c r="F44" s="355" t="s">
        <v>141</v>
      </c>
      <c r="G44" s="355"/>
      <c r="H44" s="355"/>
      <c r="I44" s="388">
        <v>250</v>
      </c>
      <c r="J44" s="388">
        <v>250</v>
      </c>
      <c r="K44" s="388">
        <v>250</v>
      </c>
      <c r="L44" s="388">
        <v>250</v>
      </c>
      <c r="M44" s="388">
        <v>250</v>
      </c>
    </row>
    <row r="45" spans="1:33" ht="14.1" hidden="1" customHeight="1" thickBot="1" x14ac:dyDescent="0.25">
      <c r="A45" s="360"/>
      <c r="B45" s="355"/>
      <c r="C45" s="355"/>
      <c r="D45" s="355"/>
      <c r="E45" s="355"/>
      <c r="F45" s="353" t="s">
        <v>32</v>
      </c>
      <c r="G45" s="355"/>
      <c r="H45" s="355"/>
      <c r="I45" s="388">
        <f>SUM(I43:I44)</f>
        <v>1625</v>
      </c>
      <c r="J45" s="388">
        <f>SUM(J43:J44)</f>
        <v>1790</v>
      </c>
      <c r="K45" s="388">
        <f>SUM(K43:K44)</f>
        <v>1790</v>
      </c>
      <c r="L45" s="388">
        <f>SUM(L43:L44)</f>
        <v>2050</v>
      </c>
      <c r="M45" s="388">
        <f>SUM(M43:M44)</f>
        <v>2050</v>
      </c>
    </row>
    <row r="46" spans="1:33" ht="14.1" hidden="1" customHeight="1" x14ac:dyDescent="0.2">
      <c r="A46" s="360"/>
      <c r="B46" s="355"/>
      <c r="C46" s="355"/>
      <c r="D46" s="355"/>
      <c r="E46" s="355"/>
      <c r="F46" s="353"/>
      <c r="G46" s="355"/>
      <c r="H46" s="355"/>
      <c r="I46" s="355"/>
      <c r="J46" s="355"/>
      <c r="K46" s="355"/>
      <c r="L46" s="389"/>
    </row>
    <row r="47" spans="1:33" ht="14.1" hidden="1" customHeight="1" x14ac:dyDescent="0.2">
      <c r="A47" s="355"/>
      <c r="B47" s="355"/>
      <c r="C47" s="355"/>
      <c r="D47" s="355"/>
      <c r="E47" s="355"/>
      <c r="F47" s="355"/>
      <c r="G47" s="355"/>
      <c r="H47" s="355"/>
      <c r="I47" s="355"/>
      <c r="J47" s="355"/>
    </row>
  </sheetData>
  <pageMargins left="0.25" right="0.25" top="0.75" bottom="0.75" header="0.3" footer="0.3"/>
  <pageSetup scale="30" fitToWidth="2" orientation="landscape" r:id="rId1"/>
  <headerFooter alignWithMargins="0">
    <oddFooter>&amp;C&amp;P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AL50"/>
  <sheetViews>
    <sheetView view="pageBreakPreview" zoomScale="85" zoomScaleNormal="85" zoomScaleSheetLayoutView="85" zoomScalePageLayoutView="85" workbookViewId="0">
      <pane xSplit="6" ySplit="11" topLeftCell="G12" activePane="bottomRight" state="frozenSplit"/>
      <selection activeCell="AJ9" sqref="AJ9"/>
      <selection pane="topRight" activeCell="AJ9" sqref="AJ9"/>
      <selection pane="bottomLeft" activeCell="AJ9" sqref="AJ9"/>
      <selection pane="bottomRight" activeCell="P40" sqref="P40"/>
    </sheetView>
  </sheetViews>
  <sheetFormatPr defaultColWidth="14.42578125" defaultRowHeight="14.1" customHeight="1" x14ac:dyDescent="0.2"/>
  <cols>
    <col min="1" max="5" width="3" style="330" customWidth="1"/>
    <col min="6" max="6" width="27.140625" style="330" customWidth="1"/>
    <col min="7" max="7" width="6.140625" style="330" bestFit="1" customWidth="1"/>
    <col min="8" max="9" width="12.28515625" style="330" bestFit="1" customWidth="1"/>
    <col min="10" max="11" width="12.28515625" style="331" bestFit="1" customWidth="1"/>
    <col min="12" max="14" width="11.42578125" style="331" bestFit="1" customWidth="1"/>
    <col min="15" max="20" width="12.5703125" style="331" bestFit="1" customWidth="1"/>
    <col min="21" max="21" width="4.85546875" style="331" customWidth="1"/>
    <col min="22" max="23" width="3" style="331" customWidth="1"/>
    <col min="24" max="24" width="3.140625" style="331" customWidth="1"/>
    <col min="25" max="26" width="3" style="331" customWidth="1"/>
    <col min="27" max="27" width="27.140625" style="331" customWidth="1"/>
    <col min="28" max="28" width="14.42578125" style="331"/>
    <col min="29" max="38" width="14.5703125" style="331" bestFit="1" customWidth="1"/>
    <col min="39" max="16384" width="14.42578125" style="331"/>
  </cols>
  <sheetData>
    <row r="1" spans="1:38" s="314" customFormat="1" ht="14.1" customHeight="1" x14ac:dyDescent="0.2">
      <c r="A1" s="227" t="str">
        <f>'Valuation &amp; Sources &amp; Uses'!B2</f>
        <v>Colorado Timberline</v>
      </c>
      <c r="B1" s="275"/>
      <c r="C1" s="275"/>
      <c r="D1" s="275"/>
      <c r="E1" s="275"/>
      <c r="F1" s="275"/>
      <c r="G1" s="275"/>
      <c r="H1" s="275"/>
      <c r="I1" s="275"/>
      <c r="J1" s="277"/>
      <c r="K1" s="277"/>
      <c r="L1" s="277"/>
      <c r="M1" s="277"/>
      <c r="N1" s="277"/>
      <c r="O1" s="277"/>
      <c r="P1" s="277"/>
      <c r="Q1" s="277"/>
      <c r="R1" s="277"/>
      <c r="S1" s="277"/>
      <c r="T1" s="277"/>
    </row>
    <row r="2" spans="1:38" s="314" customFormat="1" ht="14.1" customHeight="1" x14ac:dyDescent="0.2">
      <c r="A2" s="230" t="str">
        <f ca="1">REPLACE(CELL("filename",B2),1,FIND("]",CELL("filename",B2)),"")</f>
        <v>IS Assumptions</v>
      </c>
      <c r="B2" s="275"/>
      <c r="C2" s="275"/>
      <c r="D2" s="275"/>
      <c r="E2" s="275"/>
      <c r="F2" s="275"/>
      <c r="G2" s="275"/>
      <c r="H2" s="275"/>
      <c r="I2" s="275"/>
      <c r="J2" s="277"/>
      <c r="K2" s="277"/>
      <c r="L2" s="277"/>
      <c r="M2" s="277"/>
      <c r="N2" s="277"/>
      <c r="O2" s="277"/>
      <c r="P2" s="277"/>
      <c r="Q2" s="277"/>
      <c r="R2" s="277"/>
      <c r="S2" s="277"/>
      <c r="T2" s="277"/>
    </row>
    <row r="3" spans="1:38" s="314" customFormat="1" ht="14.1" customHeight="1" x14ac:dyDescent="0.2">
      <c r="A3" s="230" t="str">
        <f>'Valuation &amp; Sources &amp; Uses'!B4</f>
        <v>Financial Model_v12 - Term + Mezzanine</v>
      </c>
      <c r="B3" s="275"/>
      <c r="C3" s="275"/>
      <c r="D3" s="275"/>
      <c r="E3" s="275"/>
      <c r="F3" s="275"/>
      <c r="G3" s="275"/>
      <c r="H3" s="275"/>
      <c r="I3" s="315"/>
      <c r="J3" s="315"/>
      <c r="K3" s="315"/>
      <c r="L3" s="315">
        <v>8</v>
      </c>
      <c r="M3" s="315"/>
      <c r="N3" s="315"/>
      <c r="O3" s="315">
        <v>38500</v>
      </c>
      <c r="P3" s="315">
        <f>L3+1</f>
        <v>9</v>
      </c>
      <c r="Q3" s="315">
        <f>P3+1</f>
        <v>10</v>
      </c>
      <c r="R3" s="315">
        <f>Q3+1</f>
        <v>11</v>
      </c>
      <c r="S3" s="315">
        <f>R3+1</f>
        <v>12</v>
      </c>
      <c r="T3" s="315">
        <f>S3+1</f>
        <v>13</v>
      </c>
    </row>
    <row r="4" spans="1:38" s="314" customFormat="1" ht="14.1" customHeight="1" x14ac:dyDescent="0.2">
      <c r="A4" s="196"/>
      <c r="B4" s="275"/>
      <c r="C4" s="275"/>
      <c r="D4" s="275"/>
      <c r="E4" s="275"/>
      <c r="F4" s="275"/>
      <c r="G4" s="275"/>
      <c r="H4" s="275"/>
      <c r="I4" s="315">
        <v>1</v>
      </c>
      <c r="J4" s="315">
        <v>2</v>
      </c>
      <c r="K4" s="315">
        <v>3</v>
      </c>
      <c r="L4" s="315">
        <v>4</v>
      </c>
      <c r="M4" s="315"/>
      <c r="N4" s="315"/>
      <c r="O4" s="826">
        <f>O3-M12-L12</f>
        <v>25284.341290000004</v>
      </c>
      <c r="P4" s="315"/>
      <c r="Q4" s="315"/>
      <c r="R4" s="315"/>
      <c r="S4" s="315"/>
      <c r="T4" s="315"/>
    </row>
    <row r="5" spans="1:38" s="314" customFormat="1" ht="14.1" customHeight="1" x14ac:dyDescent="0.2">
      <c r="A5" s="275"/>
      <c r="B5" s="275"/>
      <c r="C5" s="275"/>
      <c r="D5" s="275"/>
      <c r="E5" s="275"/>
      <c r="F5" s="315"/>
      <c r="G5" s="315"/>
      <c r="H5" s="315"/>
      <c r="I5" s="296" t="s">
        <v>128</v>
      </c>
      <c r="J5" s="296" t="s">
        <v>129</v>
      </c>
      <c r="K5" s="296" t="s">
        <v>130</v>
      </c>
      <c r="L5" s="296" t="s">
        <v>131</v>
      </c>
      <c r="M5" s="296"/>
      <c r="N5" s="296"/>
      <c r="O5" s="296">
        <f>O4*(K8/SUM($K$8:$L$8))</f>
        <v>8763.8098200084769</v>
      </c>
      <c r="P5" s="315"/>
      <c r="Q5" s="315"/>
      <c r="R5" s="315"/>
      <c r="S5" s="315"/>
      <c r="T5" s="315"/>
    </row>
    <row r="6" spans="1:38" s="314" customFormat="1" ht="14.1" customHeight="1" x14ac:dyDescent="0.2">
      <c r="A6" s="275"/>
      <c r="C6" s="275"/>
      <c r="D6" s="275"/>
      <c r="E6" s="275"/>
      <c r="F6" s="316"/>
      <c r="G6" s="316"/>
      <c r="H6" s="316"/>
      <c r="I6" s="229"/>
      <c r="J6" s="229"/>
      <c r="K6" s="229"/>
      <c r="L6" s="229"/>
      <c r="M6" s="229"/>
      <c r="N6" s="229"/>
      <c r="O6" s="229"/>
      <c r="P6" s="315"/>
      <c r="Q6" s="315"/>
      <c r="R6" s="315"/>
      <c r="S6" s="315"/>
      <c r="T6" s="315"/>
    </row>
    <row r="7" spans="1:38" s="314" customFormat="1" ht="14.1" customHeight="1" thickBot="1" x14ac:dyDescent="0.25">
      <c r="A7" s="275"/>
      <c r="B7" s="275" t="s">
        <v>127</v>
      </c>
      <c r="C7" s="275"/>
      <c r="D7" s="275"/>
      <c r="E7" s="275"/>
      <c r="F7" s="315"/>
      <c r="G7" s="315"/>
      <c r="H7" s="315"/>
      <c r="I7" s="317"/>
      <c r="J7" s="317"/>
      <c r="K7" s="317"/>
      <c r="L7" s="315">
        <v>0</v>
      </c>
      <c r="M7" s="315"/>
      <c r="N7" s="315"/>
      <c r="O7" s="315"/>
      <c r="P7" s="315">
        <v>1</v>
      </c>
      <c r="Q7" s="315">
        <v>2</v>
      </c>
      <c r="R7" s="315">
        <v>3</v>
      </c>
      <c r="S7" s="315">
        <v>4</v>
      </c>
      <c r="T7" s="315">
        <v>5</v>
      </c>
    </row>
    <row r="8" spans="1:38" s="314" customFormat="1" ht="14.1" customHeight="1" thickBot="1" x14ac:dyDescent="0.25">
      <c r="A8" s="275"/>
      <c r="B8" s="275" t="s">
        <v>127</v>
      </c>
      <c r="C8" s="275"/>
      <c r="D8" s="275"/>
      <c r="E8" s="275"/>
      <c r="F8" s="315"/>
      <c r="G8" s="315"/>
      <c r="H8" s="315"/>
      <c r="I8" s="318">
        <f>AE12/SUM($AE$12:$AH$12)</f>
        <v>0.17894512064915652</v>
      </c>
      <c r="J8" s="318">
        <f>AF12/SUM($AE$12:$AH$12)</f>
        <v>0.19111680546658125</v>
      </c>
      <c r="K8" s="318">
        <f>AG12/SUM($AE$12:$AH$12)</f>
        <v>0.2183429425581892</v>
      </c>
      <c r="L8" s="319">
        <f>AH12/SUM($AE$12:$AH$12)</f>
        <v>0.411595131326073</v>
      </c>
      <c r="M8" s="320"/>
      <c r="N8" s="320"/>
      <c r="O8" s="320"/>
      <c r="P8" s="315">
        <v>5</v>
      </c>
      <c r="Q8" s="315"/>
      <c r="R8" s="315"/>
      <c r="S8" s="315"/>
      <c r="T8" s="315"/>
      <c r="AC8" s="1194" t="s">
        <v>968</v>
      </c>
      <c r="AD8" s="1195">
        <v>38000</v>
      </c>
    </row>
    <row r="9" spans="1:38" s="314" customFormat="1" ht="14.1" customHeight="1" x14ac:dyDescent="0.2">
      <c r="A9" s="275"/>
      <c r="B9" s="275"/>
      <c r="C9" s="275"/>
      <c r="D9" s="275"/>
      <c r="E9" s="275"/>
      <c r="F9" s="315"/>
      <c r="G9" s="315"/>
      <c r="H9" s="315"/>
      <c r="I9" s="315"/>
      <c r="J9" s="315"/>
      <c r="K9" s="315"/>
      <c r="L9" s="321">
        <f t="shared" ref="L9:T9" si="0">YEAR(L11)</f>
        <v>2015</v>
      </c>
      <c r="M9" s="321"/>
      <c r="N9" s="321"/>
      <c r="O9" s="321"/>
      <c r="P9" s="321">
        <f t="shared" si="0"/>
        <v>2016</v>
      </c>
      <c r="Q9" s="321">
        <f t="shared" si="0"/>
        <v>2017</v>
      </c>
      <c r="R9" s="321">
        <f t="shared" si="0"/>
        <v>2018</v>
      </c>
      <c r="S9" s="321">
        <f t="shared" si="0"/>
        <v>2019</v>
      </c>
      <c r="T9" s="321">
        <f t="shared" si="0"/>
        <v>2020</v>
      </c>
      <c r="U9" s="315">
        <v>1</v>
      </c>
    </row>
    <row r="10" spans="1:38" s="277" customFormat="1" ht="14.1" customHeight="1" x14ac:dyDescent="0.2">
      <c r="A10" s="275"/>
      <c r="B10" s="275"/>
      <c r="C10" s="275"/>
      <c r="D10" s="275"/>
      <c r="E10" s="275"/>
      <c r="F10" s="275"/>
      <c r="G10" s="275"/>
      <c r="H10" s="322" t="s">
        <v>4</v>
      </c>
      <c r="I10" s="322" t="s">
        <v>7</v>
      </c>
      <c r="J10" s="322" t="s">
        <v>8</v>
      </c>
      <c r="K10" s="322" t="s">
        <v>34</v>
      </c>
      <c r="L10" s="323"/>
      <c r="M10" s="323"/>
      <c r="N10" s="323"/>
      <c r="O10" s="323"/>
      <c r="P10" s="323"/>
      <c r="Q10" s="323"/>
      <c r="R10" s="323"/>
      <c r="S10" s="323"/>
      <c r="T10" s="323"/>
      <c r="U10" s="315">
        <f>U9+1</f>
        <v>2</v>
      </c>
    </row>
    <row r="11" spans="1:38" s="325" customFormat="1" ht="14.1" customHeight="1" thickBot="1" x14ac:dyDescent="0.25">
      <c r="A11" s="324"/>
      <c r="B11" s="324"/>
      <c r="C11" s="324"/>
      <c r="D11" s="324"/>
      <c r="E11" s="324"/>
      <c r="F11" s="324"/>
      <c r="G11" s="324"/>
      <c r="H11" s="293">
        <v>40908</v>
      </c>
      <c r="I11" s="293">
        <v>41274</v>
      </c>
      <c r="J11" s="293">
        <v>41639</v>
      </c>
      <c r="K11" s="293">
        <v>42004</v>
      </c>
      <c r="L11" s="293">
        <v>42094</v>
      </c>
      <c r="M11" s="293">
        <f>EOMONTH(L11,3)</f>
        <v>42185</v>
      </c>
      <c r="N11" s="293">
        <f>EOMONTH(M11,3)</f>
        <v>42277</v>
      </c>
      <c r="O11" s="293">
        <v>42369</v>
      </c>
      <c r="P11" s="293">
        <f>EOMONTH(O11,12)</f>
        <v>42735</v>
      </c>
      <c r="Q11" s="293">
        <f>EOMONTH(P11,12)</f>
        <v>43100</v>
      </c>
      <c r="R11" s="293">
        <f>EOMONTH(Q11,12)</f>
        <v>43465</v>
      </c>
      <c r="S11" s="293">
        <f>EOMONTH(R11,12)</f>
        <v>43830</v>
      </c>
      <c r="T11" s="293">
        <f>EOMONTH(S11,12)</f>
        <v>44196</v>
      </c>
      <c r="U11" s="315">
        <f t="shared" ref="U11:U47" si="1">U10+1</f>
        <v>3</v>
      </c>
      <c r="AC11" s="326">
        <v>42277</v>
      </c>
      <c r="AD11" s="326">
        <f t="shared" ref="AD11:AL11" si="2">EOMONTH(AC11,3)</f>
        <v>42369</v>
      </c>
      <c r="AE11" s="326">
        <f t="shared" si="2"/>
        <v>42460</v>
      </c>
      <c r="AF11" s="326">
        <f t="shared" si="2"/>
        <v>42551</v>
      </c>
      <c r="AG11" s="326">
        <f t="shared" si="2"/>
        <v>42643</v>
      </c>
      <c r="AH11" s="326">
        <f t="shared" si="2"/>
        <v>42735</v>
      </c>
      <c r="AI11" s="326">
        <f t="shared" si="2"/>
        <v>42825</v>
      </c>
      <c r="AJ11" s="326">
        <f t="shared" si="2"/>
        <v>42916</v>
      </c>
      <c r="AK11" s="326">
        <f t="shared" si="2"/>
        <v>43008</v>
      </c>
      <c r="AL11" s="326">
        <f t="shared" si="2"/>
        <v>43100</v>
      </c>
    </row>
    <row r="12" spans="1:38" ht="14.25" thickTop="1" thickBot="1" x14ac:dyDescent="0.25">
      <c r="A12" s="275" t="s">
        <v>302</v>
      </c>
      <c r="B12" s="275"/>
      <c r="C12" s="275"/>
      <c r="D12" s="275"/>
      <c r="E12" s="275"/>
      <c r="F12" s="275"/>
      <c r="G12" s="327">
        <f>'Valuation &amp; Sources &amp; Uses'!$C$13</f>
        <v>2</v>
      </c>
      <c r="H12" s="328">
        <f>'Summary Income Statement'!D19</f>
        <v>20317.633999999998</v>
      </c>
      <c r="I12" s="328">
        <f>'Summary Income Statement'!E19</f>
        <v>20894.092000000001</v>
      </c>
      <c r="J12" s="328">
        <f>'Summary Income Statement'!F19</f>
        <v>25799.011999999999</v>
      </c>
      <c r="K12" s="328">
        <f>'Summary Income Statement'!G19</f>
        <v>35229.434999999998</v>
      </c>
      <c r="L12" s="328">
        <f>'Summary Income Statement'!H19</f>
        <v>6609.8344200000001</v>
      </c>
      <c r="M12" s="328">
        <f>'Summary Income Statement'!I19</f>
        <v>6605.8242899999987</v>
      </c>
      <c r="N12" s="328">
        <f>'Summary Income Statement'!J19</f>
        <v>8251.8356999999996</v>
      </c>
      <c r="O12" s="329">
        <f t="shared" ref="O12:T12" ca="1" si="3">OFFSET(O13,$G$12,0)</f>
        <v>16532.505590000001</v>
      </c>
      <c r="P12" s="329">
        <f t="shared" ca="1" si="3"/>
        <v>41040</v>
      </c>
      <c r="Q12" s="329">
        <f t="shared" ca="1" si="3"/>
        <v>44323.200000000004</v>
      </c>
      <c r="R12" s="329">
        <f t="shared" ca="1" si="3"/>
        <v>47869.056000000011</v>
      </c>
      <c r="S12" s="329">
        <f t="shared" ca="1" si="3"/>
        <v>51698.580480000019</v>
      </c>
      <c r="T12" s="329">
        <f t="shared" ca="1" si="3"/>
        <v>55834.466918400023</v>
      </c>
      <c r="U12" s="315">
        <f t="shared" si="1"/>
        <v>4</v>
      </c>
      <c r="V12" s="275" t="s">
        <v>219</v>
      </c>
      <c r="W12" s="330"/>
      <c r="X12" s="330"/>
      <c r="Y12" s="330"/>
      <c r="Z12" s="330"/>
      <c r="AA12" s="330"/>
      <c r="AB12" s="331" t="s">
        <v>26</v>
      </c>
      <c r="AC12" s="331">
        <f>'Summary Income Statement'!J19</f>
        <v>8251.8356999999996</v>
      </c>
      <c r="AD12" s="331">
        <f>AD8-AC12-M12-L12</f>
        <v>16532.505590000001</v>
      </c>
      <c r="AE12" s="331">
        <v>8380</v>
      </c>
      <c r="AF12" s="331">
        <v>8950</v>
      </c>
      <c r="AG12" s="331">
        <v>10225</v>
      </c>
      <c r="AH12" s="331">
        <v>19275</v>
      </c>
      <c r="AI12" s="331">
        <v>9550</v>
      </c>
      <c r="AJ12" s="331">
        <v>10250</v>
      </c>
      <c r="AK12" s="331">
        <v>11750</v>
      </c>
      <c r="AL12" s="331">
        <v>22250</v>
      </c>
    </row>
    <row r="13" spans="1:38" ht="12.75" x14ac:dyDescent="0.2">
      <c r="A13" s="275"/>
      <c r="B13" s="332" t="s">
        <v>306</v>
      </c>
      <c r="C13" s="275"/>
      <c r="D13" s="275"/>
      <c r="E13" s="275"/>
      <c r="F13" s="275"/>
      <c r="G13" s="275"/>
      <c r="H13" s="333"/>
      <c r="I13" s="334">
        <f>IFERROR(I12/H12-1,0)</f>
        <v>2.8372299648669941E-2</v>
      </c>
      <c r="J13" s="334">
        <f>IFERROR(J12/I12-1,0)</f>
        <v>0.2347515268909508</v>
      </c>
      <c r="K13" s="335">
        <f t="shared" ref="K13:T13" si="4">IFERROR(K12/J12-1,0)</f>
        <v>0.3655342692968242</v>
      </c>
      <c r="L13" s="335"/>
      <c r="M13" s="335"/>
      <c r="N13" s="335"/>
      <c r="O13" s="335"/>
      <c r="P13" s="335">
        <f ca="1">P12/SUM(L12:O12)-1</f>
        <v>8.0000000000000071E-2</v>
      </c>
      <c r="Q13" s="335">
        <f t="shared" ca="1" si="4"/>
        <v>8.0000000000000071E-2</v>
      </c>
      <c r="R13" s="335">
        <f t="shared" ca="1" si="4"/>
        <v>8.0000000000000071E-2</v>
      </c>
      <c r="S13" s="335">
        <f t="shared" ca="1" si="4"/>
        <v>8.0000000000000071E-2</v>
      </c>
      <c r="T13" s="335">
        <f t="shared" ca="1" si="4"/>
        <v>8.0000000000000071E-2</v>
      </c>
      <c r="U13" s="315">
        <f t="shared" si="1"/>
        <v>5</v>
      </c>
      <c r="V13" s="275"/>
      <c r="W13" s="330"/>
      <c r="X13" s="330"/>
      <c r="Y13" s="330"/>
      <c r="Z13" s="330"/>
      <c r="AA13" s="330"/>
    </row>
    <row r="14" spans="1:38" ht="12.75" x14ac:dyDescent="0.2">
      <c r="A14" s="275"/>
      <c r="B14" s="332"/>
      <c r="C14" s="275"/>
      <c r="D14" s="275"/>
      <c r="E14" s="275"/>
      <c r="F14" s="275"/>
      <c r="G14" s="275">
        <v>1</v>
      </c>
      <c r="H14" s="333"/>
      <c r="I14" s="334"/>
      <c r="J14" s="334"/>
      <c r="K14" s="335"/>
      <c r="L14" s="335"/>
      <c r="M14" s="335"/>
      <c r="N14" s="336">
        <f>AC12</f>
        <v>8251.8356999999996</v>
      </c>
      <c r="O14" s="336">
        <f>AD12</f>
        <v>16532.505590000001</v>
      </c>
      <c r="P14" s="337">
        <f>SUM(AE12:AH12)</f>
        <v>46830</v>
      </c>
      <c r="Q14" s="337">
        <f>SUM(AI12:AL12)</f>
        <v>53800</v>
      </c>
      <c r="R14" s="337">
        <f>Q14*(1+R18)</f>
        <v>56490</v>
      </c>
      <c r="S14" s="337">
        <f>R14*(1+S18)</f>
        <v>59314.5</v>
      </c>
      <c r="T14" s="337">
        <f>S14*(1+T18)</f>
        <v>62280.225000000006</v>
      </c>
      <c r="U14" s="315">
        <f t="shared" si="1"/>
        <v>6</v>
      </c>
      <c r="V14" s="275"/>
      <c r="W14" s="330"/>
      <c r="X14" s="330"/>
      <c r="Y14" s="330"/>
      <c r="Z14" s="330"/>
      <c r="AA14" s="559">
        <f>(T15/SUM(L12:M12,N15:O15))^(1/5)-1</f>
        <v>8.0000000000000071E-2</v>
      </c>
    </row>
    <row r="15" spans="1:38" ht="12.75" x14ac:dyDescent="0.2">
      <c r="A15" s="275"/>
      <c r="B15" s="332"/>
      <c r="C15" s="275"/>
      <c r="D15" s="275"/>
      <c r="E15" s="275"/>
      <c r="F15" s="275"/>
      <c r="G15" s="275">
        <v>2</v>
      </c>
      <c r="H15" s="333"/>
      <c r="I15" s="334"/>
      <c r="J15" s="334"/>
      <c r="K15" s="335"/>
      <c r="L15" s="335"/>
      <c r="M15" s="335"/>
      <c r="N15" s="337">
        <f>N14</f>
        <v>8251.8356999999996</v>
      </c>
      <c r="O15" s="337">
        <f>O14</f>
        <v>16532.505590000001</v>
      </c>
      <c r="P15" s="338">
        <f>SUM(L12:M12,N15:O15)*(1+P19)</f>
        <v>41040</v>
      </c>
      <c r="Q15" s="338">
        <f>P15*(1+Q19)</f>
        <v>44323.200000000004</v>
      </c>
      <c r="R15" s="338">
        <f t="shared" ref="R15:T16" si="5">Q15*(1+R19)</f>
        <v>47869.056000000011</v>
      </c>
      <c r="S15" s="338">
        <f t="shared" si="5"/>
        <v>51698.580480000019</v>
      </c>
      <c r="T15" s="338">
        <f t="shared" si="5"/>
        <v>55834.466918400023</v>
      </c>
      <c r="U15" s="315">
        <f t="shared" si="1"/>
        <v>7</v>
      </c>
      <c r="V15" s="275"/>
      <c r="W15" s="330"/>
      <c r="X15" s="330"/>
      <c r="Y15" s="330"/>
      <c r="Z15" s="330"/>
      <c r="AA15" s="330"/>
    </row>
    <row r="16" spans="1:38" ht="12.75" x14ac:dyDescent="0.2">
      <c r="A16" s="275"/>
      <c r="B16" s="332"/>
      <c r="C16" s="275"/>
      <c r="D16" s="275"/>
      <c r="E16" s="275"/>
      <c r="F16" s="275"/>
      <c r="G16" s="275">
        <v>3</v>
      </c>
      <c r="H16" s="333"/>
      <c r="I16" s="334"/>
      <c r="J16" s="334"/>
      <c r="K16" s="335"/>
      <c r="L16" s="335"/>
      <c r="M16" s="335"/>
      <c r="N16" s="336">
        <v>7500</v>
      </c>
      <c r="O16" s="336">
        <v>15000</v>
      </c>
      <c r="P16" s="338">
        <f>SUM(L12:M12,N16:O16)*(1+P20)</f>
        <v>36787.128471300006</v>
      </c>
      <c r="Q16" s="338">
        <f>P16*(1+Q20)</f>
        <v>37890.742325439009</v>
      </c>
      <c r="R16" s="338">
        <f t="shared" si="5"/>
        <v>39027.464595202182</v>
      </c>
      <c r="S16" s="338">
        <f t="shared" si="5"/>
        <v>40198.28853305825</v>
      </c>
      <c r="T16" s="338">
        <f t="shared" si="5"/>
        <v>41404.23718905</v>
      </c>
      <c r="U16" s="315">
        <f t="shared" si="1"/>
        <v>8</v>
      </c>
      <c r="V16" s="275"/>
      <c r="W16" s="330"/>
      <c r="X16" s="330"/>
      <c r="Y16" s="330"/>
      <c r="Z16" s="330"/>
      <c r="AA16" s="330"/>
    </row>
    <row r="17" spans="1:27" ht="12.75" x14ac:dyDescent="0.2">
      <c r="A17" s="275"/>
      <c r="B17" s="332"/>
      <c r="C17" s="275"/>
      <c r="D17" s="275"/>
      <c r="E17" s="275"/>
      <c r="F17" s="275"/>
      <c r="G17" s="275"/>
      <c r="H17" s="333"/>
      <c r="I17" s="334"/>
      <c r="J17" s="334"/>
      <c r="K17" s="335"/>
      <c r="L17" s="335"/>
      <c r="M17" s="335"/>
      <c r="N17" s="335"/>
      <c r="O17" s="335"/>
      <c r="P17" s="335"/>
      <c r="Q17" s="335"/>
      <c r="R17" s="335"/>
      <c r="S17" s="335"/>
      <c r="T17" s="335"/>
      <c r="U17" s="315">
        <f t="shared" si="1"/>
        <v>9</v>
      </c>
      <c r="V17" s="275"/>
      <c r="W17" s="330"/>
      <c r="X17" s="330"/>
      <c r="Y17" s="330"/>
      <c r="Z17" s="330"/>
      <c r="AA17" s="330"/>
    </row>
    <row r="18" spans="1:27" ht="14.1" customHeight="1" x14ac:dyDescent="0.2">
      <c r="A18" s="332"/>
      <c r="B18" s="332" t="s">
        <v>415</v>
      </c>
      <c r="C18" s="332"/>
      <c r="D18" s="332"/>
      <c r="E18" s="332"/>
      <c r="F18" s="332"/>
      <c r="G18" s="332"/>
      <c r="H18" s="331"/>
      <c r="I18" s="331"/>
      <c r="N18" s="339"/>
      <c r="O18" s="339"/>
      <c r="P18" s="340" t="s">
        <v>414</v>
      </c>
      <c r="Q18" s="340" t="str">
        <f t="shared" ref="Q18:T20" si="6">P18</f>
        <v>na</v>
      </c>
      <c r="R18" s="341">
        <v>0.05</v>
      </c>
      <c r="S18" s="341">
        <f t="shared" si="6"/>
        <v>0.05</v>
      </c>
      <c r="T18" s="341">
        <f t="shared" si="6"/>
        <v>0.05</v>
      </c>
      <c r="U18" s="315">
        <f t="shared" si="1"/>
        <v>10</v>
      </c>
    </row>
    <row r="19" spans="1:27" ht="14.1" customHeight="1" x14ac:dyDescent="0.2">
      <c r="A19" s="332"/>
      <c r="B19" s="332" t="s">
        <v>304</v>
      </c>
      <c r="C19" s="332"/>
      <c r="D19" s="332"/>
      <c r="E19" s="332"/>
      <c r="F19" s="332"/>
      <c r="G19" s="332"/>
      <c r="H19" s="331"/>
      <c r="I19" s="331"/>
      <c r="N19" s="339"/>
      <c r="O19" s="339"/>
      <c r="P19" s="341">
        <v>0.08</v>
      </c>
      <c r="Q19" s="341">
        <v>0.08</v>
      </c>
      <c r="R19" s="341">
        <v>0.08</v>
      </c>
      <c r="S19" s="341">
        <v>0.08</v>
      </c>
      <c r="T19" s="341">
        <v>0.08</v>
      </c>
      <c r="U19" s="315">
        <f t="shared" si="1"/>
        <v>11</v>
      </c>
    </row>
    <row r="20" spans="1:27" ht="14.1" customHeight="1" x14ac:dyDescent="0.2">
      <c r="A20" s="332"/>
      <c r="B20" s="332" t="s">
        <v>355</v>
      </c>
      <c r="C20" s="332"/>
      <c r="D20" s="332"/>
      <c r="E20" s="332"/>
      <c r="F20" s="332"/>
      <c r="G20" s="332"/>
      <c r="H20" s="332"/>
      <c r="I20" s="332"/>
      <c r="J20" s="332"/>
      <c r="K20" s="332"/>
      <c r="L20" s="332"/>
      <c r="M20" s="332"/>
      <c r="N20" s="339"/>
      <c r="O20" s="339"/>
      <c r="P20" s="341">
        <v>0.03</v>
      </c>
      <c r="Q20" s="342">
        <f t="shared" si="6"/>
        <v>0.03</v>
      </c>
      <c r="R20" s="342">
        <f t="shared" si="6"/>
        <v>0.03</v>
      </c>
      <c r="S20" s="342">
        <f t="shared" si="6"/>
        <v>0.03</v>
      </c>
      <c r="T20" s="342">
        <f t="shared" si="6"/>
        <v>0.03</v>
      </c>
      <c r="U20" s="315">
        <f t="shared" si="1"/>
        <v>12</v>
      </c>
    </row>
    <row r="21" spans="1:27" ht="14.1" customHeight="1" x14ac:dyDescent="0.2">
      <c r="J21" s="330"/>
      <c r="K21" s="330"/>
      <c r="L21" s="330"/>
      <c r="M21" s="330"/>
      <c r="U21" s="315">
        <f t="shared" si="1"/>
        <v>13</v>
      </c>
    </row>
    <row r="22" spans="1:27" ht="14.1" customHeight="1" thickBot="1" x14ac:dyDescent="0.25">
      <c r="A22" s="275" t="s">
        <v>303</v>
      </c>
      <c r="B22" s="275"/>
      <c r="C22" s="275"/>
      <c r="D22" s="275"/>
      <c r="E22" s="275"/>
      <c r="F22" s="275"/>
      <c r="G22" s="275"/>
      <c r="H22" s="328">
        <f>'Summary Income Statement'!D29</f>
        <v>11357.191999999999</v>
      </c>
      <c r="I22" s="328">
        <f>'Summary Income Statement'!E29</f>
        <v>12387.164000000001</v>
      </c>
      <c r="J22" s="328">
        <f>'Summary Income Statement'!F29</f>
        <v>15820.248</v>
      </c>
      <c r="K22" s="328">
        <f>'Summary Income Statement'!G29</f>
        <v>21313.172999999999</v>
      </c>
      <c r="L22" s="328">
        <f>'Summary Income Statement'!H29</f>
        <v>3751.63094</v>
      </c>
      <c r="M22" s="328">
        <f>'Summary Income Statement'!I29</f>
        <v>3824.8691100000001</v>
      </c>
      <c r="N22" s="328">
        <f>'Summary Income Statement'!J29</f>
        <v>4968.311251186441</v>
      </c>
      <c r="O22" s="329">
        <f t="shared" ref="O22:T22" ca="1" si="7">O12*OFFSET(O23,$G$12,0)</f>
        <v>9588.8532421999989</v>
      </c>
      <c r="P22" s="329">
        <f t="shared" ca="1" si="7"/>
        <v>23803.199999999997</v>
      </c>
      <c r="Q22" s="329">
        <f t="shared" ca="1" si="7"/>
        <v>25707.456000000002</v>
      </c>
      <c r="R22" s="329">
        <f t="shared" ca="1" si="7"/>
        <v>27764.052480000006</v>
      </c>
      <c r="S22" s="329">
        <f t="shared" ca="1" si="7"/>
        <v>29985.17667840001</v>
      </c>
      <c r="T22" s="329">
        <f t="shared" ca="1" si="7"/>
        <v>32383.990812672011</v>
      </c>
      <c r="U22" s="315">
        <f t="shared" si="1"/>
        <v>14</v>
      </c>
    </row>
    <row r="23" spans="1:27" ht="14.1" customHeight="1" thickTop="1" x14ac:dyDescent="0.2">
      <c r="A23" s="332"/>
      <c r="B23" s="332" t="s">
        <v>39</v>
      </c>
      <c r="C23" s="332"/>
      <c r="D23" s="332"/>
      <c r="E23" s="332"/>
      <c r="F23" s="332"/>
      <c r="G23" s="332"/>
      <c r="H23" s="333"/>
      <c r="I23" s="334">
        <f>IFERROR(I22/H22-1,0)</f>
        <v>9.0688966075417321E-2</v>
      </c>
      <c r="J23" s="343">
        <f t="shared" ref="J23:T23" si="8">J22/J$12</f>
        <v>0.61321138964546396</v>
      </c>
      <c r="K23" s="343">
        <f t="shared" si="8"/>
        <v>0.60498197033247914</v>
      </c>
      <c r="L23" s="343">
        <f>L22/L$12</f>
        <v>0.5675831952232171</v>
      </c>
      <c r="M23" s="343">
        <f>M22/M$12</f>
        <v>0.57901466071238794</v>
      </c>
      <c r="N23" s="343">
        <f>N22/N$12</f>
        <v>0.60208557608417257</v>
      </c>
      <c r="O23" s="343"/>
      <c r="P23" s="343">
        <f t="shared" ca="1" si="8"/>
        <v>0.57999999999999996</v>
      </c>
      <c r="Q23" s="343">
        <f t="shared" ca="1" si="8"/>
        <v>0.57999999999999996</v>
      </c>
      <c r="R23" s="343">
        <f t="shared" ca="1" si="8"/>
        <v>0.57999999999999996</v>
      </c>
      <c r="S23" s="343">
        <f t="shared" ca="1" si="8"/>
        <v>0.57999999999999996</v>
      </c>
      <c r="T23" s="343">
        <f t="shared" ca="1" si="8"/>
        <v>0.57999999999999996</v>
      </c>
      <c r="U23" s="315">
        <f t="shared" si="1"/>
        <v>15</v>
      </c>
    </row>
    <row r="24" spans="1:27" ht="14.1" customHeight="1" x14ac:dyDescent="0.2">
      <c r="A24" s="332"/>
      <c r="B24" s="332" t="s">
        <v>416</v>
      </c>
      <c r="C24" s="332"/>
      <c r="D24" s="332"/>
      <c r="E24" s="332"/>
      <c r="F24" s="332"/>
      <c r="G24" s="275">
        <v>1</v>
      </c>
      <c r="H24" s="332"/>
      <c r="N24" s="344">
        <v>0.57999999999999996</v>
      </c>
      <c r="O24" s="342">
        <f>N24</f>
        <v>0.57999999999999996</v>
      </c>
      <c r="P24" s="564">
        <v>0.57999999999999996</v>
      </c>
      <c r="Q24" s="564">
        <v>0.57999999999999996</v>
      </c>
      <c r="R24" s="342">
        <f>Q24</f>
        <v>0.57999999999999996</v>
      </c>
      <c r="S24" s="342">
        <f>R24</f>
        <v>0.57999999999999996</v>
      </c>
      <c r="T24" s="342">
        <f>S24</f>
        <v>0.57999999999999996</v>
      </c>
      <c r="U24" s="315">
        <f t="shared" si="1"/>
        <v>16</v>
      </c>
    </row>
    <row r="25" spans="1:27" ht="14.1" customHeight="1" x14ac:dyDescent="0.2">
      <c r="A25" s="332"/>
      <c r="B25" s="332" t="s">
        <v>307</v>
      </c>
      <c r="C25" s="332"/>
      <c r="D25" s="332"/>
      <c r="E25" s="332"/>
      <c r="F25" s="332"/>
      <c r="G25" s="275">
        <v>2</v>
      </c>
      <c r="H25" s="332"/>
      <c r="N25" s="342">
        <f t="shared" ref="N25:P26" si="9">N24</f>
        <v>0.57999999999999996</v>
      </c>
      <c r="O25" s="342">
        <f t="shared" si="9"/>
        <v>0.57999999999999996</v>
      </c>
      <c r="P25" s="342">
        <f t="shared" si="9"/>
        <v>0.57999999999999996</v>
      </c>
      <c r="Q25" s="564">
        <v>0.57999999999999996</v>
      </c>
      <c r="R25" s="342">
        <f>R24</f>
        <v>0.57999999999999996</v>
      </c>
      <c r="S25" s="342">
        <f>R25</f>
        <v>0.57999999999999996</v>
      </c>
      <c r="T25" s="342">
        <f>S25</f>
        <v>0.57999999999999996</v>
      </c>
      <c r="U25" s="315">
        <f t="shared" si="1"/>
        <v>17</v>
      </c>
    </row>
    <row r="26" spans="1:27" ht="14.1" customHeight="1" x14ac:dyDescent="0.2">
      <c r="B26" s="332" t="s">
        <v>417</v>
      </c>
      <c r="G26" s="275">
        <v>3</v>
      </c>
      <c r="N26" s="342">
        <f t="shared" si="9"/>
        <v>0.57999999999999996</v>
      </c>
      <c r="O26" s="342">
        <f t="shared" si="9"/>
        <v>0.57999999999999996</v>
      </c>
      <c r="P26" s="342">
        <f t="shared" si="9"/>
        <v>0.57999999999999996</v>
      </c>
      <c r="Q26" s="345">
        <f>P26</f>
        <v>0.57999999999999996</v>
      </c>
      <c r="R26" s="342">
        <f>R25</f>
        <v>0.57999999999999996</v>
      </c>
      <c r="S26" s="342">
        <f>R26</f>
        <v>0.57999999999999996</v>
      </c>
      <c r="T26" s="342">
        <f>S26</f>
        <v>0.57999999999999996</v>
      </c>
      <c r="U26" s="315">
        <f t="shared" si="1"/>
        <v>18</v>
      </c>
    </row>
    <row r="27" spans="1:27" ht="14.1" customHeight="1" x14ac:dyDescent="0.2">
      <c r="U27" s="315">
        <f t="shared" si="1"/>
        <v>19</v>
      </c>
    </row>
    <row r="28" spans="1:27" ht="14.1" customHeight="1" x14ac:dyDescent="0.2">
      <c r="A28" s="275" t="s">
        <v>305</v>
      </c>
      <c r="U28" s="315">
        <f t="shared" si="1"/>
        <v>20</v>
      </c>
    </row>
    <row r="29" spans="1:27" ht="14.1" customHeight="1" x14ac:dyDescent="0.2">
      <c r="U29" s="315">
        <f t="shared" si="1"/>
        <v>21</v>
      </c>
    </row>
    <row r="30" spans="1:27" ht="14.1" customHeight="1" thickBot="1" x14ac:dyDescent="0.25">
      <c r="A30" s="275" t="str">
        <f>'Summary Income Statement'!A35</f>
        <v>Selling</v>
      </c>
      <c r="B30" s="275"/>
      <c r="C30" s="275"/>
      <c r="D30" s="275"/>
      <c r="E30" s="275"/>
      <c r="F30" s="275"/>
      <c r="G30" s="275"/>
      <c r="H30" s="328">
        <f>'Summary Income Statement'!D35</f>
        <v>1579.492</v>
      </c>
      <c r="I30" s="328">
        <f>'Summary Income Statement'!E35</f>
        <v>3415.23</v>
      </c>
      <c r="J30" s="328">
        <f>'Summary Income Statement'!F35</f>
        <v>3905.4010000000003</v>
      </c>
      <c r="K30" s="328">
        <f>'Summary Income Statement'!G35</f>
        <v>5570.7</v>
      </c>
      <c r="L30" s="328">
        <f>'Summary Income Statement'!H35</f>
        <v>1066.9889599999999</v>
      </c>
      <c r="M30" s="328">
        <f>'Summary Income Statement'!I35</f>
        <v>1056.57177</v>
      </c>
      <c r="N30" s="328">
        <f>'Summary Income Statement'!J35</f>
        <v>1148.3386629999995</v>
      </c>
      <c r="O30" s="329">
        <f t="shared" ref="O30:T30" ca="1" si="10">O12*OFFSET(O31,$G$12,0)</f>
        <v>2479.8758385000001</v>
      </c>
      <c r="P30" s="329">
        <f t="shared" ca="1" si="10"/>
        <v>6156</v>
      </c>
      <c r="Q30" s="329">
        <f t="shared" ca="1" si="10"/>
        <v>6648.4800000000005</v>
      </c>
      <c r="R30" s="329">
        <f t="shared" ca="1" si="10"/>
        <v>6941.0131200000014</v>
      </c>
      <c r="S30" s="329">
        <f t="shared" ca="1" si="10"/>
        <v>7496.2941696000025</v>
      </c>
      <c r="T30" s="329">
        <f t="shared" ca="1" si="10"/>
        <v>8095.9977031680028</v>
      </c>
      <c r="U30" s="315">
        <f t="shared" si="1"/>
        <v>22</v>
      </c>
    </row>
    <row r="31" spans="1:27" ht="14.1" customHeight="1" thickTop="1" x14ac:dyDescent="0.2">
      <c r="A31" s="275"/>
      <c r="B31" s="332" t="s">
        <v>39</v>
      </c>
      <c r="C31" s="332"/>
      <c r="D31" s="332"/>
      <c r="E31" s="332"/>
      <c r="F31" s="332"/>
      <c r="G31" s="332"/>
      <c r="H31" s="333"/>
      <c r="I31" s="334">
        <f>IFERROR(I30/H30-1,0)</f>
        <v>1.1622331737039504</v>
      </c>
      <c r="J31" s="343">
        <f t="shared" ref="J31:T31" si="11">J30/J$12</f>
        <v>0.15137792873618572</v>
      </c>
      <c r="K31" s="343">
        <f t="shared" si="11"/>
        <v>0.15812629410605081</v>
      </c>
      <c r="L31" s="343">
        <f>L30/L$12</f>
        <v>0.16142446121971085</v>
      </c>
      <c r="M31" s="343">
        <f>M30/M$12</f>
        <v>0.15994548501682904</v>
      </c>
      <c r="N31" s="343"/>
      <c r="O31" s="343"/>
      <c r="P31" s="343">
        <f t="shared" ca="1" si="11"/>
        <v>0.15</v>
      </c>
      <c r="Q31" s="343">
        <f t="shared" ca="1" si="11"/>
        <v>0.15</v>
      </c>
      <c r="R31" s="343">
        <f t="shared" ca="1" si="11"/>
        <v>0.14499999999999999</v>
      </c>
      <c r="S31" s="343">
        <f t="shared" ca="1" si="11"/>
        <v>0.14499999999999999</v>
      </c>
      <c r="T31" s="343">
        <f t="shared" ca="1" si="11"/>
        <v>0.14499999999999999</v>
      </c>
      <c r="U31" s="315">
        <f t="shared" si="1"/>
        <v>23</v>
      </c>
    </row>
    <row r="32" spans="1:27" ht="14.1" customHeight="1" x14ac:dyDescent="0.2">
      <c r="A32" s="331"/>
      <c r="B32" s="332" t="s">
        <v>416</v>
      </c>
      <c r="H32" s="331"/>
      <c r="I32" s="331"/>
      <c r="N32" s="346">
        <v>0.15</v>
      </c>
      <c r="O32" s="346">
        <v>0.15</v>
      </c>
      <c r="P32" s="346">
        <v>0.15</v>
      </c>
      <c r="Q32" s="346">
        <v>0.15</v>
      </c>
      <c r="R32" s="346">
        <v>0.14499999999999999</v>
      </c>
      <c r="S32" s="347">
        <f t="shared" ref="S32:T34" si="12">R32</f>
        <v>0.14499999999999999</v>
      </c>
      <c r="T32" s="347">
        <f t="shared" si="12"/>
        <v>0.14499999999999999</v>
      </c>
      <c r="U32" s="315">
        <f t="shared" si="1"/>
        <v>24</v>
      </c>
    </row>
    <row r="33" spans="1:21" ht="14.1" customHeight="1" x14ac:dyDescent="0.2">
      <c r="A33" s="331"/>
      <c r="B33" s="332" t="s">
        <v>307</v>
      </c>
      <c r="H33" s="331"/>
      <c r="I33" s="331"/>
      <c r="N33" s="346">
        <v>0.15</v>
      </c>
      <c r="O33" s="346">
        <v>0.15</v>
      </c>
      <c r="P33" s="346">
        <v>0.15</v>
      </c>
      <c r="Q33" s="346">
        <v>0.15</v>
      </c>
      <c r="R33" s="346">
        <v>0.14499999999999999</v>
      </c>
      <c r="S33" s="347">
        <f t="shared" si="12"/>
        <v>0.14499999999999999</v>
      </c>
      <c r="T33" s="347">
        <f t="shared" si="12"/>
        <v>0.14499999999999999</v>
      </c>
      <c r="U33" s="315">
        <f t="shared" si="1"/>
        <v>25</v>
      </c>
    </row>
    <row r="34" spans="1:21" ht="14.1" customHeight="1" x14ac:dyDescent="0.2">
      <c r="A34" s="331"/>
      <c r="B34" s="332" t="s">
        <v>417</v>
      </c>
      <c r="H34" s="331"/>
      <c r="I34" s="331"/>
      <c r="N34" s="346">
        <v>0.15</v>
      </c>
      <c r="O34" s="346">
        <v>0.15</v>
      </c>
      <c r="P34" s="346">
        <v>0.15</v>
      </c>
      <c r="Q34" s="346">
        <v>0.15</v>
      </c>
      <c r="R34" s="346">
        <v>0.14499999999999999</v>
      </c>
      <c r="S34" s="347">
        <f t="shared" si="12"/>
        <v>0.14499999999999999</v>
      </c>
      <c r="T34" s="347">
        <f t="shared" si="12"/>
        <v>0.14499999999999999</v>
      </c>
      <c r="U34" s="315">
        <f t="shared" si="1"/>
        <v>26</v>
      </c>
    </row>
    <row r="35" spans="1:21" ht="14.1" customHeight="1" x14ac:dyDescent="0.2">
      <c r="A35" s="331"/>
      <c r="H35" s="331"/>
      <c r="I35" s="331"/>
      <c r="U35" s="315">
        <f t="shared" si="1"/>
        <v>27</v>
      </c>
    </row>
    <row r="36" spans="1:21" ht="14.1" customHeight="1" thickBot="1" x14ac:dyDescent="0.25">
      <c r="A36" s="275" t="str">
        <f>'Summary Income Statement'!A36</f>
        <v>Operating Expenses</v>
      </c>
      <c r="H36" s="328">
        <f>'Summary Income Statement'!D36</f>
        <v>4221.3200000000006</v>
      </c>
      <c r="I36" s="328">
        <f>'Summary Income Statement'!E36</f>
        <v>1125.9159999999999</v>
      </c>
      <c r="J36" s="328">
        <f>'Summary Income Statement'!F36</f>
        <v>1352.606</v>
      </c>
      <c r="K36" s="328">
        <f>'Summary Income Statement'!G36</f>
        <v>1560.7729999999999</v>
      </c>
      <c r="L36" s="328">
        <f>'Summary Income Statement'!H36</f>
        <v>472.27447000000001</v>
      </c>
      <c r="M36" s="328">
        <f>'Summary Income Statement'!I36</f>
        <v>357.58364</v>
      </c>
      <c r="N36" s="328">
        <f>'Summary Income Statement'!J36</f>
        <v>430.35775999999976</v>
      </c>
      <c r="O36" s="329">
        <f ca="1">O12*OFFSET(O37,$G$12,0)</f>
        <v>826.62527950000003</v>
      </c>
      <c r="P36" s="329">
        <f t="shared" ref="P36:T36" ca="1" si="13">P12*OFFSET(P37,$G$12,0)</f>
        <v>2257.1999999999998</v>
      </c>
      <c r="Q36" s="329">
        <f t="shared" ca="1" si="13"/>
        <v>2216.1600000000003</v>
      </c>
      <c r="R36" s="329">
        <f t="shared" ca="1" si="13"/>
        <v>2393.4528000000005</v>
      </c>
      <c r="S36" s="329">
        <f t="shared" ca="1" si="13"/>
        <v>2584.9290240000009</v>
      </c>
      <c r="T36" s="329">
        <f t="shared" ca="1" si="13"/>
        <v>2791.7233459200015</v>
      </c>
      <c r="U36" s="315">
        <f t="shared" si="1"/>
        <v>28</v>
      </c>
    </row>
    <row r="37" spans="1:21" ht="14.1" customHeight="1" thickTop="1" x14ac:dyDescent="0.2">
      <c r="A37" s="331"/>
      <c r="B37" s="332" t="s">
        <v>39</v>
      </c>
      <c r="H37" s="333"/>
      <c r="I37" s="334">
        <f>IFERROR(I36/H36-1,0)</f>
        <v>-0.73327869007798507</v>
      </c>
      <c r="J37" s="343">
        <f t="shared" ref="J37:T37" si="14">J36/J$12</f>
        <v>5.2428596878050994E-2</v>
      </c>
      <c r="K37" s="343">
        <f t="shared" si="14"/>
        <v>4.4303094841004406E-2</v>
      </c>
      <c r="L37" s="343">
        <f>L36/L$12</f>
        <v>7.1450272426037562E-2</v>
      </c>
      <c r="M37" s="343">
        <f>M36/M$12</f>
        <v>5.4131570005777445E-2</v>
      </c>
      <c r="N37" s="343">
        <f t="shared" ref="N37:O37" si="15">N36/N$12</f>
        <v>5.2152972459206838E-2</v>
      </c>
      <c r="O37" s="343">
        <f t="shared" ca="1" si="15"/>
        <v>0.05</v>
      </c>
      <c r="P37" s="343">
        <f t="shared" ca="1" si="14"/>
        <v>5.4999999999999993E-2</v>
      </c>
      <c r="Q37" s="343">
        <f t="shared" ca="1" si="14"/>
        <v>0.05</v>
      </c>
      <c r="R37" s="343">
        <f t="shared" ca="1" si="14"/>
        <v>4.9999999999999996E-2</v>
      </c>
      <c r="S37" s="343">
        <f t="shared" ca="1" si="14"/>
        <v>0.05</v>
      </c>
      <c r="T37" s="343">
        <f t="shared" ca="1" si="14"/>
        <v>5.000000000000001E-2</v>
      </c>
      <c r="U37" s="315">
        <f t="shared" si="1"/>
        <v>29</v>
      </c>
    </row>
    <row r="38" spans="1:21" ht="14.1" customHeight="1" x14ac:dyDescent="0.2">
      <c r="A38" s="331"/>
      <c r="B38" s="332" t="s">
        <v>416</v>
      </c>
      <c r="J38" s="330"/>
      <c r="K38" s="330"/>
      <c r="L38" s="330"/>
      <c r="M38" s="330"/>
      <c r="N38" s="346">
        <v>0.05</v>
      </c>
      <c r="O38" s="348">
        <f>N38</f>
        <v>0.05</v>
      </c>
      <c r="P38" s="346">
        <v>5.5E-2</v>
      </c>
      <c r="Q38" s="346">
        <v>0.05</v>
      </c>
      <c r="R38" s="346">
        <v>0.05</v>
      </c>
      <c r="S38" s="346">
        <v>0.05</v>
      </c>
      <c r="T38" s="346">
        <v>0.05</v>
      </c>
      <c r="U38" s="315">
        <f t="shared" si="1"/>
        <v>30</v>
      </c>
    </row>
    <row r="39" spans="1:21" ht="14.1" customHeight="1" x14ac:dyDescent="0.2">
      <c r="A39" s="331"/>
      <c r="B39" s="332" t="s">
        <v>307</v>
      </c>
      <c r="J39" s="330"/>
      <c r="K39" s="330"/>
      <c r="L39" s="330"/>
      <c r="M39" s="330"/>
      <c r="N39" s="346">
        <v>0.05</v>
      </c>
      <c r="O39" s="348">
        <f t="shared" ref="O39:O40" si="16">N39</f>
        <v>0.05</v>
      </c>
      <c r="P39" s="346">
        <v>5.5E-2</v>
      </c>
      <c r="Q39" s="346">
        <v>0.05</v>
      </c>
      <c r="R39" s="346">
        <v>0.05</v>
      </c>
      <c r="S39" s="346">
        <v>0.05</v>
      </c>
      <c r="T39" s="346">
        <v>0.05</v>
      </c>
      <c r="U39" s="315">
        <f t="shared" si="1"/>
        <v>31</v>
      </c>
    </row>
    <row r="40" spans="1:21" ht="14.1" customHeight="1" x14ac:dyDescent="0.2">
      <c r="A40" s="331"/>
      <c r="B40" s="332" t="s">
        <v>417</v>
      </c>
      <c r="J40" s="330"/>
      <c r="K40" s="330"/>
      <c r="L40" s="330"/>
      <c r="M40" s="330"/>
      <c r="N40" s="346">
        <v>0.05</v>
      </c>
      <c r="O40" s="348">
        <f t="shared" si="16"/>
        <v>0.05</v>
      </c>
      <c r="P40" s="346">
        <v>5.5E-2</v>
      </c>
      <c r="Q40" s="346">
        <v>0.05</v>
      </c>
      <c r="R40" s="346">
        <v>0.05</v>
      </c>
      <c r="S40" s="346">
        <v>0.05</v>
      </c>
      <c r="T40" s="346">
        <v>0.05</v>
      </c>
      <c r="U40" s="315">
        <f t="shared" si="1"/>
        <v>32</v>
      </c>
    </row>
    <row r="41" spans="1:21" ht="14.1" customHeight="1" x14ac:dyDescent="0.2">
      <c r="A41" s="331"/>
      <c r="J41" s="330"/>
      <c r="K41" s="330"/>
      <c r="L41" s="330"/>
      <c r="M41" s="330"/>
      <c r="U41" s="315">
        <f t="shared" si="1"/>
        <v>33</v>
      </c>
    </row>
    <row r="42" spans="1:21" ht="14.1" customHeight="1" thickBot="1" x14ac:dyDescent="0.25">
      <c r="A42" s="275" t="str">
        <f>'Summary Income Statement'!A37</f>
        <v>G&amp;A</v>
      </c>
      <c r="H42" s="328">
        <f>'Summary Income Statement'!D37</f>
        <v>1504.722</v>
      </c>
      <c r="I42" s="328">
        <f>'Summary Income Statement'!E37</f>
        <v>1234.2649999999999</v>
      </c>
      <c r="J42" s="328">
        <f>'Summary Income Statement'!F37</f>
        <v>1512.057</v>
      </c>
      <c r="K42" s="328">
        <f>'Summary Income Statement'!G37</f>
        <v>1448.385</v>
      </c>
      <c r="L42" s="328">
        <f>'Summary Income Statement'!H37</f>
        <v>448.40386999999998</v>
      </c>
      <c r="M42" s="328">
        <f>'Summary Income Statement'!I37</f>
        <v>383.36417999999998</v>
      </c>
      <c r="N42" s="328">
        <f>'Summary Income Statement'!J37</f>
        <v>363.05893999999989</v>
      </c>
      <c r="O42" s="336">
        <v>800</v>
      </c>
      <c r="P42" s="349">
        <f ca="1">SUM(L42:O42)*(1+OFFSET(P43,$G$12,0))</f>
        <v>2493.5337374999999</v>
      </c>
      <c r="Q42" s="349">
        <f ca="1">P42*(1+OFFSET(Q43,$G$12,0))</f>
        <v>2618.210424375</v>
      </c>
      <c r="R42" s="349">
        <f ca="1">Q42*(1+OFFSET(R43,$G$12,0))</f>
        <v>2749.1209455937501</v>
      </c>
      <c r="S42" s="349">
        <f ca="1">R42*(1+OFFSET(S43,$G$12,0))</f>
        <v>2886.5769928734376</v>
      </c>
      <c r="T42" s="349">
        <f ca="1">S42*(1+OFFSET(T43,$G$12,0))</f>
        <v>3030.9058425171097</v>
      </c>
      <c r="U42" s="315">
        <f t="shared" si="1"/>
        <v>34</v>
      </c>
    </row>
    <row r="43" spans="1:21" ht="14.1" customHeight="1" thickTop="1" x14ac:dyDescent="0.2">
      <c r="B43" s="332" t="s">
        <v>39</v>
      </c>
      <c r="H43" s="343">
        <f t="shared" ref="H43:T43" si="17">H42/H$12</f>
        <v>7.405990284104931E-2</v>
      </c>
      <c r="I43" s="343">
        <f t="shared" si="17"/>
        <v>5.9072440190270047E-2</v>
      </c>
      <c r="J43" s="343">
        <f t="shared" si="17"/>
        <v>5.8609104875799123E-2</v>
      </c>
      <c r="K43" s="343">
        <f t="shared" si="17"/>
        <v>4.1112921623636597E-2</v>
      </c>
      <c r="L43" s="343">
        <f>L42/L$12</f>
        <v>6.7838896030923565E-2</v>
      </c>
      <c r="M43" s="343">
        <f>M42/M$12</f>
        <v>5.8034268422843573E-2</v>
      </c>
      <c r="N43" s="343"/>
      <c r="O43" s="343"/>
      <c r="P43" s="343">
        <f t="shared" ca="1" si="17"/>
        <v>6.0758619334795316E-2</v>
      </c>
      <c r="Q43" s="343">
        <f t="shared" ca="1" si="17"/>
        <v>5.9070879908828776E-2</v>
      </c>
      <c r="R43" s="343">
        <f t="shared" ca="1" si="17"/>
        <v>5.743002213358353E-2</v>
      </c>
      <c r="S43" s="343">
        <f t="shared" ca="1" si="17"/>
        <v>5.5834743740983982E-2</v>
      </c>
      <c r="T43" s="343">
        <f t="shared" ca="1" si="17"/>
        <v>5.4283778637067757E-2</v>
      </c>
      <c r="U43" s="315">
        <f t="shared" si="1"/>
        <v>35</v>
      </c>
    </row>
    <row r="44" spans="1:21" ht="14.1" customHeight="1" x14ac:dyDescent="0.2">
      <c r="B44" s="332" t="s">
        <v>418</v>
      </c>
      <c r="J44" s="330"/>
      <c r="K44" s="330"/>
      <c r="L44" s="330"/>
      <c r="M44" s="330"/>
      <c r="N44" s="565">
        <f>AVERAGE(L42:M42)</f>
        <v>415.88402499999995</v>
      </c>
      <c r="O44" s="566">
        <f>N44</f>
        <v>415.88402499999995</v>
      </c>
      <c r="P44" s="350">
        <v>0.25</v>
      </c>
      <c r="Q44" s="350">
        <v>0.05</v>
      </c>
      <c r="R44" s="342">
        <f t="shared" ref="R44:T46" si="18">Q44</f>
        <v>0.05</v>
      </c>
      <c r="S44" s="342">
        <f t="shared" si="18"/>
        <v>0.05</v>
      </c>
      <c r="T44" s="342">
        <f t="shared" si="18"/>
        <v>0.05</v>
      </c>
      <c r="U44" s="315">
        <f t="shared" si="1"/>
        <v>36</v>
      </c>
    </row>
    <row r="45" spans="1:21" ht="14.1" customHeight="1" x14ac:dyDescent="0.2">
      <c r="A45" s="331"/>
      <c r="B45" s="332" t="s">
        <v>419</v>
      </c>
      <c r="J45" s="330"/>
      <c r="K45" s="330"/>
      <c r="L45" s="330"/>
      <c r="M45" s="330"/>
      <c r="N45" s="566">
        <f>N44</f>
        <v>415.88402499999995</v>
      </c>
      <c r="O45" s="566">
        <f>O44</f>
        <v>415.88402499999995</v>
      </c>
      <c r="P45" s="350">
        <v>0.25</v>
      </c>
      <c r="Q45" s="350">
        <v>0.05</v>
      </c>
      <c r="R45" s="342">
        <f t="shared" si="18"/>
        <v>0.05</v>
      </c>
      <c r="S45" s="342">
        <f t="shared" si="18"/>
        <v>0.05</v>
      </c>
      <c r="T45" s="342">
        <f t="shared" si="18"/>
        <v>0.05</v>
      </c>
      <c r="U45" s="315">
        <f t="shared" si="1"/>
        <v>37</v>
      </c>
    </row>
    <row r="46" spans="1:21" ht="14.1" customHeight="1" x14ac:dyDescent="0.2">
      <c r="A46" s="331"/>
      <c r="B46" s="332" t="s">
        <v>420</v>
      </c>
      <c r="J46" s="330"/>
      <c r="K46" s="330"/>
      <c r="L46" s="330"/>
      <c r="M46" s="330"/>
      <c r="N46" s="566">
        <f>N45</f>
        <v>415.88402499999995</v>
      </c>
      <c r="O46" s="566">
        <f>O45</f>
        <v>415.88402499999995</v>
      </c>
      <c r="P46" s="350">
        <v>0.25</v>
      </c>
      <c r="Q46" s="350">
        <v>0.05</v>
      </c>
      <c r="R46" s="342">
        <f t="shared" si="18"/>
        <v>0.05</v>
      </c>
      <c r="S46" s="342">
        <f t="shared" si="18"/>
        <v>0.05</v>
      </c>
      <c r="T46" s="342">
        <f t="shared" si="18"/>
        <v>0.05</v>
      </c>
      <c r="U46" s="315">
        <f t="shared" si="1"/>
        <v>38</v>
      </c>
    </row>
    <row r="47" spans="1:21" ht="14.1" customHeight="1" x14ac:dyDescent="0.2">
      <c r="J47" s="330"/>
      <c r="K47" s="330"/>
      <c r="L47" s="330"/>
      <c r="M47" s="330"/>
      <c r="N47" s="351"/>
      <c r="O47" s="351"/>
      <c r="U47" s="315">
        <f t="shared" si="1"/>
        <v>39</v>
      </c>
    </row>
    <row r="48" spans="1:21" ht="14.1" customHeight="1" x14ac:dyDescent="0.2">
      <c r="U48" s="315"/>
    </row>
    <row r="50" spans="16:16" ht="14.1" customHeight="1" x14ac:dyDescent="0.2">
      <c r="P50" s="331">
        <f>SUM(L42:O42)*(1+P44)</f>
        <v>2493.5337374999999</v>
      </c>
    </row>
  </sheetData>
  <pageMargins left="0.25" right="0.25" top="0.75" bottom="0.75" header="0.3" footer="0.3"/>
  <pageSetup paperSize="5" scale="37" orientation="landscape" r:id="rId1"/>
  <headerFooter>
    <oddFooter>&amp;R&amp;"Arial,Bold"&amp;8 Page &amp;P of &amp;N</oddFooter>
  </headerFooter>
  <ignoredErrors>
    <ignoredError sqref="P43:T43" evalError="1"/>
    <ignoredError sqref="R45:T45 R44:T44" evalError="1" unlockedFormula="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AJ153"/>
  <sheetViews>
    <sheetView zoomScale="85" zoomScaleNormal="85" zoomScaleSheetLayoutView="70" zoomScalePageLayoutView="85" workbookViewId="0">
      <pane xSplit="6" ySplit="4" topLeftCell="Q5" activePane="bottomRight" state="frozen"/>
      <selection activeCell="AJ9" sqref="AJ9"/>
      <selection pane="topRight" activeCell="AJ9" sqref="AJ9"/>
      <selection pane="bottomLeft" activeCell="AJ9" sqref="AJ9"/>
      <selection pane="bottomRight" activeCell="AD37" sqref="AD37"/>
    </sheetView>
  </sheetViews>
  <sheetFormatPr defaultColWidth="12.7109375" defaultRowHeight="14.1" customHeight="1" outlineLevelRow="2" outlineLevelCol="1" x14ac:dyDescent="0.2"/>
  <cols>
    <col min="1" max="1" width="2.28515625" style="278" customWidth="1"/>
    <col min="2" max="5" width="2.7109375" style="278" customWidth="1"/>
    <col min="6" max="6" width="42" style="278" customWidth="1"/>
    <col min="7" max="12" width="12.85546875" style="280" hidden="1" customWidth="1" outlineLevel="1"/>
    <col min="13" max="13" width="11.42578125" style="280" hidden="1" customWidth="1" outlineLevel="1"/>
    <col min="14" max="14" width="11.42578125" style="280" bestFit="1" customWidth="1" collapsed="1"/>
    <col min="15" max="15" width="11.42578125" style="280" bestFit="1" customWidth="1"/>
    <col min="16" max="16" width="12.5703125" style="280" bestFit="1" customWidth="1"/>
    <col min="17" max="19" width="11.42578125" style="280" bestFit="1" customWidth="1"/>
    <col min="20" max="20" width="12.5703125" style="280" bestFit="1" customWidth="1"/>
    <col min="21" max="23" width="11.42578125" style="280" bestFit="1" customWidth="1"/>
    <col min="24" max="24" width="12.5703125" style="280" bestFit="1" customWidth="1"/>
    <col min="25" max="27" width="11.42578125" style="280" bestFit="1" customWidth="1"/>
    <col min="28" max="28" width="12.5703125" style="280" bestFit="1" customWidth="1"/>
    <col min="29" max="31" width="11.42578125" style="280" bestFit="1" customWidth="1"/>
    <col min="32" max="32" width="12.5703125" style="280" bestFit="1" customWidth="1"/>
    <col min="33" max="35" width="11.42578125" style="280" bestFit="1" customWidth="1"/>
    <col min="36" max="36" width="12.5703125" style="280" bestFit="1" customWidth="1"/>
    <col min="37" max="16384" width="12.7109375" style="280"/>
  </cols>
  <sheetData>
    <row r="1" spans="1:36" s="270" customFormat="1" ht="14.1" customHeight="1" x14ac:dyDescent="0.2">
      <c r="A1" s="227" t="str">
        <f>'Valuation &amp; Sources &amp; Uses'!B2</f>
        <v>Colorado Timberline</v>
      </c>
      <c r="G1" s="270" t="s">
        <v>324</v>
      </c>
      <c r="H1" s="271">
        <v>1</v>
      </c>
      <c r="I1" s="272"/>
      <c r="L1" s="270" t="s">
        <v>220</v>
      </c>
      <c r="M1" s="273">
        <v>2.5230000000000001E-3</v>
      </c>
      <c r="N1" s="273">
        <v>3.4299999999999999E-4</v>
      </c>
      <c r="O1" s="273">
        <v>5.0540000000000003E-3</v>
      </c>
      <c r="P1" s="273">
        <v>7.2269999999999999E-3</v>
      </c>
      <c r="Q1" s="273">
        <v>9.5840000000000005E-3</v>
      </c>
      <c r="R1" s="273">
        <v>1.1923E-2</v>
      </c>
      <c r="S1" s="273">
        <v>1.4151E-2</v>
      </c>
      <c r="T1" s="273">
        <v>1.6444E-2</v>
      </c>
      <c r="U1" s="273">
        <v>1.8429999999999998E-2</v>
      </c>
      <c r="V1" s="273">
        <v>2.0199000000000002E-2</v>
      </c>
      <c r="W1" s="273">
        <v>2.1752000000000001E-2</v>
      </c>
      <c r="X1" s="273">
        <v>2.2015E-2</v>
      </c>
      <c r="Y1" s="273">
        <v>2.3115E-2</v>
      </c>
      <c r="Z1" s="273">
        <v>2.4584000000000002E-2</v>
      </c>
      <c r="AA1" s="273">
        <v>2.6041000000000002E-2</v>
      </c>
      <c r="AB1" s="273">
        <v>2.5246999999999999E-2</v>
      </c>
      <c r="AC1" s="273">
        <v>2.6428E-2</v>
      </c>
      <c r="AD1" s="273">
        <v>2.7546999999999999E-2</v>
      </c>
      <c r="AE1" s="273">
        <v>2.8686E-2</v>
      </c>
      <c r="AF1" s="273">
        <v>2.7459000000000001E-2</v>
      </c>
      <c r="AG1" s="273">
        <v>2.8587999999999999E-2</v>
      </c>
      <c r="AH1" s="273">
        <v>2.9011200000000001E-2</v>
      </c>
      <c r="AI1" s="273">
        <v>2.9434399999999999E-2</v>
      </c>
      <c r="AJ1" s="273">
        <v>2.9857600000000002E-2</v>
      </c>
    </row>
    <row r="2" spans="1:36" s="270" customFormat="1" ht="14.1" customHeight="1" x14ac:dyDescent="0.2">
      <c r="A2" s="230" t="str">
        <f ca="1">REPLACE(CELL("filename",B2),1,FIND("]",CELL("filename",B2)),"")</f>
        <v>Debt and Spec. Dist</v>
      </c>
      <c r="H2" s="272"/>
      <c r="I2" s="272"/>
      <c r="N2" s="274">
        <v>1.9473684210526317E-3</v>
      </c>
      <c r="O2" s="274">
        <v>2.3947368421052629E-3</v>
      </c>
      <c r="P2" s="274">
        <v>2.8421052631578949E-3</v>
      </c>
      <c r="Q2" s="274">
        <v>3.2894736842105261E-3</v>
      </c>
      <c r="R2" s="274">
        <v>3.7368421052631578E-3</v>
      </c>
      <c r="S2" s="274">
        <v>4.1842105263157894E-3</v>
      </c>
      <c r="T2" s="274">
        <v>4.6315789473684206E-3</v>
      </c>
      <c r="U2" s="274">
        <v>5.0789473684210527E-3</v>
      </c>
      <c r="V2" s="274">
        <v>5.5263157894736839E-3</v>
      </c>
      <c r="W2" s="274">
        <v>5.9736842105263159E-3</v>
      </c>
      <c r="X2" s="274">
        <v>6.4210526315789471E-3</v>
      </c>
      <c r="Y2" s="274">
        <v>6.8684210526315792E-3</v>
      </c>
      <c r="Z2" s="274">
        <v>7.3157894736842104E-3</v>
      </c>
      <c r="AA2" s="274">
        <v>7.7631578947368425E-3</v>
      </c>
      <c r="AB2" s="274">
        <v>8.2105263157894737E-3</v>
      </c>
      <c r="AC2" s="274">
        <v>8.657894736842104E-3</v>
      </c>
      <c r="AD2" s="274">
        <v>9.1052631578947378E-3</v>
      </c>
      <c r="AE2" s="274">
        <v>9.5526315789473681E-3</v>
      </c>
      <c r="AF2" s="274">
        <v>9.9999999999999985E-3</v>
      </c>
      <c r="AG2" s="274">
        <v>1.0447368421052599E-2</v>
      </c>
      <c r="AH2" s="274">
        <v>1.0894736842105301E-2</v>
      </c>
      <c r="AI2" s="274">
        <v>1.13421052631579E-2</v>
      </c>
      <c r="AJ2" s="274">
        <v>1.1789473684210501E-2</v>
      </c>
    </row>
    <row r="3" spans="1:36" s="270" customFormat="1" ht="14.1" customHeight="1" x14ac:dyDescent="0.2">
      <c r="A3" s="230" t="str">
        <f>'Valuation &amp; Sources &amp; Uses'!B4</f>
        <v>Financial Model_v12 - Term + Mezzanine</v>
      </c>
      <c r="H3" s="272"/>
      <c r="I3" s="272"/>
    </row>
    <row r="4" spans="1:36" s="270" customFormat="1" ht="14.1" customHeight="1" x14ac:dyDescent="0.2">
      <c r="A4" s="275"/>
      <c r="F4" s="276"/>
      <c r="H4" s="277"/>
      <c r="I4" s="277"/>
      <c r="M4" s="278"/>
      <c r="N4" s="278"/>
      <c r="O4" s="278"/>
      <c r="P4" s="278"/>
      <c r="Q4" s="278"/>
      <c r="R4" s="278"/>
      <c r="S4" s="278"/>
      <c r="T4" s="278"/>
      <c r="U4" s="278"/>
      <c r="V4" s="278"/>
      <c r="W4" s="278"/>
      <c r="X4" s="278"/>
      <c r="Y4" s="278"/>
      <c r="Z4" s="278"/>
      <c r="AA4" s="278"/>
      <c r="AB4" s="278"/>
      <c r="AC4" s="278"/>
      <c r="AD4" s="278"/>
      <c r="AE4" s="278"/>
      <c r="AF4" s="278"/>
      <c r="AG4" s="278"/>
      <c r="AH4" s="278"/>
      <c r="AI4" s="278"/>
      <c r="AJ4" s="278"/>
    </row>
    <row r="5" spans="1:36" ht="14.1" customHeight="1" x14ac:dyDescent="0.2">
      <c r="B5" s="279" t="s">
        <v>317</v>
      </c>
      <c r="M5" s="281"/>
    </row>
    <row r="6" spans="1:36" ht="14.1" customHeight="1" x14ac:dyDescent="0.2">
      <c r="C6" s="278" t="s">
        <v>271</v>
      </c>
      <c r="O6" s="280">
        <f ca="1">'Summary Balance Sheet'!L7</f>
        <v>8086.5516472826084</v>
      </c>
      <c r="P6" s="280">
        <f ca="1">'Summary Balance Sheet'!L7</f>
        <v>8086.5516472826084</v>
      </c>
      <c r="Q6" s="280">
        <f ca="1">'Summary Balance Sheet'!M7</f>
        <v>3631.6027342292555</v>
      </c>
      <c r="R6" s="280">
        <f ca="1">'Summary Balance Sheet'!N7</f>
        <v>3878.6210586338711</v>
      </c>
      <c r="S6" s="280">
        <f ca="1">'Summary Balance Sheet'!O7</f>
        <v>4382.997242570259</v>
      </c>
      <c r="T6" s="280">
        <f ca="1">'Summary Balance Sheet'!P7</f>
        <v>8262.3248753586049</v>
      </c>
      <c r="U6" s="280">
        <f ca="1">'Summary Balance Sheet'!Q7</f>
        <v>3965.7101857783473</v>
      </c>
      <c r="V6" s="280">
        <f ca="1">'Summary Balance Sheet'!R7</f>
        <v>4188.9107433245808</v>
      </c>
      <c r="W6" s="280">
        <f ca="1">'Summary Balance Sheet'!S7</f>
        <v>4733.6370219758801</v>
      </c>
      <c r="X6" s="280">
        <f ca="1">'Summary Balance Sheet'!T7</f>
        <v>8923.3108653872932</v>
      </c>
      <c r="Y6" s="280">
        <f ca="1">'Summary Balance Sheet'!U7</f>
        <v>4282.9670006406159</v>
      </c>
      <c r="Z6" s="280">
        <f ca="1">'Summary Balance Sheet'!V7</f>
        <v>4524.0236027905485</v>
      </c>
      <c r="AA6" s="280">
        <f ca="1">'Summary Balance Sheet'!W7</f>
        <v>5112.3279837339505</v>
      </c>
      <c r="AB6" s="280">
        <f ca="1">'Summary Balance Sheet'!X7</f>
        <v>9637.1757346182785</v>
      </c>
      <c r="AC6" s="280">
        <f ca="1">'Summary Balance Sheet'!Y7</f>
        <v>4625.6043606918656</v>
      </c>
      <c r="AD6" s="280">
        <f ca="1">'Summary Balance Sheet'!Z7</f>
        <v>4885.945491013792</v>
      </c>
      <c r="AE6" s="280">
        <f ca="1">'Summary Balance Sheet'!AA7</f>
        <v>5521.3142224326675</v>
      </c>
      <c r="AF6" s="280">
        <f ca="1">'Summary Balance Sheet'!AB7</f>
        <v>10408.149793387742</v>
      </c>
      <c r="AG6" s="280">
        <f ca="1">'Summary Balance Sheet'!AC7</f>
        <v>4940.7554270247183</v>
      </c>
      <c r="AH6" s="280">
        <f ca="1">'Summary Balance Sheet'!AD7</f>
        <v>5276.8211302948957</v>
      </c>
      <c r="AI6" s="280">
        <f ca="1">'Summary Balance Sheet'!AE7</f>
        <v>5963.0193602272811</v>
      </c>
      <c r="AJ6" s="280">
        <f ca="1">'Summary Balance Sheet'!AF7</f>
        <v>11240.801776858762</v>
      </c>
    </row>
    <row r="7" spans="1:36" ht="14.1" customHeight="1" x14ac:dyDescent="0.2">
      <c r="A7" s="282"/>
      <c r="B7" s="282"/>
      <c r="C7" s="282" t="s">
        <v>318</v>
      </c>
      <c r="D7" s="282"/>
      <c r="E7" s="282"/>
      <c r="F7" s="282"/>
      <c r="M7" s="283"/>
      <c r="N7" s="284"/>
      <c r="O7" s="285">
        <v>0.8</v>
      </c>
      <c r="P7" s="286">
        <f>O7</f>
        <v>0.8</v>
      </c>
      <c r="Q7" s="286">
        <f t="shared" ref="Q7:AJ7" si="0">P7</f>
        <v>0.8</v>
      </c>
      <c r="R7" s="286">
        <f t="shared" si="0"/>
        <v>0.8</v>
      </c>
      <c r="S7" s="286">
        <f t="shared" si="0"/>
        <v>0.8</v>
      </c>
      <c r="T7" s="286">
        <f t="shared" si="0"/>
        <v>0.8</v>
      </c>
      <c r="U7" s="286">
        <f t="shared" si="0"/>
        <v>0.8</v>
      </c>
      <c r="V7" s="286">
        <f t="shared" si="0"/>
        <v>0.8</v>
      </c>
      <c r="W7" s="286">
        <f t="shared" si="0"/>
        <v>0.8</v>
      </c>
      <c r="X7" s="286">
        <f t="shared" si="0"/>
        <v>0.8</v>
      </c>
      <c r="Y7" s="286">
        <f t="shared" si="0"/>
        <v>0.8</v>
      </c>
      <c r="Z7" s="286">
        <f t="shared" si="0"/>
        <v>0.8</v>
      </c>
      <c r="AA7" s="286">
        <f t="shared" si="0"/>
        <v>0.8</v>
      </c>
      <c r="AB7" s="286">
        <f t="shared" si="0"/>
        <v>0.8</v>
      </c>
      <c r="AC7" s="286">
        <f t="shared" si="0"/>
        <v>0.8</v>
      </c>
      <c r="AD7" s="286">
        <f t="shared" si="0"/>
        <v>0.8</v>
      </c>
      <c r="AE7" s="286">
        <f t="shared" si="0"/>
        <v>0.8</v>
      </c>
      <c r="AF7" s="286">
        <f t="shared" si="0"/>
        <v>0.8</v>
      </c>
      <c r="AG7" s="286">
        <f t="shared" si="0"/>
        <v>0.8</v>
      </c>
      <c r="AH7" s="286">
        <f t="shared" si="0"/>
        <v>0.8</v>
      </c>
      <c r="AI7" s="286">
        <f t="shared" si="0"/>
        <v>0.8</v>
      </c>
      <c r="AJ7" s="286">
        <f t="shared" si="0"/>
        <v>0.8</v>
      </c>
    </row>
    <row r="8" spans="1:36" ht="14.1" customHeight="1" x14ac:dyDescent="0.2">
      <c r="A8" s="282"/>
      <c r="B8" s="282"/>
      <c r="C8" s="282"/>
      <c r="D8" s="282" t="s">
        <v>43</v>
      </c>
      <c r="E8" s="282"/>
      <c r="F8" s="282"/>
      <c r="H8" s="287"/>
      <c r="M8" s="283"/>
      <c r="N8" s="284"/>
      <c r="O8" s="288">
        <f ca="1">O6*O7</f>
        <v>6469.2413178260867</v>
      </c>
      <c r="P8" s="288">
        <f ca="1">P6*P7</f>
        <v>6469.2413178260867</v>
      </c>
      <c r="Q8" s="288">
        <f t="shared" ref="Q8:AJ8" ca="1" si="1">Q6*Q7</f>
        <v>2905.2821873834046</v>
      </c>
      <c r="R8" s="288">
        <f t="shared" ca="1" si="1"/>
        <v>3102.8968469070969</v>
      </c>
      <c r="S8" s="288">
        <f t="shared" ca="1" si="1"/>
        <v>3506.3977940562072</v>
      </c>
      <c r="T8" s="288">
        <f t="shared" ca="1" si="1"/>
        <v>6609.8599002868841</v>
      </c>
      <c r="U8" s="288">
        <f t="shared" ca="1" si="1"/>
        <v>3172.5681486226781</v>
      </c>
      <c r="V8" s="288">
        <f t="shared" ca="1" si="1"/>
        <v>3351.1285946596649</v>
      </c>
      <c r="W8" s="288">
        <f t="shared" ca="1" si="1"/>
        <v>3786.9096175807044</v>
      </c>
      <c r="X8" s="288">
        <f t="shared" ca="1" si="1"/>
        <v>7138.6486923098346</v>
      </c>
      <c r="Y8" s="288">
        <f t="shared" ca="1" si="1"/>
        <v>3426.3736005124929</v>
      </c>
      <c r="Z8" s="288">
        <f t="shared" ca="1" si="1"/>
        <v>3619.2188822324388</v>
      </c>
      <c r="AA8" s="288">
        <f t="shared" ca="1" si="1"/>
        <v>4089.8623869871608</v>
      </c>
      <c r="AB8" s="288">
        <f t="shared" ca="1" si="1"/>
        <v>7709.7405876946232</v>
      </c>
      <c r="AC8" s="288">
        <f t="shared" ca="1" si="1"/>
        <v>3700.4834885534929</v>
      </c>
      <c r="AD8" s="288">
        <f t="shared" ca="1" si="1"/>
        <v>3908.7563928110339</v>
      </c>
      <c r="AE8" s="288">
        <f t="shared" ca="1" si="1"/>
        <v>4417.0513779461344</v>
      </c>
      <c r="AF8" s="288">
        <f t="shared" ca="1" si="1"/>
        <v>8326.5198347101941</v>
      </c>
      <c r="AG8" s="288">
        <f t="shared" ca="1" si="1"/>
        <v>3952.6043416197749</v>
      </c>
      <c r="AH8" s="288">
        <f t="shared" ca="1" si="1"/>
        <v>4221.4569042359171</v>
      </c>
      <c r="AI8" s="288">
        <f t="shared" ca="1" si="1"/>
        <v>4770.4154881818249</v>
      </c>
      <c r="AJ8" s="288">
        <f t="shared" ca="1" si="1"/>
        <v>8992.6414214870092</v>
      </c>
    </row>
    <row r="9" spans="1:36" ht="14.1" customHeight="1" x14ac:dyDescent="0.2">
      <c r="A9" s="282"/>
      <c r="B9" s="282"/>
      <c r="C9" s="282" t="s">
        <v>347</v>
      </c>
      <c r="D9" s="282"/>
      <c r="E9" s="282"/>
      <c r="F9" s="282"/>
      <c r="M9" s="283"/>
      <c r="N9" s="284"/>
      <c r="O9" s="280">
        <f ca="1">'Summary Balance Sheet'!L8</f>
        <v>14070.599866271737</v>
      </c>
      <c r="P9" s="280">
        <f ca="1">'Summary Balance Sheet'!L8</f>
        <v>14070.599866271737</v>
      </c>
      <c r="Q9" s="280">
        <f ca="1">'Summary Balance Sheet'!M8</f>
        <v>9361.4648260131908</v>
      </c>
      <c r="R9" s="280">
        <f ca="1">'Summary Balance Sheet'!N8</f>
        <v>9998.2231733673107</v>
      </c>
      <c r="S9" s="280">
        <f ca="1">'Summary Balance Sheet'!O8</f>
        <v>11298.392891958887</v>
      </c>
      <c r="T9" s="280">
        <f ca="1">'Summary Balance Sheet'!P8</f>
        <v>11714.140601063975</v>
      </c>
      <c r="U9" s="280">
        <f ca="1">'Summary Balance Sheet'!Q8</f>
        <v>10222.719590006405</v>
      </c>
      <c r="V9" s="280">
        <f ca="1">'Summary Balance Sheet'!R8</f>
        <v>10798.081027236696</v>
      </c>
      <c r="W9" s="280">
        <f ca="1">'Summary Balance Sheet'!S8</f>
        <v>12202.264323315601</v>
      </c>
      <c r="X9" s="280">
        <f ca="1">'Summary Balance Sheet'!T8</f>
        <v>12651.271849149096</v>
      </c>
      <c r="Y9" s="280">
        <f ca="1">'Summary Balance Sheet'!U8</f>
        <v>11040.537157206922</v>
      </c>
      <c r="Z9" s="280">
        <f ca="1">'Summary Balance Sheet'!V8</f>
        <v>11661.927509415635</v>
      </c>
      <c r="AA9" s="280">
        <f ca="1">'Summary Balance Sheet'!W8</f>
        <v>13178.445469180851</v>
      </c>
      <c r="AB9" s="280">
        <f ca="1">'Summary Balance Sheet'!X8</f>
        <v>13663.373597081027</v>
      </c>
      <c r="AC9" s="280">
        <f ca="1">'Summary Balance Sheet'!Y8</f>
        <v>11923.780129783476</v>
      </c>
      <c r="AD9" s="280">
        <f ca="1">'Summary Balance Sheet'!Z8</f>
        <v>12594.881710168886</v>
      </c>
      <c r="AE9" s="280">
        <f ca="1">'Summary Balance Sheet'!AA8</f>
        <v>14232.721106715322</v>
      </c>
      <c r="AF9" s="280">
        <f ca="1">'Summary Balance Sheet'!AB8</f>
        <v>14756.44348484751</v>
      </c>
      <c r="AG9" s="280">
        <f ca="1">'Summary Balance Sheet'!AC8</f>
        <v>12736.169545219273</v>
      </c>
      <c r="AH9" s="280">
        <f ca="1">'Summary Balance Sheet'!AD8</f>
        <v>13602.472246982399</v>
      </c>
      <c r="AI9" s="280">
        <f ca="1">'Summary Balance Sheet'!AE8</f>
        <v>15371.338795252546</v>
      </c>
      <c r="AJ9" s="280">
        <f ca="1">'Summary Balance Sheet'!AF8</f>
        <v>15936.958963635312</v>
      </c>
    </row>
    <row r="10" spans="1:36" ht="14.1" customHeight="1" x14ac:dyDescent="0.2">
      <c r="A10" s="282"/>
      <c r="B10" s="282"/>
      <c r="C10" s="282" t="s">
        <v>318</v>
      </c>
      <c r="D10" s="282"/>
      <c r="E10" s="282"/>
      <c r="F10" s="282"/>
      <c r="M10" s="283"/>
      <c r="N10" s="284"/>
      <c r="O10" s="285">
        <v>0.5</v>
      </c>
      <c r="P10" s="286">
        <f>O10</f>
        <v>0.5</v>
      </c>
      <c r="Q10" s="286">
        <f t="shared" ref="Q10:AJ10" si="2">P10</f>
        <v>0.5</v>
      </c>
      <c r="R10" s="286">
        <f t="shared" si="2"/>
        <v>0.5</v>
      </c>
      <c r="S10" s="286">
        <f t="shared" si="2"/>
        <v>0.5</v>
      </c>
      <c r="T10" s="286">
        <f t="shared" si="2"/>
        <v>0.5</v>
      </c>
      <c r="U10" s="286">
        <f t="shared" si="2"/>
        <v>0.5</v>
      </c>
      <c r="V10" s="286">
        <f t="shared" si="2"/>
        <v>0.5</v>
      </c>
      <c r="W10" s="286">
        <f t="shared" si="2"/>
        <v>0.5</v>
      </c>
      <c r="X10" s="286">
        <f t="shared" si="2"/>
        <v>0.5</v>
      </c>
      <c r="Y10" s="286">
        <f t="shared" si="2"/>
        <v>0.5</v>
      </c>
      <c r="Z10" s="286">
        <f t="shared" si="2"/>
        <v>0.5</v>
      </c>
      <c r="AA10" s="286">
        <f t="shared" si="2"/>
        <v>0.5</v>
      </c>
      <c r="AB10" s="286">
        <f t="shared" si="2"/>
        <v>0.5</v>
      </c>
      <c r="AC10" s="286">
        <f t="shared" si="2"/>
        <v>0.5</v>
      </c>
      <c r="AD10" s="286">
        <f t="shared" si="2"/>
        <v>0.5</v>
      </c>
      <c r="AE10" s="286">
        <f t="shared" si="2"/>
        <v>0.5</v>
      </c>
      <c r="AF10" s="286">
        <f t="shared" si="2"/>
        <v>0.5</v>
      </c>
      <c r="AG10" s="286">
        <f t="shared" si="2"/>
        <v>0.5</v>
      </c>
      <c r="AH10" s="286">
        <f t="shared" si="2"/>
        <v>0.5</v>
      </c>
      <c r="AI10" s="286">
        <f t="shared" si="2"/>
        <v>0.5</v>
      </c>
      <c r="AJ10" s="286">
        <f t="shared" si="2"/>
        <v>0.5</v>
      </c>
    </row>
    <row r="11" spans="1:36" ht="14.1" customHeight="1" x14ac:dyDescent="0.2">
      <c r="A11" s="282"/>
      <c r="B11" s="282"/>
      <c r="C11" s="282"/>
      <c r="D11" s="282" t="s">
        <v>43</v>
      </c>
      <c r="E11" s="282"/>
      <c r="F11" s="282"/>
      <c r="M11" s="283"/>
      <c r="N11" s="284"/>
      <c r="O11" s="288">
        <f ca="1">O9*O10</f>
        <v>7035.2999331358687</v>
      </c>
      <c r="P11" s="288">
        <f ca="1">P9*P10</f>
        <v>7035.2999331358687</v>
      </c>
      <c r="Q11" s="288">
        <f t="shared" ref="Q11:AJ11" ca="1" si="3">Q9*Q10</f>
        <v>4680.7324130065954</v>
      </c>
      <c r="R11" s="288">
        <f t="shared" ca="1" si="3"/>
        <v>4999.1115866836553</v>
      </c>
      <c r="S11" s="288">
        <f t="shared" ca="1" si="3"/>
        <v>5649.1964459794435</v>
      </c>
      <c r="T11" s="288">
        <f t="shared" ca="1" si="3"/>
        <v>5857.0703005319874</v>
      </c>
      <c r="U11" s="288">
        <f t="shared" ca="1" si="3"/>
        <v>5111.3597950032026</v>
      </c>
      <c r="V11" s="288">
        <f t="shared" ca="1" si="3"/>
        <v>5399.0405136183481</v>
      </c>
      <c r="W11" s="288">
        <f t="shared" ca="1" si="3"/>
        <v>6101.1321616578007</v>
      </c>
      <c r="X11" s="288">
        <f t="shared" ca="1" si="3"/>
        <v>6325.635924574548</v>
      </c>
      <c r="Y11" s="288">
        <f t="shared" ca="1" si="3"/>
        <v>5520.2685786034608</v>
      </c>
      <c r="Z11" s="288">
        <f t="shared" ca="1" si="3"/>
        <v>5830.9637547078173</v>
      </c>
      <c r="AA11" s="288">
        <f t="shared" ca="1" si="3"/>
        <v>6589.2227345904257</v>
      </c>
      <c r="AB11" s="288">
        <f t="shared" ca="1" si="3"/>
        <v>6831.6867985405133</v>
      </c>
      <c r="AC11" s="288">
        <f t="shared" ca="1" si="3"/>
        <v>5961.8900648917379</v>
      </c>
      <c r="AD11" s="288">
        <f t="shared" ca="1" si="3"/>
        <v>6297.4408550844428</v>
      </c>
      <c r="AE11" s="288">
        <f t="shared" ca="1" si="3"/>
        <v>7116.360553357661</v>
      </c>
      <c r="AF11" s="288">
        <f t="shared" ca="1" si="3"/>
        <v>7378.2217424237551</v>
      </c>
      <c r="AG11" s="288">
        <f t="shared" ca="1" si="3"/>
        <v>6368.0847726096363</v>
      </c>
      <c r="AH11" s="288">
        <f t="shared" ca="1" si="3"/>
        <v>6801.2361234911996</v>
      </c>
      <c r="AI11" s="288">
        <f t="shared" ca="1" si="3"/>
        <v>7685.6693976262732</v>
      </c>
      <c r="AJ11" s="288">
        <f t="shared" ca="1" si="3"/>
        <v>7968.4794818176561</v>
      </c>
    </row>
    <row r="12" spans="1:36" ht="14.1" customHeight="1" thickBot="1" x14ac:dyDescent="0.25">
      <c r="C12" s="278" t="s">
        <v>317</v>
      </c>
      <c r="M12" s="289"/>
      <c r="N12" s="289"/>
      <c r="O12" s="290">
        <f ca="1">SUM(O8,O11)</f>
        <v>13504.541250961956</v>
      </c>
      <c r="P12" s="290">
        <f ca="1">SUM(P8,P11)</f>
        <v>13504.541250961956</v>
      </c>
      <c r="Q12" s="290">
        <f t="shared" ref="Q12:AJ12" ca="1" si="4">SUM(Q8,Q11)</f>
        <v>7586.0146003899999</v>
      </c>
      <c r="R12" s="290">
        <f t="shared" ca="1" si="4"/>
        <v>8102.0084335907522</v>
      </c>
      <c r="S12" s="290">
        <f t="shared" ca="1" si="4"/>
        <v>9155.5942400356507</v>
      </c>
      <c r="T12" s="290">
        <f t="shared" ca="1" si="4"/>
        <v>12466.930200818872</v>
      </c>
      <c r="U12" s="290">
        <f t="shared" ca="1" si="4"/>
        <v>8283.9279436258803</v>
      </c>
      <c r="V12" s="290">
        <f t="shared" ca="1" si="4"/>
        <v>8750.1691082780126</v>
      </c>
      <c r="W12" s="290">
        <f t="shared" ca="1" si="4"/>
        <v>9888.0417792385051</v>
      </c>
      <c r="X12" s="290">
        <f t="shared" ca="1" si="4"/>
        <v>13464.284616884383</v>
      </c>
      <c r="Y12" s="290">
        <f t="shared" ca="1" si="4"/>
        <v>8946.6421791159537</v>
      </c>
      <c r="Z12" s="290">
        <f t="shared" ca="1" si="4"/>
        <v>9450.1826369402552</v>
      </c>
      <c r="AA12" s="290">
        <f t="shared" ca="1" si="4"/>
        <v>10679.085121577587</v>
      </c>
      <c r="AB12" s="290">
        <f t="shared" ca="1" si="4"/>
        <v>14541.427386235137</v>
      </c>
      <c r="AC12" s="290">
        <f t="shared" ca="1" si="4"/>
        <v>9662.3735534452317</v>
      </c>
      <c r="AD12" s="290">
        <f t="shared" ca="1" si="4"/>
        <v>10206.197247895478</v>
      </c>
      <c r="AE12" s="290">
        <f t="shared" ca="1" si="4"/>
        <v>11533.411931303795</v>
      </c>
      <c r="AF12" s="290">
        <f t="shared" ca="1" si="4"/>
        <v>15704.741577133949</v>
      </c>
      <c r="AG12" s="290">
        <f t="shared" ca="1" si="4"/>
        <v>10320.689114229412</v>
      </c>
      <c r="AH12" s="290">
        <f t="shared" ca="1" si="4"/>
        <v>11022.693027727117</v>
      </c>
      <c r="AI12" s="290">
        <f t="shared" ca="1" si="4"/>
        <v>12456.084885808097</v>
      </c>
      <c r="AJ12" s="290">
        <f t="shared" ca="1" si="4"/>
        <v>16961.120903304665</v>
      </c>
    </row>
    <row r="13" spans="1:36" ht="14.1" customHeight="1" thickTop="1" x14ac:dyDescent="0.2">
      <c r="M13" s="281"/>
    </row>
    <row r="14" spans="1:36" s="270" customFormat="1" ht="14.1" customHeight="1" x14ac:dyDescent="0.2">
      <c r="A14" s="292" t="s">
        <v>382</v>
      </c>
      <c r="H14" s="296"/>
      <c r="I14" s="296"/>
      <c r="J14" s="296"/>
      <c r="K14" s="296"/>
      <c r="L14" s="296"/>
      <c r="M14" s="296"/>
      <c r="N14" s="296"/>
      <c r="O14" s="297"/>
      <c r="P14" s="297">
        <f ca="1">SOCF!H42</f>
        <v>-788.94134984423147</v>
      </c>
      <c r="Q14" s="297">
        <f ca="1">SOCF!I42</f>
        <v>-3035.0987689098852</v>
      </c>
      <c r="R14" s="297">
        <f ca="1">SOCF!J42</f>
        <v>100.00000000000091</v>
      </c>
      <c r="S14" s="297">
        <f ca="1">SOCF!K42</f>
        <v>100.00000000000091</v>
      </c>
      <c r="T14" s="297">
        <f ca="1">SOCF!L42</f>
        <v>99.999999999999091</v>
      </c>
      <c r="U14" s="297">
        <f ca="1">SOCF!M42</f>
        <v>99.999999999999091</v>
      </c>
      <c r="V14" s="297">
        <f ca="1">SOCF!N42</f>
        <v>99.999999999999091</v>
      </c>
      <c r="W14" s="297">
        <f ca="1">SOCF!O42</f>
        <v>100.00000000000051</v>
      </c>
      <c r="X14" s="297">
        <f ca="1">SOCF!P42</f>
        <v>100.00000000000051</v>
      </c>
      <c r="Y14" s="297">
        <f ca="1">SOCF!Q42</f>
        <v>100.00000000000051</v>
      </c>
      <c r="Z14" s="297">
        <f ca="1">SOCF!R42</f>
        <v>100.00000000000051</v>
      </c>
      <c r="AA14" s="297">
        <f ca="1">SOCF!S42</f>
        <v>100.00000000000082</v>
      </c>
      <c r="AB14" s="297">
        <f ca="1">SOCF!T42</f>
        <v>99.999999999999687</v>
      </c>
      <c r="AC14" s="297">
        <f ca="1">SOCF!U42</f>
        <v>99.999999999999687</v>
      </c>
      <c r="AD14" s="297">
        <f ca="1">SOCF!V42</f>
        <v>99.999999999999687</v>
      </c>
      <c r="AE14" s="297">
        <f ca="1">SOCF!W42</f>
        <v>99.999999999999972</v>
      </c>
      <c r="AF14" s="297">
        <f ca="1">SOCF!X42</f>
        <v>99.999999999999972</v>
      </c>
      <c r="AG14" s="297">
        <f ca="1">SOCF!Y42</f>
        <v>99.999999999999972</v>
      </c>
      <c r="AH14" s="297">
        <f ca="1">SOCF!Z42</f>
        <v>99.999999999978144</v>
      </c>
      <c r="AI14" s="297">
        <f ca="1">SOCF!AA42</f>
        <v>100.00000000378159</v>
      </c>
      <c r="AJ14" s="297">
        <f ca="1">SOCF!AB42</f>
        <v>100.99999956578958</v>
      </c>
    </row>
    <row r="15" spans="1:36" s="270" customFormat="1" ht="14.1" customHeight="1" x14ac:dyDescent="0.2">
      <c r="A15" s="292" t="s">
        <v>299</v>
      </c>
      <c r="H15" s="296"/>
      <c r="I15" s="296"/>
      <c r="J15" s="296"/>
      <c r="K15" s="296"/>
      <c r="L15" s="296"/>
      <c r="M15" s="296"/>
      <c r="N15" s="296"/>
      <c r="O15" s="297"/>
      <c r="P15" s="297">
        <f ca="1">SUM(SOCF!H22,SOCF!H27,SOCF!H35,'Debt and Spec. Dist'!P40,-'Debt and Spec. Dist'!P75)</f>
        <v>-2246.1574190656538</v>
      </c>
      <c r="Q15" s="297">
        <f ca="1">SUM(SOCF!I22,SOCF!I27,SOCF!I35,'Debt and Spec. Dist'!Q40,-'Debt and Spec. Dist'!Q75)</f>
        <v>5247.6110459399706</v>
      </c>
      <c r="R15" s="297">
        <f ca="1">SUM(SOCF!J22,SOCF!J27,SOCF!J35,'Debt and Spec. Dist'!R40,-'Debt and Spec. Dist'!R75)</f>
        <v>-959.49680683078429</v>
      </c>
      <c r="S15" s="297">
        <f ca="1">SUM(SOCF!K22,SOCF!K27,SOCF!K35,'Debt and Spec. Dist'!S40,-'Debt and Spec. Dist'!S75)</f>
        <v>-1463.7512051640826</v>
      </c>
      <c r="T15" s="297">
        <f ca="1">SUM(SOCF!L22,SOCF!L27,SOCF!L35,'Debt and Spec. Dist'!T40,-'Debt and Spec. Dist'!T75)</f>
        <v>358.04509249638494</v>
      </c>
      <c r="U15" s="297">
        <f ca="1">SUM(SOCF!M22,SOCF!M27,SOCF!M35,'Debt and Spec. Dist'!U40,-'Debt and Spec. Dist'!U75)</f>
        <v>1240.1523420338108</v>
      </c>
      <c r="V15" s="297">
        <f ca="1">SUM(SOCF!N22,SOCF!N27,SOCF!N35,'Debt and Spec. Dist'!V40,-'Debt and Spec. Dist'!V75)</f>
        <v>-787.66384967890554</v>
      </c>
      <c r="W15" s="297">
        <f ca="1">SUM(SOCF!O22,SOCF!O27,SOCF!O35,'Debt and Spec. Dist'!W40,-'Debt and Spec. Dist'!W75)</f>
        <v>-1536.1093790790833</v>
      </c>
      <c r="X15" s="297">
        <f ca="1">SUM(SOCF!P22,SOCF!P27,SOCF!P35,'Debt and Spec. Dist'!X40,-'Debt and Spec. Dist'!X75)</f>
        <v>386.54891469688482</v>
      </c>
      <c r="Y15" s="297">
        <f ca="1">SUM(SOCF!Q22,SOCF!Q27,SOCF!Q35,'Debt and Spec. Dist'!Y40,-'Debt and Spec. Dist'!Y75)</f>
        <v>1343.9964443389254</v>
      </c>
      <c r="Z15" s="297">
        <f ca="1">SUM(SOCF!R22,SOCF!R27,SOCF!R35,'Debt and Spec. Dist'!Z40,-'Debt and Spec. Dist'!Z75)</f>
        <v>-732.25120441481909</v>
      </c>
      <c r="AA15" s="297">
        <f ca="1">SUM(SOCF!S22,SOCF!S27,SOCF!S35,'Debt and Spec. Dist'!AA40,-'Debt and Spec. Dist'!AA75)</f>
        <v>-1533.4540510990776</v>
      </c>
      <c r="AB15" s="297">
        <f ca="1">SUM(SOCF!T22,SOCF!T27,SOCF!T35,'Debt and Spec. Dist'!AB40,-'Debt and Spec. Dist'!AB75)</f>
        <v>598.36472619599215</v>
      </c>
      <c r="AC15" s="297">
        <f ca="1">SUM(SOCF!U22,SOCF!U27,SOCF!U35,'Debt and Spec. Dist'!AC40,-'Debt and Spec. Dist'!AC75)</f>
        <v>1473.3703140123521</v>
      </c>
      <c r="AD15" s="297">
        <f ca="1">SUM(SOCF!V22,SOCF!V27,SOCF!V35,'Debt and Spec. Dist'!AD40,-'Debt and Spec. Dist'!AD75)</f>
        <v>-768.33907875721434</v>
      </c>
      <c r="AE15" s="297">
        <f ca="1">SUM(SOCF!W22,SOCF!W27,SOCF!W35,'Debt and Spec. Dist'!AE40,-'Debt and Spec. Dist'!AE75)</f>
        <v>-1633.4924288755119</v>
      </c>
      <c r="AF15" s="297">
        <f ca="1">SUM(SOCF!X22,SOCF!X27,SOCF!X35,'Debt and Spec. Dist'!AF40,-'Debt and Spec. Dist'!AF75)</f>
        <v>665.66458686786348</v>
      </c>
      <c r="AG15" s="297">
        <f ca="1">SUM(SOCF!Y22,SOCF!Y27,SOCF!Y35,'Debt and Spec. Dist'!AG40,-'Debt and Spec. Dist'!AG75)</f>
        <v>1766.6653915382772</v>
      </c>
      <c r="AH15" s="297">
        <f ca="1">SUM(SOCF!Z22,SOCF!Z27,SOCF!Z35,'Debt and Spec. Dist'!AH40,-'Debt and Spec. Dist'!AH75)</f>
        <v>-905.84468580283101</v>
      </c>
      <c r="AI15" s="297">
        <f ca="1">SUM(SOCF!AA22,SOCF!AA27,SOCF!AA35,'Debt and Spec. Dist'!AI40,-'Debt and Spec. Dist'!AI75)</f>
        <v>-1714.4989300567679</v>
      </c>
      <c r="AJ15" s="297">
        <f ca="1">SUM(SOCF!AB22,SOCF!AB27,SOCF!AB35,'Debt and Spec. Dist'!AJ40,-'Debt and Spec. Dist'!AJ75)</f>
        <v>888.82497743813576</v>
      </c>
    </row>
    <row r="16" spans="1:36" s="270" customFormat="1" ht="14.1" customHeight="1" x14ac:dyDescent="0.2">
      <c r="A16" s="292" t="s">
        <v>383</v>
      </c>
      <c r="H16" s="296"/>
      <c r="I16" s="296"/>
      <c r="J16" s="296"/>
      <c r="K16" s="296"/>
      <c r="L16" s="296"/>
      <c r="M16" s="296"/>
      <c r="N16" s="296"/>
      <c r="O16" s="298"/>
      <c r="P16" s="298">
        <f>-'Valuation &amp; Sources &amp; Uses'!$C$18</f>
        <v>-100</v>
      </c>
      <c r="Q16" s="298">
        <f>-'Valuation &amp; Sources &amp; Uses'!$C$18</f>
        <v>-100</v>
      </c>
      <c r="R16" s="298">
        <f>-'Valuation &amp; Sources &amp; Uses'!$C$18</f>
        <v>-100</v>
      </c>
      <c r="S16" s="298">
        <f>-'Valuation &amp; Sources &amp; Uses'!$C$18</f>
        <v>-100</v>
      </c>
      <c r="T16" s="298">
        <f>-'Valuation &amp; Sources &amp; Uses'!$C$18</f>
        <v>-100</v>
      </c>
      <c r="U16" s="298">
        <f>-'Valuation &amp; Sources &amp; Uses'!$C$18</f>
        <v>-100</v>
      </c>
      <c r="V16" s="298">
        <f>-'Valuation &amp; Sources &amp; Uses'!$C$18</f>
        <v>-100</v>
      </c>
      <c r="W16" s="298">
        <f>-'Valuation &amp; Sources &amp; Uses'!$C$18</f>
        <v>-100</v>
      </c>
      <c r="X16" s="298">
        <f>-'Valuation &amp; Sources &amp; Uses'!$C$18</f>
        <v>-100</v>
      </c>
      <c r="Y16" s="298">
        <f>-'Valuation &amp; Sources &amp; Uses'!$C$18</f>
        <v>-100</v>
      </c>
      <c r="Z16" s="298">
        <f>-'Valuation &amp; Sources &amp; Uses'!$C$18</f>
        <v>-100</v>
      </c>
      <c r="AA16" s="298">
        <f>-'Valuation &amp; Sources &amp; Uses'!$C$18</f>
        <v>-100</v>
      </c>
      <c r="AB16" s="298">
        <f>-'Valuation &amp; Sources &amp; Uses'!$C$18</f>
        <v>-100</v>
      </c>
      <c r="AC16" s="298">
        <f>-'Valuation &amp; Sources &amp; Uses'!$C$18</f>
        <v>-100</v>
      </c>
      <c r="AD16" s="298">
        <f>-'Valuation &amp; Sources &amp; Uses'!$C$18</f>
        <v>-100</v>
      </c>
      <c r="AE16" s="298">
        <f>-'Valuation &amp; Sources &amp; Uses'!$C$18</f>
        <v>-100</v>
      </c>
      <c r="AF16" s="298">
        <f>-'Valuation &amp; Sources &amp; Uses'!$C$18</f>
        <v>-100</v>
      </c>
      <c r="AG16" s="298">
        <f>-'Valuation &amp; Sources &amp; Uses'!$C$18</f>
        <v>-100</v>
      </c>
      <c r="AH16" s="298">
        <f>-'Valuation &amp; Sources &amp; Uses'!$C$18</f>
        <v>-100</v>
      </c>
      <c r="AI16" s="298">
        <f>-'Valuation &amp; Sources &amp; Uses'!$C$18</f>
        <v>-100</v>
      </c>
      <c r="AJ16" s="298">
        <f>-'Valuation &amp; Sources &amp; Uses'!$C$18</f>
        <v>-100</v>
      </c>
    </row>
    <row r="17" spans="1:36" s="270" customFormat="1" ht="14.1" customHeight="1" x14ac:dyDescent="0.2">
      <c r="A17" s="292"/>
      <c r="B17" s="292" t="s">
        <v>384</v>
      </c>
      <c r="H17" s="296"/>
      <c r="I17" s="296"/>
      <c r="J17" s="296"/>
      <c r="K17" s="296"/>
      <c r="L17" s="296"/>
      <c r="M17" s="296"/>
      <c r="N17" s="296"/>
      <c r="O17" s="299"/>
      <c r="P17" s="299">
        <f t="shared" ref="P17:AJ17" ca="1" si="5">SUM(P14:P16)</f>
        <v>-3135.0987689098852</v>
      </c>
      <c r="Q17" s="299">
        <f t="shared" ca="1" si="5"/>
        <v>2112.5122770300854</v>
      </c>
      <c r="R17" s="299">
        <f t="shared" ca="1" si="5"/>
        <v>-959.49680683078338</v>
      </c>
      <c r="S17" s="299">
        <f t="shared" ca="1" si="5"/>
        <v>-1463.7512051640817</v>
      </c>
      <c r="T17" s="299">
        <f t="shared" ca="1" si="5"/>
        <v>358.04509249638403</v>
      </c>
      <c r="U17" s="299">
        <f t="shared" ca="1" si="5"/>
        <v>1240.1523420338099</v>
      </c>
      <c r="V17" s="299">
        <f t="shared" ca="1" si="5"/>
        <v>-787.66384967890644</v>
      </c>
      <c r="W17" s="299">
        <f t="shared" ca="1" si="5"/>
        <v>-1536.1093790790828</v>
      </c>
      <c r="X17" s="299">
        <f t="shared" ca="1" si="5"/>
        <v>386.54891469688533</v>
      </c>
      <c r="Y17" s="299">
        <f t="shared" ca="1" si="5"/>
        <v>1343.9964443389258</v>
      </c>
      <c r="Z17" s="299">
        <f t="shared" ca="1" si="5"/>
        <v>-732.25120441481863</v>
      </c>
      <c r="AA17" s="299">
        <f t="shared" ca="1" si="5"/>
        <v>-1533.4540510990767</v>
      </c>
      <c r="AB17" s="299">
        <f t="shared" ca="1" si="5"/>
        <v>598.36472619599181</v>
      </c>
      <c r="AC17" s="299">
        <f t="shared" ca="1" si="5"/>
        <v>1473.3703140123519</v>
      </c>
      <c r="AD17" s="299">
        <f t="shared" ca="1" si="5"/>
        <v>-768.33907875721468</v>
      </c>
      <c r="AE17" s="299">
        <f t="shared" ca="1" si="5"/>
        <v>-1633.4924288755119</v>
      </c>
      <c r="AF17" s="299">
        <f t="shared" ca="1" si="5"/>
        <v>665.66458686786348</v>
      </c>
      <c r="AG17" s="299">
        <f t="shared" ca="1" si="5"/>
        <v>1766.6653915382772</v>
      </c>
      <c r="AH17" s="299">
        <f t="shared" ca="1" si="5"/>
        <v>-905.84468580285284</v>
      </c>
      <c r="AI17" s="299">
        <f t="shared" ca="1" si="5"/>
        <v>-1714.4989300529862</v>
      </c>
      <c r="AJ17" s="299">
        <f t="shared" ca="1" si="5"/>
        <v>889.82497700392537</v>
      </c>
    </row>
    <row r="18" spans="1:36" s="270" customFormat="1" ht="14.1" customHeight="1" x14ac:dyDescent="0.2">
      <c r="H18" s="296"/>
      <c r="I18" s="296"/>
      <c r="J18" s="296"/>
      <c r="K18" s="296"/>
      <c r="L18" s="296"/>
      <c r="M18" s="296"/>
      <c r="N18" s="296"/>
      <c r="O18" s="296"/>
      <c r="P18" s="296"/>
      <c r="Q18" s="296"/>
      <c r="R18" s="296"/>
      <c r="S18" s="296"/>
      <c r="T18" s="296"/>
      <c r="U18" s="296"/>
      <c r="V18" s="296"/>
      <c r="W18" s="296"/>
      <c r="X18" s="296"/>
      <c r="Y18" s="296"/>
      <c r="Z18" s="296"/>
      <c r="AA18" s="296"/>
      <c r="AB18" s="296"/>
      <c r="AC18" s="296"/>
      <c r="AD18" s="296"/>
      <c r="AE18" s="296"/>
      <c r="AF18" s="296"/>
      <c r="AG18" s="296"/>
      <c r="AH18" s="296"/>
      <c r="AI18" s="296"/>
      <c r="AJ18" s="296"/>
    </row>
    <row r="19" spans="1:36" ht="14.1" customHeight="1" x14ac:dyDescent="0.2">
      <c r="M19" s="281"/>
    </row>
    <row r="20" spans="1:36" ht="14.1" customHeight="1" x14ac:dyDescent="0.2">
      <c r="M20" s="281"/>
    </row>
    <row r="21" spans="1:36" ht="14.1" customHeight="1" x14ac:dyDescent="0.2">
      <c r="A21" s="278" t="s">
        <v>381</v>
      </c>
      <c r="M21" s="291">
        <f>MONTH(M23)</f>
        <v>3</v>
      </c>
      <c r="N21" s="291">
        <f t="shared" ref="N21:AJ21" si="6">MONTH(N23)</f>
        <v>6</v>
      </c>
      <c r="O21" s="291">
        <f t="shared" si="6"/>
        <v>9</v>
      </c>
      <c r="P21" s="291">
        <f t="shared" si="6"/>
        <v>12</v>
      </c>
      <c r="Q21" s="291">
        <f t="shared" si="6"/>
        <v>3</v>
      </c>
      <c r="R21" s="291">
        <f t="shared" si="6"/>
        <v>6</v>
      </c>
      <c r="S21" s="291">
        <f t="shared" si="6"/>
        <v>9</v>
      </c>
      <c r="T21" s="291">
        <f t="shared" si="6"/>
        <v>12</v>
      </c>
      <c r="U21" s="291">
        <f t="shared" si="6"/>
        <v>3</v>
      </c>
      <c r="V21" s="291">
        <f t="shared" si="6"/>
        <v>6</v>
      </c>
      <c r="W21" s="291">
        <f t="shared" si="6"/>
        <v>9</v>
      </c>
      <c r="X21" s="291">
        <f t="shared" si="6"/>
        <v>12</v>
      </c>
      <c r="Y21" s="291">
        <f t="shared" si="6"/>
        <v>3</v>
      </c>
      <c r="Z21" s="291">
        <f t="shared" si="6"/>
        <v>6</v>
      </c>
      <c r="AA21" s="291">
        <f t="shared" si="6"/>
        <v>9</v>
      </c>
      <c r="AB21" s="291">
        <f t="shared" si="6"/>
        <v>12</v>
      </c>
      <c r="AC21" s="291">
        <f t="shared" si="6"/>
        <v>3</v>
      </c>
      <c r="AD21" s="291">
        <f t="shared" si="6"/>
        <v>6</v>
      </c>
      <c r="AE21" s="291">
        <f t="shared" si="6"/>
        <v>9</v>
      </c>
      <c r="AF21" s="291">
        <f t="shared" si="6"/>
        <v>12</v>
      </c>
      <c r="AG21" s="291">
        <f t="shared" si="6"/>
        <v>3</v>
      </c>
      <c r="AH21" s="291">
        <f t="shared" si="6"/>
        <v>6</v>
      </c>
      <c r="AI21" s="291">
        <f t="shared" si="6"/>
        <v>9</v>
      </c>
      <c r="AJ21" s="291">
        <f t="shared" si="6"/>
        <v>12</v>
      </c>
    </row>
    <row r="22" spans="1:36" ht="14.1" customHeight="1" x14ac:dyDescent="0.2">
      <c r="M22" s="291">
        <f>YEAR(M23)</f>
        <v>2015</v>
      </c>
      <c r="N22" s="291">
        <f t="shared" ref="N22:AJ22" si="7">YEAR(N23)</f>
        <v>2015</v>
      </c>
      <c r="O22" s="291">
        <f t="shared" si="7"/>
        <v>2015</v>
      </c>
      <c r="P22" s="291">
        <f t="shared" si="7"/>
        <v>2015</v>
      </c>
      <c r="Q22" s="291">
        <f t="shared" si="7"/>
        <v>2016</v>
      </c>
      <c r="R22" s="291">
        <f t="shared" si="7"/>
        <v>2016</v>
      </c>
      <c r="S22" s="291">
        <f t="shared" si="7"/>
        <v>2016</v>
      </c>
      <c r="T22" s="291">
        <f t="shared" si="7"/>
        <v>2016</v>
      </c>
      <c r="U22" s="291">
        <f t="shared" si="7"/>
        <v>2017</v>
      </c>
      <c r="V22" s="291">
        <f t="shared" si="7"/>
        <v>2017</v>
      </c>
      <c r="W22" s="291">
        <f t="shared" si="7"/>
        <v>2017</v>
      </c>
      <c r="X22" s="291">
        <f t="shared" si="7"/>
        <v>2017</v>
      </c>
      <c r="Y22" s="291">
        <f t="shared" si="7"/>
        <v>2018</v>
      </c>
      <c r="Z22" s="291">
        <f t="shared" si="7"/>
        <v>2018</v>
      </c>
      <c r="AA22" s="291">
        <f t="shared" si="7"/>
        <v>2018</v>
      </c>
      <c r="AB22" s="291">
        <f t="shared" si="7"/>
        <v>2018</v>
      </c>
      <c r="AC22" s="291">
        <f t="shared" si="7"/>
        <v>2019</v>
      </c>
      <c r="AD22" s="291">
        <f t="shared" si="7"/>
        <v>2019</v>
      </c>
      <c r="AE22" s="291">
        <f t="shared" si="7"/>
        <v>2019</v>
      </c>
      <c r="AF22" s="291">
        <f t="shared" si="7"/>
        <v>2019</v>
      </c>
      <c r="AG22" s="291">
        <f t="shared" si="7"/>
        <v>2020</v>
      </c>
      <c r="AH22" s="291">
        <f t="shared" si="7"/>
        <v>2020</v>
      </c>
      <c r="AI22" s="291">
        <f t="shared" si="7"/>
        <v>2020</v>
      </c>
      <c r="AJ22" s="291">
        <f t="shared" si="7"/>
        <v>2020</v>
      </c>
    </row>
    <row r="23" spans="1:36" ht="14.1" customHeight="1" thickBot="1" x14ac:dyDescent="0.25">
      <c r="A23" s="292" t="s">
        <v>378</v>
      </c>
      <c r="B23" s="270"/>
      <c r="C23" s="270"/>
      <c r="D23" s="270"/>
      <c r="E23" s="270"/>
      <c r="F23" s="270"/>
      <c r="G23" s="270"/>
      <c r="H23" s="293">
        <v>41639</v>
      </c>
      <c r="I23" s="293">
        <v>41729</v>
      </c>
      <c r="J23" s="293">
        <f t="shared" ref="J23:AF23" si="8">EOMONTH(I23,3)</f>
        <v>41820</v>
      </c>
      <c r="K23" s="293">
        <f t="shared" si="8"/>
        <v>41912</v>
      </c>
      <c r="L23" s="293">
        <f t="shared" si="8"/>
        <v>42004</v>
      </c>
      <c r="M23" s="293">
        <f t="shared" si="8"/>
        <v>42094</v>
      </c>
      <c r="N23" s="293">
        <f t="shared" si="8"/>
        <v>42185</v>
      </c>
      <c r="O23" s="293">
        <f t="shared" si="8"/>
        <v>42277</v>
      </c>
      <c r="P23" s="293">
        <f t="shared" si="8"/>
        <v>42369</v>
      </c>
      <c r="Q23" s="293">
        <f t="shared" si="8"/>
        <v>42460</v>
      </c>
      <c r="R23" s="293">
        <f t="shared" si="8"/>
        <v>42551</v>
      </c>
      <c r="S23" s="293">
        <f t="shared" si="8"/>
        <v>42643</v>
      </c>
      <c r="T23" s="293">
        <f t="shared" si="8"/>
        <v>42735</v>
      </c>
      <c r="U23" s="293">
        <f t="shared" si="8"/>
        <v>42825</v>
      </c>
      <c r="V23" s="293">
        <f t="shared" si="8"/>
        <v>42916</v>
      </c>
      <c r="W23" s="293">
        <f t="shared" si="8"/>
        <v>43008</v>
      </c>
      <c r="X23" s="293">
        <f t="shared" si="8"/>
        <v>43100</v>
      </c>
      <c r="Y23" s="293">
        <f t="shared" si="8"/>
        <v>43190</v>
      </c>
      <c r="Z23" s="293">
        <f t="shared" si="8"/>
        <v>43281</v>
      </c>
      <c r="AA23" s="293">
        <f t="shared" si="8"/>
        <v>43373</v>
      </c>
      <c r="AB23" s="293">
        <f t="shared" si="8"/>
        <v>43465</v>
      </c>
      <c r="AC23" s="293">
        <f t="shared" si="8"/>
        <v>43555</v>
      </c>
      <c r="AD23" s="293">
        <f t="shared" si="8"/>
        <v>43646</v>
      </c>
      <c r="AE23" s="293">
        <f t="shared" si="8"/>
        <v>43738</v>
      </c>
      <c r="AF23" s="293">
        <f t="shared" si="8"/>
        <v>43830</v>
      </c>
      <c r="AG23" s="293">
        <f>EOMONTH(AF23,3)</f>
        <v>43921</v>
      </c>
      <c r="AH23" s="293">
        <f>EOMONTH(AG23,3)</f>
        <v>44012</v>
      </c>
      <c r="AI23" s="293">
        <f>EOMONTH(AH23,3)</f>
        <v>44104</v>
      </c>
      <c r="AJ23" s="293">
        <f>EOMONTH(AI23,3)</f>
        <v>44196</v>
      </c>
    </row>
    <row r="24" spans="1:36" ht="14.1" customHeight="1" thickTop="1" x14ac:dyDescent="0.2">
      <c r="A24" s="278" t="s">
        <v>46</v>
      </c>
      <c r="H24" s="280">
        <v>0</v>
      </c>
      <c r="I24" s="280">
        <v>0</v>
      </c>
      <c r="J24" s="280">
        <v>0</v>
      </c>
      <c r="K24" s="280">
        <v>0</v>
      </c>
      <c r="L24" s="280">
        <v>0</v>
      </c>
      <c r="M24" s="280">
        <v>0</v>
      </c>
      <c r="N24" s="280">
        <v>0</v>
      </c>
      <c r="O24" s="280">
        <v>0</v>
      </c>
      <c r="P24" s="280">
        <v>0</v>
      </c>
      <c r="Q24" s="280">
        <f t="shared" ref="Q24:AH24" ca="1" si="9">P34</f>
        <v>3135.0987689098852</v>
      </c>
      <c r="R24" s="280">
        <f t="shared" ca="1" si="9"/>
        <v>1022.5864918797997</v>
      </c>
      <c r="S24" s="280">
        <f t="shared" ca="1" si="9"/>
        <v>1982.0832987105832</v>
      </c>
      <c r="T24" s="280">
        <f t="shared" ca="1" si="9"/>
        <v>3445.8345038746647</v>
      </c>
      <c r="U24" s="280">
        <f t="shared" ca="1" si="9"/>
        <v>3087.7894113782809</v>
      </c>
      <c r="V24" s="280">
        <f t="shared" ca="1" si="9"/>
        <v>1847.637069344471</v>
      </c>
      <c r="W24" s="280">
        <f t="shared" ca="1" si="9"/>
        <v>2635.3009190233774</v>
      </c>
      <c r="X24" s="280">
        <f t="shared" ca="1" si="9"/>
        <v>4171.4102981024607</v>
      </c>
      <c r="Y24" s="280">
        <f t="shared" ca="1" si="9"/>
        <v>3784.8613834055755</v>
      </c>
      <c r="Z24" s="280">
        <f t="shared" ca="1" si="9"/>
        <v>2440.8649390666496</v>
      </c>
      <c r="AA24" s="280">
        <f t="shared" ca="1" si="9"/>
        <v>3173.1161434814685</v>
      </c>
      <c r="AB24" s="280">
        <f t="shared" ca="1" si="9"/>
        <v>4706.5701945805449</v>
      </c>
      <c r="AC24" s="280">
        <f t="shared" ca="1" si="9"/>
        <v>4108.2054683845527</v>
      </c>
      <c r="AD24" s="280">
        <f t="shared" ca="1" si="9"/>
        <v>2634.835154372201</v>
      </c>
      <c r="AE24" s="280">
        <f t="shared" ca="1" si="9"/>
        <v>3403.1742331294158</v>
      </c>
      <c r="AF24" s="280">
        <f t="shared" ca="1" si="9"/>
        <v>5036.6666620049273</v>
      </c>
      <c r="AG24" s="280">
        <f t="shared" ca="1" si="9"/>
        <v>5036.6666620049273</v>
      </c>
      <c r="AH24" s="280">
        <f t="shared" ca="1" si="9"/>
        <v>5036.6666620049273</v>
      </c>
      <c r="AI24" s="280">
        <f ca="1">AH34</f>
        <v>5942.5113478076582</v>
      </c>
      <c r="AJ24" s="280">
        <f ca="1">AI34</f>
        <v>7659.0102778732289</v>
      </c>
    </row>
    <row r="25" spans="1:36" ht="14.1" customHeight="1" x14ac:dyDescent="0.2">
      <c r="A25" s="278" t="s">
        <v>223</v>
      </c>
      <c r="M25" s="280">
        <f>IF(M24&lt;M12,M12-M24,0)</f>
        <v>0</v>
      </c>
      <c r="N25" s="280">
        <f>IF(N24&lt;N12,N12-N24,0)</f>
        <v>0</v>
      </c>
      <c r="O25" s="280">
        <v>0</v>
      </c>
      <c r="P25" s="280">
        <f ca="1">IF(P17&gt;=0,0,IF((P24+P17)&lt;P12,-P17,MAX(P12-P24,0)))</f>
        <v>3135.0987689098852</v>
      </c>
      <c r="Q25" s="280">
        <f t="shared" ref="Q25:AH25" ca="1" si="10">IF(Q17&gt;=0,0,IF((Q24+Q17)&lt;Q12,-Q17,MAX(Q12-Q24,0)))</f>
        <v>0</v>
      </c>
      <c r="R25" s="280">
        <f t="shared" ca="1" si="10"/>
        <v>959.49680683078338</v>
      </c>
      <c r="S25" s="280">
        <f t="shared" ca="1" si="10"/>
        <v>1463.7512051640817</v>
      </c>
      <c r="T25" s="280">
        <f t="shared" ca="1" si="10"/>
        <v>0</v>
      </c>
      <c r="U25" s="280">
        <f t="shared" ca="1" si="10"/>
        <v>0</v>
      </c>
      <c r="V25" s="280">
        <f t="shared" ca="1" si="10"/>
        <v>787.66384967890644</v>
      </c>
      <c r="W25" s="280">
        <f t="shared" ca="1" si="10"/>
        <v>1536.1093790790828</v>
      </c>
      <c r="X25" s="280">
        <f t="shared" ca="1" si="10"/>
        <v>0</v>
      </c>
      <c r="Y25" s="280">
        <f t="shared" ca="1" si="10"/>
        <v>0</v>
      </c>
      <c r="Z25" s="280">
        <f t="shared" ca="1" si="10"/>
        <v>732.25120441481863</v>
      </c>
      <c r="AA25" s="280">
        <f t="shared" ca="1" si="10"/>
        <v>1533.4540510990767</v>
      </c>
      <c r="AB25" s="280">
        <f t="shared" ca="1" si="10"/>
        <v>0</v>
      </c>
      <c r="AC25" s="280">
        <f t="shared" ca="1" si="10"/>
        <v>0</v>
      </c>
      <c r="AD25" s="280">
        <f t="shared" ca="1" si="10"/>
        <v>768.33907875721468</v>
      </c>
      <c r="AE25" s="280">
        <f t="shared" ca="1" si="10"/>
        <v>1633.4924288755119</v>
      </c>
      <c r="AF25" s="280">
        <f t="shared" ca="1" si="10"/>
        <v>0</v>
      </c>
      <c r="AG25" s="280">
        <f t="shared" ca="1" si="10"/>
        <v>0</v>
      </c>
      <c r="AH25" s="280">
        <f t="shared" ca="1" si="10"/>
        <v>905.84468580285284</v>
      </c>
      <c r="AI25" s="280">
        <f ca="1">IF(AI17&gt;=0,0,IF((AI24+AI17)&lt;AI12,-AI17,MAX(AI12-AI24,0)))</f>
        <v>1714.4989300529862</v>
      </c>
      <c r="AJ25" s="280">
        <f ca="1">IF(AJ17&gt;=0,0,IF((AJ24+AJ17)&lt;AJ12,-AJ17,MAX(AJ12-AJ24,0)))</f>
        <v>0</v>
      </c>
    </row>
    <row r="26" spans="1:36" ht="14.1" customHeight="1" x14ac:dyDescent="0.2">
      <c r="A26" s="278" t="s">
        <v>221</v>
      </c>
      <c r="H26" s="294"/>
      <c r="I26" s="294"/>
      <c r="J26" s="294"/>
      <c r="K26" s="294"/>
      <c r="L26" s="294"/>
      <c r="M26" s="294">
        <f>IF(M24&gt;M12,M12-M24,0)</f>
        <v>0</v>
      </c>
      <c r="N26" s="294">
        <f>IF(N24&gt;N12,N12-N24,0)</f>
        <v>0</v>
      </c>
      <c r="O26" s="294">
        <f ca="1">IF(O24&gt;O12,O12-O24,0)</f>
        <v>0</v>
      </c>
      <c r="P26" s="294">
        <f t="shared" ref="P26:AH26" ca="1" si="11">IF(P25=0,IF(P12&lt;P24,MIN(P24-P12,P17),0),0)</f>
        <v>0</v>
      </c>
      <c r="Q26" s="294">
        <f t="shared" ca="1" si="11"/>
        <v>0</v>
      </c>
      <c r="R26" s="294">
        <f t="shared" ca="1" si="11"/>
        <v>0</v>
      </c>
      <c r="S26" s="294">
        <f t="shared" ca="1" si="11"/>
        <v>0</v>
      </c>
      <c r="T26" s="294">
        <f t="shared" ca="1" si="11"/>
        <v>0</v>
      </c>
      <c r="U26" s="294">
        <f t="shared" ca="1" si="11"/>
        <v>0</v>
      </c>
      <c r="V26" s="294">
        <f t="shared" ca="1" si="11"/>
        <v>0</v>
      </c>
      <c r="W26" s="294">
        <f t="shared" ca="1" si="11"/>
        <v>0</v>
      </c>
      <c r="X26" s="294">
        <f t="shared" ca="1" si="11"/>
        <v>0</v>
      </c>
      <c r="Y26" s="294">
        <f t="shared" ca="1" si="11"/>
        <v>0</v>
      </c>
      <c r="Z26" s="294">
        <f t="shared" ca="1" si="11"/>
        <v>0</v>
      </c>
      <c r="AA26" s="294">
        <f t="shared" ca="1" si="11"/>
        <v>0</v>
      </c>
      <c r="AB26" s="294">
        <f t="shared" ca="1" si="11"/>
        <v>0</v>
      </c>
      <c r="AC26" s="294">
        <f t="shared" ca="1" si="11"/>
        <v>0</v>
      </c>
      <c r="AD26" s="294">
        <f t="shared" ca="1" si="11"/>
        <v>0</v>
      </c>
      <c r="AE26" s="294">
        <f t="shared" ca="1" si="11"/>
        <v>0</v>
      </c>
      <c r="AF26" s="294">
        <f t="shared" ca="1" si="11"/>
        <v>0</v>
      </c>
      <c r="AG26" s="294">
        <f t="shared" ca="1" si="11"/>
        <v>0</v>
      </c>
      <c r="AH26" s="294">
        <f t="shared" ca="1" si="11"/>
        <v>0</v>
      </c>
      <c r="AI26" s="294">
        <f ca="1">IF(AI25=0,IF(AI12&lt;AI24,MIN(AI24-AI12,AI17),0),0)</f>
        <v>0</v>
      </c>
      <c r="AJ26" s="294">
        <f ca="1">IF(AJ25=0,IF(AJ12&lt;AJ24,MIN(AJ24-AJ12,AJ17),0),0)</f>
        <v>0</v>
      </c>
    </row>
    <row r="27" spans="1:36" ht="14.1" customHeight="1" x14ac:dyDescent="0.2">
      <c r="A27" s="278" t="s">
        <v>222</v>
      </c>
      <c r="H27" s="294"/>
      <c r="I27" s="294"/>
      <c r="J27" s="294"/>
      <c r="K27" s="294"/>
      <c r="L27" s="294"/>
      <c r="M27" s="294">
        <v>0</v>
      </c>
      <c r="N27" s="294">
        <v>0</v>
      </c>
      <c r="O27" s="294">
        <v>0</v>
      </c>
      <c r="P27" s="294">
        <v>0</v>
      </c>
      <c r="Q27" s="294">
        <f t="shared" ref="Q27:AC27" ca="1" si="12">IF(Q17&gt;0,-MIN(Q17,Q24),0)</f>
        <v>-2112.5122770300854</v>
      </c>
      <c r="R27" s="294">
        <f t="shared" ca="1" si="12"/>
        <v>0</v>
      </c>
      <c r="S27" s="294">
        <f t="shared" ca="1" si="12"/>
        <v>0</v>
      </c>
      <c r="T27" s="294">
        <f t="shared" ca="1" si="12"/>
        <v>-358.04509249638403</v>
      </c>
      <c r="U27" s="294">
        <f t="shared" ca="1" si="12"/>
        <v>-1240.1523420338099</v>
      </c>
      <c r="V27" s="294">
        <f t="shared" ca="1" si="12"/>
        <v>0</v>
      </c>
      <c r="W27" s="294">
        <f t="shared" ca="1" si="12"/>
        <v>0</v>
      </c>
      <c r="X27" s="294">
        <f t="shared" ca="1" si="12"/>
        <v>-386.54891469688533</v>
      </c>
      <c r="Y27" s="294">
        <f t="shared" ca="1" si="12"/>
        <v>-1343.9964443389258</v>
      </c>
      <c r="Z27" s="294">
        <f t="shared" ca="1" si="12"/>
        <v>0</v>
      </c>
      <c r="AA27" s="294">
        <f t="shared" ca="1" si="12"/>
        <v>0</v>
      </c>
      <c r="AB27" s="294">
        <f t="shared" ca="1" si="12"/>
        <v>-598.36472619599181</v>
      </c>
      <c r="AC27" s="294">
        <f t="shared" ca="1" si="12"/>
        <v>-1473.3703140123519</v>
      </c>
      <c r="AD27" s="294">
        <v>0</v>
      </c>
      <c r="AE27" s="294">
        <v>0</v>
      </c>
      <c r="AF27" s="294">
        <v>0</v>
      </c>
      <c r="AG27" s="294">
        <v>0</v>
      </c>
      <c r="AH27" s="294">
        <v>0</v>
      </c>
      <c r="AI27" s="294">
        <v>1</v>
      </c>
      <c r="AJ27" s="294">
        <v>2</v>
      </c>
    </row>
    <row r="28" spans="1:36" ht="14.1" customHeight="1" x14ac:dyDescent="0.2">
      <c r="A28" s="278" t="s">
        <v>47</v>
      </c>
      <c r="I28" s="280">
        <v>0</v>
      </c>
      <c r="J28" s="280">
        <f>SUM(J24:J26)</f>
        <v>0</v>
      </c>
      <c r="K28" s="280">
        <f>SUM(K24:K26)</f>
        <v>0</v>
      </c>
      <c r="L28" s="280">
        <f>SUM(L24:L26)</f>
        <v>0</v>
      </c>
      <c r="M28" s="280">
        <f>SUM(M24:M27)</f>
        <v>0</v>
      </c>
      <c r="N28" s="280">
        <f>SUM(N24:N27)</f>
        <v>0</v>
      </c>
      <c r="O28" s="280">
        <f ca="1">SUM(O24:O27)</f>
        <v>0</v>
      </c>
      <c r="P28" s="280">
        <f ca="1">SUM(P24:P27)</f>
        <v>3135.0987689098852</v>
      </c>
      <c r="Q28" s="280">
        <f ca="1">SUM(Q24:Q27)</f>
        <v>1022.5864918797997</v>
      </c>
      <c r="R28" s="280">
        <f t="shared" ref="R28:AH28" ca="1" si="13">SUM(R24:R27)</f>
        <v>1982.0832987105832</v>
      </c>
      <c r="S28" s="280">
        <f t="shared" ca="1" si="13"/>
        <v>3445.8345038746647</v>
      </c>
      <c r="T28" s="280">
        <f t="shared" ca="1" si="13"/>
        <v>3087.7894113782809</v>
      </c>
      <c r="U28" s="280">
        <f t="shared" ca="1" si="13"/>
        <v>1847.637069344471</v>
      </c>
      <c r="V28" s="280">
        <f t="shared" ca="1" si="13"/>
        <v>2635.3009190233774</v>
      </c>
      <c r="W28" s="280">
        <f t="shared" ca="1" si="13"/>
        <v>4171.4102981024607</v>
      </c>
      <c r="X28" s="280">
        <f t="shared" ca="1" si="13"/>
        <v>3784.8613834055755</v>
      </c>
      <c r="Y28" s="280">
        <f t="shared" ca="1" si="13"/>
        <v>2440.8649390666496</v>
      </c>
      <c r="Z28" s="280">
        <f t="shared" ca="1" si="13"/>
        <v>3173.1161434814685</v>
      </c>
      <c r="AA28" s="280">
        <f t="shared" ca="1" si="13"/>
        <v>4706.5701945805449</v>
      </c>
      <c r="AB28" s="280">
        <f t="shared" ca="1" si="13"/>
        <v>4108.2054683845527</v>
      </c>
      <c r="AC28" s="280">
        <f t="shared" ca="1" si="13"/>
        <v>2634.835154372201</v>
      </c>
      <c r="AD28" s="280">
        <f t="shared" ca="1" si="13"/>
        <v>3403.1742331294158</v>
      </c>
      <c r="AE28" s="280">
        <f t="shared" ca="1" si="13"/>
        <v>5036.6666620049273</v>
      </c>
      <c r="AF28" s="280">
        <f t="shared" ca="1" si="13"/>
        <v>5036.6666620049273</v>
      </c>
      <c r="AG28" s="280">
        <f t="shared" ca="1" si="13"/>
        <v>5036.6666620049273</v>
      </c>
      <c r="AH28" s="280">
        <f t="shared" ca="1" si="13"/>
        <v>5942.5113478077801</v>
      </c>
      <c r="AI28" s="280">
        <f ca="1">SUM(AI24:AI27)</f>
        <v>7658.0102778606442</v>
      </c>
      <c r="AJ28" s="280">
        <f ca="1">SUM(AJ24:AJ27)</f>
        <v>7661.0102778732289</v>
      </c>
    </row>
    <row r="29" spans="1:36" ht="14.1" customHeight="1" x14ac:dyDescent="0.2">
      <c r="A29" s="278" t="s">
        <v>48</v>
      </c>
      <c r="I29" s="280">
        <f t="shared" ref="I29:AH29" si="14">I23-H23</f>
        <v>90</v>
      </c>
      <c r="J29" s="280">
        <f t="shared" si="14"/>
        <v>91</v>
      </c>
      <c r="K29" s="280">
        <f t="shared" si="14"/>
        <v>92</v>
      </c>
      <c r="L29" s="280">
        <f t="shared" si="14"/>
        <v>92</v>
      </c>
      <c r="M29" s="280">
        <f t="shared" si="14"/>
        <v>90</v>
      </c>
      <c r="N29" s="280">
        <f t="shared" si="14"/>
        <v>91</v>
      </c>
      <c r="O29" s="280">
        <f t="shared" si="14"/>
        <v>92</v>
      </c>
      <c r="P29" s="280">
        <v>0</v>
      </c>
      <c r="Q29" s="280">
        <f t="shared" si="14"/>
        <v>91</v>
      </c>
      <c r="R29" s="280">
        <f t="shared" si="14"/>
        <v>91</v>
      </c>
      <c r="S29" s="280">
        <f t="shared" si="14"/>
        <v>92</v>
      </c>
      <c r="T29" s="280">
        <f t="shared" si="14"/>
        <v>92</v>
      </c>
      <c r="U29" s="280">
        <f t="shared" si="14"/>
        <v>90</v>
      </c>
      <c r="V29" s="280">
        <f t="shared" si="14"/>
        <v>91</v>
      </c>
      <c r="W29" s="280">
        <f t="shared" si="14"/>
        <v>92</v>
      </c>
      <c r="X29" s="280">
        <f t="shared" si="14"/>
        <v>92</v>
      </c>
      <c r="Y29" s="280">
        <f t="shared" si="14"/>
        <v>90</v>
      </c>
      <c r="Z29" s="280">
        <f t="shared" si="14"/>
        <v>91</v>
      </c>
      <c r="AA29" s="280">
        <f t="shared" si="14"/>
        <v>92</v>
      </c>
      <c r="AB29" s="280">
        <f t="shared" si="14"/>
        <v>92</v>
      </c>
      <c r="AC29" s="280">
        <f t="shared" si="14"/>
        <v>90</v>
      </c>
      <c r="AD29" s="280">
        <f t="shared" si="14"/>
        <v>91</v>
      </c>
      <c r="AE29" s="280">
        <f t="shared" si="14"/>
        <v>92</v>
      </c>
      <c r="AF29" s="280">
        <f t="shared" si="14"/>
        <v>92</v>
      </c>
      <c r="AG29" s="280">
        <f t="shared" si="14"/>
        <v>91</v>
      </c>
      <c r="AH29" s="280">
        <f t="shared" si="14"/>
        <v>91</v>
      </c>
      <c r="AI29" s="280">
        <f>AI23-AH23</f>
        <v>92</v>
      </c>
      <c r="AJ29" s="280">
        <f>AJ23-AI23</f>
        <v>92</v>
      </c>
    </row>
    <row r="30" spans="1:36" ht="14.1" customHeight="1" x14ac:dyDescent="0.2">
      <c r="A30" s="278" t="s">
        <v>49</v>
      </c>
      <c r="H30" s="295"/>
      <c r="I30" s="295"/>
      <c r="J30" s="295"/>
      <c r="K30" s="295"/>
      <c r="L30" s="295"/>
      <c r="M30" s="274">
        <f>'Valuation &amp; Sources &amp; Uses'!$C$17</f>
        <v>3.7499999999999999E-2</v>
      </c>
      <c r="N30" s="274">
        <f>M30</f>
        <v>3.7499999999999999E-2</v>
      </c>
      <c r="O30" s="274">
        <f t="shared" ref="O30:AH30" si="15">N30</f>
        <v>3.7499999999999999E-2</v>
      </c>
      <c r="P30" s="274">
        <f t="shared" si="15"/>
        <v>3.7499999999999999E-2</v>
      </c>
      <c r="Q30" s="274">
        <f t="shared" si="15"/>
        <v>3.7499999999999999E-2</v>
      </c>
      <c r="R30" s="274">
        <f t="shared" si="15"/>
        <v>3.7499999999999999E-2</v>
      </c>
      <c r="S30" s="274">
        <f t="shared" si="15"/>
        <v>3.7499999999999999E-2</v>
      </c>
      <c r="T30" s="274">
        <f t="shared" si="15"/>
        <v>3.7499999999999999E-2</v>
      </c>
      <c r="U30" s="274">
        <f t="shared" si="15"/>
        <v>3.7499999999999999E-2</v>
      </c>
      <c r="V30" s="274">
        <f t="shared" si="15"/>
        <v>3.7499999999999999E-2</v>
      </c>
      <c r="W30" s="274">
        <f t="shared" si="15"/>
        <v>3.7499999999999999E-2</v>
      </c>
      <c r="X30" s="274">
        <f t="shared" si="15"/>
        <v>3.7499999999999999E-2</v>
      </c>
      <c r="Y30" s="274">
        <f t="shared" si="15"/>
        <v>3.7499999999999999E-2</v>
      </c>
      <c r="Z30" s="274">
        <f t="shared" si="15"/>
        <v>3.7499999999999999E-2</v>
      </c>
      <c r="AA30" s="274">
        <f t="shared" si="15"/>
        <v>3.7499999999999999E-2</v>
      </c>
      <c r="AB30" s="274">
        <f t="shared" si="15"/>
        <v>3.7499999999999999E-2</v>
      </c>
      <c r="AC30" s="274">
        <f t="shared" si="15"/>
        <v>3.7499999999999999E-2</v>
      </c>
      <c r="AD30" s="274">
        <f t="shared" si="15"/>
        <v>3.7499999999999999E-2</v>
      </c>
      <c r="AE30" s="274">
        <f t="shared" si="15"/>
        <v>3.7499999999999999E-2</v>
      </c>
      <c r="AF30" s="274">
        <f t="shared" si="15"/>
        <v>3.7499999999999999E-2</v>
      </c>
      <c r="AG30" s="274">
        <f t="shared" si="15"/>
        <v>3.7499999999999999E-2</v>
      </c>
      <c r="AH30" s="274">
        <f t="shared" si="15"/>
        <v>3.7499999999999999E-2</v>
      </c>
      <c r="AI30" s="274">
        <f>AH30</f>
        <v>3.7499999999999999E-2</v>
      </c>
      <c r="AJ30" s="274">
        <f>AI30</f>
        <v>3.7499999999999999E-2</v>
      </c>
    </row>
    <row r="31" spans="1:36" ht="14.1" customHeight="1" x14ac:dyDescent="0.2">
      <c r="A31" s="278" t="s">
        <v>50</v>
      </c>
      <c r="H31" s="280">
        <v>0</v>
      </c>
      <c r="I31" s="288">
        <v>0</v>
      </c>
      <c r="J31" s="288">
        <f>J24*J30*(J29/365)</f>
        <v>0</v>
      </c>
      <c r="K31" s="288">
        <f>K24*K30*(K29/365)</f>
        <v>0</v>
      </c>
      <c r="L31" s="288">
        <f>L24*L30*(L29/365)</f>
        <v>0</v>
      </c>
      <c r="M31" s="288">
        <f>AVERAGE(M24,M32)*M30*(M29/365)*$H$1</f>
        <v>0</v>
      </c>
      <c r="N31" s="288">
        <f>AVERAGE(N24,N32)*N30*(N29/365)*$H$1</f>
        <v>0</v>
      </c>
      <c r="O31" s="288">
        <f ca="1">AVERAGE(O24,O32)*O30*(O29/365)*$H$1</f>
        <v>0</v>
      </c>
      <c r="P31" s="288">
        <f ca="1">AVERAGE(P24,P32)*P30*(P29/365)*$H$1</f>
        <v>0</v>
      </c>
      <c r="Q31" s="288">
        <f ca="1">AVERAGE(Q24,Q32)*Q30*(Q29/365)*$H$1</f>
        <v>19.435754729376441</v>
      </c>
      <c r="R31" s="288">
        <f t="shared" ref="R31:AH31" ca="1" si="16">AVERAGE(R24,R32)*R30*(R29/365)*$H$1</f>
        <v>14.045802274506414</v>
      </c>
      <c r="S31" s="288">
        <f t="shared" ca="1" si="16"/>
        <v>25.652488245094666</v>
      </c>
      <c r="T31" s="288">
        <f t="shared" ca="1" si="16"/>
        <v>30.878085626880356</v>
      </c>
      <c r="U31" s="288">
        <f t="shared" ca="1" si="16"/>
        <v>22.817896400601761</v>
      </c>
      <c r="V31" s="288">
        <f t="shared" ca="1" si="16"/>
        <v>20.956199842883951</v>
      </c>
      <c r="W31" s="288">
        <f t="shared" ca="1" si="16"/>
        <v>32.168703697375534</v>
      </c>
      <c r="X31" s="288">
        <f t="shared" ca="1" si="16"/>
        <v>37.601557946853049</v>
      </c>
      <c r="Y31" s="288">
        <f t="shared" ca="1" si="16"/>
        <v>28.78332375115583</v>
      </c>
      <c r="Z31" s="288">
        <f t="shared" ca="1" si="16"/>
        <v>26.243438964651304</v>
      </c>
      <c r="AA31" s="288">
        <f t="shared" ca="1" si="16"/>
        <v>37.239613515498561</v>
      </c>
      <c r="AB31" s="288">
        <f t="shared" ca="1" si="16"/>
        <v>41.658871283876145</v>
      </c>
      <c r="AC31" s="288">
        <f t="shared" ca="1" si="16"/>
        <v>31.175016577813757</v>
      </c>
      <c r="AD31" s="288">
        <f t="shared" ca="1" si="16"/>
        <v>28.225626075135985</v>
      </c>
      <c r="AE31" s="288">
        <f t="shared" ca="1" si="16"/>
        <v>39.886919298922578</v>
      </c>
      <c r="AF31" s="288">
        <f t="shared" ca="1" si="16"/>
        <v>47.60684927100548</v>
      </c>
      <c r="AG31" s="288">
        <f t="shared" ca="1" si="16"/>
        <v>47.089383518059769</v>
      </c>
      <c r="AH31" s="288">
        <f t="shared" ca="1" si="16"/>
        <v>51.323897203404726</v>
      </c>
      <c r="AI31" s="288">
        <f ca="1">AVERAGE(AI24,AI32)*AI30*(AI29/365)*$H$1</f>
        <v>64.276437819998719</v>
      </c>
      <c r="AJ31" s="288">
        <f ca="1">AVERAGE(AJ24,AJ32)*AJ30*(AJ29/365)*$H$1</f>
        <v>72.402836873379627</v>
      </c>
    </row>
    <row r="32" spans="1:36" ht="14.1" customHeight="1" x14ac:dyDescent="0.2">
      <c r="A32" s="278" t="s">
        <v>322</v>
      </c>
      <c r="H32" s="280">
        <f>+H28</f>
        <v>0</v>
      </c>
      <c r="I32" s="280">
        <f>I24</f>
        <v>0</v>
      </c>
      <c r="J32" s="280">
        <f>+J28</f>
        <v>0</v>
      </c>
      <c r="K32" s="280">
        <f>+K28</f>
        <v>0</v>
      </c>
      <c r="L32" s="280">
        <v>0</v>
      </c>
      <c r="M32" s="280">
        <f>+M28</f>
        <v>0</v>
      </c>
      <c r="N32" s="280">
        <f>+N28</f>
        <v>0</v>
      </c>
      <c r="O32" s="280">
        <f ca="1">+O28</f>
        <v>0</v>
      </c>
      <c r="P32" s="280">
        <f ca="1">+P28</f>
        <v>3135.0987689098852</v>
      </c>
      <c r="Q32" s="280">
        <f ca="1">+Q28</f>
        <v>1022.5864918797997</v>
      </c>
      <c r="R32" s="280">
        <f t="shared" ref="R32:AH32" ca="1" si="17">+R28</f>
        <v>1982.0832987105832</v>
      </c>
      <c r="S32" s="280">
        <f t="shared" ca="1" si="17"/>
        <v>3445.8345038746647</v>
      </c>
      <c r="T32" s="280">
        <f t="shared" ca="1" si="17"/>
        <v>3087.7894113782809</v>
      </c>
      <c r="U32" s="280">
        <f t="shared" ca="1" si="17"/>
        <v>1847.637069344471</v>
      </c>
      <c r="V32" s="280">
        <f t="shared" ca="1" si="17"/>
        <v>2635.3009190233774</v>
      </c>
      <c r="W32" s="280">
        <f t="shared" ca="1" si="17"/>
        <v>4171.4102981024607</v>
      </c>
      <c r="X32" s="280">
        <f t="shared" ca="1" si="17"/>
        <v>3784.8613834055755</v>
      </c>
      <c r="Y32" s="280">
        <f t="shared" ca="1" si="17"/>
        <v>2440.8649390666496</v>
      </c>
      <c r="Z32" s="280">
        <f t="shared" ca="1" si="17"/>
        <v>3173.1161434814685</v>
      </c>
      <c r="AA32" s="280">
        <f t="shared" ca="1" si="17"/>
        <v>4706.5701945805449</v>
      </c>
      <c r="AB32" s="280">
        <f t="shared" ca="1" si="17"/>
        <v>4108.2054683845527</v>
      </c>
      <c r="AC32" s="280">
        <f t="shared" ca="1" si="17"/>
        <v>2634.835154372201</v>
      </c>
      <c r="AD32" s="280">
        <f t="shared" ca="1" si="17"/>
        <v>3403.1742331294158</v>
      </c>
      <c r="AE32" s="280">
        <f t="shared" ca="1" si="17"/>
        <v>5036.6666620049273</v>
      </c>
      <c r="AF32" s="280">
        <f t="shared" ca="1" si="17"/>
        <v>5036.6666620049273</v>
      </c>
      <c r="AG32" s="280">
        <f t="shared" ca="1" si="17"/>
        <v>5036.6666620049273</v>
      </c>
      <c r="AH32" s="280">
        <f t="shared" ca="1" si="17"/>
        <v>5942.5113478077801</v>
      </c>
      <c r="AI32" s="280">
        <f ca="1">+AI28</f>
        <v>7658.0102778606442</v>
      </c>
      <c r="AJ32" s="280">
        <f ca="1">+AJ28</f>
        <v>7661.0102778732289</v>
      </c>
    </row>
    <row r="33" spans="1:36" ht="14.1" customHeight="1" x14ac:dyDescent="0.2">
      <c r="A33" s="278" t="s">
        <v>323</v>
      </c>
      <c r="H33" s="294"/>
      <c r="I33" s="294"/>
      <c r="J33" s="294"/>
      <c r="K33" s="294"/>
      <c r="L33" s="294"/>
      <c r="M33" s="294">
        <v>0</v>
      </c>
      <c r="N33" s="294">
        <v>0</v>
      </c>
      <c r="O33" s="294">
        <v>0</v>
      </c>
      <c r="P33" s="294">
        <v>0</v>
      </c>
      <c r="Q33" s="294">
        <v>0</v>
      </c>
      <c r="R33" s="294">
        <v>0</v>
      </c>
      <c r="S33" s="294">
        <v>0</v>
      </c>
      <c r="T33" s="294">
        <v>0</v>
      </c>
      <c r="U33" s="294">
        <v>0</v>
      </c>
      <c r="V33" s="294">
        <v>0</v>
      </c>
      <c r="W33" s="294">
        <v>0</v>
      </c>
      <c r="X33" s="294">
        <v>0</v>
      </c>
      <c r="Y33" s="294">
        <v>0</v>
      </c>
      <c r="Z33" s="294">
        <v>0</v>
      </c>
      <c r="AA33" s="294">
        <v>0</v>
      </c>
      <c r="AB33" s="294">
        <v>0</v>
      </c>
      <c r="AC33" s="294">
        <v>0</v>
      </c>
      <c r="AD33" s="294">
        <v>0</v>
      </c>
      <c r="AE33" s="294">
        <v>0</v>
      </c>
      <c r="AF33" s="294">
        <v>0</v>
      </c>
      <c r="AG33" s="294">
        <v>0</v>
      </c>
      <c r="AH33" s="294">
        <v>0</v>
      </c>
      <c r="AI33" s="294">
        <v>1</v>
      </c>
      <c r="AJ33" s="294">
        <v>2</v>
      </c>
    </row>
    <row r="34" spans="1:36" s="270" customFormat="1" ht="14.1" customHeight="1" x14ac:dyDescent="0.2">
      <c r="A34" s="278" t="s">
        <v>51</v>
      </c>
      <c r="H34" s="296"/>
      <c r="I34" s="296"/>
      <c r="J34" s="296"/>
      <c r="K34" s="296"/>
      <c r="L34" s="296"/>
      <c r="M34" s="297">
        <f>M32+M33</f>
        <v>0</v>
      </c>
      <c r="N34" s="297">
        <f>N32+N33</f>
        <v>0</v>
      </c>
      <c r="O34" s="297">
        <f ca="1">O32+O33</f>
        <v>0</v>
      </c>
      <c r="P34" s="297">
        <f ca="1">P32+P33</f>
        <v>3135.0987689098852</v>
      </c>
      <c r="Q34" s="297">
        <f ca="1">Q32+Q33</f>
        <v>1022.5864918797997</v>
      </c>
      <c r="R34" s="297">
        <f t="shared" ref="R34:AH34" ca="1" si="18">R32+R33</f>
        <v>1982.0832987105832</v>
      </c>
      <c r="S34" s="297">
        <f t="shared" ca="1" si="18"/>
        <v>3445.8345038746647</v>
      </c>
      <c r="T34" s="297">
        <f t="shared" ca="1" si="18"/>
        <v>3087.7894113782809</v>
      </c>
      <c r="U34" s="297">
        <f t="shared" ca="1" si="18"/>
        <v>1847.637069344471</v>
      </c>
      <c r="V34" s="297">
        <f t="shared" ca="1" si="18"/>
        <v>2635.3009190233774</v>
      </c>
      <c r="W34" s="297">
        <f t="shared" ca="1" si="18"/>
        <v>4171.4102981024607</v>
      </c>
      <c r="X34" s="297">
        <f t="shared" ca="1" si="18"/>
        <v>3784.8613834055755</v>
      </c>
      <c r="Y34" s="297">
        <f t="shared" ca="1" si="18"/>
        <v>2440.8649390666496</v>
      </c>
      <c r="Z34" s="297">
        <f t="shared" ca="1" si="18"/>
        <v>3173.1161434814685</v>
      </c>
      <c r="AA34" s="297">
        <f t="shared" ca="1" si="18"/>
        <v>4706.5701945805449</v>
      </c>
      <c r="AB34" s="297">
        <f t="shared" ca="1" si="18"/>
        <v>4108.2054683845527</v>
      </c>
      <c r="AC34" s="297">
        <f t="shared" ca="1" si="18"/>
        <v>2634.835154372201</v>
      </c>
      <c r="AD34" s="297">
        <f t="shared" ca="1" si="18"/>
        <v>3403.1742331294158</v>
      </c>
      <c r="AE34" s="297">
        <f t="shared" ca="1" si="18"/>
        <v>5036.6666620049273</v>
      </c>
      <c r="AF34" s="297">
        <f t="shared" ca="1" si="18"/>
        <v>5036.6666620049273</v>
      </c>
      <c r="AG34" s="297">
        <f t="shared" ca="1" si="18"/>
        <v>5036.6666620049273</v>
      </c>
      <c r="AH34" s="297">
        <f t="shared" ca="1" si="18"/>
        <v>5942.5113478077801</v>
      </c>
      <c r="AI34" s="297">
        <f ca="1">AI32+AI33</f>
        <v>7659.0102778606442</v>
      </c>
      <c r="AJ34" s="297">
        <f ca="1">AJ32+AJ33</f>
        <v>7663.0102778732289</v>
      </c>
    </row>
    <row r="35" spans="1:36" s="270" customFormat="1" ht="14.1" customHeight="1" x14ac:dyDescent="0.2">
      <c r="H35" s="296"/>
      <c r="I35" s="296"/>
      <c r="J35" s="296"/>
      <c r="K35" s="296"/>
      <c r="L35" s="296"/>
      <c r="M35" s="296"/>
      <c r="N35" s="296"/>
      <c r="O35" s="296"/>
      <c r="P35" s="296"/>
      <c r="Q35" s="296"/>
      <c r="R35" s="296"/>
      <c r="S35" s="296"/>
      <c r="T35" s="296"/>
      <c r="U35" s="296"/>
      <c r="V35" s="296"/>
      <c r="W35" s="296"/>
      <c r="X35" s="296"/>
      <c r="Y35" s="296"/>
      <c r="Z35" s="296"/>
      <c r="AA35" s="296"/>
      <c r="AB35" s="296"/>
      <c r="AC35" s="296"/>
      <c r="AD35" s="296"/>
      <c r="AE35" s="296"/>
      <c r="AF35" s="296"/>
      <c r="AG35" s="296"/>
      <c r="AH35" s="296"/>
      <c r="AI35" s="296"/>
      <c r="AJ35" s="296"/>
    </row>
    <row r="36" spans="1:36" ht="14.1" customHeight="1" x14ac:dyDescent="0.2">
      <c r="M36" s="291">
        <f>MONTH(M38)</f>
        <v>3</v>
      </c>
      <c r="N36" s="291">
        <f t="shared" ref="N36:AJ36" si="19">MONTH(N38)</f>
        <v>6</v>
      </c>
      <c r="O36" s="291">
        <f t="shared" si="19"/>
        <v>9</v>
      </c>
      <c r="P36" s="291">
        <f t="shared" si="19"/>
        <v>12</v>
      </c>
      <c r="Q36" s="291">
        <f t="shared" si="19"/>
        <v>3</v>
      </c>
      <c r="R36" s="291">
        <f t="shared" si="19"/>
        <v>6</v>
      </c>
      <c r="S36" s="291">
        <f t="shared" si="19"/>
        <v>9</v>
      </c>
      <c r="T36" s="291">
        <f t="shared" si="19"/>
        <v>12</v>
      </c>
      <c r="U36" s="291">
        <f t="shared" si="19"/>
        <v>3</v>
      </c>
      <c r="V36" s="291">
        <f t="shared" si="19"/>
        <v>6</v>
      </c>
      <c r="W36" s="291">
        <f t="shared" si="19"/>
        <v>9</v>
      </c>
      <c r="X36" s="291">
        <f t="shared" si="19"/>
        <v>12</v>
      </c>
      <c r="Y36" s="291">
        <f t="shared" si="19"/>
        <v>3</v>
      </c>
      <c r="Z36" s="291">
        <f t="shared" si="19"/>
        <v>6</v>
      </c>
      <c r="AA36" s="291">
        <f t="shared" si="19"/>
        <v>9</v>
      </c>
      <c r="AB36" s="291">
        <f t="shared" si="19"/>
        <v>12</v>
      </c>
      <c r="AC36" s="291">
        <f t="shared" si="19"/>
        <v>3</v>
      </c>
      <c r="AD36" s="291">
        <f t="shared" si="19"/>
        <v>6</v>
      </c>
      <c r="AE36" s="291">
        <f t="shared" si="19"/>
        <v>9</v>
      </c>
      <c r="AF36" s="291">
        <f t="shared" si="19"/>
        <v>12</v>
      </c>
      <c r="AG36" s="291">
        <f t="shared" si="19"/>
        <v>3</v>
      </c>
      <c r="AH36" s="291">
        <f t="shared" si="19"/>
        <v>6</v>
      </c>
      <c r="AI36" s="291">
        <f t="shared" si="19"/>
        <v>9</v>
      </c>
      <c r="AJ36" s="291">
        <f t="shared" si="19"/>
        <v>12</v>
      </c>
    </row>
    <row r="37" spans="1:36" ht="14.1" customHeight="1" x14ac:dyDescent="0.2">
      <c r="M37" s="291">
        <f>YEAR(M38)</f>
        <v>2015</v>
      </c>
      <c r="N37" s="291">
        <f t="shared" ref="N37:AJ37" si="20">YEAR(N38)</f>
        <v>2015</v>
      </c>
      <c r="O37" s="291">
        <f t="shared" si="20"/>
        <v>2015</v>
      </c>
      <c r="P37" s="291">
        <f t="shared" si="20"/>
        <v>2015</v>
      </c>
      <c r="Q37" s="291">
        <f t="shared" si="20"/>
        <v>2016</v>
      </c>
      <c r="R37" s="291">
        <f t="shared" si="20"/>
        <v>2016</v>
      </c>
      <c r="S37" s="291">
        <f t="shared" si="20"/>
        <v>2016</v>
      </c>
      <c r="T37" s="291">
        <f t="shared" si="20"/>
        <v>2016</v>
      </c>
      <c r="U37" s="291">
        <f t="shared" si="20"/>
        <v>2017</v>
      </c>
      <c r="V37" s="291">
        <f t="shared" si="20"/>
        <v>2017</v>
      </c>
      <c r="W37" s="291">
        <f t="shared" si="20"/>
        <v>2017</v>
      </c>
      <c r="X37" s="291">
        <f t="shared" si="20"/>
        <v>2017</v>
      </c>
      <c r="Y37" s="291">
        <f t="shared" si="20"/>
        <v>2018</v>
      </c>
      <c r="Z37" s="291">
        <f t="shared" si="20"/>
        <v>2018</v>
      </c>
      <c r="AA37" s="291">
        <f t="shared" si="20"/>
        <v>2018</v>
      </c>
      <c r="AB37" s="291">
        <f t="shared" si="20"/>
        <v>2018</v>
      </c>
      <c r="AC37" s="291">
        <f t="shared" si="20"/>
        <v>2019</v>
      </c>
      <c r="AD37" s="291">
        <f t="shared" si="20"/>
        <v>2019</v>
      </c>
      <c r="AE37" s="291">
        <f t="shared" si="20"/>
        <v>2019</v>
      </c>
      <c r="AF37" s="291">
        <f t="shared" si="20"/>
        <v>2019</v>
      </c>
      <c r="AG37" s="291">
        <f t="shared" si="20"/>
        <v>2020</v>
      </c>
      <c r="AH37" s="291">
        <f t="shared" si="20"/>
        <v>2020</v>
      </c>
      <c r="AI37" s="291">
        <f t="shared" si="20"/>
        <v>2020</v>
      </c>
      <c r="AJ37" s="291">
        <f t="shared" si="20"/>
        <v>2020</v>
      </c>
    </row>
    <row r="38" spans="1:36" ht="14.1" customHeight="1" thickBot="1" x14ac:dyDescent="0.25">
      <c r="A38" s="292" t="s">
        <v>454</v>
      </c>
      <c r="B38" s="270"/>
      <c r="C38" s="270"/>
      <c r="D38" s="270"/>
      <c r="E38" s="270"/>
      <c r="F38" s="270"/>
      <c r="G38" s="270"/>
      <c r="H38" s="293">
        <v>41639</v>
      </c>
      <c r="I38" s="293">
        <v>41729</v>
      </c>
      <c r="J38" s="293">
        <f t="shared" ref="J38:AJ38" si="21">EOMONTH(I38,3)</f>
        <v>41820</v>
      </c>
      <c r="K38" s="293">
        <f t="shared" si="21"/>
        <v>41912</v>
      </c>
      <c r="L38" s="293">
        <f t="shared" si="21"/>
        <v>42004</v>
      </c>
      <c r="M38" s="293">
        <f t="shared" si="21"/>
        <v>42094</v>
      </c>
      <c r="N38" s="293">
        <f t="shared" si="21"/>
        <v>42185</v>
      </c>
      <c r="O38" s="293">
        <f t="shared" si="21"/>
        <v>42277</v>
      </c>
      <c r="P38" s="293">
        <f t="shared" si="21"/>
        <v>42369</v>
      </c>
      <c r="Q38" s="293">
        <f t="shared" si="21"/>
        <v>42460</v>
      </c>
      <c r="R38" s="293">
        <f t="shared" si="21"/>
        <v>42551</v>
      </c>
      <c r="S38" s="293">
        <f t="shared" si="21"/>
        <v>42643</v>
      </c>
      <c r="T38" s="293">
        <f t="shared" si="21"/>
        <v>42735</v>
      </c>
      <c r="U38" s="293">
        <f t="shared" si="21"/>
        <v>42825</v>
      </c>
      <c r="V38" s="293">
        <f t="shared" si="21"/>
        <v>42916</v>
      </c>
      <c r="W38" s="293">
        <f t="shared" si="21"/>
        <v>43008</v>
      </c>
      <c r="X38" s="293">
        <f t="shared" si="21"/>
        <v>43100</v>
      </c>
      <c r="Y38" s="293">
        <f t="shared" si="21"/>
        <v>43190</v>
      </c>
      <c r="Z38" s="293">
        <f t="shared" si="21"/>
        <v>43281</v>
      </c>
      <c r="AA38" s="293">
        <f t="shared" si="21"/>
        <v>43373</v>
      </c>
      <c r="AB38" s="293">
        <f t="shared" si="21"/>
        <v>43465</v>
      </c>
      <c r="AC38" s="293">
        <f t="shared" si="21"/>
        <v>43555</v>
      </c>
      <c r="AD38" s="293">
        <f t="shared" si="21"/>
        <v>43646</v>
      </c>
      <c r="AE38" s="293">
        <f t="shared" si="21"/>
        <v>43738</v>
      </c>
      <c r="AF38" s="293">
        <f t="shared" si="21"/>
        <v>43830</v>
      </c>
      <c r="AG38" s="293">
        <f t="shared" si="21"/>
        <v>43921</v>
      </c>
      <c r="AH38" s="293">
        <f t="shared" si="21"/>
        <v>44012</v>
      </c>
      <c r="AI38" s="293">
        <f t="shared" si="21"/>
        <v>44104</v>
      </c>
      <c r="AJ38" s="293">
        <f t="shared" si="21"/>
        <v>44196</v>
      </c>
    </row>
    <row r="39" spans="1:36" ht="14.1" customHeight="1" thickTop="1" x14ac:dyDescent="0.2">
      <c r="A39" s="278" t="s">
        <v>46</v>
      </c>
      <c r="H39" s="280">
        <v>0</v>
      </c>
      <c r="I39" s="280">
        <v>0</v>
      </c>
      <c r="J39" s="280">
        <v>0</v>
      </c>
      <c r="K39" s="280">
        <v>0</v>
      </c>
      <c r="L39" s="280">
        <v>0</v>
      </c>
      <c r="M39" s="280">
        <f>L49</f>
        <v>0</v>
      </c>
      <c r="N39" s="280">
        <v>0</v>
      </c>
      <c r="O39" s="280">
        <f t="shared" ref="O39:AJ39" si="22">N49</f>
        <v>0</v>
      </c>
      <c r="P39" s="280">
        <f t="shared" si="22"/>
        <v>0</v>
      </c>
      <c r="Q39" s="280">
        <f t="shared" si="22"/>
        <v>10000</v>
      </c>
      <c r="R39" s="280">
        <f t="shared" ca="1" si="22"/>
        <v>9558.496940719624</v>
      </c>
      <c r="S39" s="280">
        <f t="shared" ca="1" si="22"/>
        <v>9112.8467437860563</v>
      </c>
      <c r="T39" s="280">
        <f t="shared" ca="1" si="22"/>
        <v>8663.9279335833762</v>
      </c>
      <c r="U39" s="280">
        <f t="shared" ca="1" si="22"/>
        <v>8210.7457694609402</v>
      </c>
      <c r="V39" s="280">
        <f t="shared" ca="1" si="22"/>
        <v>7751.6120070098559</v>
      </c>
      <c r="W39" s="280">
        <f t="shared" ca="1" si="22"/>
        <v>7288.9893330207797</v>
      </c>
      <c r="X39" s="280">
        <f t="shared" ca="1" si="22"/>
        <v>6822.7494628301019</v>
      </c>
      <c r="Y39" s="280">
        <f t="shared" ca="1" si="22"/>
        <v>6352.0817416941127</v>
      </c>
      <c r="Z39" s="280">
        <f t="shared" ca="1" si="22"/>
        <v>5875.6818761122167</v>
      </c>
      <c r="AA39" s="280">
        <f t="shared" ca="1" si="22"/>
        <v>5395.4381679828939</v>
      </c>
      <c r="AB39" s="280">
        <f t="shared" ca="1" si="22"/>
        <v>4911.2153605700541</v>
      </c>
      <c r="AC39" s="280">
        <f t="shared" ca="1" si="22"/>
        <v>4422.3939193795686</v>
      </c>
      <c r="AD39" s="280">
        <f t="shared" ca="1" si="22"/>
        <v>3928.0681734596396</v>
      </c>
      <c r="AE39" s="280">
        <f t="shared" ca="1" si="22"/>
        <v>3429.5300912589155</v>
      </c>
      <c r="AF39" s="280">
        <f t="shared" ca="1" si="22"/>
        <v>2926.6371775500256</v>
      </c>
      <c r="AG39" s="280">
        <f t="shared" ca="1" si="22"/>
        <v>2418.9683212293521</v>
      </c>
      <c r="AH39" s="280">
        <f t="shared" ca="1" si="22"/>
        <v>1906.2549242985074</v>
      </c>
      <c r="AI39" s="280">
        <f t="shared" ca="1" si="22"/>
        <v>1388.7254949778223</v>
      </c>
      <c r="AJ39" s="280">
        <f t="shared" ca="1" si="22"/>
        <v>866.45118740155976</v>
      </c>
    </row>
    <row r="40" spans="1:36" ht="14.1" customHeight="1" x14ac:dyDescent="0.2">
      <c r="A40" s="278" t="s">
        <v>326</v>
      </c>
      <c r="H40" s="294"/>
      <c r="I40" s="294"/>
      <c r="J40" s="294"/>
      <c r="K40" s="294"/>
      <c r="L40" s="294"/>
      <c r="M40" s="300">
        <v>0</v>
      </c>
      <c r="N40" s="300">
        <v>0</v>
      </c>
      <c r="O40" s="300">
        <f ca="1">-(O45-O46)</f>
        <v>0</v>
      </c>
      <c r="P40" s="300">
        <f ca="1">-(P45-P46)</f>
        <v>0</v>
      </c>
      <c r="Q40" s="300">
        <f t="shared" ref="Q40:AJ40" ca="1" si="23">-(Q45-Q46)</f>
        <v>-441.50305928037648</v>
      </c>
      <c r="R40" s="300">
        <f t="shared" ca="1" si="23"/>
        <v>-445.65019693356834</v>
      </c>
      <c r="S40" s="300">
        <f t="shared" ca="1" si="23"/>
        <v>-448.91881020267942</v>
      </c>
      <c r="T40" s="300">
        <f t="shared" ca="1" si="23"/>
        <v>-453.1821641224351</v>
      </c>
      <c r="U40" s="300">
        <f t="shared" ca="1" si="23"/>
        <v>-459.13376245108441</v>
      </c>
      <c r="V40" s="300">
        <f t="shared" ca="1" si="23"/>
        <v>-462.6226739890767</v>
      </c>
      <c r="W40" s="300">
        <f t="shared" ca="1" si="23"/>
        <v>-466.23987019067806</v>
      </c>
      <c r="X40" s="300">
        <f t="shared" ca="1" si="23"/>
        <v>-470.66772113598904</v>
      </c>
      <c r="Y40" s="300">
        <f t="shared" ca="1" si="23"/>
        <v>-476.39986558189611</v>
      </c>
      <c r="Z40" s="300">
        <f t="shared" ca="1" si="23"/>
        <v>-480.24370812932324</v>
      </c>
      <c r="AA40" s="300">
        <f t="shared" ca="1" si="23"/>
        <v>-484.22280741283953</v>
      </c>
      <c r="AB40" s="300">
        <f t="shared" ca="1" si="23"/>
        <v>-488.82144119048542</v>
      </c>
      <c r="AC40" s="300">
        <f t="shared" ca="1" si="23"/>
        <v>-494.32574591992903</v>
      </c>
      <c r="AD40" s="300">
        <f t="shared" ca="1" si="23"/>
        <v>-498.53808220072392</v>
      </c>
      <c r="AE40" s="300">
        <f t="shared" ca="1" si="23"/>
        <v>-502.89291370888998</v>
      </c>
      <c r="AF40" s="300">
        <f t="shared" ca="1" si="23"/>
        <v>-507.66885632067351</v>
      </c>
      <c r="AG40" s="300">
        <f t="shared" ca="1" si="23"/>
        <v>-512.71339693084485</v>
      </c>
      <c r="AH40" s="300">
        <f t="shared" ca="1" si="23"/>
        <v>-517.52942932068504</v>
      </c>
      <c r="AI40" s="300">
        <f t="shared" ca="1" si="23"/>
        <v>-522.27430757626257</v>
      </c>
      <c r="AJ40" s="300">
        <f t="shared" ca="1" si="23"/>
        <v>-527.23431407585133</v>
      </c>
    </row>
    <row r="41" spans="1:36" ht="14.1" customHeight="1" x14ac:dyDescent="0.2">
      <c r="A41" s="278" t="s">
        <v>430</v>
      </c>
      <c r="H41" s="294"/>
      <c r="I41" s="294"/>
      <c r="J41" s="294"/>
      <c r="K41" s="294"/>
      <c r="L41" s="294"/>
      <c r="M41" s="300">
        <v>0</v>
      </c>
      <c r="N41" s="300">
        <v>0</v>
      </c>
      <c r="O41" s="300">
        <v>0</v>
      </c>
      <c r="P41" s="300">
        <v>0</v>
      </c>
      <c r="Q41" s="300">
        <v>0</v>
      </c>
      <c r="R41" s="300">
        <v>0</v>
      </c>
      <c r="S41" s="300">
        <v>0</v>
      </c>
      <c r="T41" s="300">
        <v>0</v>
      </c>
      <c r="U41" s="300">
        <v>0</v>
      </c>
      <c r="V41" s="300">
        <v>0</v>
      </c>
      <c r="W41" s="300">
        <v>0</v>
      </c>
      <c r="X41" s="300">
        <v>0</v>
      </c>
      <c r="Y41" s="300">
        <v>0</v>
      </c>
      <c r="Z41" s="300">
        <v>0</v>
      </c>
      <c r="AA41" s="300">
        <v>0</v>
      </c>
      <c r="AB41" s="300">
        <v>0</v>
      </c>
      <c r="AC41" s="300">
        <v>0</v>
      </c>
      <c r="AD41" s="300">
        <v>0</v>
      </c>
      <c r="AE41" s="300">
        <v>0</v>
      </c>
      <c r="AF41" s="300">
        <v>0</v>
      </c>
      <c r="AG41" s="300">
        <v>0</v>
      </c>
      <c r="AH41" s="300">
        <v>0</v>
      </c>
      <c r="AI41" s="300">
        <v>0</v>
      </c>
      <c r="AJ41" s="300">
        <v>0</v>
      </c>
    </row>
    <row r="42" spans="1:36" ht="14.1" customHeight="1" x14ac:dyDescent="0.2">
      <c r="A42" s="278" t="s">
        <v>385</v>
      </c>
      <c r="I42" s="280">
        <v>0</v>
      </c>
      <c r="J42" s="280">
        <f>SUM(J39:J39)</f>
        <v>0</v>
      </c>
      <c r="K42" s="280">
        <f>SUM(K39:K39)</f>
        <v>0</v>
      </c>
      <c r="L42" s="280">
        <f>SUM(L39:L39)</f>
        <v>0</v>
      </c>
      <c r="M42" s="280">
        <f>SUM(M39:M40)</f>
        <v>0</v>
      </c>
      <c r="N42" s="280">
        <f>MAX(SUM(N39:N40),0)</f>
        <v>0</v>
      </c>
      <c r="O42" s="280">
        <f t="shared" ref="O42:AJ42" ca="1" si="24">SUM(O39:O41)</f>
        <v>0</v>
      </c>
      <c r="P42" s="280">
        <f t="shared" ca="1" si="24"/>
        <v>0</v>
      </c>
      <c r="Q42" s="280">
        <f t="shared" ca="1" si="24"/>
        <v>9558.496940719624</v>
      </c>
      <c r="R42" s="280">
        <f t="shared" ca="1" si="24"/>
        <v>9112.8467437860563</v>
      </c>
      <c r="S42" s="280">
        <f t="shared" ca="1" si="24"/>
        <v>8663.9279335833762</v>
      </c>
      <c r="T42" s="280">
        <f t="shared" ca="1" si="24"/>
        <v>8210.7457694609402</v>
      </c>
      <c r="U42" s="280">
        <f t="shared" ca="1" si="24"/>
        <v>7751.6120070098559</v>
      </c>
      <c r="V42" s="280">
        <f t="shared" ca="1" si="24"/>
        <v>7288.9893330207797</v>
      </c>
      <c r="W42" s="280">
        <f t="shared" ca="1" si="24"/>
        <v>6822.7494628301019</v>
      </c>
      <c r="X42" s="280">
        <f t="shared" ca="1" si="24"/>
        <v>6352.0817416941127</v>
      </c>
      <c r="Y42" s="280">
        <f t="shared" ca="1" si="24"/>
        <v>5875.6818761122167</v>
      </c>
      <c r="Z42" s="280">
        <f t="shared" ca="1" si="24"/>
        <v>5395.4381679828939</v>
      </c>
      <c r="AA42" s="280">
        <f t="shared" ca="1" si="24"/>
        <v>4911.2153605700541</v>
      </c>
      <c r="AB42" s="280">
        <f t="shared" ca="1" si="24"/>
        <v>4422.3939193795686</v>
      </c>
      <c r="AC42" s="280">
        <f t="shared" ca="1" si="24"/>
        <v>3928.0681734596396</v>
      </c>
      <c r="AD42" s="280">
        <f t="shared" ca="1" si="24"/>
        <v>3429.5300912589155</v>
      </c>
      <c r="AE42" s="280">
        <f t="shared" ca="1" si="24"/>
        <v>2926.6371775500256</v>
      </c>
      <c r="AF42" s="280">
        <f t="shared" ca="1" si="24"/>
        <v>2418.9683212293521</v>
      </c>
      <c r="AG42" s="280">
        <f t="shared" ca="1" si="24"/>
        <v>1906.2549242985074</v>
      </c>
      <c r="AH42" s="280">
        <f t="shared" ca="1" si="24"/>
        <v>1388.7254949778223</v>
      </c>
      <c r="AI42" s="280">
        <f t="shared" ca="1" si="24"/>
        <v>866.45118740155976</v>
      </c>
      <c r="AJ42" s="280">
        <f t="shared" ca="1" si="24"/>
        <v>339.21687332570843</v>
      </c>
    </row>
    <row r="43" spans="1:36" ht="14.1" customHeight="1" x14ac:dyDescent="0.2">
      <c r="A43" s="278" t="s">
        <v>48</v>
      </c>
      <c r="I43" s="280">
        <f t="shared" ref="I43:O43" si="25">I38-H38</f>
        <v>90</v>
      </c>
      <c r="J43" s="280">
        <f t="shared" si="25"/>
        <v>91</v>
      </c>
      <c r="K43" s="280">
        <f t="shared" si="25"/>
        <v>92</v>
      </c>
      <c r="L43" s="280">
        <f t="shared" si="25"/>
        <v>92</v>
      </c>
      <c r="M43" s="280">
        <f t="shared" si="25"/>
        <v>90</v>
      </c>
      <c r="N43" s="280">
        <f t="shared" si="25"/>
        <v>91</v>
      </c>
      <c r="O43" s="280">
        <f t="shared" si="25"/>
        <v>92</v>
      </c>
      <c r="P43" s="280">
        <f>P38-O38</f>
        <v>92</v>
      </c>
      <c r="Q43" s="280">
        <f>Q38-P38</f>
        <v>91</v>
      </c>
      <c r="R43" s="280">
        <f>R38-Q38</f>
        <v>91</v>
      </c>
      <c r="S43" s="280">
        <f>S38-R38</f>
        <v>92</v>
      </c>
      <c r="T43" s="280">
        <f t="shared" ref="T43:Y43" si="26">T38-S38</f>
        <v>92</v>
      </c>
      <c r="U43" s="280">
        <f t="shared" si="26"/>
        <v>90</v>
      </c>
      <c r="V43" s="280">
        <f t="shared" si="26"/>
        <v>91</v>
      </c>
      <c r="W43" s="280">
        <f t="shared" si="26"/>
        <v>92</v>
      </c>
      <c r="X43" s="280">
        <f t="shared" si="26"/>
        <v>92</v>
      </c>
      <c r="Y43" s="280">
        <f t="shared" si="26"/>
        <v>90</v>
      </c>
      <c r="Z43" s="280">
        <f t="shared" ref="Z43:AJ43" si="27">Z38-Y38</f>
        <v>91</v>
      </c>
      <c r="AA43" s="280">
        <f t="shared" si="27"/>
        <v>92</v>
      </c>
      <c r="AB43" s="280">
        <f t="shared" si="27"/>
        <v>92</v>
      </c>
      <c r="AC43" s="280">
        <f t="shared" si="27"/>
        <v>90</v>
      </c>
      <c r="AD43" s="280">
        <f t="shared" si="27"/>
        <v>91</v>
      </c>
      <c r="AE43" s="280">
        <f t="shared" si="27"/>
        <v>92</v>
      </c>
      <c r="AF43" s="280">
        <f t="shared" si="27"/>
        <v>92</v>
      </c>
      <c r="AG43" s="280">
        <f t="shared" si="27"/>
        <v>91</v>
      </c>
      <c r="AH43" s="280">
        <f t="shared" si="27"/>
        <v>91</v>
      </c>
      <c r="AI43" s="280">
        <f t="shared" si="27"/>
        <v>92</v>
      </c>
      <c r="AJ43" s="280">
        <f t="shared" si="27"/>
        <v>92</v>
      </c>
    </row>
    <row r="44" spans="1:36" ht="14.1" customHeight="1" x14ac:dyDescent="0.2">
      <c r="A44" s="278" t="s">
        <v>49</v>
      </c>
      <c r="H44" s="295"/>
      <c r="I44" s="295"/>
      <c r="J44" s="295"/>
      <c r="K44" s="295"/>
      <c r="L44" s="295"/>
      <c r="M44" s="301">
        <f>'Valuation &amp; Sources &amp; Uses'!$C$16</f>
        <v>3.7499999999999999E-2</v>
      </c>
      <c r="N44" s="301">
        <f t="shared" ref="N44:AJ44" si="28">M44</f>
        <v>3.7499999999999999E-2</v>
      </c>
      <c r="O44" s="301">
        <f t="shared" si="28"/>
        <v>3.7499999999999999E-2</v>
      </c>
      <c r="P44" s="301">
        <f t="shared" si="28"/>
        <v>3.7499999999999999E-2</v>
      </c>
      <c r="Q44" s="301">
        <f t="shared" si="28"/>
        <v>3.7499999999999999E-2</v>
      </c>
      <c r="R44" s="301">
        <f t="shared" si="28"/>
        <v>3.7499999999999999E-2</v>
      </c>
      <c r="S44" s="301">
        <f t="shared" si="28"/>
        <v>3.7499999999999999E-2</v>
      </c>
      <c r="T44" s="301">
        <f t="shared" si="28"/>
        <v>3.7499999999999999E-2</v>
      </c>
      <c r="U44" s="301">
        <f t="shared" si="28"/>
        <v>3.7499999999999999E-2</v>
      </c>
      <c r="V44" s="301">
        <f t="shared" si="28"/>
        <v>3.7499999999999999E-2</v>
      </c>
      <c r="W44" s="301">
        <f t="shared" si="28"/>
        <v>3.7499999999999999E-2</v>
      </c>
      <c r="X44" s="301">
        <f t="shared" si="28"/>
        <v>3.7499999999999999E-2</v>
      </c>
      <c r="Y44" s="301">
        <f t="shared" si="28"/>
        <v>3.7499999999999999E-2</v>
      </c>
      <c r="Z44" s="301">
        <f t="shared" si="28"/>
        <v>3.7499999999999999E-2</v>
      </c>
      <c r="AA44" s="301">
        <f t="shared" si="28"/>
        <v>3.7499999999999999E-2</v>
      </c>
      <c r="AB44" s="301">
        <f t="shared" si="28"/>
        <v>3.7499999999999999E-2</v>
      </c>
      <c r="AC44" s="301">
        <f t="shared" si="28"/>
        <v>3.7499999999999999E-2</v>
      </c>
      <c r="AD44" s="301">
        <f t="shared" si="28"/>
        <v>3.7499999999999999E-2</v>
      </c>
      <c r="AE44" s="301">
        <f t="shared" si="28"/>
        <v>3.7499999999999999E-2</v>
      </c>
      <c r="AF44" s="301">
        <f t="shared" si="28"/>
        <v>3.7499999999999999E-2</v>
      </c>
      <c r="AG44" s="301">
        <f t="shared" si="28"/>
        <v>3.7499999999999999E-2</v>
      </c>
      <c r="AH44" s="301">
        <f t="shared" si="28"/>
        <v>3.7499999999999999E-2</v>
      </c>
      <c r="AI44" s="301">
        <f t="shared" si="28"/>
        <v>3.7499999999999999E-2</v>
      </c>
      <c r="AJ44" s="301">
        <f t="shared" si="28"/>
        <v>3.7499999999999999E-2</v>
      </c>
    </row>
    <row r="45" spans="1:36" ht="14.1" customHeight="1" x14ac:dyDescent="0.2">
      <c r="A45" s="278" t="s">
        <v>325</v>
      </c>
      <c r="H45" s="302"/>
      <c r="I45" s="302"/>
      <c r="J45" s="302"/>
      <c r="K45" s="302"/>
      <c r="L45" s="302"/>
      <c r="M45" s="303">
        <f>IF(L45&gt;0,L45,(IF(L48&gt;0,PMT(M44/4,20,-L48,0,0),0)))</f>
        <v>0</v>
      </c>
      <c r="N45" s="303">
        <f>PMT(N44/4,28,-M49,0,0)</f>
        <v>0</v>
      </c>
      <c r="O45" s="303">
        <f>-PMT('Valuation &amp; Sources &amp; Uses'!$C$15/4,28,$N$49)</f>
        <v>0</v>
      </c>
      <c r="P45" s="303">
        <f>-PMT('Valuation &amp; Sources &amp; Uses'!$C$15/4,28,$O$49)</f>
        <v>0</v>
      </c>
      <c r="Q45" s="303">
        <f>-PMT('Valuation &amp; Sources &amp; Uses'!$C$15/4,28,$P$49)</f>
        <v>532.93233436285004</v>
      </c>
      <c r="R45" s="303">
        <f>-PMT('Valuation &amp; Sources &amp; Uses'!$C$15/4,28,$P$49)</f>
        <v>532.93233436285004</v>
      </c>
      <c r="S45" s="303">
        <f>-PMT('Valuation &amp; Sources &amp; Uses'!$C$15/4,28,$P$49)</f>
        <v>532.93233436285004</v>
      </c>
      <c r="T45" s="303">
        <f>-PMT('Valuation &amp; Sources &amp; Uses'!$C$15/4,28,$P$49)</f>
        <v>532.93233436285004</v>
      </c>
      <c r="U45" s="303">
        <f>-PMT('Valuation &amp; Sources &amp; Uses'!$C$15/4,28,$P$49)</f>
        <v>532.93233436285004</v>
      </c>
      <c r="V45" s="303">
        <f>-PMT('Valuation &amp; Sources &amp; Uses'!$C$15/4,28,$P$49)</f>
        <v>532.93233436285004</v>
      </c>
      <c r="W45" s="303">
        <f>-PMT('Valuation &amp; Sources &amp; Uses'!$C$15/4,28,$P$49)</f>
        <v>532.93233436285004</v>
      </c>
      <c r="X45" s="303">
        <f>-PMT('Valuation &amp; Sources &amp; Uses'!$C$15/4,28,$P$49)</f>
        <v>532.93233436285004</v>
      </c>
      <c r="Y45" s="303">
        <f>-PMT('Valuation &amp; Sources &amp; Uses'!$C$15/4,28,$P$49)</f>
        <v>532.93233436285004</v>
      </c>
      <c r="Z45" s="303">
        <f>-PMT('Valuation &amp; Sources &amp; Uses'!$C$15/4,28,$P$49)</f>
        <v>532.93233436285004</v>
      </c>
      <c r="AA45" s="303">
        <f>-PMT('Valuation &amp; Sources &amp; Uses'!$C$15/4,28,$P$49)</f>
        <v>532.93233436285004</v>
      </c>
      <c r="AB45" s="303">
        <f>-PMT('Valuation &amp; Sources &amp; Uses'!$C$15/4,28,$P$49)</f>
        <v>532.93233436285004</v>
      </c>
      <c r="AC45" s="303">
        <f>-PMT('Valuation &amp; Sources &amp; Uses'!$C$15/4,28,$P$49)</f>
        <v>532.93233436285004</v>
      </c>
      <c r="AD45" s="303">
        <f>-PMT('Valuation &amp; Sources &amp; Uses'!$C$15/4,28,$P$49)</f>
        <v>532.93233436285004</v>
      </c>
      <c r="AE45" s="303">
        <f>-PMT('Valuation &amp; Sources &amp; Uses'!$C$15/4,28,$P$49)</f>
        <v>532.93233436285004</v>
      </c>
      <c r="AF45" s="303">
        <f>-PMT('Valuation &amp; Sources &amp; Uses'!$C$15/4,28,$P$49)</f>
        <v>532.93233436285004</v>
      </c>
      <c r="AG45" s="303">
        <f>-PMT('Valuation &amp; Sources &amp; Uses'!$C$15/4,28,$P$49)</f>
        <v>532.93233436285004</v>
      </c>
      <c r="AH45" s="303">
        <f>-PMT('Valuation &amp; Sources &amp; Uses'!$C$15/4,28,$P$49)</f>
        <v>532.93233436285004</v>
      </c>
      <c r="AI45" s="303">
        <f>-PMT('Valuation &amp; Sources &amp; Uses'!$C$15/4,28,$P$49)</f>
        <v>532.93233436285004</v>
      </c>
      <c r="AJ45" s="303">
        <f>-PMT('Valuation &amp; Sources &amp; Uses'!$C$15/4,28,$P$49)</f>
        <v>532.93233436285004</v>
      </c>
    </row>
    <row r="46" spans="1:36" ht="14.1" customHeight="1" x14ac:dyDescent="0.2">
      <c r="A46" s="278" t="s">
        <v>50</v>
      </c>
      <c r="H46" s="280">
        <v>0</v>
      </c>
      <c r="I46" s="288">
        <v>0</v>
      </c>
      <c r="J46" s="288">
        <f>J39*J44*(J43/365)</f>
        <v>0</v>
      </c>
      <c r="K46" s="288">
        <f>K39*K44*(K43/365)</f>
        <v>0</v>
      </c>
      <c r="L46" s="288">
        <f>L39*L44*(L43/365)</f>
        <v>0</v>
      </c>
      <c r="M46" s="288">
        <f t="shared" ref="M46:AJ46" si="29">AVERAGE(M39,M47)*M44*(M43/365)*$H$1</f>
        <v>0</v>
      </c>
      <c r="N46" s="288">
        <f t="shared" si="29"/>
        <v>0</v>
      </c>
      <c r="O46" s="288">
        <f ca="1">AVERAGE(O39,O47)*O44*(O43/365)*$H$1</f>
        <v>0</v>
      </c>
      <c r="P46" s="288">
        <f ca="1">AVERAGE(P39,P47)*P44*(P43/365)*$H$1</f>
        <v>0</v>
      </c>
      <c r="Q46" s="288">
        <f t="shared" ca="1" si="29"/>
        <v>91.42927508247358</v>
      </c>
      <c r="R46" s="288">
        <f t="shared" ca="1" si="29"/>
        <v>87.28213742928169</v>
      </c>
      <c r="S46" s="288">
        <f t="shared" ca="1" si="29"/>
        <v>84.013524160170604</v>
      </c>
      <c r="T46" s="288">
        <f t="shared" ca="1" si="29"/>
        <v>79.750170240414931</v>
      </c>
      <c r="U46" s="288">
        <f t="shared" ca="1" si="29"/>
        <v>73.798571911765663</v>
      </c>
      <c r="V46" s="288">
        <f t="shared" ca="1" si="29"/>
        <v>70.30966037377334</v>
      </c>
      <c r="W46" s="288">
        <f t="shared" ca="1" si="29"/>
        <v>66.692464172171967</v>
      </c>
      <c r="X46" s="288">
        <f t="shared" ca="1" si="29"/>
        <v>62.264613226861016</v>
      </c>
      <c r="Y46" s="288">
        <f t="shared" ca="1" si="29"/>
        <v>56.53246878095392</v>
      </c>
      <c r="Z46" s="288">
        <f t="shared" ca="1" si="29"/>
        <v>52.688626233526797</v>
      </c>
      <c r="AA46" s="288">
        <f t="shared" ca="1" si="29"/>
        <v>48.709526950010506</v>
      </c>
      <c r="AB46" s="288">
        <f t="shared" ca="1" si="29"/>
        <v>44.110893172364655</v>
      </c>
      <c r="AC46" s="288">
        <f t="shared" ca="1" si="29"/>
        <v>38.606588442920994</v>
      </c>
      <c r="AD46" s="288">
        <f t="shared" ca="1" si="29"/>
        <v>34.394252162126122</v>
      </c>
      <c r="AE46" s="288">
        <f t="shared" ca="1" si="29"/>
        <v>30.039420653960065</v>
      </c>
      <c r="AF46" s="288">
        <f t="shared" ca="1" si="29"/>
        <v>25.263478042176512</v>
      </c>
      <c r="AG46" s="288">
        <f t="shared" ca="1" si="29"/>
        <v>20.21893743200523</v>
      </c>
      <c r="AH46" s="288">
        <f t="shared" ca="1" si="29"/>
        <v>15.402905042165033</v>
      </c>
      <c r="AI46" s="288">
        <f t="shared" ca="1" si="29"/>
        <v>10.658026786587492</v>
      </c>
      <c r="AJ46" s="288">
        <f t="shared" ca="1" si="29"/>
        <v>5.6980202869987338</v>
      </c>
    </row>
    <row r="47" spans="1:36" ht="14.1" customHeight="1" x14ac:dyDescent="0.2">
      <c r="A47" s="278" t="s">
        <v>51</v>
      </c>
      <c r="H47" s="280">
        <f t="shared" ref="H47:N47" si="30">+H42</f>
        <v>0</v>
      </c>
      <c r="I47" s="280">
        <f t="shared" si="30"/>
        <v>0</v>
      </c>
      <c r="J47" s="280">
        <f t="shared" si="30"/>
        <v>0</v>
      </c>
      <c r="K47" s="280">
        <f t="shared" si="30"/>
        <v>0</v>
      </c>
      <c r="L47" s="280">
        <f t="shared" si="30"/>
        <v>0</v>
      </c>
      <c r="M47" s="280">
        <f t="shared" si="30"/>
        <v>0</v>
      </c>
      <c r="N47" s="280">
        <f t="shared" si="30"/>
        <v>0</v>
      </c>
      <c r="O47" s="280">
        <f ca="1">+O42</f>
        <v>0</v>
      </c>
      <c r="P47" s="280">
        <f ca="1">+P42</f>
        <v>0</v>
      </c>
      <c r="Q47" s="280">
        <f ca="1">+Q42</f>
        <v>9558.496940719624</v>
      </c>
      <c r="R47" s="280">
        <f ca="1">+R42</f>
        <v>9112.8467437860563</v>
      </c>
      <c r="S47" s="280">
        <f ca="1">+S42</f>
        <v>8663.9279335833762</v>
      </c>
      <c r="T47" s="280">
        <f t="shared" ref="T47:Y47" ca="1" si="31">+T42</f>
        <v>8210.7457694609402</v>
      </c>
      <c r="U47" s="280">
        <f t="shared" ca="1" si="31"/>
        <v>7751.6120070098559</v>
      </c>
      <c r="V47" s="280">
        <f t="shared" ca="1" si="31"/>
        <v>7288.9893330207797</v>
      </c>
      <c r="W47" s="280">
        <f t="shared" ca="1" si="31"/>
        <v>6822.7494628301019</v>
      </c>
      <c r="X47" s="280">
        <f t="shared" ca="1" si="31"/>
        <v>6352.0817416941127</v>
      </c>
      <c r="Y47" s="280">
        <f t="shared" ca="1" si="31"/>
        <v>5875.6818761122167</v>
      </c>
      <c r="Z47" s="280">
        <f t="shared" ref="Z47:AJ47" ca="1" si="32">+Z42</f>
        <v>5395.4381679828939</v>
      </c>
      <c r="AA47" s="280">
        <f t="shared" ca="1" si="32"/>
        <v>4911.2153605700541</v>
      </c>
      <c r="AB47" s="280">
        <f t="shared" ca="1" si="32"/>
        <v>4422.3939193795686</v>
      </c>
      <c r="AC47" s="280">
        <f t="shared" ca="1" si="32"/>
        <v>3928.0681734596396</v>
      </c>
      <c r="AD47" s="280">
        <f t="shared" ca="1" si="32"/>
        <v>3429.5300912589155</v>
      </c>
      <c r="AE47" s="280">
        <f t="shared" ca="1" si="32"/>
        <v>2926.6371775500256</v>
      </c>
      <c r="AF47" s="280">
        <f t="shared" ca="1" si="32"/>
        <v>2418.9683212293521</v>
      </c>
      <c r="AG47" s="280">
        <f t="shared" ca="1" si="32"/>
        <v>1906.2549242985074</v>
      </c>
      <c r="AH47" s="280">
        <f t="shared" ca="1" si="32"/>
        <v>1388.7254949778223</v>
      </c>
      <c r="AI47" s="280">
        <f t="shared" ca="1" si="32"/>
        <v>866.45118740155976</v>
      </c>
      <c r="AJ47" s="280">
        <f t="shared" ca="1" si="32"/>
        <v>339.21687332570843</v>
      </c>
    </row>
    <row r="48" spans="1:36" ht="14.1" customHeight="1" x14ac:dyDescent="0.2">
      <c r="A48" s="278" t="s">
        <v>386</v>
      </c>
      <c r="H48" s="294"/>
      <c r="I48" s="294"/>
      <c r="J48" s="294"/>
      <c r="K48" s="294"/>
      <c r="L48" s="294"/>
      <c r="M48" s="294">
        <v>0</v>
      </c>
      <c r="N48" s="294">
        <f>IF(N47&gt;0,IF(N17&gt;0,MAX(-N17,-N47),0),0)</f>
        <v>0</v>
      </c>
      <c r="O48" s="294">
        <v>0</v>
      </c>
      <c r="P48" s="294">
        <v>0</v>
      </c>
      <c r="Q48" s="294">
        <v>0</v>
      </c>
      <c r="R48" s="294">
        <v>0</v>
      </c>
      <c r="S48" s="294">
        <v>0</v>
      </c>
      <c r="T48" s="294">
        <v>0</v>
      </c>
      <c r="U48" s="294">
        <v>0</v>
      </c>
      <c r="V48" s="294">
        <v>0</v>
      </c>
      <c r="W48" s="294">
        <v>0</v>
      </c>
      <c r="X48" s="294">
        <v>0</v>
      </c>
      <c r="Y48" s="294">
        <v>0</v>
      </c>
      <c r="Z48" s="294">
        <v>0</v>
      </c>
      <c r="AA48" s="294">
        <v>0</v>
      </c>
      <c r="AB48" s="294">
        <v>0</v>
      </c>
      <c r="AC48" s="294">
        <v>0</v>
      </c>
      <c r="AD48" s="294">
        <v>0</v>
      </c>
      <c r="AE48" s="294">
        <v>0</v>
      </c>
      <c r="AF48" s="294">
        <v>0</v>
      </c>
      <c r="AG48" s="294">
        <v>0</v>
      </c>
      <c r="AH48" s="294">
        <v>0</v>
      </c>
      <c r="AI48" s="294">
        <v>0</v>
      </c>
      <c r="AJ48" s="294">
        <v>0</v>
      </c>
    </row>
    <row r="49" spans="1:36" s="270" customFormat="1" ht="14.1" customHeight="1" x14ac:dyDescent="0.2">
      <c r="A49" s="278" t="s">
        <v>51</v>
      </c>
      <c r="H49" s="296"/>
      <c r="I49" s="296"/>
      <c r="J49" s="296"/>
      <c r="K49" s="296"/>
      <c r="L49" s="296"/>
      <c r="M49" s="297">
        <v>0</v>
      </c>
      <c r="N49" s="297">
        <v>0</v>
      </c>
      <c r="O49" s="297">
        <v>0</v>
      </c>
      <c r="P49" s="297">
        <f>'Valuation &amp; Sources &amp; Uses'!C9</f>
        <v>10000</v>
      </c>
      <c r="Q49" s="297">
        <f t="shared" ref="Q49:AJ49" ca="1" si="33">Q47+Q48</f>
        <v>9558.496940719624</v>
      </c>
      <c r="R49" s="297">
        <f t="shared" ca="1" si="33"/>
        <v>9112.8467437860563</v>
      </c>
      <c r="S49" s="297">
        <f t="shared" ca="1" si="33"/>
        <v>8663.9279335833762</v>
      </c>
      <c r="T49" s="297">
        <f t="shared" ca="1" si="33"/>
        <v>8210.7457694609402</v>
      </c>
      <c r="U49" s="297">
        <f t="shared" ca="1" si="33"/>
        <v>7751.6120070098559</v>
      </c>
      <c r="V49" s="297">
        <f t="shared" ca="1" si="33"/>
        <v>7288.9893330207797</v>
      </c>
      <c r="W49" s="297">
        <f t="shared" ca="1" si="33"/>
        <v>6822.7494628301019</v>
      </c>
      <c r="X49" s="297">
        <f t="shared" ca="1" si="33"/>
        <v>6352.0817416941127</v>
      </c>
      <c r="Y49" s="297">
        <f t="shared" ca="1" si="33"/>
        <v>5875.6818761122167</v>
      </c>
      <c r="Z49" s="297">
        <f t="shared" ca="1" si="33"/>
        <v>5395.4381679828939</v>
      </c>
      <c r="AA49" s="297">
        <f t="shared" ca="1" si="33"/>
        <v>4911.2153605700541</v>
      </c>
      <c r="AB49" s="297">
        <f t="shared" ca="1" si="33"/>
        <v>4422.3939193795686</v>
      </c>
      <c r="AC49" s="297">
        <f t="shared" ca="1" si="33"/>
        <v>3928.0681734596396</v>
      </c>
      <c r="AD49" s="297">
        <f t="shared" ca="1" si="33"/>
        <v>3429.5300912589155</v>
      </c>
      <c r="AE49" s="297">
        <f t="shared" ca="1" si="33"/>
        <v>2926.6371775500256</v>
      </c>
      <c r="AF49" s="297">
        <f t="shared" ca="1" si="33"/>
        <v>2418.9683212293521</v>
      </c>
      <c r="AG49" s="297">
        <f t="shared" ca="1" si="33"/>
        <v>1906.2549242985074</v>
      </c>
      <c r="AH49" s="297">
        <f t="shared" ca="1" si="33"/>
        <v>1388.7254949778223</v>
      </c>
      <c r="AI49" s="297">
        <f t="shared" ca="1" si="33"/>
        <v>866.45118740155976</v>
      </c>
      <c r="AJ49" s="297">
        <f t="shared" ca="1" si="33"/>
        <v>339.21687332570843</v>
      </c>
    </row>
    <row r="50" spans="1:36" s="270" customFormat="1" ht="14.1" customHeight="1" x14ac:dyDescent="0.2">
      <c r="H50" s="296"/>
      <c r="I50" s="296"/>
      <c r="J50" s="296"/>
      <c r="K50" s="296"/>
      <c r="L50" s="296"/>
      <c r="M50" s="296"/>
      <c r="N50" s="296"/>
      <c r="O50" s="296"/>
      <c r="P50" s="296"/>
      <c r="Q50" s="296"/>
      <c r="R50" s="296"/>
      <c r="S50" s="296"/>
      <c r="T50" s="296"/>
      <c r="U50" s="296"/>
      <c r="V50" s="296"/>
      <c r="W50" s="296"/>
      <c r="X50" s="296"/>
      <c r="Y50" s="296"/>
      <c r="Z50" s="296"/>
      <c r="AA50" s="296"/>
      <c r="AB50" s="296"/>
      <c r="AC50" s="296"/>
      <c r="AD50" s="296"/>
      <c r="AE50" s="296"/>
      <c r="AF50" s="296"/>
      <c r="AG50" s="296"/>
      <c r="AH50" s="296"/>
      <c r="AI50" s="296"/>
      <c r="AJ50" s="296"/>
    </row>
    <row r="51" spans="1:36" s="270" customFormat="1" ht="14.1" customHeight="1" x14ac:dyDescent="0.2">
      <c r="H51" s="296"/>
      <c r="I51" s="296"/>
      <c r="J51" s="296"/>
      <c r="K51" s="296"/>
      <c r="L51" s="296"/>
      <c r="M51" s="296"/>
      <c r="N51" s="296"/>
      <c r="O51" s="296"/>
      <c r="P51" s="296"/>
      <c r="Q51" s="296"/>
      <c r="R51" s="296"/>
      <c r="S51" s="296"/>
      <c r="T51" s="296"/>
      <c r="U51" s="296"/>
      <c r="V51" s="296"/>
      <c r="W51" s="296"/>
      <c r="X51" s="296"/>
      <c r="Y51" s="296"/>
      <c r="Z51" s="296"/>
      <c r="AA51" s="296"/>
      <c r="AB51" s="296"/>
      <c r="AC51" s="296"/>
      <c r="AD51" s="296"/>
      <c r="AE51" s="296"/>
      <c r="AF51" s="296"/>
      <c r="AG51" s="296"/>
      <c r="AH51" s="296"/>
      <c r="AI51" s="296"/>
      <c r="AJ51" s="296"/>
    </row>
    <row r="52" spans="1:36" s="270" customFormat="1" ht="14.1" customHeight="1" x14ac:dyDescent="0.2">
      <c r="A52" s="292" t="s">
        <v>463</v>
      </c>
      <c r="H52" s="296"/>
      <c r="I52" s="296"/>
      <c r="J52" s="296"/>
      <c r="K52" s="296"/>
      <c r="L52" s="296"/>
      <c r="M52" s="296"/>
      <c r="N52" s="296"/>
      <c r="O52" s="304">
        <v>0</v>
      </c>
      <c r="P52" s="304">
        <f ca="1">SUM(P17,P25:P27)</f>
        <v>0</v>
      </c>
      <c r="Q52" s="304">
        <f t="shared" ref="Q52:AJ52" ca="1" si="34">SUM(Q17,Q25:Q27)</f>
        <v>0</v>
      </c>
      <c r="R52" s="304">
        <f t="shared" ca="1" si="34"/>
        <v>0</v>
      </c>
      <c r="S52" s="304">
        <f t="shared" ca="1" si="34"/>
        <v>0</v>
      </c>
      <c r="T52" s="304">
        <f t="shared" ca="1" si="34"/>
        <v>0</v>
      </c>
      <c r="U52" s="304">
        <f t="shared" ca="1" si="34"/>
        <v>0</v>
      </c>
      <c r="V52" s="304">
        <f t="shared" ca="1" si="34"/>
        <v>0</v>
      </c>
      <c r="W52" s="304">
        <f t="shared" ca="1" si="34"/>
        <v>0</v>
      </c>
      <c r="X52" s="304">
        <f t="shared" ca="1" si="34"/>
        <v>0</v>
      </c>
      <c r="Y52" s="304">
        <f t="shared" ca="1" si="34"/>
        <v>0</v>
      </c>
      <c r="Z52" s="304">
        <f t="shared" ca="1" si="34"/>
        <v>0</v>
      </c>
      <c r="AA52" s="304">
        <f t="shared" ca="1" si="34"/>
        <v>0</v>
      </c>
      <c r="AB52" s="304">
        <f t="shared" ca="1" si="34"/>
        <v>0</v>
      </c>
      <c r="AC52" s="304">
        <f t="shared" ca="1" si="34"/>
        <v>0</v>
      </c>
      <c r="AD52" s="304">
        <f t="shared" ca="1" si="34"/>
        <v>0</v>
      </c>
      <c r="AE52" s="304">
        <f t="shared" ca="1" si="34"/>
        <v>0</v>
      </c>
      <c r="AF52" s="304">
        <f t="shared" ca="1" si="34"/>
        <v>665.66458686786348</v>
      </c>
      <c r="AG52" s="304">
        <f t="shared" ca="1" si="34"/>
        <v>1766.6653915382772</v>
      </c>
      <c r="AH52" s="304">
        <f t="shared" ca="1" si="34"/>
        <v>0</v>
      </c>
      <c r="AI52" s="304">
        <f t="shared" ca="1" si="34"/>
        <v>1</v>
      </c>
      <c r="AJ52" s="304">
        <f t="shared" ca="1" si="34"/>
        <v>891.82497700392537</v>
      </c>
    </row>
    <row r="53" spans="1:36" s="270" customFormat="1" ht="14.1" customHeight="1" x14ac:dyDescent="0.2">
      <c r="H53" s="296"/>
      <c r="I53" s="296"/>
      <c r="J53" s="296"/>
      <c r="K53" s="296"/>
      <c r="L53" s="296"/>
      <c r="M53" s="296"/>
      <c r="N53" s="296"/>
      <c r="O53" s="296"/>
      <c r="P53" s="296"/>
      <c r="Q53" s="296"/>
      <c r="R53" s="296"/>
      <c r="S53" s="296"/>
      <c r="T53" s="296"/>
      <c r="U53" s="296"/>
      <c r="V53" s="296"/>
      <c r="W53" s="296"/>
      <c r="X53" s="296"/>
      <c r="Y53" s="296"/>
      <c r="Z53" s="296"/>
      <c r="AA53" s="296"/>
      <c r="AB53" s="296"/>
      <c r="AC53" s="296"/>
      <c r="AD53" s="296"/>
      <c r="AE53" s="296"/>
      <c r="AF53" s="296"/>
      <c r="AG53" s="296"/>
      <c r="AH53" s="296"/>
      <c r="AI53" s="296"/>
      <c r="AJ53" s="296"/>
    </row>
    <row r="54" spans="1:36" ht="14.1" customHeight="1" x14ac:dyDescent="0.2">
      <c r="M54" s="291">
        <f>MONTH(M56)</f>
        <v>3</v>
      </c>
      <c r="N54" s="291">
        <f t="shared" ref="N54:AJ54" si="35">MONTH(N56)</f>
        <v>6</v>
      </c>
      <c r="O54" s="291">
        <f t="shared" si="35"/>
        <v>9</v>
      </c>
      <c r="P54" s="291">
        <f t="shared" si="35"/>
        <v>12</v>
      </c>
      <c r="Q54" s="291">
        <f t="shared" si="35"/>
        <v>3</v>
      </c>
      <c r="R54" s="291">
        <f t="shared" si="35"/>
        <v>6</v>
      </c>
      <c r="S54" s="291">
        <f t="shared" si="35"/>
        <v>9</v>
      </c>
      <c r="T54" s="291">
        <f t="shared" si="35"/>
        <v>12</v>
      </c>
      <c r="U54" s="291">
        <f t="shared" si="35"/>
        <v>3</v>
      </c>
      <c r="V54" s="291">
        <f t="shared" si="35"/>
        <v>6</v>
      </c>
      <c r="W54" s="291">
        <f t="shared" si="35"/>
        <v>9</v>
      </c>
      <c r="X54" s="291">
        <f t="shared" si="35"/>
        <v>12</v>
      </c>
      <c r="Y54" s="291">
        <f t="shared" si="35"/>
        <v>3</v>
      </c>
      <c r="Z54" s="291">
        <f t="shared" si="35"/>
        <v>6</v>
      </c>
      <c r="AA54" s="291">
        <f t="shared" si="35"/>
        <v>9</v>
      </c>
      <c r="AB54" s="291">
        <f t="shared" si="35"/>
        <v>12</v>
      </c>
      <c r="AC54" s="291">
        <f t="shared" si="35"/>
        <v>3</v>
      </c>
      <c r="AD54" s="291">
        <f t="shared" si="35"/>
        <v>6</v>
      </c>
      <c r="AE54" s="291">
        <f t="shared" si="35"/>
        <v>9</v>
      </c>
      <c r="AF54" s="291">
        <f t="shared" si="35"/>
        <v>12</v>
      </c>
      <c r="AG54" s="291">
        <f t="shared" si="35"/>
        <v>3</v>
      </c>
      <c r="AH54" s="291">
        <f t="shared" si="35"/>
        <v>6</v>
      </c>
      <c r="AI54" s="291">
        <f t="shared" si="35"/>
        <v>9</v>
      </c>
      <c r="AJ54" s="291">
        <f t="shared" si="35"/>
        <v>12</v>
      </c>
    </row>
    <row r="55" spans="1:36" ht="14.1" customHeight="1" x14ac:dyDescent="0.2">
      <c r="M55" s="291">
        <f t="shared" ref="M55:AJ55" si="36">YEAR(M56)</f>
        <v>2015</v>
      </c>
      <c r="N55" s="291">
        <f t="shared" si="36"/>
        <v>2015</v>
      </c>
      <c r="O55" s="291">
        <f t="shared" si="36"/>
        <v>2015</v>
      </c>
      <c r="P55" s="291">
        <f t="shared" si="36"/>
        <v>2015</v>
      </c>
      <c r="Q55" s="291">
        <f t="shared" si="36"/>
        <v>2016</v>
      </c>
      <c r="R55" s="291">
        <f t="shared" si="36"/>
        <v>2016</v>
      </c>
      <c r="S55" s="291">
        <f t="shared" si="36"/>
        <v>2016</v>
      </c>
      <c r="T55" s="291">
        <f t="shared" si="36"/>
        <v>2016</v>
      </c>
      <c r="U55" s="291">
        <f t="shared" si="36"/>
        <v>2017</v>
      </c>
      <c r="V55" s="291">
        <f t="shared" si="36"/>
        <v>2017</v>
      </c>
      <c r="W55" s="291">
        <f t="shared" si="36"/>
        <v>2017</v>
      </c>
      <c r="X55" s="291">
        <f t="shared" si="36"/>
        <v>2017</v>
      </c>
      <c r="Y55" s="291">
        <f t="shared" si="36"/>
        <v>2018</v>
      </c>
      <c r="Z55" s="291">
        <f t="shared" si="36"/>
        <v>2018</v>
      </c>
      <c r="AA55" s="291">
        <f t="shared" si="36"/>
        <v>2018</v>
      </c>
      <c r="AB55" s="291">
        <f t="shared" si="36"/>
        <v>2018</v>
      </c>
      <c r="AC55" s="291">
        <f t="shared" si="36"/>
        <v>2019</v>
      </c>
      <c r="AD55" s="291">
        <f t="shared" si="36"/>
        <v>2019</v>
      </c>
      <c r="AE55" s="291">
        <f t="shared" si="36"/>
        <v>2019</v>
      </c>
      <c r="AF55" s="291">
        <f t="shared" si="36"/>
        <v>2019</v>
      </c>
      <c r="AG55" s="291">
        <f t="shared" si="36"/>
        <v>2020</v>
      </c>
      <c r="AH55" s="291">
        <f t="shared" si="36"/>
        <v>2020</v>
      </c>
      <c r="AI55" s="291">
        <f t="shared" si="36"/>
        <v>2020</v>
      </c>
      <c r="AJ55" s="291">
        <f t="shared" si="36"/>
        <v>2020</v>
      </c>
    </row>
    <row r="56" spans="1:36" ht="14.1" customHeight="1" thickBot="1" x14ac:dyDescent="0.25">
      <c r="A56" s="292" t="s">
        <v>455</v>
      </c>
      <c r="B56" s="270"/>
      <c r="C56" s="270"/>
      <c r="D56" s="270"/>
      <c r="E56" s="270"/>
      <c r="F56" s="270"/>
      <c r="G56" s="270"/>
      <c r="H56" s="293">
        <v>41639</v>
      </c>
      <c r="I56" s="293">
        <v>41729</v>
      </c>
      <c r="J56" s="293">
        <f t="shared" ref="J56:AJ56" si="37">EOMONTH(I56,3)</f>
        <v>41820</v>
      </c>
      <c r="K56" s="293">
        <f t="shared" si="37"/>
        <v>41912</v>
      </c>
      <c r="L56" s="293">
        <f t="shared" si="37"/>
        <v>42004</v>
      </c>
      <c r="M56" s="293">
        <f t="shared" si="37"/>
        <v>42094</v>
      </c>
      <c r="N56" s="293">
        <f t="shared" si="37"/>
        <v>42185</v>
      </c>
      <c r="O56" s="293">
        <f t="shared" si="37"/>
        <v>42277</v>
      </c>
      <c r="P56" s="293">
        <f t="shared" si="37"/>
        <v>42369</v>
      </c>
      <c r="Q56" s="293">
        <f t="shared" si="37"/>
        <v>42460</v>
      </c>
      <c r="R56" s="293">
        <f t="shared" si="37"/>
        <v>42551</v>
      </c>
      <c r="S56" s="293">
        <f t="shared" si="37"/>
        <v>42643</v>
      </c>
      <c r="T56" s="293">
        <f t="shared" si="37"/>
        <v>42735</v>
      </c>
      <c r="U56" s="293">
        <f t="shared" si="37"/>
        <v>42825</v>
      </c>
      <c r="V56" s="293">
        <f t="shared" si="37"/>
        <v>42916</v>
      </c>
      <c r="W56" s="293">
        <f t="shared" si="37"/>
        <v>43008</v>
      </c>
      <c r="X56" s="293">
        <f t="shared" si="37"/>
        <v>43100</v>
      </c>
      <c r="Y56" s="293">
        <f t="shared" si="37"/>
        <v>43190</v>
      </c>
      <c r="Z56" s="293">
        <f t="shared" si="37"/>
        <v>43281</v>
      </c>
      <c r="AA56" s="293">
        <f t="shared" si="37"/>
        <v>43373</v>
      </c>
      <c r="AB56" s="293">
        <f t="shared" si="37"/>
        <v>43465</v>
      </c>
      <c r="AC56" s="293">
        <f t="shared" si="37"/>
        <v>43555</v>
      </c>
      <c r="AD56" s="293">
        <f t="shared" si="37"/>
        <v>43646</v>
      </c>
      <c r="AE56" s="293">
        <f t="shared" si="37"/>
        <v>43738</v>
      </c>
      <c r="AF56" s="293">
        <f t="shared" si="37"/>
        <v>43830</v>
      </c>
      <c r="AG56" s="293">
        <f t="shared" si="37"/>
        <v>43921</v>
      </c>
      <c r="AH56" s="293">
        <f t="shared" si="37"/>
        <v>44012</v>
      </c>
      <c r="AI56" s="293">
        <f t="shared" si="37"/>
        <v>44104</v>
      </c>
      <c r="AJ56" s="293">
        <f t="shared" si="37"/>
        <v>44196</v>
      </c>
    </row>
    <row r="57" spans="1:36" ht="14.1" customHeight="1" thickTop="1" x14ac:dyDescent="0.2">
      <c r="A57" s="278" t="s">
        <v>46</v>
      </c>
      <c r="H57" s="280">
        <v>0</v>
      </c>
      <c r="I57" s="280">
        <v>0</v>
      </c>
      <c r="J57" s="280">
        <v>0</v>
      </c>
      <c r="K57" s="280">
        <v>0</v>
      </c>
      <c r="L57" s="280">
        <v>0</v>
      </c>
      <c r="M57" s="280">
        <f>L31</f>
        <v>0</v>
      </c>
      <c r="N57" s="280">
        <v>0</v>
      </c>
      <c r="O57" s="280">
        <f t="shared" ref="O57:AJ57" si="38">N67</f>
        <v>0</v>
      </c>
      <c r="P57" s="280">
        <f t="shared" si="38"/>
        <v>0</v>
      </c>
      <c r="Q57" s="280">
        <f t="shared" si="38"/>
        <v>7150.5259110169463</v>
      </c>
      <c r="R57" s="280">
        <f t="shared" ca="1" si="38"/>
        <v>7150.5259110169463</v>
      </c>
      <c r="S57" s="280">
        <f t="shared" ca="1" si="38"/>
        <v>7150.5259110169463</v>
      </c>
      <c r="T57" s="280">
        <f t="shared" ca="1" si="38"/>
        <v>7150.5259110169463</v>
      </c>
      <c r="U57" s="280">
        <f t="shared" ca="1" si="38"/>
        <v>7150.5259110169463</v>
      </c>
      <c r="V57" s="280">
        <f t="shared" ca="1" si="38"/>
        <v>7150.5259110169463</v>
      </c>
      <c r="W57" s="280">
        <f t="shared" ca="1" si="38"/>
        <v>7150.5259110169463</v>
      </c>
      <c r="X57" s="280">
        <f t="shared" ca="1" si="38"/>
        <v>7150.5259110169463</v>
      </c>
      <c r="Y57" s="280">
        <f t="shared" ca="1" si="38"/>
        <v>7150.5259110169463</v>
      </c>
      <c r="Z57" s="280">
        <f t="shared" ca="1" si="38"/>
        <v>7150.5259110169463</v>
      </c>
      <c r="AA57" s="280">
        <f t="shared" ca="1" si="38"/>
        <v>7150.5259110169463</v>
      </c>
      <c r="AB57" s="280">
        <f t="shared" ca="1" si="38"/>
        <v>7150.5259110169463</v>
      </c>
      <c r="AC57" s="280">
        <f t="shared" ca="1" si="38"/>
        <v>7150.5259110169463</v>
      </c>
      <c r="AD57" s="280">
        <f t="shared" ca="1" si="38"/>
        <v>7150.5259110169463</v>
      </c>
      <c r="AE57" s="280">
        <f t="shared" ca="1" si="38"/>
        <v>7150.5259110169463</v>
      </c>
      <c r="AF57" s="280">
        <f t="shared" ca="1" si="38"/>
        <v>7150.5259110169463</v>
      </c>
      <c r="AG57" s="280">
        <f t="shared" ca="1" si="38"/>
        <v>6484.861324149083</v>
      </c>
      <c r="AH57" s="280">
        <f t="shared" ca="1" si="38"/>
        <v>4718.1959326108063</v>
      </c>
      <c r="AI57" s="280">
        <f t="shared" ca="1" si="38"/>
        <v>4718.1959326108081</v>
      </c>
      <c r="AJ57" s="280">
        <f t="shared" ca="1" si="38"/>
        <v>4717.1959326107844</v>
      </c>
    </row>
    <row r="58" spans="1:36" ht="14.1" customHeight="1" x14ac:dyDescent="0.2">
      <c r="A58" s="278" t="s">
        <v>326</v>
      </c>
      <c r="H58" s="294"/>
      <c r="I58" s="294"/>
      <c r="J58" s="294"/>
      <c r="K58" s="294"/>
      <c r="L58" s="294"/>
      <c r="M58" s="300">
        <v>0</v>
      </c>
      <c r="N58" s="300">
        <v>0</v>
      </c>
      <c r="O58" s="575">
        <v>0</v>
      </c>
      <c r="P58" s="575">
        <v>0</v>
      </c>
      <c r="Q58" s="575">
        <v>0</v>
      </c>
      <c r="R58" s="575">
        <v>0</v>
      </c>
      <c r="S58" s="575">
        <v>0</v>
      </c>
      <c r="T58" s="575">
        <v>0</v>
      </c>
      <c r="U58" s="575">
        <v>0</v>
      </c>
      <c r="V58" s="575">
        <v>0</v>
      </c>
      <c r="W58" s="575">
        <v>0</v>
      </c>
      <c r="X58" s="575">
        <v>0</v>
      </c>
      <c r="Y58" s="575">
        <v>0</v>
      </c>
      <c r="Z58" s="575">
        <v>0</v>
      </c>
      <c r="AA58" s="575">
        <v>0</v>
      </c>
      <c r="AB58" s="575">
        <v>0</v>
      </c>
      <c r="AC58" s="575">
        <v>0</v>
      </c>
      <c r="AD58" s="575">
        <v>0</v>
      </c>
      <c r="AE58" s="575">
        <v>0</v>
      </c>
      <c r="AF58" s="575">
        <v>0</v>
      </c>
      <c r="AG58" s="575">
        <v>0</v>
      </c>
      <c r="AH58" s="575">
        <v>0</v>
      </c>
      <c r="AI58" s="575">
        <v>0</v>
      </c>
      <c r="AJ58" s="575">
        <v>0</v>
      </c>
    </row>
    <row r="59" spans="1:36" ht="14.1" customHeight="1" x14ac:dyDescent="0.2">
      <c r="A59" s="278" t="s">
        <v>385</v>
      </c>
      <c r="I59" s="280">
        <v>0</v>
      </c>
      <c r="J59" s="280">
        <f>SUM(J21:J21)</f>
        <v>0</v>
      </c>
      <c r="K59" s="280">
        <f>SUM(K21:K21)</f>
        <v>0</v>
      </c>
      <c r="L59" s="280">
        <f>SUM(L21:L21)</f>
        <v>0</v>
      </c>
      <c r="M59" s="280">
        <v>0</v>
      </c>
      <c r="N59" s="280">
        <v>0</v>
      </c>
      <c r="O59" s="280">
        <f>O57-O58</f>
        <v>0</v>
      </c>
      <c r="P59" s="280">
        <f t="shared" ref="P59:AJ59" si="39">P57-P58</f>
        <v>0</v>
      </c>
      <c r="Q59" s="280">
        <f t="shared" si="39"/>
        <v>7150.5259110169463</v>
      </c>
      <c r="R59" s="280">
        <f t="shared" ca="1" si="39"/>
        <v>7150.5259110169463</v>
      </c>
      <c r="S59" s="280">
        <f t="shared" ca="1" si="39"/>
        <v>7150.5259110169463</v>
      </c>
      <c r="T59" s="280">
        <f t="shared" ca="1" si="39"/>
        <v>7150.5259110169463</v>
      </c>
      <c r="U59" s="280">
        <f t="shared" ca="1" si="39"/>
        <v>7150.5259110169463</v>
      </c>
      <c r="V59" s="280">
        <f t="shared" ca="1" si="39"/>
        <v>7150.5259110169463</v>
      </c>
      <c r="W59" s="280">
        <f t="shared" ca="1" si="39"/>
        <v>7150.5259110169463</v>
      </c>
      <c r="X59" s="280">
        <f t="shared" ca="1" si="39"/>
        <v>7150.5259110169463</v>
      </c>
      <c r="Y59" s="280">
        <f t="shared" ca="1" si="39"/>
        <v>7150.5259110169463</v>
      </c>
      <c r="Z59" s="280">
        <f t="shared" ca="1" si="39"/>
        <v>7150.5259110169463</v>
      </c>
      <c r="AA59" s="280">
        <f t="shared" ca="1" si="39"/>
        <v>7150.5259110169463</v>
      </c>
      <c r="AB59" s="280">
        <f t="shared" ca="1" si="39"/>
        <v>7150.5259110169463</v>
      </c>
      <c r="AC59" s="280">
        <f t="shared" ca="1" si="39"/>
        <v>7150.5259110169463</v>
      </c>
      <c r="AD59" s="280">
        <f t="shared" ca="1" si="39"/>
        <v>7150.5259110169463</v>
      </c>
      <c r="AE59" s="280">
        <f t="shared" ca="1" si="39"/>
        <v>7150.5259110169463</v>
      </c>
      <c r="AF59" s="280">
        <f t="shared" ca="1" si="39"/>
        <v>7150.5259110169463</v>
      </c>
      <c r="AG59" s="280">
        <f t="shared" ca="1" si="39"/>
        <v>6484.861324149083</v>
      </c>
      <c r="AH59" s="280">
        <f t="shared" ca="1" si="39"/>
        <v>4718.1959326108063</v>
      </c>
      <c r="AI59" s="280">
        <f t="shared" ca="1" si="39"/>
        <v>4718.1959326108081</v>
      </c>
      <c r="AJ59" s="280">
        <f t="shared" ca="1" si="39"/>
        <v>4717.1959326107844</v>
      </c>
    </row>
    <row r="60" spans="1:36" ht="14.1" customHeight="1" x14ac:dyDescent="0.2">
      <c r="A60" s="278" t="s">
        <v>48</v>
      </c>
      <c r="I60" s="280">
        <f t="shared" ref="I60:AJ60" si="40">I56-H56</f>
        <v>90</v>
      </c>
      <c r="J60" s="280">
        <f t="shared" si="40"/>
        <v>91</v>
      </c>
      <c r="K60" s="280">
        <f t="shared" si="40"/>
        <v>92</v>
      </c>
      <c r="L60" s="280">
        <f t="shared" si="40"/>
        <v>92</v>
      </c>
      <c r="M60" s="280">
        <f t="shared" si="40"/>
        <v>90</v>
      </c>
      <c r="N60" s="280">
        <f t="shared" si="40"/>
        <v>91</v>
      </c>
      <c r="O60" s="280">
        <f t="shared" si="40"/>
        <v>92</v>
      </c>
      <c r="P60" s="280">
        <f t="shared" si="40"/>
        <v>92</v>
      </c>
      <c r="Q60" s="280">
        <f t="shared" si="40"/>
        <v>91</v>
      </c>
      <c r="R60" s="280">
        <f t="shared" si="40"/>
        <v>91</v>
      </c>
      <c r="S60" s="280">
        <f t="shared" si="40"/>
        <v>92</v>
      </c>
      <c r="T60" s="280">
        <f t="shared" si="40"/>
        <v>92</v>
      </c>
      <c r="U60" s="280">
        <f t="shared" si="40"/>
        <v>90</v>
      </c>
      <c r="V60" s="280">
        <f t="shared" si="40"/>
        <v>91</v>
      </c>
      <c r="W60" s="280">
        <f t="shared" si="40"/>
        <v>92</v>
      </c>
      <c r="X60" s="280">
        <f t="shared" si="40"/>
        <v>92</v>
      </c>
      <c r="Y60" s="280">
        <f t="shared" si="40"/>
        <v>90</v>
      </c>
      <c r="Z60" s="280">
        <f t="shared" si="40"/>
        <v>91</v>
      </c>
      <c r="AA60" s="280">
        <f t="shared" si="40"/>
        <v>92</v>
      </c>
      <c r="AB60" s="280">
        <f t="shared" si="40"/>
        <v>92</v>
      </c>
      <c r="AC60" s="280">
        <f t="shared" si="40"/>
        <v>90</v>
      </c>
      <c r="AD60" s="280">
        <f t="shared" si="40"/>
        <v>91</v>
      </c>
      <c r="AE60" s="280">
        <f t="shared" si="40"/>
        <v>92</v>
      </c>
      <c r="AF60" s="280">
        <f t="shared" si="40"/>
        <v>92</v>
      </c>
      <c r="AG60" s="280">
        <f t="shared" si="40"/>
        <v>91</v>
      </c>
      <c r="AH60" s="280">
        <f t="shared" si="40"/>
        <v>91</v>
      </c>
      <c r="AI60" s="280">
        <f t="shared" si="40"/>
        <v>92</v>
      </c>
      <c r="AJ60" s="280">
        <f t="shared" si="40"/>
        <v>92</v>
      </c>
    </row>
    <row r="61" spans="1:36" ht="14.1" customHeight="1" x14ac:dyDescent="0.2">
      <c r="A61" s="278" t="s">
        <v>49</v>
      </c>
      <c r="H61" s="295"/>
      <c r="I61" s="295"/>
      <c r="J61" s="295"/>
      <c r="K61" s="295"/>
      <c r="L61" s="295"/>
      <c r="M61" s="301">
        <f>'Valuation &amp; Sources &amp; Uses'!C15</f>
        <v>0.12</v>
      </c>
      <c r="N61" s="301">
        <f t="shared" ref="N61:AJ61" si="41">M61</f>
        <v>0.12</v>
      </c>
      <c r="O61" s="301">
        <f t="shared" si="41"/>
        <v>0.12</v>
      </c>
      <c r="P61" s="301">
        <f t="shared" si="41"/>
        <v>0.12</v>
      </c>
      <c r="Q61" s="301">
        <f t="shared" si="41"/>
        <v>0.12</v>
      </c>
      <c r="R61" s="301">
        <f t="shared" si="41"/>
        <v>0.12</v>
      </c>
      <c r="S61" s="301">
        <f t="shared" si="41"/>
        <v>0.12</v>
      </c>
      <c r="T61" s="301">
        <f t="shared" si="41"/>
        <v>0.12</v>
      </c>
      <c r="U61" s="301">
        <f t="shared" si="41"/>
        <v>0.12</v>
      </c>
      <c r="V61" s="301">
        <f t="shared" si="41"/>
        <v>0.12</v>
      </c>
      <c r="W61" s="301">
        <f t="shared" si="41"/>
        <v>0.12</v>
      </c>
      <c r="X61" s="301">
        <f t="shared" si="41"/>
        <v>0.12</v>
      </c>
      <c r="Y61" s="301">
        <f t="shared" si="41"/>
        <v>0.12</v>
      </c>
      <c r="Z61" s="301">
        <f t="shared" si="41"/>
        <v>0.12</v>
      </c>
      <c r="AA61" s="301">
        <f t="shared" si="41"/>
        <v>0.12</v>
      </c>
      <c r="AB61" s="301">
        <f t="shared" si="41"/>
        <v>0.12</v>
      </c>
      <c r="AC61" s="301">
        <f t="shared" si="41"/>
        <v>0.12</v>
      </c>
      <c r="AD61" s="301">
        <f t="shared" si="41"/>
        <v>0.12</v>
      </c>
      <c r="AE61" s="301">
        <f t="shared" si="41"/>
        <v>0.12</v>
      </c>
      <c r="AF61" s="301">
        <f t="shared" si="41"/>
        <v>0.12</v>
      </c>
      <c r="AG61" s="301">
        <f t="shared" si="41"/>
        <v>0.12</v>
      </c>
      <c r="AH61" s="301">
        <f t="shared" si="41"/>
        <v>0.12</v>
      </c>
      <c r="AI61" s="301">
        <f t="shared" si="41"/>
        <v>0.12</v>
      </c>
      <c r="AJ61" s="301">
        <f t="shared" si="41"/>
        <v>0.12</v>
      </c>
    </row>
    <row r="62" spans="1:36" ht="14.1" customHeight="1" x14ac:dyDescent="0.2">
      <c r="A62" s="278" t="s">
        <v>325</v>
      </c>
      <c r="H62" s="302"/>
      <c r="I62" s="302"/>
      <c r="J62" s="302"/>
      <c r="K62" s="302"/>
      <c r="L62" s="302"/>
      <c r="M62" s="303">
        <v>0</v>
      </c>
      <c r="N62" s="303">
        <v>0</v>
      </c>
      <c r="O62" s="303">
        <f>-PMT(0.08/4,20,$N$67,0)</f>
        <v>0</v>
      </c>
      <c r="P62" s="303">
        <f>-PMT(0.08/4,20,$N$67,0)</f>
        <v>0</v>
      </c>
      <c r="Q62" s="303">
        <f t="shared" ref="Q62:AJ62" si="42">-PMT(0.08/4,20,$N$67,0)</f>
        <v>0</v>
      </c>
      <c r="R62" s="303">
        <f t="shared" si="42"/>
        <v>0</v>
      </c>
      <c r="S62" s="303">
        <f t="shared" si="42"/>
        <v>0</v>
      </c>
      <c r="T62" s="303">
        <f t="shared" si="42"/>
        <v>0</v>
      </c>
      <c r="U62" s="303">
        <f t="shared" si="42"/>
        <v>0</v>
      </c>
      <c r="V62" s="303">
        <f t="shared" si="42"/>
        <v>0</v>
      </c>
      <c r="W62" s="303">
        <f t="shared" si="42"/>
        <v>0</v>
      </c>
      <c r="X62" s="303">
        <f t="shared" si="42"/>
        <v>0</v>
      </c>
      <c r="Y62" s="303">
        <f t="shared" si="42"/>
        <v>0</v>
      </c>
      <c r="Z62" s="303">
        <f t="shared" si="42"/>
        <v>0</v>
      </c>
      <c r="AA62" s="303">
        <f t="shared" si="42"/>
        <v>0</v>
      </c>
      <c r="AB62" s="303">
        <f t="shared" si="42"/>
        <v>0</v>
      </c>
      <c r="AC62" s="303">
        <f t="shared" si="42"/>
        <v>0</v>
      </c>
      <c r="AD62" s="303">
        <f t="shared" si="42"/>
        <v>0</v>
      </c>
      <c r="AE62" s="303">
        <f t="shared" si="42"/>
        <v>0</v>
      </c>
      <c r="AF62" s="303">
        <f t="shared" si="42"/>
        <v>0</v>
      </c>
      <c r="AG62" s="303">
        <f t="shared" si="42"/>
        <v>0</v>
      </c>
      <c r="AH62" s="303">
        <f t="shared" si="42"/>
        <v>0</v>
      </c>
      <c r="AI62" s="303">
        <f t="shared" si="42"/>
        <v>0</v>
      </c>
      <c r="AJ62" s="303">
        <f t="shared" si="42"/>
        <v>0</v>
      </c>
    </row>
    <row r="63" spans="1:36" ht="14.1" customHeight="1" x14ac:dyDescent="0.2">
      <c r="A63" s="278" t="s">
        <v>50</v>
      </c>
      <c r="H63" s="280">
        <v>0</v>
      </c>
      <c r="I63" s="288">
        <v>0</v>
      </c>
      <c r="J63" s="288">
        <f>J57*J61*(J60/365)</f>
        <v>0</v>
      </c>
      <c r="K63" s="288">
        <f>K57*K61*(K60/365)</f>
        <v>0</v>
      </c>
      <c r="L63" s="288">
        <f>L57*L61*(L60/365)</f>
        <v>0</v>
      </c>
      <c r="M63" s="288">
        <f>AVERAGE(M57,M65)*M61*(M60/365)*$H$1</f>
        <v>0</v>
      </c>
      <c r="N63" s="288">
        <f ca="1">AVERAGE(N57,N65)*N61*(N60/365)*$H$1</f>
        <v>0</v>
      </c>
      <c r="O63" s="288">
        <f ca="1">AVERAGE(O57,O65)*O61*(O60/365)*$H$1</f>
        <v>0</v>
      </c>
      <c r="P63" s="288">
        <f>AVERAGE(P57,P65)*P61*(P60/365)*$H$1</f>
        <v>0</v>
      </c>
      <c r="Q63" s="288">
        <f t="shared" ref="Q63:AJ63" si="43">AVERAGE(Q57,Q65)*Q61*(Q60/365)*$H$1</f>
        <v>213.92806287206864</v>
      </c>
      <c r="R63" s="288">
        <f t="shared" ca="1" si="43"/>
        <v>213.92806287206864</v>
      </c>
      <c r="S63" s="288">
        <f t="shared" ca="1" si="43"/>
        <v>216.27892070582763</v>
      </c>
      <c r="T63" s="288">
        <f t="shared" ca="1" si="43"/>
        <v>216.27892070582763</v>
      </c>
      <c r="U63" s="288">
        <f t="shared" ca="1" si="43"/>
        <v>211.57720503830961</v>
      </c>
      <c r="V63" s="288">
        <f t="shared" ca="1" si="43"/>
        <v>213.92806287206864</v>
      </c>
      <c r="W63" s="288">
        <f t="shared" ca="1" si="43"/>
        <v>216.27892070582763</v>
      </c>
      <c r="X63" s="288">
        <f t="shared" ca="1" si="43"/>
        <v>216.27892070582763</v>
      </c>
      <c r="Y63" s="288">
        <f t="shared" ca="1" si="43"/>
        <v>211.57720503830961</v>
      </c>
      <c r="Z63" s="288">
        <f t="shared" ca="1" si="43"/>
        <v>213.92806287206864</v>
      </c>
      <c r="AA63" s="288">
        <f t="shared" ca="1" si="43"/>
        <v>216.27892070582763</v>
      </c>
      <c r="AB63" s="288">
        <f t="shared" ca="1" si="43"/>
        <v>216.27892070582763</v>
      </c>
      <c r="AC63" s="288">
        <f t="shared" ca="1" si="43"/>
        <v>211.57720503830961</v>
      </c>
      <c r="AD63" s="288">
        <f t="shared" ca="1" si="43"/>
        <v>213.92806287206864</v>
      </c>
      <c r="AE63" s="288">
        <f t="shared" ca="1" si="43"/>
        <v>216.27892070582763</v>
      </c>
      <c r="AF63" s="288">
        <f t="shared" ca="1" si="43"/>
        <v>216.27892070582763</v>
      </c>
      <c r="AG63" s="288">
        <f t="shared" ca="1" si="43"/>
        <v>194.01283742385749</v>
      </c>
      <c r="AH63" s="288">
        <f t="shared" ca="1" si="43"/>
        <v>141.15808105235618</v>
      </c>
      <c r="AI63" s="288">
        <f t="shared" ca="1" si="43"/>
        <v>142.70926875622794</v>
      </c>
      <c r="AJ63" s="288">
        <f t="shared" ca="1" si="43"/>
        <v>142.67902218088636</v>
      </c>
    </row>
    <row r="64" spans="1:36" ht="14.1" customHeight="1" x14ac:dyDescent="0.2">
      <c r="A64" s="278" t="s">
        <v>390</v>
      </c>
      <c r="I64" s="288"/>
      <c r="J64" s="288"/>
      <c r="K64" s="288"/>
      <c r="L64" s="288"/>
      <c r="M64" s="288"/>
      <c r="N64" s="288">
        <f>IF(N31&gt;0,1,0)</f>
        <v>0</v>
      </c>
      <c r="O64" s="288">
        <f ca="1">IF(O31&gt;0,1,0)</f>
        <v>0</v>
      </c>
      <c r="P64" s="288">
        <v>1</v>
      </c>
      <c r="Q64" s="288">
        <v>1</v>
      </c>
      <c r="R64" s="288">
        <v>1</v>
      </c>
      <c r="S64" s="288">
        <v>1</v>
      </c>
      <c r="T64" s="288">
        <v>1</v>
      </c>
      <c r="U64" s="288">
        <v>1</v>
      </c>
      <c r="V64" s="288">
        <v>1</v>
      </c>
      <c r="W64" s="288">
        <v>1</v>
      </c>
      <c r="X64" s="288">
        <v>1</v>
      </c>
      <c r="Y64" s="288">
        <v>1</v>
      </c>
      <c r="Z64" s="288">
        <v>1</v>
      </c>
      <c r="AA64" s="288">
        <v>1</v>
      </c>
      <c r="AB64" s="288">
        <v>1</v>
      </c>
      <c r="AC64" s="288">
        <v>1</v>
      </c>
      <c r="AD64" s="288">
        <v>1</v>
      </c>
      <c r="AE64" s="288">
        <v>1</v>
      </c>
      <c r="AF64" s="288">
        <v>1</v>
      </c>
      <c r="AG64" s="288">
        <v>1</v>
      </c>
      <c r="AH64" s="288">
        <v>1</v>
      </c>
      <c r="AI64" s="288">
        <v>1</v>
      </c>
      <c r="AJ64" s="288">
        <v>1</v>
      </c>
    </row>
    <row r="65" spans="1:36" ht="14.1" customHeight="1" x14ac:dyDescent="0.2">
      <c r="A65" s="278" t="s">
        <v>51</v>
      </c>
      <c r="H65" s="280">
        <f t="shared" ref="H65:M65" si="44">+H59</f>
        <v>0</v>
      </c>
      <c r="I65" s="280">
        <f t="shared" si="44"/>
        <v>0</v>
      </c>
      <c r="J65" s="280">
        <f t="shared" si="44"/>
        <v>0</v>
      </c>
      <c r="K65" s="280">
        <f t="shared" si="44"/>
        <v>0</v>
      </c>
      <c r="L65" s="280">
        <f t="shared" si="44"/>
        <v>0</v>
      </c>
      <c r="M65" s="280">
        <f t="shared" si="44"/>
        <v>0</v>
      </c>
      <c r="N65" s="280">
        <f ca="1">+N59+IF(N64=0,N63,0)</f>
        <v>0</v>
      </c>
      <c r="O65" s="280">
        <f ca="1">+O59+IF(O64=0,O63,0)</f>
        <v>0</v>
      </c>
      <c r="P65" s="280">
        <f>+P59+IF(P64=0,P63,0)</f>
        <v>0</v>
      </c>
      <c r="Q65" s="280">
        <f t="shared" ref="Q65:AJ65" si="45">+Q59+IF(Q64=0,Q63,0)</f>
        <v>7150.5259110169463</v>
      </c>
      <c r="R65" s="280">
        <f t="shared" ca="1" si="45"/>
        <v>7150.5259110169463</v>
      </c>
      <c r="S65" s="280">
        <f t="shared" ca="1" si="45"/>
        <v>7150.5259110169463</v>
      </c>
      <c r="T65" s="280">
        <f t="shared" ca="1" si="45"/>
        <v>7150.5259110169463</v>
      </c>
      <c r="U65" s="280">
        <f t="shared" ca="1" si="45"/>
        <v>7150.5259110169463</v>
      </c>
      <c r="V65" s="280">
        <f t="shared" ca="1" si="45"/>
        <v>7150.5259110169463</v>
      </c>
      <c r="W65" s="280">
        <f t="shared" ca="1" si="45"/>
        <v>7150.5259110169463</v>
      </c>
      <c r="X65" s="280">
        <f t="shared" ca="1" si="45"/>
        <v>7150.5259110169463</v>
      </c>
      <c r="Y65" s="280">
        <f t="shared" ca="1" si="45"/>
        <v>7150.5259110169463</v>
      </c>
      <c r="Z65" s="280">
        <f t="shared" ca="1" si="45"/>
        <v>7150.5259110169463</v>
      </c>
      <c r="AA65" s="280">
        <f t="shared" ca="1" si="45"/>
        <v>7150.5259110169463</v>
      </c>
      <c r="AB65" s="280">
        <f t="shared" ca="1" si="45"/>
        <v>7150.5259110169463</v>
      </c>
      <c r="AC65" s="280">
        <f t="shared" ca="1" si="45"/>
        <v>7150.5259110169463</v>
      </c>
      <c r="AD65" s="280">
        <f t="shared" ca="1" si="45"/>
        <v>7150.5259110169463</v>
      </c>
      <c r="AE65" s="280">
        <f t="shared" ca="1" si="45"/>
        <v>7150.5259110169463</v>
      </c>
      <c r="AF65" s="280">
        <f t="shared" ca="1" si="45"/>
        <v>7150.5259110169463</v>
      </c>
      <c r="AG65" s="280">
        <f t="shared" ca="1" si="45"/>
        <v>6484.861324149083</v>
      </c>
      <c r="AH65" s="280">
        <f t="shared" ca="1" si="45"/>
        <v>4718.1959326108063</v>
      </c>
      <c r="AI65" s="280">
        <f t="shared" ca="1" si="45"/>
        <v>4718.1959326108081</v>
      </c>
      <c r="AJ65" s="280">
        <f t="shared" ca="1" si="45"/>
        <v>4717.1959326107844</v>
      </c>
    </row>
    <row r="66" spans="1:36" ht="14.1" customHeight="1" x14ac:dyDescent="0.2">
      <c r="A66" s="278" t="s">
        <v>386</v>
      </c>
      <c r="H66" s="294"/>
      <c r="I66" s="294"/>
      <c r="J66" s="294"/>
      <c r="K66" s="294"/>
      <c r="L66" s="294"/>
      <c r="M66" s="294">
        <v>0</v>
      </c>
      <c r="N66" s="294">
        <f>IF(N54=12,IF(O55='Valuation &amp; Sources &amp; Uses'!#REF!,'Valuation &amp; Sources &amp; Uses'!#REF!*'Valuation &amp; Sources &amp; Uses'!#REF!,0),0)</f>
        <v>0</v>
      </c>
      <c r="O66" s="294">
        <v>0</v>
      </c>
      <c r="P66" s="294">
        <v>0</v>
      </c>
      <c r="Q66" s="294">
        <f ca="1">-IF(Q52&gt;0,MIN(Q52,Q57),0)</f>
        <v>0</v>
      </c>
      <c r="R66" s="294">
        <f t="shared" ref="R66:AJ66" ca="1" si="46">-IF(R52&gt;0,MIN(R52,R57),0)</f>
        <v>0</v>
      </c>
      <c r="S66" s="294">
        <f t="shared" ca="1" si="46"/>
        <v>0</v>
      </c>
      <c r="T66" s="294">
        <f t="shared" ca="1" si="46"/>
        <v>0</v>
      </c>
      <c r="U66" s="294">
        <f t="shared" ca="1" si="46"/>
        <v>0</v>
      </c>
      <c r="V66" s="294">
        <f t="shared" ca="1" si="46"/>
        <v>0</v>
      </c>
      <c r="W66" s="294">
        <f t="shared" ca="1" si="46"/>
        <v>0</v>
      </c>
      <c r="X66" s="294">
        <f t="shared" ca="1" si="46"/>
        <v>0</v>
      </c>
      <c r="Y66" s="294">
        <f t="shared" ca="1" si="46"/>
        <v>0</v>
      </c>
      <c r="Z66" s="294">
        <f t="shared" ca="1" si="46"/>
        <v>0</v>
      </c>
      <c r="AA66" s="294">
        <f t="shared" ca="1" si="46"/>
        <v>0</v>
      </c>
      <c r="AB66" s="294">
        <f t="shared" ca="1" si="46"/>
        <v>0</v>
      </c>
      <c r="AC66" s="294">
        <f t="shared" ca="1" si="46"/>
        <v>0</v>
      </c>
      <c r="AD66" s="294">
        <f t="shared" ca="1" si="46"/>
        <v>0</v>
      </c>
      <c r="AE66" s="294">
        <f t="shared" ca="1" si="46"/>
        <v>0</v>
      </c>
      <c r="AF66" s="294">
        <f t="shared" ca="1" si="46"/>
        <v>-665.66458686786348</v>
      </c>
      <c r="AG66" s="294">
        <f t="shared" ca="1" si="46"/>
        <v>-1766.6653915382772</v>
      </c>
      <c r="AH66" s="294">
        <f t="shared" ca="1" si="46"/>
        <v>0</v>
      </c>
      <c r="AI66" s="294">
        <f t="shared" ca="1" si="46"/>
        <v>-1</v>
      </c>
      <c r="AJ66" s="294">
        <f t="shared" ca="1" si="46"/>
        <v>-891.82497700392537</v>
      </c>
    </row>
    <row r="67" spans="1:36" s="270" customFormat="1" ht="14.1" customHeight="1" x14ac:dyDescent="0.2">
      <c r="A67" s="278" t="s">
        <v>51</v>
      </c>
      <c r="H67" s="296"/>
      <c r="I67" s="296"/>
      <c r="J67" s="296"/>
      <c r="K67" s="296"/>
      <c r="L67" s="296"/>
      <c r="M67" s="297">
        <v>0</v>
      </c>
      <c r="N67" s="297">
        <v>0</v>
      </c>
      <c r="O67" s="297">
        <v>0</v>
      </c>
      <c r="P67" s="297">
        <f>'Valuation &amp; Sources &amp; Uses'!C11</f>
        <v>7150.5259110169463</v>
      </c>
      <c r="Q67" s="297">
        <f t="shared" ref="Q67:AJ67" ca="1" si="47">Q65+Q66</f>
        <v>7150.5259110169463</v>
      </c>
      <c r="R67" s="297">
        <f t="shared" ca="1" si="47"/>
        <v>7150.5259110169463</v>
      </c>
      <c r="S67" s="297">
        <f t="shared" ca="1" si="47"/>
        <v>7150.5259110169463</v>
      </c>
      <c r="T67" s="297">
        <f t="shared" ca="1" si="47"/>
        <v>7150.5259110169463</v>
      </c>
      <c r="U67" s="297">
        <f t="shared" ca="1" si="47"/>
        <v>7150.5259110169463</v>
      </c>
      <c r="V67" s="297">
        <f t="shared" ca="1" si="47"/>
        <v>7150.5259110169463</v>
      </c>
      <c r="W67" s="297">
        <f t="shared" ca="1" si="47"/>
        <v>7150.5259110169463</v>
      </c>
      <c r="X67" s="297">
        <f t="shared" ca="1" si="47"/>
        <v>7150.5259110169463</v>
      </c>
      <c r="Y67" s="297">
        <f t="shared" ca="1" si="47"/>
        <v>7150.5259110169463</v>
      </c>
      <c r="Z67" s="297">
        <f t="shared" ca="1" si="47"/>
        <v>7150.5259110169463</v>
      </c>
      <c r="AA67" s="297">
        <f t="shared" ca="1" si="47"/>
        <v>7150.5259110169463</v>
      </c>
      <c r="AB67" s="297">
        <f t="shared" ca="1" si="47"/>
        <v>7150.5259110169463</v>
      </c>
      <c r="AC67" s="297">
        <f t="shared" ca="1" si="47"/>
        <v>7150.5259110169463</v>
      </c>
      <c r="AD67" s="297">
        <f t="shared" ca="1" si="47"/>
        <v>7150.5259110169463</v>
      </c>
      <c r="AE67" s="297">
        <f t="shared" ca="1" si="47"/>
        <v>7150.5259110169463</v>
      </c>
      <c r="AF67" s="297">
        <f t="shared" ca="1" si="47"/>
        <v>6484.861324149083</v>
      </c>
      <c r="AG67" s="297">
        <f t="shared" ca="1" si="47"/>
        <v>4718.1959326108063</v>
      </c>
      <c r="AH67" s="297">
        <f t="shared" ca="1" si="47"/>
        <v>4718.1959326108063</v>
      </c>
      <c r="AI67" s="297">
        <f t="shared" ca="1" si="47"/>
        <v>4717.1959326108081</v>
      </c>
      <c r="AJ67" s="297">
        <f t="shared" ca="1" si="47"/>
        <v>3825.3709556068588</v>
      </c>
    </row>
    <row r="68" spans="1:36" s="270" customFormat="1" ht="14.1" customHeight="1" x14ac:dyDescent="0.2">
      <c r="H68" s="296"/>
      <c r="I68" s="296"/>
      <c r="J68" s="296"/>
      <c r="K68" s="296"/>
      <c r="L68" s="296"/>
      <c r="M68" s="296"/>
      <c r="N68" s="296"/>
      <c r="O68" s="296"/>
      <c r="P68" s="296"/>
      <c r="Q68" s="296"/>
      <c r="R68" s="296"/>
      <c r="S68" s="296"/>
      <c r="T68" s="296"/>
      <c r="U68" s="296"/>
      <c r="V68" s="296"/>
      <c r="W68" s="296"/>
      <c r="X68" s="296"/>
      <c r="Y68" s="296"/>
      <c r="Z68" s="296"/>
      <c r="AA68" s="296"/>
      <c r="AB68" s="296"/>
      <c r="AC68" s="296"/>
      <c r="AD68" s="296"/>
      <c r="AE68" s="296"/>
      <c r="AF68" s="296"/>
      <c r="AG68" s="296"/>
      <c r="AH68" s="296"/>
      <c r="AI68" s="296"/>
      <c r="AJ68" s="296"/>
    </row>
    <row r="69" spans="1:36" s="270" customFormat="1" ht="14.1" customHeight="1" x14ac:dyDescent="0.2">
      <c r="A69" s="292" t="s">
        <v>387</v>
      </c>
      <c r="H69" s="296"/>
      <c r="I69" s="296"/>
      <c r="J69" s="296"/>
      <c r="K69" s="296"/>
      <c r="L69" s="296"/>
      <c r="M69" s="296"/>
      <c r="N69" s="296"/>
      <c r="O69" s="304">
        <v>0</v>
      </c>
      <c r="P69" s="304">
        <f ca="1">P52+P66</f>
        <v>0</v>
      </c>
      <c r="Q69" s="304">
        <f t="shared" ref="Q69:AJ69" ca="1" si="48">Q52+Q66</f>
        <v>0</v>
      </c>
      <c r="R69" s="304">
        <f t="shared" ca="1" si="48"/>
        <v>0</v>
      </c>
      <c r="S69" s="304">
        <f t="shared" ca="1" si="48"/>
        <v>0</v>
      </c>
      <c r="T69" s="304">
        <f t="shared" ca="1" si="48"/>
        <v>0</v>
      </c>
      <c r="U69" s="304">
        <f t="shared" ca="1" si="48"/>
        <v>0</v>
      </c>
      <c r="V69" s="304">
        <f t="shared" ca="1" si="48"/>
        <v>0</v>
      </c>
      <c r="W69" s="304">
        <f t="shared" ca="1" si="48"/>
        <v>0</v>
      </c>
      <c r="X69" s="304">
        <f t="shared" ca="1" si="48"/>
        <v>0</v>
      </c>
      <c r="Y69" s="304">
        <f t="shared" ca="1" si="48"/>
        <v>0</v>
      </c>
      <c r="Z69" s="304">
        <f t="shared" ca="1" si="48"/>
        <v>0</v>
      </c>
      <c r="AA69" s="304">
        <f t="shared" ca="1" si="48"/>
        <v>0</v>
      </c>
      <c r="AB69" s="304">
        <f t="shared" ca="1" si="48"/>
        <v>0</v>
      </c>
      <c r="AC69" s="304">
        <f t="shared" ca="1" si="48"/>
        <v>0</v>
      </c>
      <c r="AD69" s="304">
        <f t="shared" ca="1" si="48"/>
        <v>0</v>
      </c>
      <c r="AE69" s="304">
        <f t="shared" ca="1" si="48"/>
        <v>0</v>
      </c>
      <c r="AF69" s="304">
        <f t="shared" ca="1" si="48"/>
        <v>0</v>
      </c>
      <c r="AG69" s="304">
        <f t="shared" ca="1" si="48"/>
        <v>0</v>
      </c>
      <c r="AH69" s="304">
        <f t="shared" ca="1" si="48"/>
        <v>0</v>
      </c>
      <c r="AI69" s="304">
        <f t="shared" ca="1" si="48"/>
        <v>0</v>
      </c>
      <c r="AJ69" s="304">
        <f t="shared" ca="1" si="48"/>
        <v>0</v>
      </c>
    </row>
    <row r="70" spans="1:36" s="270" customFormat="1" ht="14.1" customHeight="1" x14ac:dyDescent="0.2">
      <c r="H70" s="296"/>
      <c r="I70" s="296"/>
      <c r="J70" s="296"/>
      <c r="K70" s="296"/>
      <c r="L70" s="296"/>
      <c r="M70" s="296"/>
      <c r="N70" s="296"/>
      <c r="O70" s="296"/>
      <c r="P70" s="296"/>
      <c r="Q70" s="296"/>
      <c r="R70" s="296"/>
      <c r="S70" s="296"/>
      <c r="T70" s="296"/>
      <c r="U70" s="296"/>
      <c r="V70" s="296"/>
      <c r="W70" s="296"/>
      <c r="X70" s="296"/>
      <c r="Y70" s="296"/>
      <c r="Z70" s="296"/>
      <c r="AA70" s="296"/>
      <c r="AB70" s="296"/>
      <c r="AC70" s="296"/>
      <c r="AD70" s="296"/>
      <c r="AE70" s="296"/>
      <c r="AF70" s="296"/>
      <c r="AG70" s="296"/>
      <c r="AH70" s="296"/>
      <c r="AI70" s="296"/>
      <c r="AJ70" s="296"/>
    </row>
    <row r="71" spans="1:36" ht="14.1" customHeight="1" x14ac:dyDescent="0.2">
      <c r="M71" s="291">
        <f>MONTH(M73)</f>
        <v>3</v>
      </c>
      <c r="N71" s="291">
        <f t="shared" ref="N71:AJ71" si="49">MONTH(N73)</f>
        <v>6</v>
      </c>
      <c r="O71" s="291">
        <f t="shared" si="49"/>
        <v>9</v>
      </c>
      <c r="P71" s="291">
        <f t="shared" si="49"/>
        <v>12</v>
      </c>
      <c r="Q71" s="291">
        <f t="shared" si="49"/>
        <v>3</v>
      </c>
      <c r="R71" s="291">
        <f t="shared" si="49"/>
        <v>6</v>
      </c>
      <c r="S71" s="291">
        <f t="shared" si="49"/>
        <v>9</v>
      </c>
      <c r="T71" s="291">
        <f t="shared" si="49"/>
        <v>12</v>
      </c>
      <c r="U71" s="291">
        <f t="shared" si="49"/>
        <v>3</v>
      </c>
      <c r="V71" s="291">
        <f t="shared" si="49"/>
        <v>6</v>
      </c>
      <c r="W71" s="291">
        <f t="shared" si="49"/>
        <v>9</v>
      </c>
      <c r="X71" s="291">
        <f t="shared" si="49"/>
        <v>12</v>
      </c>
      <c r="Y71" s="291">
        <f t="shared" si="49"/>
        <v>3</v>
      </c>
      <c r="Z71" s="291">
        <f t="shared" si="49"/>
        <v>6</v>
      </c>
      <c r="AA71" s="291">
        <f t="shared" si="49"/>
        <v>9</v>
      </c>
      <c r="AB71" s="291">
        <f t="shared" si="49"/>
        <v>12</v>
      </c>
      <c r="AC71" s="291">
        <f t="shared" si="49"/>
        <v>3</v>
      </c>
      <c r="AD71" s="291">
        <f t="shared" si="49"/>
        <v>6</v>
      </c>
      <c r="AE71" s="291">
        <f t="shared" si="49"/>
        <v>9</v>
      </c>
      <c r="AF71" s="291">
        <f t="shared" si="49"/>
        <v>12</v>
      </c>
      <c r="AG71" s="291">
        <f t="shared" si="49"/>
        <v>3</v>
      </c>
      <c r="AH71" s="291">
        <f t="shared" si="49"/>
        <v>6</v>
      </c>
      <c r="AI71" s="291">
        <f t="shared" si="49"/>
        <v>9</v>
      </c>
      <c r="AJ71" s="291">
        <f t="shared" si="49"/>
        <v>12</v>
      </c>
    </row>
    <row r="72" spans="1:36" ht="14.1" customHeight="1" x14ac:dyDescent="0.2">
      <c r="M72" s="291">
        <f t="shared" ref="M72:AJ72" si="50">YEAR(M73)</f>
        <v>2015</v>
      </c>
      <c r="N72" s="291">
        <f t="shared" si="50"/>
        <v>2015</v>
      </c>
      <c r="O72" s="291">
        <f t="shared" si="50"/>
        <v>2015</v>
      </c>
      <c r="P72" s="291">
        <f t="shared" si="50"/>
        <v>2015</v>
      </c>
      <c r="Q72" s="291">
        <f t="shared" si="50"/>
        <v>2016</v>
      </c>
      <c r="R72" s="291">
        <f t="shared" si="50"/>
        <v>2016</v>
      </c>
      <c r="S72" s="291">
        <f t="shared" si="50"/>
        <v>2016</v>
      </c>
      <c r="T72" s="291">
        <f t="shared" si="50"/>
        <v>2016</v>
      </c>
      <c r="U72" s="291">
        <f t="shared" si="50"/>
        <v>2017</v>
      </c>
      <c r="V72" s="291">
        <f t="shared" si="50"/>
        <v>2017</v>
      </c>
      <c r="W72" s="291">
        <f t="shared" si="50"/>
        <v>2017</v>
      </c>
      <c r="X72" s="291">
        <f t="shared" si="50"/>
        <v>2017</v>
      </c>
      <c r="Y72" s="291">
        <f t="shared" si="50"/>
        <v>2018</v>
      </c>
      <c r="Z72" s="291">
        <f t="shared" si="50"/>
        <v>2018</v>
      </c>
      <c r="AA72" s="291">
        <f t="shared" si="50"/>
        <v>2018</v>
      </c>
      <c r="AB72" s="291">
        <f t="shared" si="50"/>
        <v>2018</v>
      </c>
      <c r="AC72" s="291">
        <f t="shared" si="50"/>
        <v>2019</v>
      </c>
      <c r="AD72" s="291">
        <f t="shared" si="50"/>
        <v>2019</v>
      </c>
      <c r="AE72" s="291">
        <f t="shared" si="50"/>
        <v>2019</v>
      </c>
      <c r="AF72" s="291">
        <f t="shared" si="50"/>
        <v>2019</v>
      </c>
      <c r="AG72" s="291">
        <f t="shared" si="50"/>
        <v>2020</v>
      </c>
      <c r="AH72" s="291">
        <f t="shared" si="50"/>
        <v>2020</v>
      </c>
      <c r="AI72" s="291">
        <f t="shared" si="50"/>
        <v>2020</v>
      </c>
      <c r="AJ72" s="291">
        <f t="shared" si="50"/>
        <v>2020</v>
      </c>
    </row>
    <row r="73" spans="1:36" ht="14.1" customHeight="1" thickBot="1" x14ac:dyDescent="0.25">
      <c r="A73" s="292" t="s">
        <v>404</v>
      </c>
      <c r="B73" s="270"/>
      <c r="C73" s="270"/>
      <c r="D73" s="270"/>
      <c r="E73" s="270"/>
      <c r="F73" s="270"/>
      <c r="G73" s="270"/>
      <c r="H73" s="293">
        <v>41639</v>
      </c>
      <c r="I73" s="293">
        <v>41729</v>
      </c>
      <c r="J73" s="293">
        <f t="shared" ref="J73:AJ73" si="51">EOMONTH(I73,3)</f>
        <v>41820</v>
      </c>
      <c r="K73" s="293">
        <f t="shared" si="51"/>
        <v>41912</v>
      </c>
      <c r="L73" s="293">
        <f t="shared" si="51"/>
        <v>42004</v>
      </c>
      <c r="M73" s="293">
        <f t="shared" si="51"/>
        <v>42094</v>
      </c>
      <c r="N73" s="293">
        <f t="shared" si="51"/>
        <v>42185</v>
      </c>
      <c r="O73" s="293">
        <f t="shared" si="51"/>
        <v>42277</v>
      </c>
      <c r="P73" s="293">
        <f t="shared" si="51"/>
        <v>42369</v>
      </c>
      <c r="Q73" s="293">
        <f t="shared" si="51"/>
        <v>42460</v>
      </c>
      <c r="R73" s="293">
        <f t="shared" si="51"/>
        <v>42551</v>
      </c>
      <c r="S73" s="293">
        <f t="shared" si="51"/>
        <v>42643</v>
      </c>
      <c r="T73" s="293">
        <f t="shared" si="51"/>
        <v>42735</v>
      </c>
      <c r="U73" s="293">
        <f t="shared" si="51"/>
        <v>42825</v>
      </c>
      <c r="V73" s="293">
        <f t="shared" si="51"/>
        <v>42916</v>
      </c>
      <c r="W73" s="293">
        <f t="shared" si="51"/>
        <v>43008</v>
      </c>
      <c r="X73" s="293">
        <f t="shared" si="51"/>
        <v>43100</v>
      </c>
      <c r="Y73" s="293">
        <f t="shared" si="51"/>
        <v>43190</v>
      </c>
      <c r="Z73" s="293">
        <f t="shared" si="51"/>
        <v>43281</v>
      </c>
      <c r="AA73" s="293">
        <f t="shared" si="51"/>
        <v>43373</v>
      </c>
      <c r="AB73" s="293">
        <f t="shared" si="51"/>
        <v>43465</v>
      </c>
      <c r="AC73" s="293">
        <f t="shared" si="51"/>
        <v>43555</v>
      </c>
      <c r="AD73" s="293">
        <f t="shared" si="51"/>
        <v>43646</v>
      </c>
      <c r="AE73" s="293">
        <f t="shared" si="51"/>
        <v>43738</v>
      </c>
      <c r="AF73" s="293">
        <f t="shared" si="51"/>
        <v>43830</v>
      </c>
      <c r="AG73" s="293">
        <f t="shared" si="51"/>
        <v>43921</v>
      </c>
      <c r="AH73" s="293">
        <f t="shared" si="51"/>
        <v>44012</v>
      </c>
      <c r="AI73" s="293">
        <f t="shared" si="51"/>
        <v>44104</v>
      </c>
      <c r="AJ73" s="293">
        <f t="shared" si="51"/>
        <v>44196</v>
      </c>
    </row>
    <row r="74" spans="1:36" ht="14.1" customHeight="1" thickTop="1" x14ac:dyDescent="0.2">
      <c r="A74" s="278" t="s">
        <v>46</v>
      </c>
      <c r="H74" s="280">
        <v>0</v>
      </c>
      <c r="I74" s="280">
        <v>0</v>
      </c>
      <c r="J74" s="280">
        <v>0</v>
      </c>
      <c r="K74" s="280">
        <v>0</v>
      </c>
      <c r="L74" s="280">
        <v>0</v>
      </c>
      <c r="M74" s="280">
        <f>L49</f>
        <v>0</v>
      </c>
      <c r="N74" s="280">
        <v>0</v>
      </c>
      <c r="O74" s="280">
        <f>N84</f>
        <v>0</v>
      </c>
      <c r="P74" s="280">
        <f>O84</f>
        <v>0</v>
      </c>
      <c r="Q74" s="280">
        <f t="shared" ref="Q74:AJ74" si="52">P84</f>
        <v>2000</v>
      </c>
      <c r="R74" s="280">
        <f t="shared" ca="1" si="52"/>
        <v>1916.7467228485111</v>
      </c>
      <c r="S74" s="280">
        <f t="shared" ca="1" si="52"/>
        <v>1831.8162156282187</v>
      </c>
      <c r="T74" s="280">
        <f t="shared" ca="1" si="52"/>
        <v>1745.5706801349211</v>
      </c>
      <c r="U74" s="280">
        <f t="shared" ca="1" si="52"/>
        <v>1657.5683441843262</v>
      </c>
      <c r="V74" s="280">
        <f t="shared" ca="1" si="52"/>
        <v>1567.0594561009425</v>
      </c>
      <c r="W74" s="280">
        <f t="shared" ca="1" si="52"/>
        <v>1475.0841091033581</v>
      </c>
      <c r="X74" s="280">
        <f t="shared" ca="1" si="52"/>
        <v>1381.5720278776821</v>
      </c>
      <c r="Y74" s="280">
        <f t="shared" ca="1" si="52"/>
        <v>1286.1551284359621</v>
      </c>
      <c r="Z74" s="280">
        <f t="shared" ca="1" si="52"/>
        <v>1188.2467518263243</v>
      </c>
      <c r="AA74" s="280">
        <f t="shared" ca="1" si="52"/>
        <v>1088.6398006469842</v>
      </c>
      <c r="AB74" s="280">
        <f t="shared" ca="1" si="52"/>
        <v>987.25594340492682</v>
      </c>
      <c r="AC74" s="280">
        <f t="shared" ca="1" si="52"/>
        <v>883.80692179526852</v>
      </c>
      <c r="AD74" s="280">
        <f t="shared" ca="1" si="52"/>
        <v>777.88275357574435</v>
      </c>
      <c r="AE74" s="280">
        <f t="shared" ca="1" si="52"/>
        <v>670.00856222797324</v>
      </c>
      <c r="AF74" s="280">
        <f t="shared" ca="1" si="52"/>
        <v>560.09728908100078</v>
      </c>
      <c r="AG74" s="280">
        <f t="shared" ca="1" si="52"/>
        <v>447.94715019074886</v>
      </c>
      <c r="AH74" s="280">
        <f t="shared" ca="1" si="52"/>
        <v>333.42603834086697</v>
      </c>
      <c r="AI74" s="280">
        <f t="shared" ca="1" si="52"/>
        <v>216.59777103861859</v>
      </c>
      <c r="AJ74" s="280">
        <f t="shared" ca="1" si="52"/>
        <v>97.450631005911433</v>
      </c>
    </row>
    <row r="75" spans="1:36" ht="14.1" customHeight="1" x14ac:dyDescent="0.2">
      <c r="A75" s="278" t="s">
        <v>326</v>
      </c>
      <c r="H75" s="294"/>
      <c r="I75" s="294"/>
      <c r="J75" s="294"/>
      <c r="K75" s="294"/>
      <c r="L75" s="294"/>
      <c r="M75" s="300">
        <v>0</v>
      </c>
      <c r="N75" s="300">
        <v>0</v>
      </c>
      <c r="O75" s="575">
        <f t="shared" ref="O75:AG75" ca="1" si="53">MIN(O79-O80,O74)</f>
        <v>0</v>
      </c>
      <c r="P75" s="575">
        <v>0</v>
      </c>
      <c r="Q75" s="575">
        <f t="shared" ca="1" si="53"/>
        <v>83.253277151488774</v>
      </c>
      <c r="R75" s="575">
        <f t="shared" ca="1" si="53"/>
        <v>84.930507220292299</v>
      </c>
      <c r="S75" s="575">
        <f t="shared" ca="1" si="53"/>
        <v>86.245535493297609</v>
      </c>
      <c r="T75" s="575">
        <f t="shared" ca="1" si="53"/>
        <v>88.00233595059494</v>
      </c>
      <c r="U75" s="575">
        <f t="shared" ca="1" si="53"/>
        <v>90.50888808338361</v>
      </c>
      <c r="V75" s="575">
        <f t="shared" ca="1" si="53"/>
        <v>91.975346997584467</v>
      </c>
      <c r="W75" s="575">
        <f t="shared" ca="1" si="53"/>
        <v>93.512081225676042</v>
      </c>
      <c r="X75" s="575">
        <f t="shared" ca="1" si="53"/>
        <v>95.41689944171992</v>
      </c>
      <c r="Y75" s="575">
        <f t="shared" ca="1" si="53"/>
        <v>97.908376609637685</v>
      </c>
      <c r="Z75" s="575">
        <f t="shared" ca="1" si="53"/>
        <v>99.606951179340115</v>
      </c>
      <c r="AA75" s="575">
        <f t="shared" ca="1" si="53"/>
        <v>101.3838572420574</v>
      </c>
      <c r="AB75" s="575">
        <f t="shared" ca="1" si="53"/>
        <v>103.44902160965826</v>
      </c>
      <c r="AC75" s="575">
        <f t="shared" ca="1" si="53"/>
        <v>105.9241682195242</v>
      </c>
      <c r="AD75" s="575">
        <f t="shared" ca="1" si="53"/>
        <v>107.8741913477711</v>
      </c>
      <c r="AE75" s="575">
        <f t="shared" ca="1" si="53"/>
        <v>109.91127314697249</v>
      </c>
      <c r="AF75" s="575">
        <f t="shared" ca="1" si="53"/>
        <v>112.15013889025191</v>
      </c>
      <c r="AG75" s="575">
        <f t="shared" ca="1" si="53"/>
        <v>114.52111184988192</v>
      </c>
      <c r="AH75" s="575">
        <f ca="1">MIN(AH79-AH80,AH74)</f>
        <v>116.82826730224838</v>
      </c>
      <c r="AI75" s="575">
        <f ca="1">MIN(AI79-AI80,AI74)</f>
        <v>119.14714003270716</v>
      </c>
      <c r="AJ75" s="300">
        <v>0</v>
      </c>
    </row>
    <row r="76" spans="1:36" ht="14.1" customHeight="1" x14ac:dyDescent="0.2">
      <c r="A76" s="278" t="s">
        <v>385</v>
      </c>
      <c r="I76" s="280">
        <v>0</v>
      </c>
      <c r="J76" s="280">
        <f>SUM(J39:J39)</f>
        <v>0</v>
      </c>
      <c r="K76" s="280">
        <f>SUM(K39:K39)</f>
        <v>0</v>
      </c>
      <c r="L76" s="280">
        <f>SUM(L39:L39)</f>
        <v>0</v>
      </c>
      <c r="M76" s="280">
        <f>SUM(M39:M40)</f>
        <v>0</v>
      </c>
      <c r="N76" s="280">
        <f>MAX(SUM(N39:N40),0)</f>
        <v>0</v>
      </c>
      <c r="O76" s="280">
        <f ca="1">O74-O75</f>
        <v>0</v>
      </c>
      <c r="P76" s="280">
        <f t="shared" ref="P76:AJ76" si="54">P74-P75</f>
        <v>0</v>
      </c>
      <c r="Q76" s="280">
        <f t="shared" ca="1" si="54"/>
        <v>1916.7467228485111</v>
      </c>
      <c r="R76" s="280">
        <f t="shared" ca="1" si="54"/>
        <v>1831.8162156282187</v>
      </c>
      <c r="S76" s="280">
        <f t="shared" ca="1" si="54"/>
        <v>1745.5706801349211</v>
      </c>
      <c r="T76" s="280">
        <f t="shared" ca="1" si="54"/>
        <v>1657.5683441843262</v>
      </c>
      <c r="U76" s="280">
        <f t="shared" ca="1" si="54"/>
        <v>1567.0594561009425</v>
      </c>
      <c r="V76" s="280">
        <f t="shared" ca="1" si="54"/>
        <v>1475.0841091033581</v>
      </c>
      <c r="W76" s="280">
        <f t="shared" ca="1" si="54"/>
        <v>1381.5720278776821</v>
      </c>
      <c r="X76" s="280">
        <f t="shared" ca="1" si="54"/>
        <v>1286.1551284359621</v>
      </c>
      <c r="Y76" s="280">
        <f t="shared" ca="1" si="54"/>
        <v>1188.2467518263243</v>
      </c>
      <c r="Z76" s="280">
        <f t="shared" ca="1" si="54"/>
        <v>1088.6398006469842</v>
      </c>
      <c r="AA76" s="280">
        <f t="shared" ca="1" si="54"/>
        <v>987.25594340492682</v>
      </c>
      <c r="AB76" s="280">
        <f t="shared" ca="1" si="54"/>
        <v>883.80692179526852</v>
      </c>
      <c r="AC76" s="280">
        <f t="shared" ca="1" si="54"/>
        <v>777.88275357574435</v>
      </c>
      <c r="AD76" s="280">
        <f t="shared" ca="1" si="54"/>
        <v>670.00856222797324</v>
      </c>
      <c r="AE76" s="280">
        <f t="shared" ca="1" si="54"/>
        <v>560.09728908100078</v>
      </c>
      <c r="AF76" s="280">
        <f t="shared" ca="1" si="54"/>
        <v>447.94715019074886</v>
      </c>
      <c r="AG76" s="280">
        <f t="shared" ca="1" si="54"/>
        <v>333.42603834086697</v>
      </c>
      <c r="AH76" s="280">
        <f t="shared" ca="1" si="54"/>
        <v>216.59777103861859</v>
      </c>
      <c r="AI76" s="280">
        <f t="shared" ca="1" si="54"/>
        <v>97.450631005911433</v>
      </c>
      <c r="AJ76" s="280">
        <f t="shared" ca="1" si="54"/>
        <v>97.450631005911433</v>
      </c>
    </row>
    <row r="77" spans="1:36" ht="14.1" customHeight="1" x14ac:dyDescent="0.2">
      <c r="A77" s="278" t="s">
        <v>48</v>
      </c>
      <c r="I77" s="280">
        <f t="shared" ref="I77:O77" si="55">I73-H73</f>
        <v>90</v>
      </c>
      <c r="J77" s="280">
        <f t="shared" si="55"/>
        <v>91</v>
      </c>
      <c r="K77" s="280">
        <f t="shared" si="55"/>
        <v>92</v>
      </c>
      <c r="L77" s="280">
        <f t="shared" si="55"/>
        <v>92</v>
      </c>
      <c r="M77" s="280">
        <f t="shared" si="55"/>
        <v>90</v>
      </c>
      <c r="N77" s="280">
        <f t="shared" si="55"/>
        <v>91</v>
      </c>
      <c r="O77" s="280">
        <f t="shared" si="55"/>
        <v>92</v>
      </c>
      <c r="P77" s="280">
        <f>P73-O73</f>
        <v>92</v>
      </c>
      <c r="Q77" s="280">
        <f t="shared" ref="Q77:AJ77" si="56">Q73-P73</f>
        <v>91</v>
      </c>
      <c r="R77" s="280">
        <f t="shared" si="56"/>
        <v>91</v>
      </c>
      <c r="S77" s="280">
        <f t="shared" si="56"/>
        <v>92</v>
      </c>
      <c r="T77" s="280">
        <f t="shared" si="56"/>
        <v>92</v>
      </c>
      <c r="U77" s="280">
        <f t="shared" si="56"/>
        <v>90</v>
      </c>
      <c r="V77" s="280">
        <f t="shared" si="56"/>
        <v>91</v>
      </c>
      <c r="W77" s="280">
        <f t="shared" si="56"/>
        <v>92</v>
      </c>
      <c r="X77" s="280">
        <f t="shared" si="56"/>
        <v>92</v>
      </c>
      <c r="Y77" s="280">
        <f t="shared" si="56"/>
        <v>90</v>
      </c>
      <c r="Z77" s="280">
        <f t="shared" si="56"/>
        <v>91</v>
      </c>
      <c r="AA77" s="280">
        <f t="shared" si="56"/>
        <v>92</v>
      </c>
      <c r="AB77" s="280">
        <f t="shared" si="56"/>
        <v>92</v>
      </c>
      <c r="AC77" s="280">
        <f t="shared" si="56"/>
        <v>90</v>
      </c>
      <c r="AD77" s="280">
        <f t="shared" si="56"/>
        <v>91</v>
      </c>
      <c r="AE77" s="280">
        <f t="shared" si="56"/>
        <v>92</v>
      </c>
      <c r="AF77" s="280">
        <f t="shared" si="56"/>
        <v>92</v>
      </c>
      <c r="AG77" s="280">
        <f t="shared" si="56"/>
        <v>91</v>
      </c>
      <c r="AH77" s="280">
        <f t="shared" si="56"/>
        <v>91</v>
      </c>
      <c r="AI77" s="280">
        <f t="shared" si="56"/>
        <v>92</v>
      </c>
      <c r="AJ77" s="280">
        <f t="shared" si="56"/>
        <v>92</v>
      </c>
    </row>
    <row r="78" spans="1:36" ht="14.1" customHeight="1" x14ac:dyDescent="0.2">
      <c r="A78" s="278" t="s">
        <v>49</v>
      </c>
      <c r="H78" s="295"/>
      <c r="I78" s="295"/>
      <c r="J78" s="295"/>
      <c r="K78" s="295"/>
      <c r="L78" s="295"/>
      <c r="M78" s="301">
        <v>0.08</v>
      </c>
      <c r="N78" s="301">
        <f t="shared" ref="N78:AJ78" si="57">M78</f>
        <v>0.08</v>
      </c>
      <c r="O78" s="301">
        <f t="shared" si="57"/>
        <v>0.08</v>
      </c>
      <c r="P78" s="301">
        <f t="shared" si="57"/>
        <v>0.08</v>
      </c>
      <c r="Q78" s="301">
        <f t="shared" si="57"/>
        <v>0.08</v>
      </c>
      <c r="R78" s="301">
        <f t="shared" si="57"/>
        <v>0.08</v>
      </c>
      <c r="S78" s="301">
        <f t="shared" si="57"/>
        <v>0.08</v>
      </c>
      <c r="T78" s="301">
        <f t="shared" si="57"/>
        <v>0.08</v>
      </c>
      <c r="U78" s="301">
        <f t="shared" si="57"/>
        <v>0.08</v>
      </c>
      <c r="V78" s="301">
        <f t="shared" si="57"/>
        <v>0.08</v>
      </c>
      <c r="W78" s="301">
        <f t="shared" si="57"/>
        <v>0.08</v>
      </c>
      <c r="X78" s="301">
        <f t="shared" si="57"/>
        <v>0.08</v>
      </c>
      <c r="Y78" s="301">
        <f t="shared" si="57"/>
        <v>0.08</v>
      </c>
      <c r="Z78" s="301">
        <f t="shared" si="57"/>
        <v>0.08</v>
      </c>
      <c r="AA78" s="301">
        <f t="shared" si="57"/>
        <v>0.08</v>
      </c>
      <c r="AB78" s="301">
        <f t="shared" si="57"/>
        <v>0.08</v>
      </c>
      <c r="AC78" s="301">
        <f t="shared" si="57"/>
        <v>0.08</v>
      </c>
      <c r="AD78" s="301">
        <f t="shared" si="57"/>
        <v>0.08</v>
      </c>
      <c r="AE78" s="301">
        <f t="shared" si="57"/>
        <v>0.08</v>
      </c>
      <c r="AF78" s="301">
        <f t="shared" si="57"/>
        <v>0.08</v>
      </c>
      <c r="AG78" s="301">
        <f t="shared" si="57"/>
        <v>0.08</v>
      </c>
      <c r="AH78" s="301">
        <f t="shared" si="57"/>
        <v>0.08</v>
      </c>
      <c r="AI78" s="301">
        <f t="shared" si="57"/>
        <v>0.08</v>
      </c>
      <c r="AJ78" s="301">
        <f t="shared" si="57"/>
        <v>0.08</v>
      </c>
    </row>
    <row r="79" spans="1:36" ht="14.1" customHeight="1" x14ac:dyDescent="0.2">
      <c r="A79" s="278" t="s">
        <v>325</v>
      </c>
      <c r="H79" s="302"/>
      <c r="I79" s="302"/>
      <c r="J79" s="302"/>
      <c r="K79" s="302"/>
      <c r="L79" s="302"/>
      <c r="M79" s="303">
        <v>0</v>
      </c>
      <c r="N79" s="303">
        <v>0</v>
      </c>
      <c r="O79" s="303">
        <f>-PMT(0.08/4,20,$N$84,0)</f>
        <v>0</v>
      </c>
      <c r="P79" s="303">
        <f>-PMT(0.08/4,20,$O$84,0)</f>
        <v>0</v>
      </c>
      <c r="Q79" s="303">
        <f>-PMT(0.08/4,20,$P$84,0)</f>
        <v>122.31343625058078</v>
      </c>
      <c r="R79" s="303">
        <f t="shared" ref="R79:AJ79" si="58">-PMT(0.08/4,20,$P$84,0)</f>
        <v>122.31343625058078</v>
      </c>
      <c r="S79" s="303">
        <f t="shared" si="58"/>
        <v>122.31343625058078</v>
      </c>
      <c r="T79" s="303">
        <f t="shared" si="58"/>
        <v>122.31343625058078</v>
      </c>
      <c r="U79" s="303">
        <f t="shared" si="58"/>
        <v>122.31343625058078</v>
      </c>
      <c r="V79" s="303">
        <f t="shared" si="58"/>
        <v>122.31343625058078</v>
      </c>
      <c r="W79" s="303">
        <f t="shared" si="58"/>
        <v>122.31343625058078</v>
      </c>
      <c r="X79" s="303">
        <f t="shared" si="58"/>
        <v>122.31343625058078</v>
      </c>
      <c r="Y79" s="303">
        <f t="shared" si="58"/>
        <v>122.31343625058078</v>
      </c>
      <c r="Z79" s="303">
        <f t="shared" si="58"/>
        <v>122.31343625058078</v>
      </c>
      <c r="AA79" s="303">
        <f t="shared" si="58"/>
        <v>122.31343625058078</v>
      </c>
      <c r="AB79" s="303">
        <f t="shared" si="58"/>
        <v>122.31343625058078</v>
      </c>
      <c r="AC79" s="303">
        <f t="shared" si="58"/>
        <v>122.31343625058078</v>
      </c>
      <c r="AD79" s="303">
        <f t="shared" si="58"/>
        <v>122.31343625058078</v>
      </c>
      <c r="AE79" s="303">
        <f t="shared" si="58"/>
        <v>122.31343625058078</v>
      </c>
      <c r="AF79" s="303">
        <f t="shared" si="58"/>
        <v>122.31343625058078</v>
      </c>
      <c r="AG79" s="303">
        <f t="shared" si="58"/>
        <v>122.31343625058078</v>
      </c>
      <c r="AH79" s="303">
        <f t="shared" si="58"/>
        <v>122.31343625058078</v>
      </c>
      <c r="AI79" s="303">
        <f t="shared" si="58"/>
        <v>122.31343625058078</v>
      </c>
      <c r="AJ79" s="303">
        <f t="shared" si="58"/>
        <v>122.31343625058078</v>
      </c>
    </row>
    <row r="80" spans="1:36" ht="14.1" customHeight="1" x14ac:dyDescent="0.2">
      <c r="A80" s="278" t="s">
        <v>50</v>
      </c>
      <c r="H80" s="280">
        <v>0</v>
      </c>
      <c r="I80" s="288">
        <v>0</v>
      </c>
      <c r="J80" s="288">
        <f>J74*J78*(J77/365)</f>
        <v>0</v>
      </c>
      <c r="K80" s="288">
        <f>K74*K78*(K77/365)</f>
        <v>0</v>
      </c>
      <c r="L80" s="288">
        <f>L74*L78*(L77/365)</f>
        <v>0</v>
      </c>
      <c r="M80" s="288">
        <f t="shared" ref="M80:AJ80" si="59">AVERAGE(M74,M82)*M78*(M77/365)*$H$1</f>
        <v>0</v>
      </c>
      <c r="N80" s="288">
        <f t="shared" ca="1" si="59"/>
        <v>0</v>
      </c>
      <c r="O80" s="288">
        <f t="shared" ca="1" si="59"/>
        <v>0</v>
      </c>
      <c r="P80" s="288">
        <f t="shared" si="59"/>
        <v>0</v>
      </c>
      <c r="Q80" s="288">
        <f t="shared" ca="1" si="59"/>
        <v>39.060159099092004</v>
      </c>
      <c r="R80" s="288">
        <f t="shared" ca="1" si="59"/>
        <v>37.382929030288487</v>
      </c>
      <c r="S80" s="288">
        <f t="shared" ca="1" si="59"/>
        <v>36.067900757283169</v>
      </c>
      <c r="T80" s="288">
        <f t="shared" ca="1" si="59"/>
        <v>34.311100299985839</v>
      </c>
      <c r="U80" s="288">
        <f t="shared" ca="1" si="59"/>
        <v>31.804548167197172</v>
      </c>
      <c r="V80" s="288">
        <f t="shared" ca="1" si="59"/>
        <v>30.338089252996312</v>
      </c>
      <c r="W80" s="288">
        <f t="shared" ca="1" si="59"/>
        <v>28.801355024904737</v>
      </c>
      <c r="X80" s="288">
        <f t="shared" ca="1" si="59"/>
        <v>26.896536808860855</v>
      </c>
      <c r="Y80" s="288">
        <f t="shared" ca="1" si="59"/>
        <v>24.405059640943097</v>
      </c>
      <c r="Z80" s="288">
        <f t="shared" ca="1" si="59"/>
        <v>22.706485071240664</v>
      </c>
      <c r="AA80" s="288">
        <f t="shared" ca="1" si="59"/>
        <v>20.92957900852338</v>
      </c>
      <c r="AB80" s="288">
        <f t="shared" ca="1" si="59"/>
        <v>18.864414640922519</v>
      </c>
      <c r="AC80" s="288">
        <f t="shared" ca="1" si="59"/>
        <v>16.389268031056567</v>
      </c>
      <c r="AD80" s="288">
        <f t="shared" ca="1" si="59"/>
        <v>14.439244902809678</v>
      </c>
      <c r="AE80" s="288">
        <f t="shared" ca="1" si="59"/>
        <v>12.402163103608288</v>
      </c>
      <c r="AF80" s="288">
        <f t="shared" ca="1" si="59"/>
        <v>10.163297360328873</v>
      </c>
      <c r="AG80" s="288">
        <f t="shared" ca="1" si="59"/>
        <v>7.7923244006988543</v>
      </c>
      <c r="AH80" s="288">
        <f t="shared" ca="1" si="59"/>
        <v>5.4851689483324044</v>
      </c>
      <c r="AI80" s="288">
        <f t="shared" ca="1" si="59"/>
        <v>3.1662962178736178</v>
      </c>
      <c r="AJ80" s="288">
        <f t="shared" ca="1" si="59"/>
        <v>1.9650319019274198</v>
      </c>
    </row>
    <row r="81" spans="1:36" ht="14.1" customHeight="1" x14ac:dyDescent="0.2">
      <c r="A81" s="278" t="s">
        <v>390</v>
      </c>
      <c r="I81" s="288"/>
      <c r="J81" s="288"/>
      <c r="K81" s="288"/>
      <c r="L81" s="288"/>
      <c r="M81" s="288"/>
      <c r="N81" s="288">
        <f t="shared" ref="N81:AJ81" si="60">IF(N49&gt;0,1,0)</f>
        <v>0</v>
      </c>
      <c r="O81" s="288">
        <f t="shared" si="60"/>
        <v>0</v>
      </c>
      <c r="P81" s="288">
        <f t="shared" si="60"/>
        <v>1</v>
      </c>
      <c r="Q81" s="288">
        <f t="shared" ca="1" si="60"/>
        <v>1</v>
      </c>
      <c r="R81" s="288">
        <f t="shared" ca="1" si="60"/>
        <v>1</v>
      </c>
      <c r="S81" s="288">
        <f t="shared" ca="1" si="60"/>
        <v>1</v>
      </c>
      <c r="T81" s="288">
        <f t="shared" ca="1" si="60"/>
        <v>1</v>
      </c>
      <c r="U81" s="288">
        <f t="shared" ca="1" si="60"/>
        <v>1</v>
      </c>
      <c r="V81" s="288">
        <f t="shared" ca="1" si="60"/>
        <v>1</v>
      </c>
      <c r="W81" s="288">
        <f t="shared" ca="1" si="60"/>
        <v>1</v>
      </c>
      <c r="X81" s="288">
        <f t="shared" ca="1" si="60"/>
        <v>1</v>
      </c>
      <c r="Y81" s="288">
        <f t="shared" ca="1" si="60"/>
        <v>1</v>
      </c>
      <c r="Z81" s="288">
        <f t="shared" ca="1" si="60"/>
        <v>1</v>
      </c>
      <c r="AA81" s="288">
        <f t="shared" ca="1" si="60"/>
        <v>1</v>
      </c>
      <c r="AB81" s="288">
        <f t="shared" ca="1" si="60"/>
        <v>1</v>
      </c>
      <c r="AC81" s="288">
        <f t="shared" ca="1" si="60"/>
        <v>1</v>
      </c>
      <c r="AD81" s="288">
        <f t="shared" ca="1" si="60"/>
        <v>1</v>
      </c>
      <c r="AE81" s="288">
        <f t="shared" ca="1" si="60"/>
        <v>1</v>
      </c>
      <c r="AF81" s="288">
        <f t="shared" ca="1" si="60"/>
        <v>1</v>
      </c>
      <c r="AG81" s="288">
        <f t="shared" ca="1" si="60"/>
        <v>1</v>
      </c>
      <c r="AH81" s="288">
        <f t="shared" ca="1" si="60"/>
        <v>1</v>
      </c>
      <c r="AI81" s="288">
        <f t="shared" ca="1" si="60"/>
        <v>1</v>
      </c>
      <c r="AJ81" s="288">
        <f t="shared" ca="1" si="60"/>
        <v>1</v>
      </c>
    </row>
    <row r="82" spans="1:36" ht="14.1" customHeight="1" x14ac:dyDescent="0.2">
      <c r="A82" s="278" t="s">
        <v>51</v>
      </c>
      <c r="H82" s="280">
        <f t="shared" ref="H82:M82" si="61">+H76</f>
        <v>0</v>
      </c>
      <c r="I82" s="280">
        <f t="shared" si="61"/>
        <v>0</v>
      </c>
      <c r="J82" s="280">
        <f t="shared" si="61"/>
        <v>0</v>
      </c>
      <c r="K82" s="280">
        <f t="shared" si="61"/>
        <v>0</v>
      </c>
      <c r="L82" s="280">
        <f t="shared" si="61"/>
        <v>0</v>
      </c>
      <c r="M82" s="280">
        <f t="shared" si="61"/>
        <v>0</v>
      </c>
      <c r="N82" s="280">
        <f ca="1">+N76+IF(N81=0,N80,0)</f>
        <v>0</v>
      </c>
      <c r="O82" s="280">
        <f ca="1">+O76+IF(O81=0,O80,0)</f>
        <v>0</v>
      </c>
      <c r="P82" s="280">
        <f>+P76+IF(P81=0,P80,0)</f>
        <v>0</v>
      </c>
      <c r="Q82" s="280">
        <f t="shared" ref="Q82:AJ82" ca="1" si="62">+Q76+IF(Q81=0,Q80,0)</f>
        <v>1916.7467228485111</v>
      </c>
      <c r="R82" s="280">
        <f t="shared" ca="1" si="62"/>
        <v>1831.8162156282187</v>
      </c>
      <c r="S82" s="280">
        <f t="shared" ca="1" si="62"/>
        <v>1745.5706801349211</v>
      </c>
      <c r="T82" s="280">
        <f t="shared" ca="1" si="62"/>
        <v>1657.5683441843262</v>
      </c>
      <c r="U82" s="280">
        <f t="shared" ca="1" si="62"/>
        <v>1567.0594561009425</v>
      </c>
      <c r="V82" s="280">
        <f t="shared" ca="1" si="62"/>
        <v>1475.0841091033581</v>
      </c>
      <c r="W82" s="280">
        <f t="shared" ca="1" si="62"/>
        <v>1381.5720278776821</v>
      </c>
      <c r="X82" s="280">
        <f t="shared" ca="1" si="62"/>
        <v>1286.1551284359621</v>
      </c>
      <c r="Y82" s="280">
        <f t="shared" ca="1" si="62"/>
        <v>1188.2467518263243</v>
      </c>
      <c r="Z82" s="280">
        <f t="shared" ca="1" si="62"/>
        <v>1088.6398006469842</v>
      </c>
      <c r="AA82" s="280">
        <f t="shared" ca="1" si="62"/>
        <v>987.25594340492682</v>
      </c>
      <c r="AB82" s="280">
        <f t="shared" ca="1" si="62"/>
        <v>883.80692179526852</v>
      </c>
      <c r="AC82" s="280">
        <f t="shared" ca="1" si="62"/>
        <v>777.88275357574435</v>
      </c>
      <c r="AD82" s="280">
        <f t="shared" ca="1" si="62"/>
        <v>670.00856222797324</v>
      </c>
      <c r="AE82" s="280">
        <f t="shared" ca="1" si="62"/>
        <v>560.09728908100078</v>
      </c>
      <c r="AF82" s="280">
        <f t="shared" ca="1" si="62"/>
        <v>447.94715019074886</v>
      </c>
      <c r="AG82" s="280">
        <f t="shared" ca="1" si="62"/>
        <v>333.42603834086697</v>
      </c>
      <c r="AH82" s="280">
        <f t="shared" ca="1" si="62"/>
        <v>216.59777103861859</v>
      </c>
      <c r="AI82" s="280">
        <f t="shared" ca="1" si="62"/>
        <v>97.450631005911433</v>
      </c>
      <c r="AJ82" s="280">
        <f t="shared" ca="1" si="62"/>
        <v>97.450631005911433</v>
      </c>
    </row>
    <row r="83" spans="1:36" ht="14.1" customHeight="1" x14ac:dyDescent="0.2">
      <c r="A83" s="278" t="s">
        <v>386</v>
      </c>
      <c r="H83" s="294"/>
      <c r="I83" s="294"/>
      <c r="J83" s="294"/>
      <c r="K83" s="294"/>
      <c r="L83" s="294"/>
      <c r="M83" s="294">
        <v>0</v>
      </c>
      <c r="N83" s="294">
        <f>IF(N71=12,IF(O72='Valuation &amp; Sources &amp; Uses'!#REF!,'Valuation &amp; Sources &amp; Uses'!#REF!*'Valuation &amp; Sources &amp; Uses'!#REF!,0),0)</f>
        <v>0</v>
      </c>
      <c r="O83" s="294">
        <v>0</v>
      </c>
      <c r="P83" s="294">
        <v>0</v>
      </c>
      <c r="Q83" s="294">
        <v>0</v>
      </c>
      <c r="R83" s="294">
        <v>0</v>
      </c>
      <c r="S83" s="294">
        <v>0</v>
      </c>
      <c r="T83" s="294">
        <v>0</v>
      </c>
      <c r="U83" s="294">
        <v>0</v>
      </c>
      <c r="V83" s="294">
        <v>0</v>
      </c>
      <c r="W83" s="294">
        <v>0</v>
      </c>
      <c r="X83" s="294">
        <v>0</v>
      </c>
      <c r="Y83" s="294">
        <v>0</v>
      </c>
      <c r="Z83" s="294">
        <v>0</v>
      </c>
      <c r="AA83" s="294">
        <v>0</v>
      </c>
      <c r="AB83" s="294">
        <v>0</v>
      </c>
      <c r="AC83" s="294">
        <v>0</v>
      </c>
      <c r="AD83" s="294">
        <v>0</v>
      </c>
      <c r="AE83" s="294">
        <v>0</v>
      </c>
      <c r="AF83" s="294">
        <v>0</v>
      </c>
      <c r="AG83" s="294">
        <v>0</v>
      </c>
      <c r="AH83" s="294">
        <v>0</v>
      </c>
      <c r="AI83" s="294">
        <v>0</v>
      </c>
      <c r="AJ83" s="294">
        <v>0</v>
      </c>
    </row>
    <row r="84" spans="1:36" s="270" customFormat="1" ht="14.1" customHeight="1" x14ac:dyDescent="0.2">
      <c r="A84" s="278" t="s">
        <v>51</v>
      </c>
      <c r="H84" s="296"/>
      <c r="I84" s="296"/>
      <c r="J84" s="296"/>
      <c r="K84" s="296"/>
      <c r="L84" s="296"/>
      <c r="M84" s="297">
        <v>0</v>
      </c>
      <c r="N84" s="297">
        <v>0</v>
      </c>
      <c r="O84" s="297">
        <v>0</v>
      </c>
      <c r="P84" s="297">
        <f>'Valuation &amp; Sources &amp; Uses'!I17</f>
        <v>2000</v>
      </c>
      <c r="Q84" s="297">
        <f t="shared" ref="Q84:AJ84" ca="1" si="63">Q82+Q83</f>
        <v>1916.7467228485111</v>
      </c>
      <c r="R84" s="297">
        <f t="shared" ca="1" si="63"/>
        <v>1831.8162156282187</v>
      </c>
      <c r="S84" s="297">
        <f t="shared" ca="1" si="63"/>
        <v>1745.5706801349211</v>
      </c>
      <c r="T84" s="297">
        <f t="shared" ca="1" si="63"/>
        <v>1657.5683441843262</v>
      </c>
      <c r="U84" s="297">
        <f t="shared" ca="1" si="63"/>
        <v>1567.0594561009425</v>
      </c>
      <c r="V84" s="297">
        <f t="shared" ca="1" si="63"/>
        <v>1475.0841091033581</v>
      </c>
      <c r="W84" s="297">
        <f t="shared" ca="1" si="63"/>
        <v>1381.5720278776821</v>
      </c>
      <c r="X84" s="297">
        <f t="shared" ca="1" si="63"/>
        <v>1286.1551284359621</v>
      </c>
      <c r="Y84" s="297">
        <f t="shared" ca="1" si="63"/>
        <v>1188.2467518263243</v>
      </c>
      <c r="Z84" s="297">
        <f t="shared" ca="1" si="63"/>
        <v>1088.6398006469842</v>
      </c>
      <c r="AA84" s="297">
        <f t="shared" ca="1" si="63"/>
        <v>987.25594340492682</v>
      </c>
      <c r="AB84" s="297">
        <f t="shared" ca="1" si="63"/>
        <v>883.80692179526852</v>
      </c>
      <c r="AC84" s="297">
        <f t="shared" ca="1" si="63"/>
        <v>777.88275357574435</v>
      </c>
      <c r="AD84" s="297">
        <f t="shared" ca="1" si="63"/>
        <v>670.00856222797324</v>
      </c>
      <c r="AE84" s="297">
        <f t="shared" ca="1" si="63"/>
        <v>560.09728908100078</v>
      </c>
      <c r="AF84" s="297">
        <f t="shared" ca="1" si="63"/>
        <v>447.94715019074886</v>
      </c>
      <c r="AG84" s="297">
        <f t="shared" ca="1" si="63"/>
        <v>333.42603834086697</v>
      </c>
      <c r="AH84" s="297">
        <f t="shared" ca="1" si="63"/>
        <v>216.59777103861859</v>
      </c>
      <c r="AI84" s="297">
        <f t="shared" ca="1" si="63"/>
        <v>97.450631005911433</v>
      </c>
      <c r="AJ84" s="297">
        <f t="shared" ca="1" si="63"/>
        <v>97.450631005911433</v>
      </c>
    </row>
    <row r="85" spans="1:36" s="270" customFormat="1" ht="14.1" customHeight="1" x14ac:dyDescent="0.2">
      <c r="H85" s="296"/>
      <c r="I85" s="296"/>
      <c r="J85" s="296"/>
      <c r="K85" s="296"/>
      <c r="L85" s="296"/>
      <c r="M85" s="296"/>
      <c r="N85" s="296"/>
      <c r="O85" s="296"/>
      <c r="P85" s="296"/>
      <c r="Q85" s="296"/>
      <c r="R85" s="296"/>
      <c r="S85" s="296"/>
      <c r="T85" s="296"/>
      <c r="U85" s="296"/>
      <c r="V85" s="296"/>
      <c r="W85" s="296"/>
      <c r="X85" s="296"/>
      <c r="Y85" s="296"/>
      <c r="Z85" s="296"/>
      <c r="AA85" s="296"/>
      <c r="AB85" s="296"/>
      <c r="AC85" s="296"/>
      <c r="AD85" s="296"/>
      <c r="AE85" s="296"/>
      <c r="AF85" s="296"/>
      <c r="AG85" s="296"/>
      <c r="AH85" s="296"/>
      <c r="AI85" s="296"/>
      <c r="AJ85" s="296"/>
    </row>
    <row r="86" spans="1:36" s="270" customFormat="1" ht="14.1" customHeight="1" x14ac:dyDescent="0.2">
      <c r="H86" s="296"/>
      <c r="I86" s="296"/>
      <c r="J86" s="296"/>
      <c r="K86" s="296"/>
      <c r="L86" s="296"/>
      <c r="M86" s="296"/>
      <c r="N86" s="296"/>
      <c r="O86" s="296"/>
      <c r="P86" s="296"/>
      <c r="Q86" s="296"/>
      <c r="R86" s="296"/>
      <c r="S86" s="296"/>
      <c r="T86" s="296"/>
      <c r="U86" s="296"/>
      <c r="V86" s="296"/>
      <c r="W86" s="296"/>
      <c r="X86" s="296"/>
      <c r="Y86" s="296"/>
      <c r="Z86" s="296"/>
      <c r="AA86" s="296"/>
      <c r="AB86" s="296"/>
      <c r="AC86" s="296"/>
      <c r="AD86" s="296"/>
      <c r="AE86" s="296"/>
      <c r="AF86" s="296"/>
      <c r="AG86" s="296"/>
      <c r="AH86" s="296"/>
      <c r="AI86" s="296"/>
      <c r="AJ86" s="296"/>
    </row>
    <row r="87" spans="1:36" ht="14.1" customHeight="1" x14ac:dyDescent="0.2">
      <c r="B87" s="279" t="s">
        <v>320</v>
      </c>
      <c r="M87" s="281"/>
      <c r="N87" s="281"/>
      <c r="O87" s="281">
        <v>0</v>
      </c>
      <c r="P87" s="281">
        <f ca="1">P69</f>
        <v>0</v>
      </c>
      <c r="Q87" s="281">
        <f t="shared" ref="Q87:AJ87" ca="1" si="64">Q69</f>
        <v>0</v>
      </c>
      <c r="R87" s="281">
        <f t="shared" ca="1" si="64"/>
        <v>0</v>
      </c>
      <c r="S87" s="281">
        <f t="shared" ca="1" si="64"/>
        <v>0</v>
      </c>
      <c r="T87" s="281">
        <f t="shared" ca="1" si="64"/>
        <v>0</v>
      </c>
      <c r="U87" s="281">
        <f t="shared" ca="1" si="64"/>
        <v>0</v>
      </c>
      <c r="V87" s="281">
        <f t="shared" ca="1" si="64"/>
        <v>0</v>
      </c>
      <c r="W87" s="281">
        <f t="shared" ca="1" si="64"/>
        <v>0</v>
      </c>
      <c r="X87" s="281">
        <f t="shared" ca="1" si="64"/>
        <v>0</v>
      </c>
      <c r="Y87" s="281">
        <f t="shared" ca="1" si="64"/>
        <v>0</v>
      </c>
      <c r="Z87" s="281">
        <f t="shared" ca="1" si="64"/>
        <v>0</v>
      </c>
      <c r="AA87" s="281">
        <f t="shared" ca="1" si="64"/>
        <v>0</v>
      </c>
      <c r="AB87" s="281">
        <f t="shared" ca="1" si="64"/>
        <v>0</v>
      </c>
      <c r="AC87" s="281">
        <f t="shared" ca="1" si="64"/>
        <v>0</v>
      </c>
      <c r="AD87" s="281">
        <f t="shared" ca="1" si="64"/>
        <v>0</v>
      </c>
      <c r="AE87" s="281">
        <f t="shared" ca="1" si="64"/>
        <v>0</v>
      </c>
      <c r="AF87" s="281">
        <f t="shared" ca="1" si="64"/>
        <v>0</v>
      </c>
      <c r="AG87" s="281">
        <f t="shared" ca="1" si="64"/>
        <v>0</v>
      </c>
      <c r="AH87" s="281">
        <f t="shared" ca="1" si="64"/>
        <v>0</v>
      </c>
      <c r="AI87" s="281">
        <f t="shared" ca="1" si="64"/>
        <v>0</v>
      </c>
      <c r="AJ87" s="281">
        <f t="shared" ca="1" si="64"/>
        <v>0</v>
      </c>
    </row>
    <row r="88" spans="1:36" s="270" customFormat="1" ht="14.1" customHeight="1" x14ac:dyDescent="0.2">
      <c r="H88" s="296"/>
      <c r="I88" s="296"/>
      <c r="J88" s="296"/>
      <c r="K88" s="296"/>
      <c r="L88" s="296"/>
      <c r="M88" s="296"/>
      <c r="N88" s="296"/>
      <c r="O88" s="296"/>
      <c r="P88" s="296"/>
      <c r="Q88" s="296"/>
      <c r="R88" s="296"/>
      <c r="S88" s="296"/>
      <c r="T88" s="296"/>
      <c r="U88" s="296"/>
      <c r="V88" s="296"/>
      <c r="W88" s="296"/>
      <c r="X88" s="296"/>
      <c r="Y88" s="296"/>
      <c r="Z88" s="296"/>
      <c r="AA88" s="296"/>
      <c r="AB88" s="296"/>
      <c r="AC88" s="296"/>
      <c r="AD88" s="296"/>
      <c r="AE88" s="296"/>
      <c r="AF88" s="296"/>
      <c r="AG88" s="296"/>
      <c r="AH88" s="296"/>
      <c r="AI88" s="296"/>
      <c r="AJ88" s="296"/>
    </row>
    <row r="89" spans="1:36" ht="12.75" customHeight="1" x14ac:dyDescent="0.2">
      <c r="C89" s="278" t="s">
        <v>227</v>
      </c>
      <c r="M89" s="305">
        <v>0</v>
      </c>
      <c r="N89" s="305">
        <v>0</v>
      </c>
      <c r="O89" s="305">
        <v>0</v>
      </c>
      <c r="P89" s="305">
        <f t="shared" ref="P89:AJ89" ca="1" si="65">IF(P87&lt;0,0,1)</f>
        <v>1</v>
      </c>
      <c r="Q89" s="305">
        <f t="shared" ca="1" si="65"/>
        <v>1</v>
      </c>
      <c r="R89" s="305">
        <f t="shared" ca="1" si="65"/>
        <v>1</v>
      </c>
      <c r="S89" s="305">
        <f t="shared" ca="1" si="65"/>
        <v>1</v>
      </c>
      <c r="T89" s="305">
        <f t="shared" ca="1" si="65"/>
        <v>1</v>
      </c>
      <c r="U89" s="305">
        <f t="shared" ca="1" si="65"/>
        <v>1</v>
      </c>
      <c r="V89" s="305">
        <f t="shared" ca="1" si="65"/>
        <v>1</v>
      </c>
      <c r="W89" s="305">
        <f t="shared" ca="1" si="65"/>
        <v>1</v>
      </c>
      <c r="X89" s="305">
        <f t="shared" ca="1" si="65"/>
        <v>1</v>
      </c>
      <c r="Y89" s="305">
        <f t="shared" ca="1" si="65"/>
        <v>1</v>
      </c>
      <c r="Z89" s="305">
        <f t="shared" ca="1" si="65"/>
        <v>1</v>
      </c>
      <c r="AA89" s="305">
        <f t="shared" ca="1" si="65"/>
        <v>1</v>
      </c>
      <c r="AB89" s="305">
        <f t="shared" ca="1" si="65"/>
        <v>1</v>
      </c>
      <c r="AC89" s="305">
        <f t="shared" ca="1" si="65"/>
        <v>1</v>
      </c>
      <c r="AD89" s="305">
        <f t="shared" ca="1" si="65"/>
        <v>1</v>
      </c>
      <c r="AE89" s="305">
        <f t="shared" ca="1" si="65"/>
        <v>1</v>
      </c>
      <c r="AF89" s="305">
        <f t="shared" ca="1" si="65"/>
        <v>1</v>
      </c>
      <c r="AG89" s="305">
        <f t="shared" ca="1" si="65"/>
        <v>1</v>
      </c>
      <c r="AH89" s="305">
        <f t="shared" ca="1" si="65"/>
        <v>1</v>
      </c>
      <c r="AI89" s="305">
        <f t="shared" ca="1" si="65"/>
        <v>1</v>
      </c>
      <c r="AJ89" s="305">
        <f t="shared" ca="1" si="65"/>
        <v>1</v>
      </c>
    </row>
    <row r="90" spans="1:36" ht="12.75" customHeight="1" x14ac:dyDescent="0.2">
      <c r="B90" s="279" t="s">
        <v>256</v>
      </c>
      <c r="M90" s="280">
        <f>M87</f>
        <v>0</v>
      </c>
      <c r="N90" s="280">
        <f t="shared" ref="N90:AJ90" si="66">N87</f>
        <v>0</v>
      </c>
      <c r="O90" s="280">
        <f t="shared" si="66"/>
        <v>0</v>
      </c>
      <c r="P90" s="280">
        <f t="shared" ca="1" si="66"/>
        <v>0</v>
      </c>
      <c r="Q90" s="280">
        <f t="shared" ca="1" si="66"/>
        <v>0</v>
      </c>
      <c r="R90" s="280">
        <f t="shared" ca="1" si="66"/>
        <v>0</v>
      </c>
      <c r="S90" s="280">
        <f t="shared" ca="1" si="66"/>
        <v>0</v>
      </c>
      <c r="T90" s="280">
        <f t="shared" ca="1" si="66"/>
        <v>0</v>
      </c>
      <c r="U90" s="280">
        <f t="shared" ca="1" si="66"/>
        <v>0</v>
      </c>
      <c r="V90" s="280">
        <f t="shared" ca="1" si="66"/>
        <v>0</v>
      </c>
      <c r="W90" s="280">
        <f t="shared" ca="1" si="66"/>
        <v>0</v>
      </c>
      <c r="X90" s="280">
        <f t="shared" ca="1" si="66"/>
        <v>0</v>
      </c>
      <c r="Y90" s="280">
        <f t="shared" ca="1" si="66"/>
        <v>0</v>
      </c>
      <c r="Z90" s="280">
        <f t="shared" ca="1" si="66"/>
        <v>0</v>
      </c>
      <c r="AA90" s="280">
        <f t="shared" ca="1" si="66"/>
        <v>0</v>
      </c>
      <c r="AB90" s="280">
        <f t="shared" ca="1" si="66"/>
        <v>0</v>
      </c>
      <c r="AC90" s="280">
        <f t="shared" ca="1" si="66"/>
        <v>0</v>
      </c>
      <c r="AD90" s="280">
        <f t="shared" ca="1" si="66"/>
        <v>0</v>
      </c>
      <c r="AE90" s="280">
        <f t="shared" ca="1" si="66"/>
        <v>0</v>
      </c>
      <c r="AF90" s="280">
        <f t="shared" ca="1" si="66"/>
        <v>0</v>
      </c>
      <c r="AG90" s="280">
        <f t="shared" ca="1" si="66"/>
        <v>0</v>
      </c>
      <c r="AH90" s="280">
        <f t="shared" ca="1" si="66"/>
        <v>0</v>
      </c>
      <c r="AI90" s="280">
        <f t="shared" ca="1" si="66"/>
        <v>0</v>
      </c>
      <c r="AJ90" s="280">
        <f t="shared" ca="1" si="66"/>
        <v>0</v>
      </c>
    </row>
    <row r="91" spans="1:36" ht="12.75" customHeight="1" x14ac:dyDescent="0.2">
      <c r="D91" s="278" t="s">
        <v>224</v>
      </c>
      <c r="M91" s="306">
        <v>1</v>
      </c>
      <c r="N91" s="306">
        <v>1</v>
      </c>
      <c r="O91" s="306">
        <v>1</v>
      </c>
      <c r="P91" s="306">
        <v>1</v>
      </c>
      <c r="Q91" s="306">
        <v>1</v>
      </c>
      <c r="R91" s="306">
        <v>1</v>
      </c>
      <c r="S91" s="306">
        <v>1</v>
      </c>
      <c r="T91" s="306">
        <v>1</v>
      </c>
      <c r="U91" s="306">
        <v>1</v>
      </c>
      <c r="V91" s="306">
        <v>1</v>
      </c>
      <c r="W91" s="306">
        <v>1</v>
      </c>
      <c r="X91" s="306">
        <v>1</v>
      </c>
      <c r="Y91" s="306">
        <v>1</v>
      </c>
      <c r="Z91" s="306">
        <v>1</v>
      </c>
      <c r="AA91" s="306">
        <v>1</v>
      </c>
      <c r="AB91" s="306">
        <v>1</v>
      </c>
      <c r="AC91" s="306">
        <v>1</v>
      </c>
      <c r="AD91" s="306">
        <v>1</v>
      </c>
      <c r="AE91" s="306">
        <v>1</v>
      </c>
      <c r="AF91" s="306">
        <v>1</v>
      </c>
      <c r="AG91" s="306">
        <v>1</v>
      </c>
      <c r="AH91" s="306">
        <v>1</v>
      </c>
      <c r="AI91" s="306">
        <v>1</v>
      </c>
      <c r="AJ91" s="306">
        <v>1</v>
      </c>
    </row>
    <row r="92" spans="1:36" ht="12.75" customHeight="1" x14ac:dyDescent="0.2">
      <c r="E92" s="278" t="s">
        <v>225</v>
      </c>
      <c r="O92" s="280">
        <f ca="1">-SOCF!G36</f>
        <v>0</v>
      </c>
      <c r="P92" s="288">
        <f ca="1">P90*P91*P89</f>
        <v>0</v>
      </c>
      <c r="Q92" s="288">
        <f t="shared" ref="Q92:AJ92" ca="1" si="67">Q90*Q91*Q89</f>
        <v>0</v>
      </c>
      <c r="R92" s="288">
        <f t="shared" ca="1" si="67"/>
        <v>0</v>
      </c>
      <c r="S92" s="288">
        <f t="shared" ca="1" si="67"/>
        <v>0</v>
      </c>
      <c r="T92" s="288">
        <f t="shared" ca="1" si="67"/>
        <v>0</v>
      </c>
      <c r="U92" s="288">
        <f t="shared" ca="1" si="67"/>
        <v>0</v>
      </c>
      <c r="V92" s="288">
        <f t="shared" ca="1" si="67"/>
        <v>0</v>
      </c>
      <c r="W92" s="288">
        <f t="shared" ca="1" si="67"/>
        <v>0</v>
      </c>
      <c r="X92" s="288">
        <f t="shared" ca="1" si="67"/>
        <v>0</v>
      </c>
      <c r="Y92" s="288">
        <f t="shared" ca="1" si="67"/>
        <v>0</v>
      </c>
      <c r="Z92" s="288">
        <f t="shared" ca="1" si="67"/>
        <v>0</v>
      </c>
      <c r="AA92" s="288">
        <f t="shared" ca="1" si="67"/>
        <v>0</v>
      </c>
      <c r="AB92" s="288">
        <f t="shared" ca="1" si="67"/>
        <v>0</v>
      </c>
      <c r="AC92" s="288">
        <f t="shared" ca="1" si="67"/>
        <v>0</v>
      </c>
      <c r="AD92" s="288">
        <f t="shared" ca="1" si="67"/>
        <v>0</v>
      </c>
      <c r="AE92" s="288">
        <f t="shared" ca="1" si="67"/>
        <v>0</v>
      </c>
      <c r="AF92" s="288">
        <f t="shared" ca="1" si="67"/>
        <v>0</v>
      </c>
      <c r="AG92" s="288">
        <f t="shared" ca="1" si="67"/>
        <v>0</v>
      </c>
      <c r="AH92" s="288">
        <f t="shared" ca="1" si="67"/>
        <v>0</v>
      </c>
      <c r="AI92" s="288">
        <f t="shared" ca="1" si="67"/>
        <v>0</v>
      </c>
      <c r="AJ92" s="288">
        <f t="shared" ca="1" si="67"/>
        <v>0</v>
      </c>
    </row>
    <row r="93" spans="1:36" ht="12.75" customHeight="1" x14ac:dyDescent="0.2"/>
    <row r="94" spans="1:36" ht="12.75" customHeight="1" x14ac:dyDescent="0.2"/>
    <row r="95" spans="1:36" ht="12.75" customHeight="1" x14ac:dyDescent="0.2"/>
    <row r="96" spans="1:3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1:32" ht="12.75" customHeight="1" x14ac:dyDescent="0.2"/>
    <row r="118" spans="1:32" ht="14.1" hidden="1" customHeight="1" outlineLevel="1" x14ac:dyDescent="0.2">
      <c r="A118" s="279" t="s">
        <v>136</v>
      </c>
      <c r="J118" s="307" t="e">
        <f>#REF!-#REF!+#REF!-#REF!</f>
        <v>#REF!</v>
      </c>
      <c r="K118" s="307" t="e">
        <f>#REF!-#REF!+#REF!-#REF!</f>
        <v>#REF!</v>
      </c>
      <c r="L118" s="307" t="e">
        <f>#REF!-#REF!+#REF!-#REF!</f>
        <v>#REF!</v>
      </c>
      <c r="M118" s="307" t="e">
        <f>#REF!-#REF!+#REF!-#REF!</f>
        <v>#REF!</v>
      </c>
      <c r="N118" s="307" t="e">
        <f>#REF!-#REF!+#REF!-#REF!</f>
        <v>#REF!</v>
      </c>
      <c r="O118" s="307" t="e">
        <f>#REF!-#REF!+#REF!-#REF!</f>
        <v>#REF!</v>
      </c>
      <c r="P118" s="307" t="e">
        <f>#REF!-#REF!+#REF!-#REF!</f>
        <v>#REF!</v>
      </c>
      <c r="Q118" s="307" t="e">
        <f>#REF!-#REF!+#REF!-#REF!</f>
        <v>#REF!</v>
      </c>
      <c r="R118" s="307" t="e">
        <f>#REF!-#REF!+#REF!-#REF!</f>
        <v>#REF!</v>
      </c>
      <c r="S118" s="307" t="e">
        <f>#REF!-#REF!+#REF!-#REF!</f>
        <v>#REF!</v>
      </c>
      <c r="T118" s="307" t="e">
        <f>#REF!-#REF!+#REF!-#REF!</f>
        <v>#REF!</v>
      </c>
      <c r="U118" s="307" t="e">
        <f>#REF!-#REF!+#REF!-#REF!</f>
        <v>#REF!</v>
      </c>
      <c r="V118" s="307" t="e">
        <f>#REF!-#REF!+#REF!-#REF!</f>
        <v>#REF!</v>
      </c>
      <c r="W118" s="307" t="e">
        <f>#REF!-#REF!+#REF!-#REF!</f>
        <v>#REF!</v>
      </c>
      <c r="X118" s="307" t="e">
        <f>#REF!-#REF!+#REF!-#REF!</f>
        <v>#REF!</v>
      </c>
      <c r="Y118" s="307" t="e">
        <f>#REF!-#REF!+#REF!-#REF!</f>
        <v>#REF!</v>
      </c>
      <c r="Z118" s="307" t="e">
        <f>#REF!-#REF!+#REF!-#REF!</f>
        <v>#REF!</v>
      </c>
      <c r="AA118" s="307" t="e">
        <f>#REF!-#REF!+#REF!-#REF!</f>
        <v>#REF!</v>
      </c>
      <c r="AB118" s="307" t="e">
        <f>#REF!-#REF!+#REF!-#REF!</f>
        <v>#REF!</v>
      </c>
      <c r="AC118" s="307" t="e">
        <f>#REF!-#REF!+#REF!-#REF!</f>
        <v>#REF!</v>
      </c>
      <c r="AD118" s="307" t="e">
        <f>#REF!-#REF!+#REF!-#REF!</f>
        <v>#REF!</v>
      </c>
      <c r="AE118" s="307" t="e">
        <f>#REF!-#REF!+#REF!-#REF!</f>
        <v>#REF!</v>
      </c>
      <c r="AF118" s="307" t="e">
        <f>#REF!-#REF!+#REF!-#REF!</f>
        <v>#REF!</v>
      </c>
    </row>
    <row r="119" spans="1:32" ht="14.1" hidden="1" customHeight="1" outlineLevel="1" x14ac:dyDescent="0.2">
      <c r="A119" s="279" t="s">
        <v>134</v>
      </c>
      <c r="M119" s="307">
        <f ca="1">SUM('Summary Income Statement'!I57:L57)</f>
        <v>5897.7490978984606</v>
      </c>
      <c r="N119" s="307">
        <f ca="1">SUM('Summary Income Statement'!J57:M57)</f>
        <v>5903.8292407239751</v>
      </c>
      <c r="O119" s="307">
        <f ca="1">SUM('Summary Income Statement'!K57:N57)</f>
        <v>5759.1332985283698</v>
      </c>
      <c r="P119" s="307">
        <f ca="1">SUM('Summary Income Statement'!L57:O57)</f>
        <v>5923.2598484962273</v>
      </c>
      <c r="Q119" s="307">
        <f ca="1">SUM('Summary Income Statement'!M57:P57)</f>
        <v>6054.4694059638314</v>
      </c>
      <c r="R119" s="307">
        <f ca="1">SUM('Summary Income Statement'!N57:Q57)</f>
        <v>6194.6867095814032</v>
      </c>
      <c r="S119" s="307">
        <f ca="1">SUM('Summary Income Statement'!O57:R57)</f>
        <v>6359.7567435000619</v>
      </c>
      <c r="T119" s="307">
        <f ca="1">SUM('Summary Income Statement'!P57:S57)</f>
        <v>6703.1750669766971</v>
      </c>
      <c r="U119" s="307">
        <f ca="1">SUM('Summary Income Statement'!Q57:T57)</f>
        <v>6839.3566138661163</v>
      </c>
      <c r="V119" s="307">
        <f ca="1">SUM('Summary Income Statement'!R57:U57)</f>
        <v>6995.1147402814795</v>
      </c>
      <c r="W119" s="307">
        <f ca="1">SUM('Summary Income Statement'!S57:V57)</f>
        <v>7178.1965152298353</v>
      </c>
      <c r="X119" s="307">
        <f ca="1">SUM('Summary Income Statement'!T57:W57)</f>
        <v>7557.3206650660868</v>
      </c>
      <c r="Y119" s="307">
        <f ca="1">SUM('Summary Income Statement'!U57:X57)</f>
        <v>7662.5488946093928</v>
      </c>
      <c r="Z119" s="307">
        <f ca="1">SUM('Summary Income Statement'!V57:Y57)</f>
        <v>7786.0065947300245</v>
      </c>
      <c r="AA119" s="307">
        <f ca="1">SUM('Summary Income Statement'!W57:Z57)</f>
        <v>7932.4573878607753</v>
      </c>
      <c r="AB119" s="307">
        <f ca="1">SUM('Summary Income Statement'!X57:AA57)</f>
        <v>8244.3799466391865</v>
      </c>
      <c r="AC119" s="307">
        <f ca="1">SUM('Summary Income Statement'!Y57:AA57)</f>
        <v>7081.5289364539567</v>
      </c>
      <c r="AD119" s="307">
        <f ca="1">SUM('Summary Income Statement'!Z57:AA57)</f>
        <v>5672.5800734748773</v>
      </c>
      <c r="AE119" s="307">
        <f ca="1">SUM('Summary Income Statement'!AA57:AA57)</f>
        <v>3953.2244548591552</v>
      </c>
      <c r="AF119" s="307" t="e">
        <f>SUM('Summary Income Statement'!#REF!)</f>
        <v>#REF!</v>
      </c>
    </row>
    <row r="120" spans="1:32" ht="14.1" hidden="1" customHeight="1" outlineLevel="1" x14ac:dyDescent="0.2">
      <c r="A120" s="279" t="s">
        <v>135</v>
      </c>
      <c r="M120" s="308" t="e">
        <f ca="1">M118/M119</f>
        <v>#REF!</v>
      </c>
      <c r="N120" s="308" t="e">
        <f t="shared" ref="N120:AB120" ca="1" si="68">N118/N119</f>
        <v>#REF!</v>
      </c>
      <c r="O120" s="308" t="e">
        <f t="shared" ca="1" si="68"/>
        <v>#REF!</v>
      </c>
      <c r="P120" s="308" t="e">
        <f t="shared" ca="1" si="68"/>
        <v>#REF!</v>
      </c>
      <c r="Q120" s="308" t="e">
        <f t="shared" ca="1" si="68"/>
        <v>#REF!</v>
      </c>
      <c r="R120" s="308" t="e">
        <f t="shared" ca="1" si="68"/>
        <v>#REF!</v>
      </c>
      <c r="S120" s="308" t="e">
        <f t="shared" ca="1" si="68"/>
        <v>#REF!</v>
      </c>
      <c r="T120" s="308" t="e">
        <f t="shared" ca="1" si="68"/>
        <v>#REF!</v>
      </c>
      <c r="U120" s="308" t="e">
        <f t="shared" ca="1" si="68"/>
        <v>#REF!</v>
      </c>
      <c r="V120" s="308" t="e">
        <f t="shared" ca="1" si="68"/>
        <v>#REF!</v>
      </c>
      <c r="W120" s="308" t="e">
        <f t="shared" ca="1" si="68"/>
        <v>#REF!</v>
      </c>
      <c r="X120" s="308" t="e">
        <f t="shared" ca="1" si="68"/>
        <v>#REF!</v>
      </c>
      <c r="Y120" s="308" t="e">
        <f t="shared" ca="1" si="68"/>
        <v>#REF!</v>
      </c>
      <c r="Z120" s="308" t="e">
        <f t="shared" ca="1" si="68"/>
        <v>#REF!</v>
      </c>
      <c r="AA120" s="308" t="e">
        <f t="shared" ca="1" si="68"/>
        <v>#REF!</v>
      </c>
      <c r="AB120" s="308" t="e">
        <f t="shared" ca="1" si="68"/>
        <v>#REF!</v>
      </c>
      <c r="AC120" s="308" t="e">
        <f ca="1">AC118/AC119</f>
        <v>#REF!</v>
      </c>
      <c r="AD120" s="308" t="e">
        <f ca="1">AD118/AD119</f>
        <v>#REF!</v>
      </c>
      <c r="AE120" s="308" t="e">
        <f ca="1">AE118/AE119</f>
        <v>#REF!</v>
      </c>
      <c r="AF120" s="308" t="e">
        <f>AF118/AF119</f>
        <v>#REF!</v>
      </c>
    </row>
    <row r="121" spans="1:32" ht="14.1" hidden="1" customHeight="1" outlineLevel="1" x14ac:dyDescent="0.2"/>
    <row r="122" spans="1:32" ht="14.1" hidden="1" customHeight="1" outlineLevel="1" x14ac:dyDescent="0.2">
      <c r="A122" s="278" t="s">
        <v>193</v>
      </c>
      <c r="M122" s="280" t="e">
        <f>SUM('Summary Income Statement'!#REF!)</f>
        <v>#REF!</v>
      </c>
      <c r="N122" s="280" t="e">
        <f>SUM('Summary Income Statement'!#REF!)</f>
        <v>#REF!</v>
      </c>
      <c r="O122" s="280" t="e">
        <f>SUM('Summary Income Statement'!#REF!)</f>
        <v>#REF!</v>
      </c>
      <c r="P122" s="280" t="e">
        <f>SUM('Summary Income Statement'!#REF!)</f>
        <v>#REF!</v>
      </c>
      <c r="Q122" s="280" t="e">
        <f>SUM('Summary Income Statement'!#REF!)</f>
        <v>#REF!</v>
      </c>
      <c r="R122" s="280" t="e">
        <f>SUM('Summary Income Statement'!#REF!)</f>
        <v>#REF!</v>
      </c>
      <c r="S122" s="280" t="e">
        <f>SUM('Summary Income Statement'!#REF!)</f>
        <v>#REF!</v>
      </c>
      <c r="T122" s="280" t="e">
        <f>SUM('Summary Income Statement'!#REF!)</f>
        <v>#REF!</v>
      </c>
      <c r="U122" s="280" t="e">
        <f>SUM('Summary Income Statement'!#REF!)</f>
        <v>#REF!</v>
      </c>
      <c r="V122" s="280" t="e">
        <f>SUM('Summary Income Statement'!#REF!)</f>
        <v>#REF!</v>
      </c>
      <c r="W122" s="280" t="e">
        <f>SUM('Summary Income Statement'!#REF!)</f>
        <v>#REF!</v>
      </c>
      <c r="X122" s="280" t="e">
        <f>SUM('Summary Income Statement'!#REF!)</f>
        <v>#REF!</v>
      </c>
      <c r="Y122" s="280" t="e">
        <f>SUM('Summary Income Statement'!#REF!)</f>
        <v>#REF!</v>
      </c>
      <c r="Z122" s="280" t="e">
        <f>SUM('Summary Income Statement'!#REF!)</f>
        <v>#REF!</v>
      </c>
      <c r="AA122" s="280" t="e">
        <f>SUM('Summary Income Statement'!#REF!)</f>
        <v>#REF!</v>
      </c>
      <c r="AB122" s="280" t="e">
        <f>SUM('Summary Income Statement'!#REF!)</f>
        <v>#REF!</v>
      </c>
      <c r="AC122" s="280" t="e">
        <f>SUM('Summary Income Statement'!#REF!)</f>
        <v>#REF!</v>
      </c>
      <c r="AD122" s="280" t="e">
        <f>SUM('Summary Income Statement'!#REF!)</f>
        <v>#REF!</v>
      </c>
      <c r="AE122" s="280" t="e">
        <f>SUM('Summary Income Statement'!#REF!)</f>
        <v>#REF!</v>
      </c>
      <c r="AF122" s="280" t="e">
        <f>SUM('Summary Income Statement'!#REF!)</f>
        <v>#REF!</v>
      </c>
    </row>
    <row r="123" spans="1:32" ht="14.1" hidden="1" customHeight="1" outlineLevel="1" x14ac:dyDescent="0.2">
      <c r="A123" s="278" t="s">
        <v>194</v>
      </c>
      <c r="M123" s="280" t="e">
        <f>SUM(#REF!,#REF!,#REF!)</f>
        <v>#REF!</v>
      </c>
      <c r="N123" s="280" t="e">
        <f>SUM(#REF!,#REF!,#REF!)</f>
        <v>#REF!</v>
      </c>
      <c r="O123" s="280" t="e">
        <f>SUM(#REF!,#REF!,#REF!)</f>
        <v>#REF!</v>
      </c>
      <c r="P123" s="280" t="e">
        <f>SUM(#REF!,#REF!,#REF!)</f>
        <v>#REF!</v>
      </c>
      <c r="Q123" s="280" t="e">
        <f>SUM(#REF!,#REF!,#REF!)</f>
        <v>#REF!</v>
      </c>
      <c r="R123" s="280" t="e">
        <f>SUM(#REF!,#REF!,#REF!)</f>
        <v>#REF!</v>
      </c>
      <c r="S123" s="280" t="e">
        <f>SUM(#REF!,#REF!,#REF!)</f>
        <v>#REF!</v>
      </c>
      <c r="T123" s="280" t="e">
        <f>SUM(#REF!,#REF!,#REF!)</f>
        <v>#REF!</v>
      </c>
      <c r="U123" s="280" t="e">
        <f>SUM(#REF!,#REF!,#REF!)</f>
        <v>#REF!</v>
      </c>
      <c r="V123" s="280" t="e">
        <f>SUM(#REF!,#REF!,#REF!)</f>
        <v>#REF!</v>
      </c>
      <c r="W123" s="280" t="e">
        <f>SUM(#REF!,#REF!,#REF!)</f>
        <v>#REF!</v>
      </c>
      <c r="X123" s="280" t="e">
        <f>SUM(#REF!,#REF!,#REF!)</f>
        <v>#REF!</v>
      </c>
      <c r="Y123" s="280" t="e">
        <f>SUM(#REF!,#REF!,#REF!)</f>
        <v>#REF!</v>
      </c>
      <c r="Z123" s="280" t="e">
        <f>SUM(#REF!,#REF!,#REF!)</f>
        <v>#REF!</v>
      </c>
      <c r="AA123" s="280" t="e">
        <f>SUM(#REF!,#REF!,#REF!)</f>
        <v>#REF!</v>
      </c>
      <c r="AB123" s="280" t="e">
        <f>SUM(#REF!,#REF!,#REF!)</f>
        <v>#REF!</v>
      </c>
      <c r="AC123" s="280" t="e">
        <f>SUM(#REF!,#REF!,#REF!)</f>
        <v>#REF!</v>
      </c>
      <c r="AD123" s="280" t="e">
        <f>SUM(#REF!,#REF!,#REF!)</f>
        <v>#REF!</v>
      </c>
      <c r="AE123" s="280" t="e">
        <f>SUM(#REF!,#REF!,#REF!)</f>
        <v>#REF!</v>
      </c>
      <c r="AF123" s="280" t="e">
        <f>SUM(#REF!,#REF!,#REF!)</f>
        <v>#REF!</v>
      </c>
    </row>
    <row r="124" spans="1:32" ht="14.1" hidden="1" customHeight="1" outlineLevel="1" x14ac:dyDescent="0.2">
      <c r="A124" s="278" t="s">
        <v>195</v>
      </c>
      <c r="M124" s="280" t="e">
        <f>-SUM(SOCF!#REF!)</f>
        <v>#REF!</v>
      </c>
      <c r="N124" s="280" t="e">
        <f>-SUM(SOCF!#REF!)</f>
        <v>#REF!</v>
      </c>
      <c r="O124" s="280">
        <f>-SUM(SOCF!G35:G35)</f>
        <v>0</v>
      </c>
      <c r="P124" s="280">
        <f>-SUM(SOCF!G35:H35)</f>
        <v>0</v>
      </c>
      <c r="Q124" s="280">
        <f>-SUM(SOCF!G35:I35)</f>
        <v>0</v>
      </c>
      <c r="R124" s="280">
        <f ca="1">-SUM(SOCF!G35:J35)</f>
        <v>0</v>
      </c>
      <c r="S124" s="280">
        <f ca="1">-SUM(SOCF!H35:K35)</f>
        <v>0</v>
      </c>
      <c r="T124" s="280">
        <f ca="1">-SUM(SOCF!I35:L35)</f>
        <v>13.815026401876594</v>
      </c>
      <c r="U124" s="280">
        <f ca="1">-SUM(SOCF!J35:M35)</f>
        <v>880.41423958451423</v>
      </c>
      <c r="V124" s="280">
        <f ca="1">-SUM(SOCF!K35:N35)</f>
        <v>903.98701360809696</v>
      </c>
      <c r="W124" s="280">
        <f ca="1">-SUM(SOCF!L35:O35)</f>
        <v>1023.3008929717108</v>
      </c>
      <c r="X124" s="280">
        <f ca="1">-SUM(SOCF!M35:P35)</f>
        <v>1242.0560082091849</v>
      </c>
      <c r="Y124" s="280">
        <f ca="1">-SUM(SOCF!N35:Q35)</f>
        <v>1450.9914664447881</v>
      </c>
      <c r="Z124" s="280">
        <f ca="1">-SUM(SOCF!O35:R35)</f>
        <v>1496.578869075757</v>
      </c>
      <c r="AA124" s="280">
        <f ca="1">-SUM(SOCF!P35:S35)</f>
        <v>1551.5450881955762</v>
      </c>
      <c r="AB124" s="280">
        <f ca="1">-SUM(SOCF!Q35:T35)</f>
        <v>1619.1752310543254</v>
      </c>
      <c r="AC124" s="280">
        <f ca="1">-SUM(SOCF!R35:U35)</f>
        <v>1775.6295690718734</v>
      </c>
      <c r="AD124" s="280">
        <f ca="1">-SUM(SOCF!S35:V35)</f>
        <v>1878.9397629709292</v>
      </c>
      <c r="AE124" s="280">
        <f ca="1">-SUM(SOCF!T35:W35)</f>
        <v>1990.916470233419</v>
      </c>
      <c r="AF124" s="280">
        <f ca="1">-SUM(SOCF!U35:X35)</f>
        <v>2113.2269245301504</v>
      </c>
    </row>
    <row r="125" spans="1:32" ht="14.1" hidden="1" customHeight="1" outlineLevel="1" x14ac:dyDescent="0.2">
      <c r="A125" s="278" t="s">
        <v>196</v>
      </c>
      <c r="M125" s="280" t="e">
        <f>-SUM(SOCF!#REF!)-SUM(#REF!)</f>
        <v>#REF!</v>
      </c>
      <c r="N125" s="280" t="e">
        <f>-SUM(SOCF!#REF!)-SUM(#REF!)</f>
        <v>#REF!</v>
      </c>
      <c r="O125" s="280" t="e">
        <f ca="1">-SUM(SOCF!H25:H25)-SUM(#REF!)</f>
        <v>#REF!</v>
      </c>
      <c r="P125" s="280" t="e">
        <f ca="1">-SUM(SOCF!H25:H25)-SUM(#REF!)</f>
        <v>#REF!</v>
      </c>
      <c r="Q125" s="280" t="e">
        <f ca="1">-SUM(SOCF!H25:I25)-SUM(#REF!)</f>
        <v>#REF!</v>
      </c>
      <c r="R125" s="280" t="e">
        <f ca="1">-SUM(SOCF!H25:J25)-SUM(#REF!)</f>
        <v>#REF!</v>
      </c>
      <c r="S125" s="280" t="e">
        <f ca="1">-SUM(SOCF!H25:K25)-SUM(#REF!)</f>
        <v>#REF!</v>
      </c>
      <c r="T125" s="280" t="e">
        <f ca="1">-SUM(SOCF!I25:L25)-SUM(#REF!)</f>
        <v>#REF!</v>
      </c>
      <c r="U125" s="280" t="e">
        <f ca="1">-SUM(SOCF!J25:M25)-SUM(#REF!)</f>
        <v>#REF!</v>
      </c>
      <c r="V125" s="280" t="e">
        <f ca="1">-SUM(SOCF!K25:N25)-SUM(#REF!)</f>
        <v>#REF!</v>
      </c>
      <c r="W125" s="280" t="e">
        <f ca="1">-SUM(SOCF!L25:O25)-SUM(#REF!)</f>
        <v>#REF!</v>
      </c>
      <c r="X125" s="280" t="e">
        <f ca="1">-SUM(SOCF!M25:P25)-SUM(#REF!)</f>
        <v>#REF!</v>
      </c>
      <c r="Y125" s="280" t="e">
        <f ca="1">-SUM(SOCF!N25:Q25)-SUM(#REF!)</f>
        <v>#REF!</v>
      </c>
      <c r="Z125" s="280" t="e">
        <f ca="1">-SUM(SOCF!O25:R25)-SUM(#REF!)</f>
        <v>#REF!</v>
      </c>
      <c r="AA125" s="280" t="e">
        <f ca="1">-SUM(SOCF!P25:S25)-SUM(#REF!)</f>
        <v>#REF!</v>
      </c>
      <c r="AB125" s="280" t="e">
        <f ca="1">-SUM(SOCF!Q25:T25)-SUM(#REF!)</f>
        <v>#REF!</v>
      </c>
      <c r="AC125" s="280" t="e">
        <f ca="1">-SUM(SOCF!R25:U25)-SUM(#REF!)</f>
        <v>#REF!</v>
      </c>
      <c r="AD125" s="280" t="e">
        <f ca="1">-SUM(SOCF!S25:V25)-SUM(#REF!)</f>
        <v>#REF!</v>
      </c>
      <c r="AE125" s="280" t="e">
        <f ca="1">-SUM(SOCF!T25:W25)-SUM(#REF!)</f>
        <v>#REF!</v>
      </c>
      <c r="AF125" s="280" t="e">
        <f ca="1">-SUM(SOCF!U25:X25)-SUM(#REF!)</f>
        <v>#REF!</v>
      </c>
    </row>
    <row r="126" spans="1:32" ht="14.1" hidden="1" customHeight="1" outlineLevel="1" x14ac:dyDescent="0.2">
      <c r="A126" s="279" t="s">
        <v>192</v>
      </c>
      <c r="M126" s="308" t="e">
        <f ca="1">M119/SUM(M122:M125)</f>
        <v>#REF!</v>
      </c>
      <c r="N126" s="308" t="e">
        <f t="shared" ref="N126:AB126" ca="1" si="69">N119/SUM(N122:N125)</f>
        <v>#REF!</v>
      </c>
      <c r="O126" s="308" t="e">
        <f t="shared" ca="1" si="69"/>
        <v>#REF!</v>
      </c>
      <c r="P126" s="308" t="e">
        <f t="shared" ca="1" si="69"/>
        <v>#REF!</v>
      </c>
      <c r="Q126" s="308" t="e">
        <f t="shared" ca="1" si="69"/>
        <v>#REF!</v>
      </c>
      <c r="R126" s="308" t="e">
        <f t="shared" ca="1" si="69"/>
        <v>#REF!</v>
      </c>
      <c r="S126" s="308" t="e">
        <f t="shared" ca="1" si="69"/>
        <v>#REF!</v>
      </c>
      <c r="T126" s="308" t="e">
        <f t="shared" ca="1" si="69"/>
        <v>#REF!</v>
      </c>
      <c r="U126" s="308" t="e">
        <f t="shared" ca="1" si="69"/>
        <v>#REF!</v>
      </c>
      <c r="V126" s="308" t="e">
        <f t="shared" ca="1" si="69"/>
        <v>#REF!</v>
      </c>
      <c r="W126" s="308" t="e">
        <f t="shared" ca="1" si="69"/>
        <v>#REF!</v>
      </c>
      <c r="X126" s="308" t="e">
        <f t="shared" ca="1" si="69"/>
        <v>#REF!</v>
      </c>
      <c r="Y126" s="308" t="e">
        <f t="shared" ca="1" si="69"/>
        <v>#REF!</v>
      </c>
      <c r="Z126" s="308" t="e">
        <f t="shared" ca="1" si="69"/>
        <v>#REF!</v>
      </c>
      <c r="AA126" s="308" t="e">
        <f t="shared" ca="1" si="69"/>
        <v>#REF!</v>
      </c>
      <c r="AB126" s="308" t="e">
        <f t="shared" ca="1" si="69"/>
        <v>#REF!</v>
      </c>
      <c r="AC126" s="308" t="e">
        <f ca="1">AC119/SUM(AC122:AC125)</f>
        <v>#REF!</v>
      </c>
      <c r="AD126" s="308" t="e">
        <f ca="1">AD119/SUM(AD122:AD125)</f>
        <v>#REF!</v>
      </c>
      <c r="AE126" s="308" t="e">
        <f ca="1">AE119/SUM(AE122:AE125)</f>
        <v>#REF!</v>
      </c>
      <c r="AF126" s="308" t="e">
        <f>AF119/SUM(AF122:AF125)</f>
        <v>#REF!</v>
      </c>
    </row>
    <row r="127" spans="1:32" ht="14.1" hidden="1" customHeight="1" outlineLevel="1" x14ac:dyDescent="0.2"/>
    <row r="128" spans="1:32" ht="14.1" hidden="1" customHeight="1" outlineLevel="1" x14ac:dyDescent="0.2">
      <c r="A128" s="279" t="s">
        <v>198</v>
      </c>
      <c r="M128" s="308" t="str">
        <f>IFERROR((#REF!+#REF!+#REF!)/(#REF!-#REF!-#REF!),"N/A")</f>
        <v>N/A</v>
      </c>
      <c r="N128" s="308" t="str">
        <f>IFERROR((#REF!+#REF!+#REF!)/(#REF!-#REF!-#REF!),"N/A")</f>
        <v>N/A</v>
      </c>
      <c r="O128" s="308" t="str">
        <f>IFERROR((#REF!+#REF!+#REF!)/(#REF!-#REF!-#REF!),"N/A")</f>
        <v>N/A</v>
      </c>
      <c r="P128" s="308" t="str">
        <f>IFERROR((#REF!+#REF!+#REF!)/(#REF!-#REF!-#REF!),"N/A")</f>
        <v>N/A</v>
      </c>
      <c r="Q128" s="308" t="str">
        <f>IFERROR((#REF!+#REF!+#REF!)/(#REF!-#REF!-#REF!),"N/A")</f>
        <v>N/A</v>
      </c>
      <c r="R128" s="308" t="str">
        <f>IFERROR((#REF!+#REF!+#REF!)/(#REF!-#REF!-#REF!),"N/A")</f>
        <v>N/A</v>
      </c>
      <c r="S128" s="308" t="str">
        <f>IFERROR((#REF!+#REF!+#REF!)/(#REF!-#REF!-#REF!),"N/A")</f>
        <v>N/A</v>
      </c>
      <c r="T128" s="308" t="str">
        <f>IFERROR((#REF!+#REF!+#REF!)/(#REF!-#REF!-#REF!),"N/A")</f>
        <v>N/A</v>
      </c>
      <c r="U128" s="308" t="str">
        <f>IFERROR((#REF!+#REF!+#REF!)/(#REF!-#REF!-#REF!),"N/A")</f>
        <v>N/A</v>
      </c>
      <c r="V128" s="308" t="str">
        <f>IFERROR((#REF!+#REF!+#REF!)/(#REF!-#REF!-#REF!),"N/A")</f>
        <v>N/A</v>
      </c>
      <c r="W128" s="308" t="str">
        <f>IFERROR((#REF!+#REF!+#REF!)/(#REF!-#REF!-#REF!),"N/A")</f>
        <v>N/A</v>
      </c>
      <c r="X128" s="308" t="str">
        <f>IFERROR((#REF!+#REF!+#REF!)/(#REF!-#REF!-#REF!),"N/A")</f>
        <v>N/A</v>
      </c>
      <c r="Y128" s="308" t="str">
        <f>IFERROR((#REF!+#REF!+#REF!)/(#REF!-#REF!-#REF!),"N/A")</f>
        <v>N/A</v>
      </c>
      <c r="Z128" s="308" t="str">
        <f>IFERROR((#REF!+#REF!+#REF!)/(#REF!-#REF!-#REF!),"N/A")</f>
        <v>N/A</v>
      </c>
      <c r="AA128" s="308" t="str">
        <f>IFERROR((#REF!+#REF!+#REF!)/(#REF!-#REF!-#REF!),"N/A")</f>
        <v>N/A</v>
      </c>
      <c r="AB128" s="308" t="str">
        <f>IFERROR((#REF!+#REF!+#REF!)/(#REF!-#REF!-#REF!),"N/A")</f>
        <v>N/A</v>
      </c>
      <c r="AC128" s="308" t="str">
        <f>IFERROR((#REF!+#REF!+#REF!)/(#REF!-#REF!-#REF!),"N/A")</f>
        <v>N/A</v>
      </c>
      <c r="AD128" s="308" t="str">
        <f>IFERROR((#REF!+#REF!+#REF!)/(#REF!-#REF!-#REF!),"N/A")</f>
        <v>N/A</v>
      </c>
      <c r="AE128" s="308" t="str">
        <f>IFERROR((#REF!+#REF!+#REF!)/(#REF!-#REF!-#REF!),"N/A")</f>
        <v>N/A</v>
      </c>
      <c r="AF128" s="308" t="str">
        <f>IFERROR((#REF!+#REF!+#REF!)/(#REF!-#REF!-#REF!),"N/A")</f>
        <v>N/A</v>
      </c>
    </row>
    <row r="129" spans="1:32" ht="14.1" hidden="1" customHeight="1" outlineLevel="1" x14ac:dyDescent="0.2"/>
    <row r="130" spans="1:32" ht="14.1" hidden="1" customHeight="1" outlineLevel="1" x14ac:dyDescent="0.2">
      <c r="A130" s="279" t="s">
        <v>197</v>
      </c>
      <c r="M130" s="308" t="str">
        <f ca="1">IFERROR(#REF!/(M119-SUM(#REF!,#REF!)),"N/A")</f>
        <v>N/A</v>
      </c>
      <c r="N130" s="308" t="str">
        <f ca="1">IFERROR(#REF!/(N119-SUM(#REF!,#REF!)),"N/A")</f>
        <v>N/A</v>
      </c>
      <c r="O130" s="308" t="str">
        <f ca="1">IFERROR(#REF!/(O119-SUM(#REF!,#REF!)),"N/A")</f>
        <v>N/A</v>
      </c>
      <c r="P130" s="308" t="str">
        <f ca="1">IFERROR(#REF!/(P119-SUM(#REF!,#REF!)),"N/A")</f>
        <v>N/A</v>
      </c>
      <c r="Q130" s="308" t="str">
        <f ca="1">IFERROR(#REF!/(Q119-SUM(#REF!,#REF!)),"N/A")</f>
        <v>N/A</v>
      </c>
      <c r="R130" s="308" t="str">
        <f ca="1">IFERROR(#REF!/(R119-SUM(#REF!,#REF!)),"N/A")</f>
        <v>N/A</v>
      </c>
      <c r="S130" s="308" t="str">
        <f ca="1">IFERROR(#REF!/(S119-SUM(#REF!,#REF!)),"N/A")</f>
        <v>N/A</v>
      </c>
      <c r="T130" s="308" t="str">
        <f ca="1">IFERROR(#REF!/(T119-SUM(#REF!,#REF!)),"N/A")</f>
        <v>N/A</v>
      </c>
      <c r="U130" s="308" t="str">
        <f ca="1">IFERROR(#REF!/(U119-SUM(#REF!,#REF!)),"N/A")</f>
        <v>N/A</v>
      </c>
      <c r="V130" s="308" t="str">
        <f ca="1">IFERROR(#REF!/(V119-SUM(#REF!,#REF!)),"N/A")</f>
        <v>N/A</v>
      </c>
      <c r="W130" s="308" t="str">
        <f ca="1">IFERROR(#REF!/(W119-SUM(#REF!,#REF!)),"N/A")</f>
        <v>N/A</v>
      </c>
      <c r="X130" s="308" t="str">
        <f ca="1">IFERROR(#REF!/(X119-SUM(#REF!,#REF!)),"N/A")</f>
        <v>N/A</v>
      </c>
      <c r="Y130" s="308" t="str">
        <f ca="1">IFERROR(#REF!/(Y119-SUM(#REF!,#REF!)),"N/A")</f>
        <v>N/A</v>
      </c>
      <c r="Z130" s="308" t="str">
        <f ca="1">IFERROR(#REF!/(Z119-SUM(#REF!,#REF!)),"N/A")</f>
        <v>N/A</v>
      </c>
      <c r="AA130" s="308" t="str">
        <f ca="1">IFERROR(#REF!/(AA119-SUM(#REF!,#REF!)),"N/A")</f>
        <v>N/A</v>
      </c>
      <c r="AB130" s="308" t="str">
        <f ca="1">IFERROR(#REF!/(AB119-SUM(#REF!,#REF!)),"N/A")</f>
        <v>N/A</v>
      </c>
      <c r="AC130" s="308" t="str">
        <f ca="1">IFERROR(#REF!/(AC119-SUM(#REF!,#REF!)),"N/A")</f>
        <v>N/A</v>
      </c>
      <c r="AD130" s="308" t="str">
        <f ca="1">IFERROR(#REF!/(AD119-SUM(#REF!,#REF!)),"N/A")</f>
        <v>N/A</v>
      </c>
      <c r="AE130" s="308" t="str">
        <f ca="1">IFERROR(#REF!/(AE119-SUM(#REF!,#REF!)),"N/A")</f>
        <v>N/A</v>
      </c>
      <c r="AF130" s="308" t="str">
        <f>IFERROR(#REF!/(AF119-SUM(#REF!,#REF!)),"N/A")</f>
        <v>N/A</v>
      </c>
    </row>
    <row r="131" spans="1:32" ht="14.1" hidden="1" customHeight="1" outlineLevel="1" x14ac:dyDescent="0.2"/>
    <row r="132" spans="1:32" ht="14.1" hidden="1" customHeight="1" outlineLevel="1" x14ac:dyDescent="0.2"/>
    <row r="133" spans="1:32" ht="14.1" hidden="1" customHeight="1" outlineLevel="2" x14ac:dyDescent="0.2">
      <c r="A133" s="279" t="s">
        <v>52</v>
      </c>
    </row>
    <row r="134" spans="1:32" ht="14.1" hidden="1" customHeight="1" outlineLevel="2" x14ac:dyDescent="0.2">
      <c r="B134" s="278" t="s">
        <v>9</v>
      </c>
      <c r="I134" s="309"/>
      <c r="J134" s="309">
        <f ca="1">'Summary Income Statement'!I57</f>
        <v>983.43558999999846</v>
      </c>
      <c r="K134" s="309">
        <f ca="1">'Summary Income Statement'!J57</f>
        <v>1369.4489588135614</v>
      </c>
      <c r="L134" s="309">
        <f ca="1">'Summary Income Statement'!K57</f>
        <v>2754.6328728000017</v>
      </c>
      <c r="M134" s="309">
        <f ca="1">'Summary Income Statement'!L57</f>
        <v>790.23167628489909</v>
      </c>
      <c r="N134" s="309">
        <f ca="1">'Summary Income Statement'!M57</f>
        <v>989.51573282551408</v>
      </c>
      <c r="O134" s="309">
        <f ca="1">'Summary Income Statement'!N57</f>
        <v>1224.7530166179554</v>
      </c>
      <c r="P134" s="309">
        <f ca="1">'Summary Income Statement'!O57</f>
        <v>2918.7594227678587</v>
      </c>
      <c r="Q134" s="309">
        <f ca="1">'Summary Income Statement'!P57</f>
        <v>921.4412337525024</v>
      </c>
      <c r="R134" s="309">
        <f ca="1">'Summary Income Statement'!Q57</f>
        <v>1129.7330364430866</v>
      </c>
      <c r="S134" s="309">
        <f ca="1">'Summary Income Statement'!R57</f>
        <v>1389.8230505366148</v>
      </c>
      <c r="T134" s="309">
        <f ca="1">'Summary Income Statement'!S57</f>
        <v>3262.1777462444929</v>
      </c>
      <c r="U134" s="309">
        <f ca="1">'Summary Income Statement'!T57</f>
        <v>1057.6227806419217</v>
      </c>
      <c r="V134" s="309">
        <f ca="1">'Summary Income Statement'!U57</f>
        <v>1285.4911628584498</v>
      </c>
      <c r="W134" s="309">
        <f ca="1">'Summary Income Statement'!V57</f>
        <v>1572.9048254849713</v>
      </c>
      <c r="X134" s="309">
        <f ca="1">'Summary Income Statement'!W57</f>
        <v>3641.3018960807435</v>
      </c>
      <c r="Y134" s="309">
        <f ca="1">'Summary Income Statement'!X57</f>
        <v>1162.8510101852291</v>
      </c>
      <c r="Z134" s="309">
        <f ca="1">'Summary Income Statement'!Y57</f>
        <v>1408.9488629790799</v>
      </c>
      <c r="AA134" s="309">
        <f ca="1">'Summary Income Statement'!Z57</f>
        <v>1719.3556186157221</v>
      </c>
      <c r="AB134" s="309">
        <f ca="1">'Summary Income Statement'!AA57</f>
        <v>3953.2244548591552</v>
      </c>
      <c r="AC134" s="309" t="e">
        <f>'Summary Income Statement'!#REF!</f>
        <v>#REF!</v>
      </c>
      <c r="AD134" s="309" t="e">
        <f>'Summary Income Statement'!#REF!</f>
        <v>#REF!</v>
      </c>
      <c r="AE134" s="309" t="e">
        <f>'Summary Income Statement'!#REF!</f>
        <v>#REF!</v>
      </c>
      <c r="AF134" s="309" t="e">
        <f>'Summary Income Statement'!#REF!</f>
        <v>#REF!</v>
      </c>
    </row>
    <row r="135" spans="1:32" ht="14.1" hidden="1" customHeight="1" outlineLevel="2" x14ac:dyDescent="0.2">
      <c r="B135" s="278" t="s">
        <v>138</v>
      </c>
      <c r="J135" s="280" t="e">
        <f>-SUM(#REF!,#REF!,#REF!,#REF!,-#REF!)</f>
        <v>#REF!</v>
      </c>
      <c r="K135" s="280" t="e">
        <f>-SUM(#REF!,#REF!,#REF!,#REF!,#REF!,#REF!)</f>
        <v>#REF!</v>
      </c>
      <c r="L135" s="280" t="e">
        <f>-SUM(#REF!,#REF!,#REF!,#REF!,#REF!,#REF!)</f>
        <v>#REF!</v>
      </c>
      <c r="M135" s="280" t="e">
        <f>-SUM(#REF!,#REF!,#REF!,#REF!,#REF!,#REF!)</f>
        <v>#REF!</v>
      </c>
      <c r="N135" s="280" t="e">
        <f>-SUM(#REF!,#REF!,#REF!,#REF!,#REF!,#REF!)</f>
        <v>#REF!</v>
      </c>
      <c r="O135" s="280" t="e">
        <f>-SUM(#REF!,#REF!,#REF!,#REF!,#REF!,#REF!)</f>
        <v>#REF!</v>
      </c>
      <c r="P135" s="280" t="e">
        <f>-SUM(#REF!,#REF!,#REF!,#REF!,#REF!,#REF!)</f>
        <v>#REF!</v>
      </c>
      <c r="Q135" s="280" t="e">
        <f>-SUM(#REF!,#REF!,#REF!,#REF!,#REF!,#REF!)</f>
        <v>#REF!</v>
      </c>
      <c r="R135" s="280" t="e">
        <f>-SUM(#REF!,#REF!,#REF!,#REF!,#REF!,#REF!)</f>
        <v>#REF!</v>
      </c>
      <c r="S135" s="280" t="e">
        <f>-SUM(#REF!,#REF!,#REF!,#REF!,#REF!,#REF!)</f>
        <v>#REF!</v>
      </c>
      <c r="T135" s="280" t="e">
        <f>-SUM(#REF!,#REF!,#REF!,#REF!,#REF!,#REF!)</f>
        <v>#REF!</v>
      </c>
      <c r="U135" s="280" t="e">
        <f>-SUM(#REF!,#REF!,#REF!,#REF!,#REF!,#REF!)</f>
        <v>#REF!</v>
      </c>
      <c r="V135" s="280" t="e">
        <f>-SUM(#REF!,#REF!,#REF!,#REF!,#REF!,#REF!)</f>
        <v>#REF!</v>
      </c>
      <c r="W135" s="280" t="e">
        <f>-SUM(#REF!,#REF!,#REF!,#REF!,#REF!,#REF!)</f>
        <v>#REF!</v>
      </c>
      <c r="X135" s="280" t="e">
        <f>-SUM(#REF!,#REF!,#REF!,#REF!,#REF!,#REF!)</f>
        <v>#REF!</v>
      </c>
      <c r="Y135" s="280" t="e">
        <f>-SUM(#REF!,#REF!,#REF!,#REF!,#REF!,#REF!)</f>
        <v>#REF!</v>
      </c>
      <c r="Z135" s="280" t="e">
        <f>-SUM(#REF!,#REF!,#REF!,#REF!,#REF!,#REF!)</f>
        <v>#REF!</v>
      </c>
      <c r="AA135" s="280" t="e">
        <f>-SUM(#REF!,#REF!,#REF!,#REF!,#REF!,#REF!)</f>
        <v>#REF!</v>
      </c>
      <c r="AB135" s="280" t="e">
        <f>-SUM(#REF!,#REF!,#REF!,#REF!,#REF!,#REF!)</f>
        <v>#REF!</v>
      </c>
      <c r="AC135" s="280" t="e">
        <f>-SUM(#REF!,#REF!,#REF!,#REF!,#REF!,#REF!)</f>
        <v>#REF!</v>
      </c>
      <c r="AD135" s="280" t="e">
        <f>-SUM(#REF!,#REF!,#REF!,#REF!,#REF!,#REF!)</f>
        <v>#REF!</v>
      </c>
      <c r="AE135" s="280" t="e">
        <f>-SUM(#REF!,#REF!,#REF!,#REF!,#REF!,#REF!)</f>
        <v>#REF!</v>
      </c>
      <c r="AF135" s="280" t="e">
        <f>-SUM(#REF!,#REF!,#REF!,#REF!,#REF!,#REF!)</f>
        <v>#REF!</v>
      </c>
    </row>
    <row r="136" spans="1:32" ht="14.1" hidden="1" customHeight="1" outlineLevel="2" x14ac:dyDescent="0.2">
      <c r="B136" s="278" t="s">
        <v>53</v>
      </c>
      <c r="I136" s="309"/>
      <c r="J136" s="309" t="e">
        <f>SUM(SOCF!#REF!)</f>
        <v>#REF!</v>
      </c>
      <c r="K136" s="309" t="e">
        <f>SUM(SOCF!#REF!)</f>
        <v>#REF!</v>
      </c>
      <c r="L136" s="309" t="e">
        <f>SUM(SOCF!#REF!)</f>
        <v>#REF!</v>
      </c>
      <c r="M136" s="309" t="e">
        <f>SUM(SOCF!#REF!)</f>
        <v>#REF!</v>
      </c>
      <c r="N136" s="309" t="e">
        <f>SUM(SOCF!#REF!)</f>
        <v>#REF!</v>
      </c>
      <c r="O136" s="309">
        <f>SUM(SOCF!G14:G20)</f>
        <v>-1406.9399747327009</v>
      </c>
      <c r="P136" s="309">
        <f ca="1">SUM(SOCF!H14:H20)</f>
        <v>-4497.3383260323226</v>
      </c>
      <c r="Q136" s="309">
        <f ca="1">SUM(SOCF!I14:I20)</f>
        <v>5720.9889578699476</v>
      </c>
      <c r="R136" s="309">
        <f ca="1">SUM(SOCF!J14:J20)</f>
        <v>-690.7929038962925</v>
      </c>
      <c r="S136" s="309">
        <f ca="1">SUM(SOCF!K14:K20)</f>
        <v>-1416.3270422176868</v>
      </c>
      <c r="T136" s="309">
        <f ca="1">SUM(SOCF!L14:L20)</f>
        <v>-1269.4965269234581</v>
      </c>
      <c r="U136" s="309">
        <f ca="1">SUM(SOCF!M14:M20)</f>
        <v>2449.9511935162882</v>
      </c>
      <c r="V136" s="309">
        <f ca="1">SUM(SOCF!N14:N20)</f>
        <v>-628.69407877002595</v>
      </c>
      <c r="W136" s="309">
        <f ca="1">SUM(SOCF!O14:O20)</f>
        <v>-1527.9251552354501</v>
      </c>
      <c r="X136" s="309">
        <f ca="1">SUM(SOCF!P14:P20)</f>
        <v>-1358.932440642147</v>
      </c>
      <c r="Y136" s="309">
        <f ca="1">SUM(SOCF!Q14:Q20)</f>
        <v>2632.5146345181411</v>
      </c>
      <c r="Z136" s="309">
        <f ca="1">SUM(SOCF!R14:R20)</f>
        <v>-678.16491816856649</v>
      </c>
      <c r="AA136" s="309">
        <f ca="1">SUM(SOCF!S14:S20)</f>
        <v>-1648.3144732658589</v>
      </c>
      <c r="AB136" s="309">
        <f ca="1">SUM(SOCF!T14:T20)</f>
        <v>-1454.5533227835167</v>
      </c>
      <c r="AC136" s="309">
        <f ca="1">SUM(SOCF!U14:U20)</f>
        <v>2815.5063054924663</v>
      </c>
      <c r="AD136" s="309">
        <f ca="1">SUM(SOCF!V14:V20)</f>
        <v>-732.41811162205101</v>
      </c>
      <c r="AE136" s="309">
        <f ca="1">SUM(SOCF!W14:W20)</f>
        <v>-1780.1796311271305</v>
      </c>
      <c r="AF136" s="309">
        <f ca="1">SUM(SOCF!X14:X20)</f>
        <v>-1570.9175886061951</v>
      </c>
    </row>
    <row r="137" spans="1:32" ht="14.1" hidden="1" customHeight="1" outlineLevel="2" x14ac:dyDescent="0.2">
      <c r="B137" s="278" t="s">
        <v>54</v>
      </c>
      <c r="I137" s="309"/>
      <c r="J137" s="309" t="e">
        <f>SOCF!#REF!</f>
        <v>#REF!</v>
      </c>
      <c r="K137" s="309" t="e">
        <f>SOCF!#REF!</f>
        <v>#REF!</v>
      </c>
      <c r="L137" s="309" t="e">
        <f>SOCF!#REF!</f>
        <v>#REF!</v>
      </c>
      <c r="M137" s="309" t="e">
        <f>SOCF!#REF!</f>
        <v>#REF!</v>
      </c>
      <c r="N137" s="309" t="e">
        <f>SOCF!#REF!</f>
        <v>#REF!</v>
      </c>
      <c r="O137" s="309">
        <f ca="1">SOCF!H25</f>
        <v>-319.85465250000016</v>
      </c>
      <c r="P137" s="309" t="e">
        <f>SOCF!#REF!</f>
        <v>#REF!</v>
      </c>
      <c r="Q137" s="309">
        <f ca="1">SOCF!I25</f>
        <v>-375</v>
      </c>
      <c r="R137" s="309">
        <f ca="1">SOCF!J25</f>
        <v>-375</v>
      </c>
      <c r="S137" s="309">
        <f ca="1">SOCF!K25</f>
        <v>-374.99999999999818</v>
      </c>
      <c r="T137" s="309">
        <f ca="1">SOCF!L25</f>
        <v>-375</v>
      </c>
      <c r="U137" s="309">
        <f ca="1">SOCF!M25</f>
        <v>-375</v>
      </c>
      <c r="V137" s="309">
        <f ca="1">SOCF!N25</f>
        <v>-375</v>
      </c>
      <c r="W137" s="309">
        <f ca="1">SOCF!O25</f>
        <v>-375</v>
      </c>
      <c r="X137" s="309">
        <f ca="1">SOCF!P25</f>
        <v>-375</v>
      </c>
      <c r="Y137" s="309">
        <f ca="1">SOCF!Q25</f>
        <v>-375</v>
      </c>
      <c r="Z137" s="309">
        <f ca="1">SOCF!R25</f>
        <v>-375</v>
      </c>
      <c r="AA137" s="309">
        <f ca="1">SOCF!S25</f>
        <v>-375</v>
      </c>
      <c r="AB137" s="309">
        <f ca="1">SOCF!T25</f>
        <v>-375</v>
      </c>
      <c r="AC137" s="309">
        <f ca="1">SOCF!U25</f>
        <v>-375</v>
      </c>
      <c r="AD137" s="309">
        <f ca="1">SOCF!V25</f>
        <v>-375</v>
      </c>
      <c r="AE137" s="309">
        <f ca="1">SOCF!W25</f>
        <v>-375</v>
      </c>
      <c r="AF137" s="309">
        <f ca="1">SOCF!X25</f>
        <v>-375</v>
      </c>
    </row>
    <row r="138" spans="1:32" ht="14.1" hidden="1" customHeight="1" outlineLevel="2" thickBot="1" x14ac:dyDescent="0.25">
      <c r="B138" s="278" t="s">
        <v>55</v>
      </c>
      <c r="H138" s="310">
        <v>0</v>
      </c>
      <c r="I138" s="310"/>
      <c r="J138" s="310" t="e">
        <f>SOCF!#REF!</f>
        <v>#REF!</v>
      </c>
      <c r="K138" s="310" t="e">
        <f>SOCF!#REF!</f>
        <v>#REF!</v>
      </c>
      <c r="L138" s="310" t="e">
        <f>SOCF!#REF!</f>
        <v>#REF!</v>
      </c>
      <c r="M138" s="310" t="e">
        <f>SOCF!#REF!</f>
        <v>#REF!</v>
      </c>
      <c r="N138" s="310" t="e">
        <f>SOCF!#REF!</f>
        <v>#REF!</v>
      </c>
      <c r="O138" s="310">
        <f>SOCF!G35</f>
        <v>0</v>
      </c>
      <c r="P138" s="310">
        <f>SOCF!H35</f>
        <v>0</v>
      </c>
      <c r="Q138" s="310">
        <f>SOCF!I35</f>
        <v>0</v>
      </c>
      <c r="R138" s="310">
        <f ca="1">SOCF!J35</f>
        <v>0</v>
      </c>
      <c r="S138" s="310">
        <f ca="1">SOCF!K35</f>
        <v>0</v>
      </c>
      <c r="T138" s="310">
        <f ca="1">SOCF!L35</f>
        <v>-13.815026401876594</v>
      </c>
      <c r="U138" s="310">
        <f ca="1">SOCF!M35</f>
        <v>-866.59921318263764</v>
      </c>
      <c r="V138" s="310">
        <f ca="1">SOCF!N35</f>
        <v>-23.572774023582678</v>
      </c>
      <c r="W138" s="310">
        <f ca="1">SOCF!O35</f>
        <v>-119.31387936361391</v>
      </c>
      <c r="X138" s="310">
        <f ca="1">SOCF!P35</f>
        <v>-232.57014163935074</v>
      </c>
      <c r="Y138" s="310">
        <f ca="1">SOCF!Q35</f>
        <v>-1075.5346714182408</v>
      </c>
      <c r="Z138" s="310">
        <f ca="1">SOCF!R35</f>
        <v>-69.160176654551634</v>
      </c>
      <c r="AA138" s="310">
        <f ca="1">SOCF!S35</f>
        <v>-174.28009848343308</v>
      </c>
      <c r="AB138" s="310">
        <f ca="1">SOCF!T35</f>
        <v>-300.20028449810007</v>
      </c>
      <c r="AC138" s="310">
        <f ca="1">SOCF!U35</f>
        <v>-1231.9890094357886</v>
      </c>
      <c r="AD138" s="310">
        <f ca="1">SOCF!V35</f>
        <v>-172.47037055360767</v>
      </c>
      <c r="AE138" s="310">
        <f ca="1">SOCF!W35</f>
        <v>-286.25680574592275</v>
      </c>
      <c r="AF138" s="310">
        <f ca="1">SOCF!X35</f>
        <v>-422.51073879483158</v>
      </c>
    </row>
    <row r="139" spans="1:32" ht="14.1" hidden="1" customHeight="1" outlineLevel="2" x14ac:dyDescent="0.2">
      <c r="A139" s="278" t="s">
        <v>56</v>
      </c>
      <c r="H139" s="280">
        <f>MAX(SUM(H134:H138),0)</f>
        <v>0</v>
      </c>
      <c r="J139" s="280" t="e">
        <f t="shared" ref="J139:AF139" ca="1" si="70">SUM(J134:J138)</f>
        <v>#REF!</v>
      </c>
      <c r="K139" s="280" t="e">
        <f t="shared" ca="1" si="70"/>
        <v>#REF!</v>
      </c>
      <c r="L139" s="280" t="e">
        <f t="shared" ca="1" si="70"/>
        <v>#REF!</v>
      </c>
      <c r="M139" s="280" t="e">
        <f t="shared" ca="1" si="70"/>
        <v>#REF!</v>
      </c>
      <c r="N139" s="280" t="e">
        <f t="shared" ca="1" si="70"/>
        <v>#REF!</v>
      </c>
      <c r="O139" s="280" t="e">
        <f t="shared" ca="1" si="70"/>
        <v>#REF!</v>
      </c>
      <c r="P139" s="280" t="e">
        <f t="shared" ca="1" si="70"/>
        <v>#REF!</v>
      </c>
      <c r="Q139" s="280" t="e">
        <f t="shared" ca="1" si="70"/>
        <v>#REF!</v>
      </c>
      <c r="R139" s="280" t="e">
        <f t="shared" ca="1" si="70"/>
        <v>#REF!</v>
      </c>
      <c r="S139" s="280" t="e">
        <f t="shared" ca="1" si="70"/>
        <v>#REF!</v>
      </c>
      <c r="T139" s="280" t="e">
        <f t="shared" ca="1" si="70"/>
        <v>#REF!</v>
      </c>
      <c r="U139" s="280" t="e">
        <f t="shared" ca="1" si="70"/>
        <v>#REF!</v>
      </c>
      <c r="V139" s="280" t="e">
        <f t="shared" ca="1" si="70"/>
        <v>#REF!</v>
      </c>
      <c r="W139" s="280" t="e">
        <f t="shared" ca="1" si="70"/>
        <v>#REF!</v>
      </c>
      <c r="X139" s="280" t="e">
        <f t="shared" ca="1" si="70"/>
        <v>#REF!</v>
      </c>
      <c r="Y139" s="280" t="e">
        <f t="shared" ca="1" si="70"/>
        <v>#REF!</v>
      </c>
      <c r="Z139" s="280" t="e">
        <f t="shared" ca="1" si="70"/>
        <v>#REF!</v>
      </c>
      <c r="AA139" s="280" t="e">
        <f t="shared" ca="1" si="70"/>
        <v>#REF!</v>
      </c>
      <c r="AB139" s="280" t="e">
        <f t="shared" ca="1" si="70"/>
        <v>#REF!</v>
      </c>
      <c r="AC139" s="280" t="e">
        <f t="shared" si="70"/>
        <v>#REF!</v>
      </c>
      <c r="AD139" s="280" t="e">
        <f t="shared" si="70"/>
        <v>#REF!</v>
      </c>
      <c r="AE139" s="280" t="e">
        <f t="shared" si="70"/>
        <v>#REF!</v>
      </c>
      <c r="AF139" s="280" t="e">
        <f t="shared" si="70"/>
        <v>#REF!</v>
      </c>
    </row>
    <row r="140" spans="1:32" ht="14.1" hidden="1" customHeight="1" outlineLevel="2" x14ac:dyDescent="0.2">
      <c r="A140" s="278" t="s">
        <v>137</v>
      </c>
      <c r="M140" s="280" t="e">
        <f ca="1">IF(M120&lt;='Valuation &amp; Sources &amp; Uses'!$C$17,IF(#REF!&gt;0,1,0),0)</f>
        <v>#REF!</v>
      </c>
      <c r="N140" s="280" t="e">
        <f ca="1">IF(N120&lt;='Valuation &amp; Sources &amp; Uses'!$C$17,IF(#REF!&gt;0,1,0),0)</f>
        <v>#REF!</v>
      </c>
      <c r="O140" s="280" t="e">
        <f ca="1">IF(O120&lt;='Valuation &amp; Sources &amp; Uses'!$C$17,IF(#REF!&gt;0,1,0),0)</f>
        <v>#REF!</v>
      </c>
      <c r="P140" s="280" t="e">
        <f ca="1">IF(P120&lt;='Valuation &amp; Sources &amp; Uses'!$C$17,IF(#REF!&gt;0,1,0),0)</f>
        <v>#REF!</v>
      </c>
      <c r="Q140" s="280" t="e">
        <f ca="1">IF(Q120&lt;='Valuation &amp; Sources &amp; Uses'!$C$17,IF(#REF!&gt;0,1,0),0)</f>
        <v>#REF!</v>
      </c>
      <c r="R140" s="280" t="e">
        <f ca="1">IF(R120&lt;='Valuation &amp; Sources &amp; Uses'!$C$17,IF(#REF!&gt;0,1,0),0)</f>
        <v>#REF!</v>
      </c>
      <c r="S140" s="280" t="e">
        <f ca="1">IF(S120&lt;='Valuation &amp; Sources &amp; Uses'!$C$17,IF(#REF!&gt;0,1,0),0)</f>
        <v>#REF!</v>
      </c>
      <c r="T140" s="280" t="e">
        <f ca="1">IF(T120&lt;='Valuation &amp; Sources &amp; Uses'!$C$17,IF(#REF!&gt;0,1,0),0)</f>
        <v>#REF!</v>
      </c>
      <c r="U140" s="280" t="e">
        <f ca="1">IF(U120&lt;='Valuation &amp; Sources &amp; Uses'!$C$17,IF(#REF!&gt;0,1,0),0)</f>
        <v>#REF!</v>
      </c>
      <c r="V140" s="280" t="e">
        <f ca="1">IF(V120&lt;='Valuation &amp; Sources &amp; Uses'!$C$17,IF(#REF!&gt;0,1,0),0)</f>
        <v>#REF!</v>
      </c>
      <c r="W140" s="280" t="e">
        <f ca="1">IF(W120&lt;='Valuation &amp; Sources &amp; Uses'!$C$17,IF(#REF!&gt;0,1,0),0)</f>
        <v>#REF!</v>
      </c>
      <c r="X140" s="280" t="e">
        <f ca="1">IF(X120&lt;='Valuation &amp; Sources &amp; Uses'!$C$17,IF(#REF!&gt;0,1,0),0)</f>
        <v>#REF!</v>
      </c>
      <c r="Y140" s="280" t="e">
        <f ca="1">IF(Y120&lt;='Valuation &amp; Sources &amp; Uses'!$C$17,IF(#REF!&gt;0,1,0),0)</f>
        <v>#REF!</v>
      </c>
      <c r="Z140" s="280" t="e">
        <f ca="1">IF(Z120&lt;='Valuation &amp; Sources &amp; Uses'!$C$17,IF(#REF!&gt;0,1,0),0)</f>
        <v>#REF!</v>
      </c>
      <c r="AA140" s="280" t="e">
        <f ca="1">IF(AA120&lt;='Valuation &amp; Sources &amp; Uses'!$C$17,IF(#REF!&gt;0,1,0),0)</f>
        <v>#REF!</v>
      </c>
      <c r="AB140" s="280" t="e">
        <f ca="1">IF(AB120&lt;='Valuation &amp; Sources &amp; Uses'!$C$17,IF(#REF!&gt;0,1,0),0)</f>
        <v>#REF!</v>
      </c>
      <c r="AC140" s="280" t="e">
        <f ca="1">IF(AC120&lt;='Valuation &amp; Sources &amp; Uses'!$C$17,IF(#REF!&gt;0,1,0),0)</f>
        <v>#REF!</v>
      </c>
      <c r="AD140" s="280" t="e">
        <f ca="1">IF(AD120&lt;='Valuation &amp; Sources &amp; Uses'!$C$17,IF(#REF!&gt;0,1,0),0)</f>
        <v>#REF!</v>
      </c>
      <c r="AE140" s="280" t="e">
        <f ca="1">IF(AE120&lt;='Valuation &amp; Sources &amp; Uses'!$C$17,IF(#REF!&gt;0,1,0),0)</f>
        <v>#REF!</v>
      </c>
      <c r="AF140" s="280" t="e">
        <f>IF(AF120&lt;='Valuation &amp; Sources &amp; Uses'!$C$17,IF(#REF!&gt;0,1,0),0)</f>
        <v>#REF!</v>
      </c>
    </row>
    <row r="141" spans="1:32" ht="14.1" hidden="1" customHeight="1" outlineLevel="2" x14ac:dyDescent="0.2">
      <c r="A141" s="278" t="s">
        <v>57</v>
      </c>
      <c r="H141" s="311">
        <f>'Valuation &amp; Sources &amp; Uses'!$C$15</f>
        <v>0.12</v>
      </c>
      <c r="I141" s="311">
        <f>H141</f>
        <v>0.12</v>
      </c>
      <c r="J141" s="311">
        <f t="shared" ref="J141:AF141" si="71">I141</f>
        <v>0.12</v>
      </c>
      <c r="K141" s="311">
        <f t="shared" si="71"/>
        <v>0.12</v>
      </c>
      <c r="L141" s="311">
        <f t="shared" si="71"/>
        <v>0.12</v>
      </c>
      <c r="M141" s="311">
        <f t="shared" si="71"/>
        <v>0.12</v>
      </c>
      <c r="N141" s="311">
        <f t="shared" si="71"/>
        <v>0.12</v>
      </c>
      <c r="O141" s="311">
        <f t="shared" si="71"/>
        <v>0.12</v>
      </c>
      <c r="P141" s="311">
        <f t="shared" si="71"/>
        <v>0.12</v>
      </c>
      <c r="Q141" s="311">
        <f t="shared" si="71"/>
        <v>0.12</v>
      </c>
      <c r="R141" s="311">
        <f t="shared" si="71"/>
        <v>0.12</v>
      </c>
      <c r="S141" s="311">
        <f t="shared" si="71"/>
        <v>0.12</v>
      </c>
      <c r="T141" s="311">
        <f t="shared" si="71"/>
        <v>0.12</v>
      </c>
      <c r="U141" s="311">
        <f t="shared" si="71"/>
        <v>0.12</v>
      </c>
      <c r="V141" s="311">
        <f t="shared" si="71"/>
        <v>0.12</v>
      </c>
      <c r="W141" s="311">
        <f t="shared" si="71"/>
        <v>0.12</v>
      </c>
      <c r="X141" s="311">
        <f t="shared" si="71"/>
        <v>0.12</v>
      </c>
      <c r="Y141" s="311">
        <f t="shared" si="71"/>
        <v>0.12</v>
      </c>
      <c r="Z141" s="311">
        <f t="shared" si="71"/>
        <v>0.12</v>
      </c>
      <c r="AA141" s="311">
        <f t="shared" si="71"/>
        <v>0.12</v>
      </c>
      <c r="AB141" s="311">
        <f t="shared" si="71"/>
        <v>0.12</v>
      </c>
      <c r="AC141" s="311">
        <f t="shared" si="71"/>
        <v>0.12</v>
      </c>
      <c r="AD141" s="311">
        <f t="shared" si="71"/>
        <v>0.12</v>
      </c>
      <c r="AE141" s="311">
        <f t="shared" si="71"/>
        <v>0.12</v>
      </c>
      <c r="AF141" s="311">
        <f t="shared" si="71"/>
        <v>0.12</v>
      </c>
    </row>
    <row r="142" spans="1:32" ht="5.0999999999999996" hidden="1" customHeight="1" outlineLevel="2" x14ac:dyDescent="0.2"/>
    <row r="143" spans="1:32" ht="14.1" hidden="1" customHeight="1" outlineLevel="2" thickBot="1" x14ac:dyDescent="0.25">
      <c r="A143" s="278" t="s">
        <v>58</v>
      </c>
      <c r="H143" s="312">
        <v>0</v>
      </c>
      <c r="I143" s="312"/>
      <c r="J143" s="312" t="e">
        <f ca="1">MAX(J139*J140*J141,0)</f>
        <v>#REF!</v>
      </c>
      <c r="K143" s="312" t="e">
        <f t="shared" ref="K143:AB143" ca="1" si="72">MAX(K139*K140*K141,0)</f>
        <v>#REF!</v>
      </c>
      <c r="L143" s="312" t="e">
        <f t="shared" ca="1" si="72"/>
        <v>#REF!</v>
      </c>
      <c r="M143" s="312" t="e">
        <f t="shared" ca="1" si="72"/>
        <v>#REF!</v>
      </c>
      <c r="N143" s="312" t="e">
        <f t="shared" ca="1" si="72"/>
        <v>#REF!</v>
      </c>
      <c r="O143" s="312" t="e">
        <f t="shared" ca="1" si="72"/>
        <v>#REF!</v>
      </c>
      <c r="P143" s="312" t="e">
        <f t="shared" ca="1" si="72"/>
        <v>#REF!</v>
      </c>
      <c r="Q143" s="312" t="e">
        <f t="shared" ca="1" si="72"/>
        <v>#REF!</v>
      </c>
      <c r="R143" s="312" t="e">
        <f t="shared" ca="1" si="72"/>
        <v>#REF!</v>
      </c>
      <c r="S143" s="312" t="e">
        <f t="shared" ca="1" si="72"/>
        <v>#REF!</v>
      </c>
      <c r="T143" s="312" t="e">
        <f t="shared" ca="1" si="72"/>
        <v>#REF!</v>
      </c>
      <c r="U143" s="312" t="e">
        <f t="shared" ca="1" si="72"/>
        <v>#REF!</v>
      </c>
      <c r="V143" s="312" t="e">
        <f t="shared" ca="1" si="72"/>
        <v>#REF!</v>
      </c>
      <c r="W143" s="312" t="e">
        <f t="shared" ca="1" si="72"/>
        <v>#REF!</v>
      </c>
      <c r="X143" s="312" t="e">
        <f t="shared" ca="1" si="72"/>
        <v>#REF!</v>
      </c>
      <c r="Y143" s="312" t="e">
        <f t="shared" ca="1" si="72"/>
        <v>#REF!</v>
      </c>
      <c r="Z143" s="312" t="e">
        <f t="shared" ca="1" si="72"/>
        <v>#REF!</v>
      </c>
      <c r="AA143" s="312" t="e">
        <f t="shared" ca="1" si="72"/>
        <v>#REF!</v>
      </c>
      <c r="AB143" s="312" t="e">
        <f t="shared" ca="1" si="72"/>
        <v>#REF!</v>
      </c>
      <c r="AC143" s="312" t="e">
        <f ca="1">MAX(AC139*AC140*AC141,0)</f>
        <v>#REF!</v>
      </c>
      <c r="AD143" s="312" t="e">
        <f ca="1">MAX(AD139*AD140*AD141,0)</f>
        <v>#REF!</v>
      </c>
      <c r="AE143" s="312" t="e">
        <f ca="1">MAX(AE139*AE140*AE141,0)</f>
        <v>#REF!</v>
      </c>
      <c r="AF143" s="312" t="e">
        <f>MAX(AF139*AF140*AF141,0)</f>
        <v>#REF!</v>
      </c>
    </row>
    <row r="144" spans="1:32" ht="14.1" hidden="1" customHeight="1" outlineLevel="2" thickTop="1" x14ac:dyDescent="0.2"/>
    <row r="145" spans="1:13" ht="14.1" hidden="1" customHeight="1" outlineLevel="2" x14ac:dyDescent="0.2"/>
    <row r="146" spans="1:13" ht="14.1" hidden="1" customHeight="1" outlineLevel="2" x14ac:dyDescent="0.2">
      <c r="G146" s="280" t="s">
        <v>108</v>
      </c>
    </row>
    <row r="147" spans="1:13" ht="14.1" hidden="1" customHeight="1" outlineLevel="2" x14ac:dyDescent="0.2">
      <c r="A147" s="278" t="s">
        <v>104</v>
      </c>
      <c r="G147" s="313">
        <v>0</v>
      </c>
      <c r="H147" s="280">
        <f>H143</f>
        <v>0</v>
      </c>
    </row>
    <row r="148" spans="1:13" ht="14.1" customHeight="1" collapsed="1" x14ac:dyDescent="0.2"/>
    <row r="153" spans="1:13" ht="14.1" customHeight="1" x14ac:dyDescent="0.2">
      <c r="M153" s="281"/>
    </row>
  </sheetData>
  <pageMargins left="0.2" right="0.2" top="0.2" bottom="0.2" header="0.5" footer="0.25"/>
  <pageSetup paperSize="5" scale="46" orientation="landscape" horizontalDpi="4294967293" r:id="rId1"/>
  <headerFooter alignWithMargins="0">
    <oddFooter>&amp;C&amp;P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AF78"/>
  <sheetViews>
    <sheetView view="pageBreakPreview" zoomScale="85" zoomScaleNormal="85" zoomScaleSheetLayoutView="85" zoomScalePageLayoutView="85" workbookViewId="0">
      <pane xSplit="4" ySplit="8" topLeftCell="E13" activePane="bottomRight" state="frozen"/>
      <selection activeCell="AJ9" sqref="AJ9"/>
      <selection pane="topRight" activeCell="AJ9" sqref="AJ9"/>
      <selection pane="bottomLeft" activeCell="AJ9" sqref="AJ9"/>
      <selection pane="bottomRight" activeCell="L22" sqref="L22"/>
    </sheetView>
  </sheetViews>
  <sheetFormatPr defaultColWidth="14.42578125" defaultRowHeight="14.1" customHeight="1" outlineLevelRow="1" x14ac:dyDescent="0.2"/>
  <cols>
    <col min="1" max="1" width="3" style="244" customWidth="1"/>
    <col min="2" max="3" width="16.7109375" style="244" customWidth="1"/>
    <col min="4" max="5" width="14.42578125" style="244" customWidth="1"/>
    <col min="6" max="16384" width="14.42578125" style="244"/>
  </cols>
  <sheetData>
    <row r="1" spans="1:32" ht="14.1" customHeight="1" x14ac:dyDescent="0.2">
      <c r="A1" s="227" t="str">
        <f>'Valuation &amp; Sources &amp; Uses'!B2</f>
        <v>Colorado Timberline</v>
      </c>
    </row>
    <row r="2" spans="1:32" ht="14.1" customHeight="1" thickBot="1" x14ac:dyDescent="0.25">
      <c r="A2" s="230" t="str">
        <f ca="1">REPLACE(CELL("filename",B2),1,FIND("]",CELL("filename",B2)),"")</f>
        <v>Taxes</v>
      </c>
      <c r="B2" s="245"/>
      <c r="C2" s="245"/>
      <c r="D2" s="245" t="s">
        <v>45</v>
      </c>
      <c r="E2" s="246">
        <v>42185</v>
      </c>
    </row>
    <row r="3" spans="1:32" ht="14.1" customHeight="1" thickTop="1" x14ac:dyDescent="0.2">
      <c r="A3" s="230" t="str">
        <f>'Valuation &amp; Sources &amp; Uses'!B4</f>
        <v>Financial Model_v12 - Term + Mezzanine</v>
      </c>
      <c r="E3" s="247"/>
      <c r="F3" s="247"/>
      <c r="G3" s="247"/>
      <c r="H3" s="247"/>
      <c r="I3" s="247"/>
      <c r="J3" s="247"/>
      <c r="K3" s="247"/>
    </row>
    <row r="4" spans="1:32" s="247" customFormat="1" ht="14.1" customHeight="1" x14ac:dyDescent="0.2">
      <c r="A4" s="248"/>
      <c r="E4" s="249"/>
      <c r="F4" s="249"/>
      <c r="G4" s="249"/>
      <c r="H4" s="249"/>
      <c r="I4" s="249"/>
      <c r="J4" s="249"/>
    </row>
    <row r="5" spans="1:32" s="247" customFormat="1" ht="14.1" customHeight="1" x14ac:dyDescent="0.2">
      <c r="A5" s="248"/>
      <c r="E5" s="247">
        <f t="shared" ref="E5:J5" si="0">MONTH(E8)</f>
        <v>12</v>
      </c>
      <c r="F5" s="247">
        <f t="shared" si="0"/>
        <v>6</v>
      </c>
      <c r="G5" s="247">
        <f t="shared" si="0"/>
        <v>9</v>
      </c>
      <c r="H5" s="247">
        <f t="shared" si="0"/>
        <v>12</v>
      </c>
      <c r="I5" s="247">
        <f t="shared" si="0"/>
        <v>3</v>
      </c>
      <c r="J5" s="247">
        <f t="shared" si="0"/>
        <v>6</v>
      </c>
      <c r="K5" s="247">
        <f>MONTH(K8)</f>
        <v>9</v>
      </c>
      <c r="L5" s="247">
        <f t="shared" ref="L5:AF5" si="1">MONTH(L8)</f>
        <v>12</v>
      </c>
      <c r="M5" s="247">
        <f t="shared" si="1"/>
        <v>3</v>
      </c>
      <c r="N5" s="247">
        <f t="shared" si="1"/>
        <v>6</v>
      </c>
      <c r="O5" s="247">
        <f t="shared" si="1"/>
        <v>9</v>
      </c>
      <c r="P5" s="247">
        <f t="shared" si="1"/>
        <v>12</v>
      </c>
      <c r="Q5" s="247">
        <f t="shared" si="1"/>
        <v>3</v>
      </c>
      <c r="R5" s="247">
        <f t="shared" si="1"/>
        <v>6</v>
      </c>
      <c r="S5" s="247">
        <f t="shared" si="1"/>
        <v>9</v>
      </c>
      <c r="T5" s="247">
        <f t="shared" si="1"/>
        <v>12</v>
      </c>
      <c r="U5" s="247">
        <f t="shared" si="1"/>
        <v>3</v>
      </c>
      <c r="V5" s="247">
        <f t="shared" si="1"/>
        <v>6</v>
      </c>
      <c r="W5" s="247">
        <f t="shared" si="1"/>
        <v>9</v>
      </c>
      <c r="X5" s="247">
        <f t="shared" si="1"/>
        <v>12</v>
      </c>
      <c r="Y5" s="247">
        <f t="shared" si="1"/>
        <v>3</v>
      </c>
      <c r="Z5" s="247">
        <f t="shared" si="1"/>
        <v>6</v>
      </c>
      <c r="AA5" s="247">
        <f t="shared" si="1"/>
        <v>9</v>
      </c>
      <c r="AB5" s="247">
        <f t="shared" si="1"/>
        <v>12</v>
      </c>
      <c r="AC5" s="247">
        <f t="shared" si="1"/>
        <v>3</v>
      </c>
      <c r="AD5" s="247">
        <f t="shared" si="1"/>
        <v>6</v>
      </c>
      <c r="AE5" s="247">
        <f t="shared" si="1"/>
        <v>9</v>
      </c>
      <c r="AF5" s="247">
        <f t="shared" si="1"/>
        <v>12</v>
      </c>
    </row>
    <row r="6" spans="1:32" ht="14.1" customHeight="1" x14ac:dyDescent="0.2">
      <c r="D6" s="250"/>
      <c r="E6" s="251" t="s">
        <v>10</v>
      </c>
      <c r="F6" s="251" t="s">
        <v>11</v>
      </c>
      <c r="G6" s="251" t="s">
        <v>11</v>
      </c>
      <c r="H6" s="251" t="s">
        <v>11</v>
      </c>
      <c r="I6" s="251" t="s">
        <v>11</v>
      </c>
      <c r="J6" s="251" t="s">
        <v>11</v>
      </c>
      <c r="K6" s="251" t="s">
        <v>11</v>
      </c>
      <c r="L6" s="251" t="s">
        <v>11</v>
      </c>
      <c r="M6" s="251" t="s">
        <v>11</v>
      </c>
      <c r="N6" s="251" t="s">
        <v>11</v>
      </c>
      <c r="O6" s="251" t="s">
        <v>11</v>
      </c>
      <c r="P6" s="251" t="s">
        <v>11</v>
      </c>
      <c r="Q6" s="251" t="s">
        <v>11</v>
      </c>
      <c r="R6" s="251" t="s">
        <v>11</v>
      </c>
      <c r="S6" s="251" t="s">
        <v>11</v>
      </c>
      <c r="T6" s="251" t="s">
        <v>11</v>
      </c>
      <c r="U6" s="251" t="s">
        <v>11</v>
      </c>
      <c r="V6" s="251" t="s">
        <v>11</v>
      </c>
      <c r="W6" s="251" t="s">
        <v>11</v>
      </c>
      <c r="X6" s="251" t="s">
        <v>11</v>
      </c>
      <c r="Y6" s="251" t="s">
        <v>11</v>
      </c>
      <c r="Z6" s="251" t="s">
        <v>11</v>
      </c>
      <c r="AA6" s="251" t="s">
        <v>11</v>
      </c>
      <c r="AB6" s="251" t="s">
        <v>11</v>
      </c>
      <c r="AC6" s="251" t="s">
        <v>11</v>
      </c>
      <c r="AD6" s="251" t="s">
        <v>11</v>
      </c>
      <c r="AE6" s="251" t="s">
        <v>11</v>
      </c>
      <c r="AF6" s="251" t="s">
        <v>11</v>
      </c>
    </row>
    <row r="7" spans="1:32" ht="14.1" customHeight="1" x14ac:dyDescent="0.2">
      <c r="D7" s="250"/>
      <c r="E7" s="251"/>
      <c r="F7" s="251">
        <f t="shared" ref="F7:AF7" si="2">YEAR(F8)</f>
        <v>2014</v>
      </c>
      <c r="G7" s="251">
        <f t="shared" si="2"/>
        <v>2014</v>
      </c>
      <c r="H7" s="251">
        <f t="shared" si="2"/>
        <v>2014</v>
      </c>
      <c r="I7" s="251">
        <f t="shared" si="2"/>
        <v>2015</v>
      </c>
      <c r="J7" s="251">
        <f t="shared" si="2"/>
        <v>2015</v>
      </c>
      <c r="K7" s="251">
        <f t="shared" si="2"/>
        <v>2015</v>
      </c>
      <c r="L7" s="251">
        <f t="shared" si="2"/>
        <v>2015</v>
      </c>
      <c r="M7" s="251">
        <f t="shared" si="2"/>
        <v>2016</v>
      </c>
      <c r="N7" s="251">
        <f t="shared" si="2"/>
        <v>2016</v>
      </c>
      <c r="O7" s="251">
        <f t="shared" si="2"/>
        <v>2016</v>
      </c>
      <c r="P7" s="251">
        <f t="shared" si="2"/>
        <v>2016</v>
      </c>
      <c r="Q7" s="251">
        <f t="shared" si="2"/>
        <v>2017</v>
      </c>
      <c r="R7" s="251">
        <f t="shared" si="2"/>
        <v>2017</v>
      </c>
      <c r="S7" s="251">
        <f t="shared" si="2"/>
        <v>2017</v>
      </c>
      <c r="T7" s="251">
        <f t="shared" si="2"/>
        <v>2017</v>
      </c>
      <c r="U7" s="251">
        <f t="shared" si="2"/>
        <v>2018</v>
      </c>
      <c r="V7" s="251">
        <f t="shared" si="2"/>
        <v>2018</v>
      </c>
      <c r="W7" s="251">
        <f t="shared" si="2"/>
        <v>2018</v>
      </c>
      <c r="X7" s="251">
        <f t="shared" si="2"/>
        <v>2018</v>
      </c>
      <c r="Y7" s="251">
        <f t="shared" si="2"/>
        <v>2019</v>
      </c>
      <c r="Z7" s="251">
        <f t="shared" si="2"/>
        <v>2019</v>
      </c>
      <c r="AA7" s="251">
        <f t="shared" si="2"/>
        <v>2019</v>
      </c>
      <c r="AB7" s="251">
        <f t="shared" si="2"/>
        <v>2019</v>
      </c>
      <c r="AC7" s="251">
        <f t="shared" si="2"/>
        <v>2020</v>
      </c>
      <c r="AD7" s="251">
        <f t="shared" si="2"/>
        <v>2020</v>
      </c>
      <c r="AE7" s="251">
        <f t="shared" si="2"/>
        <v>2020</v>
      </c>
      <c r="AF7" s="251">
        <f t="shared" si="2"/>
        <v>2020</v>
      </c>
    </row>
    <row r="8" spans="1:32" ht="14.1" customHeight="1" thickBot="1" x14ac:dyDescent="0.25">
      <c r="D8" s="252"/>
      <c r="E8" s="246">
        <v>41639</v>
      </c>
      <c r="F8" s="246">
        <v>41820</v>
      </c>
      <c r="G8" s="246">
        <f>EOMONTH(F8,3)</f>
        <v>41912</v>
      </c>
      <c r="H8" s="253">
        <f t="shared" ref="H8:S8" si="3">EOMONTH(G8,3)</f>
        <v>42004</v>
      </c>
      <c r="I8" s="246">
        <f t="shared" si="3"/>
        <v>42094</v>
      </c>
      <c r="J8" s="246">
        <f t="shared" si="3"/>
        <v>42185</v>
      </c>
      <c r="K8" s="246">
        <f t="shared" si="3"/>
        <v>42277</v>
      </c>
      <c r="L8" s="246">
        <f t="shared" si="3"/>
        <v>42369</v>
      </c>
      <c r="M8" s="246">
        <f t="shared" si="3"/>
        <v>42460</v>
      </c>
      <c r="N8" s="246">
        <f t="shared" si="3"/>
        <v>42551</v>
      </c>
      <c r="O8" s="246">
        <f t="shared" si="3"/>
        <v>42643</v>
      </c>
      <c r="P8" s="246">
        <f t="shared" si="3"/>
        <v>42735</v>
      </c>
      <c r="Q8" s="246">
        <f t="shared" si="3"/>
        <v>42825</v>
      </c>
      <c r="R8" s="246">
        <f t="shared" si="3"/>
        <v>42916</v>
      </c>
      <c r="S8" s="246">
        <f t="shared" si="3"/>
        <v>43008</v>
      </c>
      <c r="T8" s="246">
        <f t="shared" ref="T8:AB8" si="4">EOMONTH(S8,3)</f>
        <v>43100</v>
      </c>
      <c r="U8" s="246">
        <f t="shared" si="4"/>
        <v>43190</v>
      </c>
      <c r="V8" s="246">
        <f t="shared" si="4"/>
        <v>43281</v>
      </c>
      <c r="W8" s="246">
        <f t="shared" si="4"/>
        <v>43373</v>
      </c>
      <c r="X8" s="246">
        <f t="shared" si="4"/>
        <v>43465</v>
      </c>
      <c r="Y8" s="246">
        <f t="shared" si="4"/>
        <v>43555</v>
      </c>
      <c r="Z8" s="246">
        <f t="shared" si="4"/>
        <v>43646</v>
      </c>
      <c r="AA8" s="246">
        <f t="shared" si="4"/>
        <v>43738</v>
      </c>
      <c r="AB8" s="246">
        <f t="shared" si="4"/>
        <v>43830</v>
      </c>
      <c r="AC8" s="246">
        <f>EOMONTH(AB8,3)</f>
        <v>43921</v>
      </c>
      <c r="AD8" s="246">
        <f>EOMONTH(AC8,3)</f>
        <v>44012</v>
      </c>
      <c r="AE8" s="246">
        <f>EOMONTH(AD8,3)</f>
        <v>44104</v>
      </c>
      <c r="AF8" s="246">
        <f>EOMONTH(AE8,3)</f>
        <v>44196</v>
      </c>
    </row>
    <row r="9" spans="1:32" ht="14.1" customHeight="1" thickTop="1" x14ac:dyDescent="0.2">
      <c r="D9" s="254"/>
      <c r="E9" s="254"/>
    </row>
    <row r="10" spans="1:32" ht="14.1" customHeight="1" x14ac:dyDescent="0.2">
      <c r="A10" s="244" t="s">
        <v>71</v>
      </c>
      <c r="D10" s="255"/>
      <c r="E10" s="256"/>
      <c r="F10" s="256">
        <v>0</v>
      </c>
      <c r="G10" s="256">
        <v>0</v>
      </c>
      <c r="H10" s="256">
        <v>0</v>
      </c>
      <c r="I10" s="256">
        <v>0</v>
      </c>
      <c r="J10" s="256">
        <v>0</v>
      </c>
      <c r="K10" s="256">
        <f ca="1">'Summary Income Statement'!J46</f>
        <v>667.18427738846913</v>
      </c>
      <c r="L10" s="256">
        <f ca="1">'Summary Income Statement'!K46</f>
        <v>2185.4988670916682</v>
      </c>
      <c r="M10" s="256">
        <f ca="1">'Summary Income Statement'!L46</f>
        <v>31.466732126888473</v>
      </c>
      <c r="N10" s="256">
        <f ca="1">'Summary Income Statement'!M46</f>
        <v>232.59010884436884</v>
      </c>
      <c r="O10" s="256">
        <f ca="1">'Summary Income Statement'!N46</f>
        <v>449.07849037457936</v>
      </c>
      <c r="P10" s="256">
        <f ca="1">'Summary Income Statement'!O46</f>
        <v>2134.5044535197503</v>
      </c>
      <c r="Q10" s="256">
        <f ca="1">'Summary Income Statement'!P46</f>
        <v>149.03131985962818</v>
      </c>
      <c r="R10" s="256">
        <f ca="1">'Summary Income Statement'!Q46</f>
        <v>352.41433172636425</v>
      </c>
      <c r="S10" s="256">
        <f ca="1">'Summary Income Statement'!R46</f>
        <v>594.71991456133492</v>
      </c>
      <c r="T10" s="256">
        <f ca="1">'Summary Income Statement'!S46</f>
        <v>2458.5994251810907</v>
      </c>
      <c r="U10" s="256">
        <f ca="1">'Summary Income Statement'!T46</f>
        <v>266.41303105555926</v>
      </c>
      <c r="V10" s="256">
        <f ca="1">'Summary Income Statement'!U46</f>
        <v>490.63785734196244</v>
      </c>
      <c r="W10" s="256">
        <f ca="1">'Summary Income Statement'!V46</f>
        <v>761.08549293011129</v>
      </c>
      <c r="X10" s="256">
        <f ca="1">'Summary Income Statement'!W46</f>
        <v>2822.3521039027528</v>
      </c>
      <c r="Y10" s="256">
        <f ca="1">'Summary Income Statement'!X46</f>
        <v>357.69123972012812</v>
      </c>
      <c r="Z10" s="256">
        <f ca="1">'Summary Income Statement'!Y46</f>
        <v>601.17498459193939</v>
      </c>
      <c r="AA10" s="256">
        <f ca="1">'Summary Income Statement'!Z46</f>
        <v>894.58650247840342</v>
      </c>
      <c r="AB10" s="256">
        <f ca="1">'Summary Income Statement'!AA46</f>
        <v>3118.3752171048163</v>
      </c>
      <c r="AC10" s="256">
        <f ca="1">'Summary Income Statement'!AB46</f>
        <v>463.50324329697833</v>
      </c>
      <c r="AD10" s="256">
        <f ca="1">'Summary Income Statement'!AC46</f>
        <v>775.65735484269817</v>
      </c>
      <c r="AE10" s="256">
        <f ca="1">'Summary Income Statement'!AD46</f>
        <v>1094.0816735958438</v>
      </c>
      <c r="AF10" s="256">
        <f ca="1">'Summary Income Statement'!AE46</f>
        <v>3495.3501350762499</v>
      </c>
    </row>
    <row r="11" spans="1:32" ht="14.1" customHeight="1" x14ac:dyDescent="0.2">
      <c r="D11" s="255"/>
      <c r="E11" s="257"/>
      <c r="F11" s="257"/>
      <c r="G11" s="257"/>
      <c r="H11" s="257"/>
      <c r="I11" s="257"/>
      <c r="J11" s="257"/>
      <c r="K11" s="257"/>
      <c r="L11" s="257"/>
      <c r="M11" s="257"/>
      <c r="N11" s="257"/>
      <c r="O11" s="257"/>
      <c r="P11" s="257"/>
      <c r="Q11" s="257"/>
      <c r="R11" s="257"/>
      <c r="S11" s="257"/>
      <c r="T11" s="257"/>
      <c r="U11" s="257"/>
      <c r="V11" s="257"/>
      <c r="W11" s="257"/>
      <c r="X11" s="257"/>
      <c r="Y11" s="257"/>
      <c r="Z11" s="257"/>
      <c r="AA11" s="257"/>
      <c r="AB11" s="257"/>
      <c r="AC11" s="257"/>
      <c r="AD11" s="257"/>
      <c r="AE11" s="257"/>
      <c r="AF11" s="257"/>
    </row>
    <row r="12" spans="1:32" ht="14.1" customHeight="1" x14ac:dyDescent="0.2">
      <c r="A12" s="244" t="s">
        <v>124</v>
      </c>
      <c r="D12" s="255"/>
      <c r="E12" s="257"/>
      <c r="F12" s="257">
        <v>0</v>
      </c>
      <c r="G12" s="257">
        <v>0</v>
      </c>
      <c r="H12" s="257">
        <v>0</v>
      </c>
      <c r="I12" s="257">
        <v>0</v>
      </c>
      <c r="J12" s="257">
        <v>0</v>
      </c>
      <c r="K12" s="257">
        <v>0</v>
      </c>
      <c r="L12" s="257">
        <v>0</v>
      </c>
      <c r="M12" s="257">
        <v>0</v>
      </c>
      <c r="N12" s="257">
        <v>0</v>
      </c>
      <c r="O12" s="257">
        <v>0</v>
      </c>
      <c r="P12" s="257">
        <v>0</v>
      </c>
      <c r="Q12" s="257">
        <v>0</v>
      </c>
      <c r="R12" s="257">
        <v>0</v>
      </c>
      <c r="S12" s="257">
        <v>0</v>
      </c>
      <c r="T12" s="257">
        <v>0</v>
      </c>
      <c r="U12" s="257">
        <v>0</v>
      </c>
      <c r="V12" s="257">
        <v>0</v>
      </c>
      <c r="W12" s="257">
        <v>0</v>
      </c>
      <c r="X12" s="257">
        <v>0</v>
      </c>
      <c r="Y12" s="257">
        <v>0</v>
      </c>
      <c r="Z12" s="257">
        <v>0</v>
      </c>
      <c r="AA12" s="257">
        <v>0</v>
      </c>
      <c r="AB12" s="257">
        <v>0</v>
      </c>
      <c r="AC12" s="257">
        <v>0</v>
      </c>
      <c r="AD12" s="257">
        <v>0</v>
      </c>
      <c r="AE12" s="257">
        <v>0</v>
      </c>
      <c r="AF12" s="257">
        <v>0</v>
      </c>
    </row>
    <row r="13" spans="1:32" ht="14.1" customHeight="1" x14ac:dyDescent="0.2">
      <c r="D13" s="255"/>
      <c r="E13" s="257"/>
      <c r="F13" s="257"/>
      <c r="G13" s="257"/>
      <c r="H13" s="257"/>
      <c r="I13" s="257"/>
      <c r="J13" s="257"/>
      <c r="K13" s="257"/>
      <c r="L13" s="257"/>
      <c r="M13" s="257"/>
      <c r="N13" s="257"/>
      <c r="O13" s="257"/>
      <c r="P13" s="257"/>
      <c r="Q13" s="257"/>
      <c r="R13" s="257"/>
      <c r="S13" s="257"/>
      <c r="T13" s="257"/>
      <c r="U13" s="257"/>
      <c r="V13" s="257"/>
      <c r="W13" s="257"/>
      <c r="X13" s="257"/>
      <c r="Y13" s="257"/>
      <c r="Z13" s="257"/>
      <c r="AA13" s="257"/>
      <c r="AB13" s="257"/>
      <c r="AC13" s="257"/>
      <c r="AD13" s="257"/>
      <c r="AE13" s="257"/>
      <c r="AF13" s="257"/>
    </row>
    <row r="14" spans="1:32" ht="13.5" customHeight="1" x14ac:dyDescent="0.2">
      <c r="A14" s="258" t="s">
        <v>72</v>
      </c>
      <c r="D14" s="255"/>
      <c r="E14" s="257"/>
      <c r="F14" s="257">
        <v>0</v>
      </c>
      <c r="G14" s="257">
        <v>0</v>
      </c>
      <c r="H14" s="257">
        <v>0</v>
      </c>
      <c r="I14" s="257">
        <v>0</v>
      </c>
      <c r="J14" s="257">
        <v>0</v>
      </c>
      <c r="K14" s="257">
        <f>-K42</f>
        <v>0</v>
      </c>
      <c r="L14" s="257">
        <f t="shared" ref="L14:AF14" si="5">-L42</f>
        <v>0</v>
      </c>
      <c r="M14" s="257">
        <f t="shared" si="5"/>
        <v>0</v>
      </c>
      <c r="N14" s="257">
        <f t="shared" si="5"/>
        <v>0</v>
      </c>
      <c r="O14" s="257">
        <f t="shared" si="5"/>
        <v>0</v>
      </c>
      <c r="P14" s="257">
        <f t="shared" si="5"/>
        <v>0</v>
      </c>
      <c r="Q14" s="257">
        <f t="shared" si="5"/>
        <v>0</v>
      </c>
      <c r="R14" s="257">
        <f t="shared" si="5"/>
        <v>0</v>
      </c>
      <c r="S14" s="257">
        <f t="shared" si="5"/>
        <v>0</v>
      </c>
      <c r="T14" s="257">
        <f t="shared" si="5"/>
        <v>0</v>
      </c>
      <c r="U14" s="257">
        <f t="shared" si="5"/>
        <v>0</v>
      </c>
      <c r="V14" s="257">
        <f t="shared" si="5"/>
        <v>0</v>
      </c>
      <c r="W14" s="257">
        <f t="shared" si="5"/>
        <v>0</v>
      </c>
      <c r="X14" s="257">
        <f t="shared" si="5"/>
        <v>0</v>
      </c>
      <c r="Y14" s="257">
        <f t="shared" si="5"/>
        <v>0</v>
      </c>
      <c r="Z14" s="257">
        <f t="shared" si="5"/>
        <v>0</v>
      </c>
      <c r="AA14" s="257">
        <f t="shared" si="5"/>
        <v>0</v>
      </c>
      <c r="AB14" s="257">
        <f t="shared" si="5"/>
        <v>0</v>
      </c>
      <c r="AC14" s="257">
        <f t="shared" si="5"/>
        <v>0</v>
      </c>
      <c r="AD14" s="257">
        <f t="shared" si="5"/>
        <v>0</v>
      </c>
      <c r="AE14" s="257">
        <f t="shared" si="5"/>
        <v>0</v>
      </c>
      <c r="AF14" s="257">
        <f t="shared" si="5"/>
        <v>0</v>
      </c>
    </row>
    <row r="15" spans="1:32" ht="14.1" customHeight="1" x14ac:dyDescent="0.2">
      <c r="A15" s="258"/>
      <c r="D15" s="255"/>
      <c r="E15" s="257"/>
      <c r="F15" s="257"/>
      <c r="G15" s="257"/>
      <c r="H15" s="257"/>
      <c r="I15" s="257"/>
      <c r="J15" s="257"/>
      <c r="K15" s="257"/>
      <c r="L15" s="257"/>
      <c r="M15" s="257"/>
      <c r="N15" s="257"/>
      <c r="O15" s="257"/>
      <c r="P15" s="257"/>
      <c r="Q15" s="257"/>
      <c r="R15" s="257"/>
      <c r="S15" s="257"/>
      <c r="T15" s="257"/>
      <c r="U15" s="257"/>
      <c r="V15" s="257"/>
      <c r="W15" s="257"/>
      <c r="X15" s="257"/>
      <c r="Y15" s="257"/>
      <c r="Z15" s="257"/>
      <c r="AA15" s="257"/>
      <c r="AB15" s="257"/>
      <c r="AC15" s="257"/>
      <c r="AD15" s="257"/>
      <c r="AE15" s="257"/>
      <c r="AF15" s="257"/>
    </row>
    <row r="16" spans="1:32" ht="14.1" customHeight="1" x14ac:dyDescent="0.2">
      <c r="A16" s="258" t="s">
        <v>73</v>
      </c>
      <c r="D16" s="255"/>
      <c r="E16" s="257"/>
      <c r="F16" s="257"/>
      <c r="G16" s="257"/>
      <c r="H16" s="257"/>
      <c r="I16" s="257"/>
      <c r="J16" s="257"/>
      <c r="K16" s="257"/>
      <c r="L16" s="257"/>
      <c r="M16" s="257"/>
      <c r="N16" s="257"/>
      <c r="O16" s="257"/>
      <c r="P16" s="257"/>
      <c r="Q16" s="257"/>
      <c r="R16" s="257"/>
      <c r="S16" s="257"/>
      <c r="T16" s="257"/>
      <c r="U16" s="257"/>
      <c r="V16" s="257"/>
      <c r="W16" s="257"/>
      <c r="X16" s="257"/>
      <c r="Y16" s="257"/>
      <c r="Z16" s="257"/>
      <c r="AA16" s="257"/>
      <c r="AB16" s="257"/>
      <c r="AC16" s="257"/>
      <c r="AD16" s="257"/>
      <c r="AE16" s="257"/>
      <c r="AF16" s="257"/>
    </row>
    <row r="17" spans="1:32" ht="14.1" customHeight="1" x14ac:dyDescent="0.2">
      <c r="A17" s="258"/>
      <c r="B17" s="244" t="s">
        <v>74</v>
      </c>
      <c r="D17" s="255"/>
      <c r="E17" s="259"/>
      <c r="F17" s="259"/>
      <c r="G17" s="259"/>
      <c r="H17" s="259"/>
      <c r="I17" s="259">
        <v>0</v>
      </c>
      <c r="J17" s="259">
        <v>0</v>
      </c>
      <c r="K17" s="259">
        <v>0</v>
      </c>
      <c r="L17" s="259">
        <v>0</v>
      </c>
      <c r="M17" s="259">
        <f ca="1">'Summary Income Statement'!L54</f>
        <v>394.91169237500003</v>
      </c>
      <c r="N17" s="259">
        <f ca="1">'Summary Income Statement'!M54</f>
        <v>404.28669237500003</v>
      </c>
      <c r="O17" s="259">
        <f ca="1">'Summary Income Statement'!N54</f>
        <v>413.66169237499997</v>
      </c>
      <c r="P17" s="259">
        <f ca="1">'Summary Income Statement'!O54</f>
        <v>423.03669237499997</v>
      </c>
      <c r="Q17" s="259">
        <f ca="1">'Summary Income Statement'!P54</f>
        <v>432.41169237499997</v>
      </c>
      <c r="R17" s="259">
        <f ca="1">'Summary Income Statement'!Q54</f>
        <v>441.78669237499997</v>
      </c>
      <c r="S17" s="259">
        <f ca="1">'Summary Income Statement'!R54</f>
        <v>451.16169237499997</v>
      </c>
      <c r="T17" s="259">
        <f ca="1">'Summary Income Statement'!S54</f>
        <v>460.53669237499997</v>
      </c>
      <c r="U17" s="259">
        <f ca="1">'Summary Income Statement'!T54</f>
        <v>469.91169237499997</v>
      </c>
      <c r="V17" s="259">
        <f ca="1">'Summary Income Statement'!U54</f>
        <v>479.28669237499997</v>
      </c>
      <c r="W17" s="259">
        <f ca="1">'Summary Income Statement'!V54</f>
        <v>488.66169237499997</v>
      </c>
      <c r="X17" s="259">
        <f ca="1">'Summary Income Statement'!W54</f>
        <v>498.03669237499997</v>
      </c>
      <c r="Y17" s="259">
        <f ca="1">'Summary Income Statement'!X54</f>
        <v>507.41169237499997</v>
      </c>
      <c r="Z17" s="259">
        <f ca="1">'Summary Income Statement'!Y54</f>
        <v>516.78669237500003</v>
      </c>
      <c r="AA17" s="259">
        <f ca="1">'Summary Income Statement'!Z54</f>
        <v>526.16169237500003</v>
      </c>
      <c r="AB17" s="259">
        <f ca="1">'Summary Income Statement'!AA54</f>
        <v>535.53669237500003</v>
      </c>
      <c r="AC17" s="259">
        <f ca="1">'Summary Income Statement'!AB54</f>
        <v>544.91169237500003</v>
      </c>
      <c r="AD17" s="259">
        <f ca="1">'Summary Income Statement'!AC54</f>
        <v>554.28669237500003</v>
      </c>
      <c r="AE17" s="259">
        <f ca="1">'Summary Income Statement'!AD54</f>
        <v>563.66169237500003</v>
      </c>
      <c r="AF17" s="259">
        <f ca="1">'Summary Income Statement'!AE54</f>
        <v>573.03669237500003</v>
      </c>
    </row>
    <row r="18" spans="1:32" ht="14.1" customHeight="1" x14ac:dyDescent="0.2">
      <c r="A18" s="258"/>
      <c r="B18" s="244" t="s">
        <v>75</v>
      </c>
      <c r="D18" s="255"/>
      <c r="E18" s="260"/>
      <c r="F18" s="260"/>
      <c r="G18" s="260"/>
      <c r="H18" s="260"/>
      <c r="I18" s="260">
        <v>0</v>
      </c>
      <c r="J18" s="260">
        <v>0</v>
      </c>
      <c r="K18" s="260">
        <v>0</v>
      </c>
      <c r="L18" s="260">
        <v>0</v>
      </c>
      <c r="M18" s="260">
        <f ca="1">-HLOOKUP(M$7,'CapEx and Depreciation'!$F$6:$K$17,12,FALSE)/4</f>
        <v>-631.76511659999994</v>
      </c>
      <c r="N18" s="260">
        <f ca="1">-HLOOKUP(N$7,'CapEx and Depreciation'!$F$6:$K$17,12,FALSE)/4</f>
        <v>-631.76511659999994</v>
      </c>
      <c r="O18" s="260">
        <f ca="1">-HLOOKUP(O$7,'CapEx and Depreciation'!$F$6:$K$17,12,FALSE)/4</f>
        <v>-631.76511659999994</v>
      </c>
      <c r="P18" s="260">
        <f ca="1">-HLOOKUP(P$7,'CapEx and Depreciation'!$F$6:$K$17,12,FALSE)/4</f>
        <v>-631.76511659999994</v>
      </c>
      <c r="Q18" s="260">
        <f ca="1">-HLOOKUP(Q$7,'CapEx and Depreciation'!$F$6:$K$17,12,FALSE)/4</f>
        <v>-529.05906995999999</v>
      </c>
      <c r="R18" s="260">
        <f ca="1">-HLOOKUP(R$7,'CapEx and Depreciation'!$F$6:$K$17,12,FALSE)/4</f>
        <v>-529.05906995999999</v>
      </c>
      <c r="S18" s="260">
        <f ca="1">-HLOOKUP(S$7,'CapEx and Depreciation'!$F$6:$K$17,12,FALSE)/4</f>
        <v>-529.05906995999999</v>
      </c>
      <c r="T18" s="260">
        <f ca="1">-HLOOKUP(T$7,'CapEx and Depreciation'!$F$6:$K$17,12,FALSE)/4</f>
        <v>-529.05906995999999</v>
      </c>
      <c r="U18" s="260">
        <f ca="1">-HLOOKUP(U$7,'CapEx and Depreciation'!$F$6:$K$17,12,FALSE)/4</f>
        <v>-582.63544197600004</v>
      </c>
      <c r="V18" s="260">
        <f ca="1">-HLOOKUP(V$7,'CapEx and Depreciation'!$F$6:$K$17,12,FALSE)/4</f>
        <v>-582.63544197600004</v>
      </c>
      <c r="W18" s="260">
        <f ca="1">-HLOOKUP(W$7,'CapEx and Depreciation'!$F$6:$K$17,12,FALSE)/4</f>
        <v>-582.63544197600004</v>
      </c>
      <c r="X18" s="260">
        <f ca="1">-HLOOKUP(X$7,'CapEx and Depreciation'!$F$6:$K$17,12,FALSE)/4</f>
        <v>-582.63544197600004</v>
      </c>
      <c r="Y18" s="260">
        <f ca="1">-HLOOKUP(Y$7,'CapEx and Depreciation'!$F$6:$K$17,12,FALSE)/4</f>
        <v>-481.83544197599997</v>
      </c>
      <c r="Z18" s="260">
        <f ca="1">-HLOOKUP(Z$7,'CapEx and Depreciation'!$F$6:$K$17,12,FALSE)/4</f>
        <v>-481.83544197599997</v>
      </c>
      <c r="AA18" s="260">
        <f ca="1">-HLOOKUP(AA$7,'CapEx and Depreciation'!$F$6:$K$17,12,FALSE)/4</f>
        <v>-481.83544197599997</v>
      </c>
      <c r="AB18" s="260">
        <f ca="1">-HLOOKUP(AB$7,'CapEx and Depreciation'!$F$6:$K$17,12,FALSE)/4</f>
        <v>-481.83544197599997</v>
      </c>
      <c r="AC18" s="260">
        <f ca="1">-HLOOKUP(AC$7,'CapEx and Depreciation'!$F$6:$K$17,12,FALSE)/4</f>
        <v>-367.21772098799994</v>
      </c>
      <c r="AD18" s="260">
        <f ca="1">-HLOOKUP(AD$7,'CapEx and Depreciation'!$F$6:$K$17,12,FALSE)/4</f>
        <v>-367.21772098799994</v>
      </c>
      <c r="AE18" s="260">
        <f ca="1">-HLOOKUP(AE$7,'CapEx and Depreciation'!$F$6:$K$17,12,FALSE)/4</f>
        <v>-367.21772098799994</v>
      </c>
      <c r="AF18" s="260">
        <f ca="1">-HLOOKUP(AF$7,'CapEx and Depreciation'!$F$6:$K$17,12,FALSE)/4</f>
        <v>-367.21772098799994</v>
      </c>
    </row>
    <row r="19" spans="1:32" ht="14.1" customHeight="1" x14ac:dyDescent="0.2">
      <c r="A19" s="258"/>
      <c r="B19" s="244" t="s">
        <v>76</v>
      </c>
      <c r="D19" s="255"/>
      <c r="E19" s="257"/>
      <c r="F19" s="257">
        <f>F17-F18</f>
        <v>0</v>
      </c>
      <c r="G19" s="257">
        <f>G17-G18</f>
        <v>0</v>
      </c>
      <c r="H19" s="257">
        <f>H17-H18</f>
        <v>0</v>
      </c>
      <c r="I19" s="257">
        <f>I17+I18</f>
        <v>0</v>
      </c>
      <c r="J19" s="257">
        <f t="shared" ref="J19:AF19" si="6">J17+J18</f>
        <v>0</v>
      </c>
      <c r="K19" s="257">
        <f t="shared" si="6"/>
        <v>0</v>
      </c>
      <c r="L19" s="257">
        <f t="shared" si="6"/>
        <v>0</v>
      </c>
      <c r="M19" s="257">
        <f t="shared" ca="1" si="6"/>
        <v>-236.85342422499991</v>
      </c>
      <c r="N19" s="257">
        <f t="shared" ca="1" si="6"/>
        <v>-227.47842422499991</v>
      </c>
      <c r="O19" s="257">
        <f t="shared" ca="1" si="6"/>
        <v>-218.10342422499997</v>
      </c>
      <c r="P19" s="257">
        <f t="shared" ca="1" si="6"/>
        <v>-208.72842422499997</v>
      </c>
      <c r="Q19" s="257">
        <f t="shared" ca="1" si="6"/>
        <v>-96.647377585000015</v>
      </c>
      <c r="R19" s="257">
        <f t="shared" ca="1" si="6"/>
        <v>-87.272377585000015</v>
      </c>
      <c r="S19" s="257">
        <f t="shared" ca="1" si="6"/>
        <v>-77.897377585000015</v>
      </c>
      <c r="T19" s="257">
        <f t="shared" ca="1" si="6"/>
        <v>-68.522377585000015</v>
      </c>
      <c r="U19" s="257">
        <f t="shared" ca="1" si="6"/>
        <v>-112.72374960100007</v>
      </c>
      <c r="V19" s="257">
        <f t="shared" ca="1" si="6"/>
        <v>-103.34874960100007</v>
      </c>
      <c r="W19" s="257">
        <f t="shared" ca="1" si="6"/>
        <v>-93.973749601000065</v>
      </c>
      <c r="X19" s="257">
        <f t="shared" ca="1" si="6"/>
        <v>-84.598749601000065</v>
      </c>
      <c r="Y19" s="257">
        <f t="shared" ca="1" si="6"/>
        <v>25.576250399000003</v>
      </c>
      <c r="Z19" s="257">
        <f t="shared" ca="1" si="6"/>
        <v>34.95125039900006</v>
      </c>
      <c r="AA19" s="257">
        <f t="shared" ca="1" si="6"/>
        <v>44.32625039900006</v>
      </c>
      <c r="AB19" s="257">
        <f t="shared" ca="1" si="6"/>
        <v>53.70125039900006</v>
      </c>
      <c r="AC19" s="257">
        <f t="shared" ca="1" si="6"/>
        <v>177.69397138700009</v>
      </c>
      <c r="AD19" s="257">
        <f t="shared" ca="1" si="6"/>
        <v>187.06897138700009</v>
      </c>
      <c r="AE19" s="257">
        <f t="shared" ca="1" si="6"/>
        <v>196.44397138700009</v>
      </c>
      <c r="AF19" s="257">
        <f t="shared" ca="1" si="6"/>
        <v>205.81897138700009</v>
      </c>
    </row>
    <row r="20" spans="1:32" ht="14.1" customHeight="1" x14ac:dyDescent="0.2">
      <c r="D20" s="261"/>
      <c r="E20" s="254"/>
      <c r="F20" s="254"/>
      <c r="G20" s="254"/>
      <c r="H20" s="254"/>
      <c r="I20" s="254"/>
      <c r="J20" s="254"/>
      <c r="K20" s="254"/>
      <c r="L20" s="254"/>
      <c r="M20" s="254"/>
      <c r="N20" s="254"/>
      <c r="O20" s="254"/>
      <c r="P20" s="254"/>
      <c r="Q20" s="254"/>
      <c r="R20" s="254"/>
      <c r="S20" s="254"/>
      <c r="T20" s="254"/>
      <c r="U20" s="254"/>
      <c r="V20" s="254"/>
      <c r="W20" s="254"/>
      <c r="X20" s="254"/>
      <c r="Y20" s="254"/>
      <c r="Z20" s="254"/>
      <c r="AA20" s="254"/>
      <c r="AB20" s="254"/>
      <c r="AC20" s="254"/>
      <c r="AD20" s="254"/>
      <c r="AE20" s="254"/>
      <c r="AF20" s="254"/>
    </row>
    <row r="21" spans="1:32" ht="14.1" customHeight="1" x14ac:dyDescent="0.2">
      <c r="A21" s="244" t="s">
        <v>77</v>
      </c>
      <c r="D21" s="261"/>
      <c r="E21" s="254"/>
      <c r="F21" s="254">
        <f>SUM(F10:F14)+F19</f>
        <v>0</v>
      </c>
      <c r="G21" s="254">
        <f>SUM(G10:G14)+G19</f>
        <v>0</v>
      </c>
      <c r="H21" s="254">
        <f>SUM(H10:H14)+H19</f>
        <v>0</v>
      </c>
      <c r="I21" s="254">
        <f>SUM(I10:I14)+I19</f>
        <v>0</v>
      </c>
      <c r="J21" s="254">
        <f t="shared" ref="J21:AF21" si="7">SUM(J10:J14)+J19</f>
        <v>0</v>
      </c>
      <c r="K21" s="254">
        <v>0</v>
      </c>
      <c r="L21" s="254">
        <v>0</v>
      </c>
      <c r="M21" s="254">
        <f t="shared" ca="1" si="7"/>
        <v>-205.38669209811144</v>
      </c>
      <c r="N21" s="254">
        <f t="shared" ca="1" si="7"/>
        <v>5.1116846193689298</v>
      </c>
      <c r="O21" s="254">
        <f t="shared" ca="1" si="7"/>
        <v>230.97506614957939</v>
      </c>
      <c r="P21" s="254">
        <f t="shared" ca="1" si="7"/>
        <v>1925.7760292947503</v>
      </c>
      <c r="Q21" s="254">
        <f t="shared" ca="1" si="7"/>
        <v>52.383942274628168</v>
      </c>
      <c r="R21" s="254">
        <f t="shared" ca="1" si="7"/>
        <v>265.14195414136424</v>
      </c>
      <c r="S21" s="254">
        <f t="shared" ca="1" si="7"/>
        <v>516.82253697633496</v>
      </c>
      <c r="T21" s="254">
        <f t="shared" ca="1" si="7"/>
        <v>2390.0770475960908</v>
      </c>
      <c r="U21" s="254">
        <f t="shared" ca="1" si="7"/>
        <v>153.68928145455919</v>
      </c>
      <c r="V21" s="254">
        <f t="shared" ca="1" si="7"/>
        <v>387.28910774096238</v>
      </c>
      <c r="W21" s="254">
        <f t="shared" ca="1" si="7"/>
        <v>667.11174332911128</v>
      </c>
      <c r="X21" s="254">
        <f t="shared" ca="1" si="7"/>
        <v>2737.7533543017526</v>
      </c>
      <c r="Y21" s="254">
        <f t="shared" ca="1" si="7"/>
        <v>383.26749011912813</v>
      </c>
      <c r="Z21" s="254">
        <f t="shared" ca="1" si="7"/>
        <v>636.12623499093945</v>
      </c>
      <c r="AA21" s="254">
        <f t="shared" ca="1" si="7"/>
        <v>938.91275287740348</v>
      </c>
      <c r="AB21" s="254">
        <f t="shared" ca="1" si="7"/>
        <v>3172.0764675038163</v>
      </c>
      <c r="AC21" s="254">
        <f t="shared" ca="1" si="7"/>
        <v>641.19721468397847</v>
      </c>
      <c r="AD21" s="254">
        <f t="shared" ca="1" si="7"/>
        <v>962.72632622969832</v>
      </c>
      <c r="AE21" s="254">
        <f t="shared" ca="1" si="7"/>
        <v>1290.5256449828439</v>
      </c>
      <c r="AF21" s="254">
        <f t="shared" ca="1" si="7"/>
        <v>3701.16910646325</v>
      </c>
    </row>
    <row r="22" spans="1:32" ht="14.1" customHeight="1" x14ac:dyDescent="0.2">
      <c r="D22" s="247"/>
    </row>
    <row r="23" spans="1:32" ht="14.1" customHeight="1" x14ac:dyDescent="0.2">
      <c r="A23" s="244" t="s">
        <v>78</v>
      </c>
      <c r="D23" s="262"/>
      <c r="E23" s="263"/>
      <c r="F23" s="264">
        <f>'Valuation &amp; Sources &amp; Uses'!$C$21</f>
        <v>0.45</v>
      </c>
      <c r="G23" s="264">
        <f>F23</f>
        <v>0.45</v>
      </c>
      <c r="H23" s="264">
        <f t="shared" ref="H23:AF23" si="8">G23</f>
        <v>0.45</v>
      </c>
      <c r="I23" s="264">
        <f t="shared" si="8"/>
        <v>0.45</v>
      </c>
      <c r="J23" s="264">
        <f t="shared" si="8"/>
        <v>0.45</v>
      </c>
      <c r="K23" s="264">
        <f t="shared" si="8"/>
        <v>0.45</v>
      </c>
      <c r="L23" s="264">
        <f t="shared" si="8"/>
        <v>0.45</v>
      </c>
      <c r="M23" s="264">
        <f t="shared" si="8"/>
        <v>0.45</v>
      </c>
      <c r="N23" s="264">
        <f t="shared" si="8"/>
        <v>0.45</v>
      </c>
      <c r="O23" s="264">
        <f t="shared" si="8"/>
        <v>0.45</v>
      </c>
      <c r="P23" s="264">
        <f t="shared" si="8"/>
        <v>0.45</v>
      </c>
      <c r="Q23" s="264">
        <f t="shared" si="8"/>
        <v>0.45</v>
      </c>
      <c r="R23" s="264">
        <f t="shared" si="8"/>
        <v>0.45</v>
      </c>
      <c r="S23" s="264">
        <f t="shared" si="8"/>
        <v>0.45</v>
      </c>
      <c r="T23" s="264">
        <f t="shared" si="8"/>
        <v>0.45</v>
      </c>
      <c r="U23" s="264">
        <f t="shared" si="8"/>
        <v>0.45</v>
      </c>
      <c r="V23" s="264">
        <f t="shared" si="8"/>
        <v>0.45</v>
      </c>
      <c r="W23" s="264">
        <f t="shared" si="8"/>
        <v>0.45</v>
      </c>
      <c r="X23" s="264">
        <f t="shared" si="8"/>
        <v>0.45</v>
      </c>
      <c r="Y23" s="264">
        <f t="shared" si="8"/>
        <v>0.45</v>
      </c>
      <c r="Z23" s="264">
        <f t="shared" si="8"/>
        <v>0.45</v>
      </c>
      <c r="AA23" s="264">
        <f t="shared" si="8"/>
        <v>0.45</v>
      </c>
      <c r="AB23" s="264">
        <f t="shared" si="8"/>
        <v>0.45</v>
      </c>
      <c r="AC23" s="264">
        <f t="shared" si="8"/>
        <v>0.45</v>
      </c>
      <c r="AD23" s="264">
        <f t="shared" si="8"/>
        <v>0.45</v>
      </c>
      <c r="AE23" s="264">
        <f t="shared" si="8"/>
        <v>0.45</v>
      </c>
      <c r="AF23" s="264">
        <f t="shared" si="8"/>
        <v>0.45</v>
      </c>
    </row>
    <row r="24" spans="1:32" ht="14.1" customHeight="1" x14ac:dyDescent="0.2">
      <c r="D24" s="262"/>
      <c r="E24" s="265"/>
      <c r="F24" s="266"/>
      <c r="G24" s="265"/>
      <c r="H24" s="265"/>
      <c r="I24" s="265"/>
      <c r="J24" s="265"/>
      <c r="K24" s="265"/>
      <c r="L24" s="265"/>
      <c r="M24" s="265"/>
      <c r="N24" s="265"/>
      <c r="O24" s="265"/>
      <c r="P24" s="265"/>
      <c r="Q24" s="265"/>
      <c r="R24" s="265"/>
      <c r="S24" s="265"/>
      <c r="T24" s="265"/>
      <c r="U24" s="265"/>
      <c r="V24" s="265"/>
      <c r="W24" s="265"/>
      <c r="X24" s="265"/>
      <c r="Y24" s="265"/>
      <c r="Z24" s="265"/>
      <c r="AA24" s="265"/>
      <c r="AB24" s="265"/>
      <c r="AC24" s="265"/>
      <c r="AD24" s="265"/>
      <c r="AE24" s="265"/>
      <c r="AF24" s="265"/>
    </row>
    <row r="25" spans="1:32" ht="14.1" customHeight="1" x14ac:dyDescent="0.2">
      <c r="A25" s="244" t="s">
        <v>79</v>
      </c>
      <c r="D25" s="247"/>
      <c r="F25" s="244">
        <f>F21*F23</f>
        <v>0</v>
      </c>
      <c r="G25" s="244">
        <f>G21*G23</f>
        <v>0</v>
      </c>
      <c r="H25" s="244">
        <f t="shared" ref="H25:S25" si="9">H21*H23</f>
        <v>0</v>
      </c>
      <c r="I25" s="244">
        <f t="shared" si="9"/>
        <v>0</v>
      </c>
      <c r="J25" s="244">
        <f t="shared" si="9"/>
        <v>0</v>
      </c>
      <c r="K25" s="244">
        <f t="shared" si="9"/>
        <v>0</v>
      </c>
      <c r="L25" s="244">
        <f t="shared" si="9"/>
        <v>0</v>
      </c>
      <c r="M25" s="244">
        <f t="shared" ca="1" si="9"/>
        <v>-92.424011444150153</v>
      </c>
      <c r="N25" s="244">
        <f t="shared" ca="1" si="9"/>
        <v>2.3002580787160185</v>
      </c>
      <c r="O25" s="244">
        <f t="shared" ca="1" si="9"/>
        <v>103.93877976731073</v>
      </c>
      <c r="P25" s="244">
        <f t="shared" ca="1" si="9"/>
        <v>866.59921318263764</v>
      </c>
      <c r="Q25" s="244">
        <f t="shared" ca="1" si="9"/>
        <v>23.572774023582678</v>
      </c>
      <c r="R25" s="244">
        <f t="shared" ca="1" si="9"/>
        <v>119.31387936361391</v>
      </c>
      <c r="S25" s="244">
        <f t="shared" ca="1" si="9"/>
        <v>232.57014163935074</v>
      </c>
      <c r="T25" s="244">
        <f t="shared" ref="T25:AB25" ca="1" si="10">T21*T23</f>
        <v>1075.5346714182408</v>
      </c>
      <c r="U25" s="244">
        <f t="shared" ca="1" si="10"/>
        <v>69.160176654551634</v>
      </c>
      <c r="V25" s="244">
        <f t="shared" ca="1" si="10"/>
        <v>174.28009848343308</v>
      </c>
      <c r="W25" s="244">
        <f t="shared" ca="1" si="10"/>
        <v>300.20028449810007</v>
      </c>
      <c r="X25" s="244">
        <f t="shared" ca="1" si="10"/>
        <v>1231.9890094357886</v>
      </c>
      <c r="Y25" s="244">
        <f t="shared" ca="1" si="10"/>
        <v>172.47037055360767</v>
      </c>
      <c r="Z25" s="244">
        <f t="shared" ca="1" si="10"/>
        <v>286.25680574592275</v>
      </c>
      <c r="AA25" s="244">
        <f t="shared" ca="1" si="10"/>
        <v>422.51073879483158</v>
      </c>
      <c r="AB25" s="244">
        <f t="shared" ca="1" si="10"/>
        <v>1427.4344103767173</v>
      </c>
      <c r="AC25" s="244">
        <f ca="1">AC21*AC23</f>
        <v>288.5387466077903</v>
      </c>
      <c r="AD25" s="244">
        <f ca="1">AD21*AD23</f>
        <v>433.22684680336425</v>
      </c>
      <c r="AE25" s="244">
        <f ca="1">AE21*AE23</f>
        <v>580.73654024227983</v>
      </c>
      <c r="AF25" s="244">
        <f ca="1">AF21*AF23</f>
        <v>1665.5260979084626</v>
      </c>
    </row>
    <row r="26" spans="1:32" ht="14.1" customHeight="1" x14ac:dyDescent="0.2">
      <c r="D26" s="247"/>
    </row>
    <row r="27" spans="1:32" ht="14.1" customHeight="1" x14ac:dyDescent="0.2">
      <c r="B27" s="244" t="s">
        <v>80</v>
      </c>
      <c r="D27" s="247"/>
      <c r="E27" s="267"/>
      <c r="F27" s="267">
        <f>E29</f>
        <v>0</v>
      </c>
      <c r="G27" s="267">
        <f>F29</f>
        <v>0</v>
      </c>
      <c r="H27" s="267">
        <f t="shared" ref="H27:S27" si="11">G29</f>
        <v>0</v>
      </c>
      <c r="I27" s="267">
        <f t="shared" si="11"/>
        <v>0</v>
      </c>
      <c r="J27" s="267">
        <f t="shared" si="11"/>
        <v>0</v>
      </c>
      <c r="K27" s="267">
        <f t="shared" si="11"/>
        <v>0</v>
      </c>
      <c r="L27" s="267">
        <f t="shared" si="11"/>
        <v>0</v>
      </c>
      <c r="M27" s="267">
        <f t="shared" si="11"/>
        <v>0</v>
      </c>
      <c r="N27" s="267">
        <f t="shared" ca="1" si="11"/>
        <v>92.424011444150153</v>
      </c>
      <c r="O27" s="267">
        <f t="shared" ca="1" si="11"/>
        <v>90.123753365434141</v>
      </c>
      <c r="P27" s="267">
        <f t="shared" ca="1" si="11"/>
        <v>0</v>
      </c>
      <c r="Q27" s="267">
        <f t="shared" ca="1" si="11"/>
        <v>0</v>
      </c>
      <c r="R27" s="267">
        <f t="shared" ca="1" si="11"/>
        <v>0</v>
      </c>
      <c r="S27" s="267">
        <f t="shared" ca="1" si="11"/>
        <v>0</v>
      </c>
      <c r="T27" s="267">
        <f t="shared" ref="T27:AB27" ca="1" si="12">S29</f>
        <v>0</v>
      </c>
      <c r="U27" s="267">
        <f t="shared" ca="1" si="12"/>
        <v>0</v>
      </c>
      <c r="V27" s="267">
        <f t="shared" ca="1" si="12"/>
        <v>0</v>
      </c>
      <c r="W27" s="267">
        <f t="shared" ca="1" si="12"/>
        <v>0</v>
      </c>
      <c r="X27" s="267">
        <f t="shared" ca="1" si="12"/>
        <v>0</v>
      </c>
      <c r="Y27" s="267">
        <f t="shared" ca="1" si="12"/>
        <v>0</v>
      </c>
      <c r="Z27" s="267">
        <f t="shared" ca="1" si="12"/>
        <v>0</v>
      </c>
      <c r="AA27" s="267">
        <f t="shared" ca="1" si="12"/>
        <v>0</v>
      </c>
      <c r="AB27" s="267">
        <f t="shared" ca="1" si="12"/>
        <v>0</v>
      </c>
      <c r="AC27" s="267">
        <f ca="1">AB29</f>
        <v>0</v>
      </c>
      <c r="AD27" s="267">
        <f ca="1">AC29</f>
        <v>0</v>
      </c>
      <c r="AE27" s="267">
        <f ca="1">AD29</f>
        <v>0</v>
      </c>
      <c r="AF27" s="267">
        <f ca="1">AE29</f>
        <v>0</v>
      </c>
    </row>
    <row r="28" spans="1:32" ht="14.1" customHeight="1" x14ac:dyDescent="0.2">
      <c r="B28" s="244" t="s">
        <v>81</v>
      </c>
      <c r="D28" s="247"/>
      <c r="F28" s="244">
        <f>-F25</f>
        <v>0</v>
      </c>
      <c r="G28" s="244">
        <f>-G25</f>
        <v>0</v>
      </c>
      <c r="H28" s="244">
        <f t="shared" ref="H28:S28" si="13">-H25</f>
        <v>0</v>
      </c>
      <c r="I28" s="244">
        <f t="shared" si="13"/>
        <v>0</v>
      </c>
      <c r="J28" s="244">
        <f t="shared" si="13"/>
        <v>0</v>
      </c>
      <c r="K28" s="244">
        <f t="shared" si="13"/>
        <v>0</v>
      </c>
      <c r="L28" s="244">
        <f t="shared" si="13"/>
        <v>0</v>
      </c>
      <c r="M28" s="244">
        <f t="shared" ca="1" si="13"/>
        <v>92.424011444150153</v>
      </c>
      <c r="N28" s="244">
        <f t="shared" ca="1" si="13"/>
        <v>-2.3002580787160185</v>
      </c>
      <c r="O28" s="244">
        <f t="shared" ca="1" si="13"/>
        <v>-103.93877976731073</v>
      </c>
      <c r="P28" s="244">
        <f t="shared" ca="1" si="13"/>
        <v>-866.59921318263764</v>
      </c>
      <c r="Q28" s="244">
        <f t="shared" ca="1" si="13"/>
        <v>-23.572774023582678</v>
      </c>
      <c r="R28" s="244">
        <f t="shared" ca="1" si="13"/>
        <v>-119.31387936361391</v>
      </c>
      <c r="S28" s="244">
        <f t="shared" ca="1" si="13"/>
        <v>-232.57014163935074</v>
      </c>
      <c r="T28" s="244">
        <f t="shared" ref="T28:AB28" ca="1" si="14">-T25</f>
        <v>-1075.5346714182408</v>
      </c>
      <c r="U28" s="244">
        <f t="shared" ca="1" si="14"/>
        <v>-69.160176654551634</v>
      </c>
      <c r="V28" s="244">
        <f t="shared" ca="1" si="14"/>
        <v>-174.28009848343308</v>
      </c>
      <c r="W28" s="244">
        <f t="shared" ca="1" si="14"/>
        <v>-300.20028449810007</v>
      </c>
      <c r="X28" s="244">
        <f t="shared" ca="1" si="14"/>
        <v>-1231.9890094357886</v>
      </c>
      <c r="Y28" s="244">
        <f t="shared" ca="1" si="14"/>
        <v>-172.47037055360767</v>
      </c>
      <c r="Z28" s="244">
        <f t="shared" ca="1" si="14"/>
        <v>-286.25680574592275</v>
      </c>
      <c r="AA28" s="244">
        <f t="shared" ca="1" si="14"/>
        <v>-422.51073879483158</v>
      </c>
      <c r="AB28" s="244">
        <f t="shared" ca="1" si="14"/>
        <v>-1427.4344103767173</v>
      </c>
      <c r="AC28" s="244">
        <f ca="1">-AC25</f>
        <v>-288.5387466077903</v>
      </c>
      <c r="AD28" s="244">
        <f ca="1">-AD25</f>
        <v>-433.22684680336425</v>
      </c>
      <c r="AE28" s="244">
        <f ca="1">-AE25</f>
        <v>-580.73654024227983</v>
      </c>
      <c r="AF28" s="244">
        <f ca="1">-AF25</f>
        <v>-1665.5260979084626</v>
      </c>
    </row>
    <row r="29" spans="1:32" ht="14.1" customHeight="1" x14ac:dyDescent="0.2">
      <c r="B29" s="244" t="s">
        <v>82</v>
      </c>
      <c r="D29" s="268">
        <v>0</v>
      </c>
      <c r="E29" s="244">
        <f>IF((E27+E28)&gt;0,E27+E28,0)</f>
        <v>0</v>
      </c>
      <c r="F29" s="244">
        <f>IF((F27+F28)&gt;0,F27+F28,0)</f>
        <v>0</v>
      </c>
      <c r="G29" s="244">
        <f>IF((G27+G28)&gt;0,G27+G28,0)</f>
        <v>0</v>
      </c>
      <c r="H29" s="244">
        <f t="shared" ref="H29:S29" si="15">IF((H27+H28)&gt;0,H27+H28,0)</f>
        <v>0</v>
      </c>
      <c r="I29" s="244">
        <f t="shared" si="15"/>
        <v>0</v>
      </c>
      <c r="J29" s="244">
        <f t="shared" si="15"/>
        <v>0</v>
      </c>
      <c r="K29" s="244">
        <f t="shared" si="15"/>
        <v>0</v>
      </c>
      <c r="L29" s="244">
        <f t="shared" si="15"/>
        <v>0</v>
      </c>
      <c r="M29" s="244">
        <f t="shared" ca="1" si="15"/>
        <v>92.424011444150153</v>
      </c>
      <c r="N29" s="244">
        <f t="shared" ca="1" si="15"/>
        <v>90.123753365434141</v>
      </c>
      <c r="O29" s="244">
        <f t="shared" ca="1" si="15"/>
        <v>0</v>
      </c>
      <c r="P29" s="244">
        <f t="shared" ca="1" si="15"/>
        <v>0</v>
      </c>
      <c r="Q29" s="244">
        <f t="shared" ca="1" si="15"/>
        <v>0</v>
      </c>
      <c r="R29" s="244">
        <f t="shared" ca="1" si="15"/>
        <v>0</v>
      </c>
      <c r="S29" s="244">
        <f t="shared" ca="1" si="15"/>
        <v>0</v>
      </c>
      <c r="T29" s="244">
        <f t="shared" ref="T29:AB29" ca="1" si="16">IF((T27+T28)&gt;0,T27+T28,0)</f>
        <v>0</v>
      </c>
      <c r="U29" s="244">
        <f t="shared" ca="1" si="16"/>
        <v>0</v>
      </c>
      <c r="V29" s="244">
        <f t="shared" ca="1" si="16"/>
        <v>0</v>
      </c>
      <c r="W29" s="244">
        <f t="shared" ca="1" si="16"/>
        <v>0</v>
      </c>
      <c r="X29" s="244">
        <f t="shared" ca="1" si="16"/>
        <v>0</v>
      </c>
      <c r="Y29" s="244">
        <f t="shared" ca="1" si="16"/>
        <v>0</v>
      </c>
      <c r="Z29" s="244">
        <f t="shared" ca="1" si="16"/>
        <v>0</v>
      </c>
      <c r="AA29" s="244">
        <f t="shared" ca="1" si="16"/>
        <v>0</v>
      </c>
      <c r="AB29" s="244">
        <f t="shared" ca="1" si="16"/>
        <v>0</v>
      </c>
      <c r="AC29" s="244">
        <f ca="1">IF((AC27+AC28)&gt;0,AC27+AC28,0)</f>
        <v>0</v>
      </c>
      <c r="AD29" s="244">
        <f ca="1">IF((AD27+AD28)&gt;0,AD27+AD28,0)</f>
        <v>0</v>
      </c>
      <c r="AE29" s="244">
        <f ca="1">IF((AE27+AE28)&gt;0,AE27+AE28,0)</f>
        <v>0</v>
      </c>
      <c r="AF29" s="244">
        <f ca="1">IF((AF27+AF28)&gt;0,AF27+AF28,0)</f>
        <v>0</v>
      </c>
    </row>
    <row r="31" spans="1:32" ht="14.1" customHeight="1" x14ac:dyDescent="0.2">
      <c r="B31" s="244" t="s">
        <v>83</v>
      </c>
      <c r="E31" s="244">
        <f t="shared" ref="E31:AB31" si="17">D34</f>
        <v>0</v>
      </c>
      <c r="F31" s="244">
        <f t="shared" si="17"/>
        <v>0</v>
      </c>
      <c r="G31" s="244">
        <f t="shared" si="17"/>
        <v>0</v>
      </c>
      <c r="H31" s="244">
        <f t="shared" si="17"/>
        <v>0</v>
      </c>
      <c r="I31" s="244">
        <f t="shared" si="17"/>
        <v>0</v>
      </c>
      <c r="J31" s="244">
        <f t="shared" si="17"/>
        <v>0</v>
      </c>
      <c r="K31" s="244">
        <f t="shared" si="17"/>
        <v>0</v>
      </c>
      <c r="L31" s="244">
        <f t="shared" si="17"/>
        <v>0</v>
      </c>
      <c r="M31" s="244">
        <f t="shared" si="17"/>
        <v>0</v>
      </c>
      <c r="N31" s="244">
        <f t="shared" ca="1" si="17"/>
        <v>0</v>
      </c>
      <c r="O31" s="244">
        <f t="shared" ca="1" si="17"/>
        <v>0</v>
      </c>
      <c r="P31" s="244">
        <f t="shared" ca="1" si="17"/>
        <v>13.815026401876594</v>
      </c>
      <c r="Q31" s="244">
        <f t="shared" ca="1" si="17"/>
        <v>866.59921318263764</v>
      </c>
      <c r="R31" s="244">
        <f t="shared" ca="1" si="17"/>
        <v>23.572774023582724</v>
      </c>
      <c r="S31" s="244">
        <f t="shared" ca="1" si="17"/>
        <v>119.31387936361396</v>
      </c>
      <c r="T31" s="244">
        <f t="shared" ca="1" si="17"/>
        <v>232.57014163935077</v>
      </c>
      <c r="U31" s="244">
        <f t="shared" ca="1" si="17"/>
        <v>1075.5346714182408</v>
      </c>
      <c r="V31" s="244">
        <f t="shared" ca="1" si="17"/>
        <v>69.160176654551606</v>
      </c>
      <c r="W31" s="244">
        <f t="shared" ca="1" si="17"/>
        <v>174.28009848343305</v>
      </c>
      <c r="X31" s="244">
        <f t="shared" ca="1" si="17"/>
        <v>300.20028449810002</v>
      </c>
      <c r="Y31" s="244">
        <f t="shared" ca="1" si="17"/>
        <v>1231.9890094357886</v>
      </c>
      <c r="Z31" s="244">
        <f t="shared" ca="1" si="17"/>
        <v>172.47037055360761</v>
      </c>
      <c r="AA31" s="244">
        <f t="shared" ca="1" si="17"/>
        <v>286.25680574592269</v>
      </c>
      <c r="AB31" s="244">
        <f t="shared" ca="1" si="17"/>
        <v>422.51073879483147</v>
      </c>
      <c r="AC31" s="244">
        <f ca="1">AB34</f>
        <v>1427.4344103767171</v>
      </c>
      <c r="AD31" s="244">
        <f ca="1">AC34</f>
        <v>288.53874660779002</v>
      </c>
      <c r="AE31" s="244">
        <f ca="1">AD34</f>
        <v>433.22684680336482</v>
      </c>
      <c r="AF31" s="244">
        <f ca="1">AE34</f>
        <v>580.73654024212169</v>
      </c>
    </row>
    <row r="32" spans="1:32" ht="14.1" customHeight="1" x14ac:dyDescent="0.2">
      <c r="B32" s="244" t="s">
        <v>84</v>
      </c>
      <c r="E32" s="244">
        <f>IF((E27+E28)&lt;0,-(E27+E28),0)</f>
        <v>0</v>
      </c>
      <c r="F32" s="244">
        <f>IF((F27+F28)&lt;0,-(F27+F28),0)</f>
        <v>0</v>
      </c>
      <c r="G32" s="244">
        <f>IF((G27+G28)&lt;0,-(G27+G28),0)</f>
        <v>0</v>
      </c>
      <c r="H32" s="244">
        <f t="shared" ref="H32:S32" si="18">IF((H27+H28)&lt;0,-(H27+H28),0)</f>
        <v>0</v>
      </c>
      <c r="I32" s="244">
        <f t="shared" si="18"/>
        <v>0</v>
      </c>
      <c r="J32" s="244">
        <f t="shared" si="18"/>
        <v>0</v>
      </c>
      <c r="K32" s="244">
        <f t="shared" si="18"/>
        <v>0</v>
      </c>
      <c r="L32" s="244">
        <f t="shared" si="18"/>
        <v>0</v>
      </c>
      <c r="M32" s="244">
        <f t="shared" ca="1" si="18"/>
        <v>0</v>
      </c>
      <c r="N32" s="244">
        <f t="shared" ca="1" si="18"/>
        <v>0</v>
      </c>
      <c r="O32" s="244">
        <f t="shared" ca="1" si="18"/>
        <v>13.815026401876594</v>
      </c>
      <c r="P32" s="244">
        <f t="shared" ca="1" si="18"/>
        <v>866.59921318263764</v>
      </c>
      <c r="Q32" s="244">
        <f t="shared" ca="1" si="18"/>
        <v>23.572774023582678</v>
      </c>
      <c r="R32" s="244">
        <f t="shared" ca="1" si="18"/>
        <v>119.31387936361391</v>
      </c>
      <c r="S32" s="244">
        <f t="shared" ca="1" si="18"/>
        <v>232.57014163935074</v>
      </c>
      <c r="T32" s="244">
        <f t="shared" ref="T32:AB32" ca="1" si="19">IF((T27+T28)&lt;0,-(T27+T28),0)</f>
        <v>1075.5346714182408</v>
      </c>
      <c r="U32" s="244">
        <f t="shared" ca="1" si="19"/>
        <v>69.160176654551634</v>
      </c>
      <c r="V32" s="244">
        <f t="shared" ca="1" si="19"/>
        <v>174.28009848343308</v>
      </c>
      <c r="W32" s="244">
        <f t="shared" ca="1" si="19"/>
        <v>300.20028449810007</v>
      </c>
      <c r="X32" s="244">
        <f t="shared" ca="1" si="19"/>
        <v>1231.9890094357886</v>
      </c>
      <c r="Y32" s="244">
        <f t="shared" ca="1" si="19"/>
        <v>172.47037055360767</v>
      </c>
      <c r="Z32" s="244">
        <f t="shared" ca="1" si="19"/>
        <v>286.25680574592275</v>
      </c>
      <c r="AA32" s="244">
        <f t="shared" ca="1" si="19"/>
        <v>422.51073879483158</v>
      </c>
      <c r="AB32" s="244">
        <f t="shared" ca="1" si="19"/>
        <v>1427.4344103767173</v>
      </c>
      <c r="AC32" s="244">
        <f ca="1">IF((AC27+AC28)&lt;0,-(AC27+AC28),0)</f>
        <v>288.5387466077903</v>
      </c>
      <c r="AD32" s="244">
        <f ca="1">IF((AD27+AD28)&lt;0,-(AD27+AD28),0)</f>
        <v>433.22684680336425</v>
      </c>
      <c r="AE32" s="244">
        <f ca="1">IF((AE27+AE28)&lt;0,-(AE27+AE28),0)</f>
        <v>580.73654024227983</v>
      </c>
      <c r="AF32" s="244">
        <f ca="1">IF((AF27+AF28)&lt;0,-(AF27+AF28),0)</f>
        <v>1665.5260979084626</v>
      </c>
    </row>
    <row r="33" spans="1:32" ht="14.1" customHeight="1" x14ac:dyDescent="0.2">
      <c r="B33" s="244" t="s">
        <v>85</v>
      </c>
      <c r="E33" s="244">
        <f>-E31</f>
        <v>0</v>
      </c>
      <c r="F33" s="267">
        <v>0</v>
      </c>
      <c r="G33" s="267">
        <f>-F32</f>
        <v>0</v>
      </c>
      <c r="H33" s="267">
        <f t="shared" ref="H33:X33" si="20">-G32</f>
        <v>0</v>
      </c>
      <c r="I33" s="267">
        <f t="shared" si="20"/>
        <v>0</v>
      </c>
      <c r="J33" s="267">
        <f t="shared" si="20"/>
        <v>0</v>
      </c>
      <c r="K33" s="267">
        <f t="shared" si="20"/>
        <v>0</v>
      </c>
      <c r="L33" s="267">
        <f t="shared" si="20"/>
        <v>0</v>
      </c>
      <c r="M33" s="267">
        <f t="shared" si="20"/>
        <v>0</v>
      </c>
      <c r="N33" s="267">
        <f t="shared" ca="1" si="20"/>
        <v>0</v>
      </c>
      <c r="O33" s="267">
        <f t="shared" ca="1" si="20"/>
        <v>0</v>
      </c>
      <c r="P33" s="267">
        <f t="shared" ca="1" si="20"/>
        <v>-13.815026401876594</v>
      </c>
      <c r="Q33" s="267">
        <f t="shared" ca="1" si="20"/>
        <v>-866.59921318263764</v>
      </c>
      <c r="R33" s="267">
        <f t="shared" ca="1" si="20"/>
        <v>-23.572774023582678</v>
      </c>
      <c r="S33" s="267">
        <f t="shared" ca="1" si="20"/>
        <v>-119.31387936361391</v>
      </c>
      <c r="T33" s="267">
        <f t="shared" ca="1" si="20"/>
        <v>-232.57014163935074</v>
      </c>
      <c r="U33" s="267">
        <f t="shared" ca="1" si="20"/>
        <v>-1075.5346714182408</v>
      </c>
      <c r="V33" s="267">
        <f t="shared" ca="1" si="20"/>
        <v>-69.160176654551634</v>
      </c>
      <c r="W33" s="267">
        <f t="shared" ca="1" si="20"/>
        <v>-174.28009848343308</v>
      </c>
      <c r="X33" s="267">
        <f t="shared" ca="1" si="20"/>
        <v>-300.20028449810007</v>
      </c>
      <c r="Y33" s="267">
        <f t="shared" ref="Y33:AF33" ca="1" si="21">-X32</f>
        <v>-1231.9890094357886</v>
      </c>
      <c r="Z33" s="267">
        <f t="shared" ca="1" si="21"/>
        <v>-172.47037055360767</v>
      </c>
      <c r="AA33" s="267">
        <f t="shared" ca="1" si="21"/>
        <v>-286.25680574592275</v>
      </c>
      <c r="AB33" s="267">
        <f t="shared" ca="1" si="21"/>
        <v>-422.51073879483158</v>
      </c>
      <c r="AC33" s="267">
        <f t="shared" ca="1" si="21"/>
        <v>-1427.4344103767173</v>
      </c>
      <c r="AD33" s="267">
        <f t="shared" ca="1" si="21"/>
        <v>-288.5387466077903</v>
      </c>
      <c r="AE33" s="267">
        <f t="shared" ca="1" si="21"/>
        <v>-433.22684680336425</v>
      </c>
      <c r="AF33" s="267">
        <f t="shared" ca="1" si="21"/>
        <v>-580.73654024227983</v>
      </c>
    </row>
    <row r="34" spans="1:32" ht="14.1" customHeight="1" x14ac:dyDescent="0.2">
      <c r="B34" s="244" t="s">
        <v>86</v>
      </c>
      <c r="D34" s="268">
        <v>0</v>
      </c>
      <c r="E34" s="244">
        <f>SUM(E31:E33)</f>
        <v>0</v>
      </c>
      <c r="F34" s="244">
        <f>SUM(F31:F33)</f>
        <v>0</v>
      </c>
      <c r="G34" s="244">
        <f>SUM(G31:G33)</f>
        <v>0</v>
      </c>
      <c r="H34" s="244">
        <f t="shared" ref="H34:S34" si="22">SUM(H31:H33)</f>
        <v>0</v>
      </c>
      <c r="I34" s="244">
        <f t="shared" si="22"/>
        <v>0</v>
      </c>
      <c r="J34" s="244">
        <f t="shared" si="22"/>
        <v>0</v>
      </c>
      <c r="K34" s="244">
        <f t="shared" si="22"/>
        <v>0</v>
      </c>
      <c r="L34" s="244">
        <f t="shared" si="22"/>
        <v>0</v>
      </c>
      <c r="M34" s="244">
        <f t="shared" ca="1" si="22"/>
        <v>0</v>
      </c>
      <c r="N34" s="244">
        <f t="shared" ca="1" si="22"/>
        <v>0</v>
      </c>
      <c r="O34" s="244">
        <f t="shared" ca="1" si="22"/>
        <v>13.815026401876594</v>
      </c>
      <c r="P34" s="244">
        <f t="shared" ca="1" si="22"/>
        <v>866.59921318263764</v>
      </c>
      <c r="Q34" s="244">
        <f t="shared" ca="1" si="22"/>
        <v>23.572774023582724</v>
      </c>
      <c r="R34" s="244">
        <f t="shared" ca="1" si="22"/>
        <v>119.31387936361396</v>
      </c>
      <c r="S34" s="244">
        <f t="shared" ca="1" si="22"/>
        <v>232.57014163935077</v>
      </c>
      <c r="T34" s="244">
        <f t="shared" ref="T34:AB34" ca="1" si="23">SUM(T31:T33)</f>
        <v>1075.5346714182408</v>
      </c>
      <c r="U34" s="244">
        <f t="shared" ca="1" si="23"/>
        <v>69.160176654551606</v>
      </c>
      <c r="V34" s="244">
        <f t="shared" ca="1" si="23"/>
        <v>174.28009848343305</v>
      </c>
      <c r="W34" s="244">
        <f t="shared" ca="1" si="23"/>
        <v>300.20028449810002</v>
      </c>
      <c r="X34" s="244">
        <f t="shared" ca="1" si="23"/>
        <v>1231.9890094357886</v>
      </c>
      <c r="Y34" s="244">
        <f t="shared" ca="1" si="23"/>
        <v>172.47037055360761</v>
      </c>
      <c r="Z34" s="244">
        <f t="shared" ca="1" si="23"/>
        <v>286.25680574592269</v>
      </c>
      <c r="AA34" s="244">
        <f t="shared" ca="1" si="23"/>
        <v>422.51073879483147</v>
      </c>
      <c r="AB34" s="244">
        <f t="shared" ca="1" si="23"/>
        <v>1427.4344103767171</v>
      </c>
      <c r="AC34" s="244">
        <f ca="1">SUM(AC31:AC33)</f>
        <v>288.53874660779002</v>
      </c>
      <c r="AD34" s="244">
        <f ca="1">SUM(AD31:AD33)</f>
        <v>433.22684680336391</v>
      </c>
      <c r="AE34" s="244">
        <f ca="1">SUM(AE31:AE33)</f>
        <v>580.7365402422804</v>
      </c>
      <c r="AF34" s="244">
        <f ca="1">SUM(AF31:AF33)</f>
        <v>1665.5260979083046</v>
      </c>
    </row>
    <row r="36" spans="1:32" ht="14.1" customHeight="1" outlineLevel="1" x14ac:dyDescent="0.2">
      <c r="A36" s="245" t="s">
        <v>87</v>
      </c>
    </row>
    <row r="37" spans="1:32" ht="14.1" customHeight="1" outlineLevel="1" x14ac:dyDescent="0.2"/>
    <row r="38" spans="1:32" ht="14.1" customHeight="1" outlineLevel="1" x14ac:dyDescent="0.2">
      <c r="B38" s="244" t="s">
        <v>119</v>
      </c>
      <c r="G38" s="244">
        <f>'Summary Balance Sheet'!$K$27</f>
        <v>0</v>
      </c>
      <c r="H38" s="244">
        <v>0</v>
      </c>
      <c r="I38" s="244">
        <v>0</v>
      </c>
      <c r="J38" s="244">
        <v>0</v>
      </c>
      <c r="K38" s="244">
        <f>'Summary Balance Sheet'!J27</f>
        <v>0</v>
      </c>
      <c r="L38" s="244">
        <f>K38</f>
        <v>0</v>
      </c>
      <c r="M38" s="244">
        <f t="shared" ref="M38:AF38" si="24">L38</f>
        <v>0</v>
      </c>
      <c r="N38" s="244">
        <f t="shared" si="24"/>
        <v>0</v>
      </c>
      <c r="O38" s="244">
        <f t="shared" si="24"/>
        <v>0</v>
      </c>
      <c r="P38" s="244">
        <f t="shared" si="24"/>
        <v>0</v>
      </c>
      <c r="Q38" s="244">
        <f t="shared" si="24"/>
        <v>0</v>
      </c>
      <c r="R38" s="244">
        <f t="shared" si="24"/>
        <v>0</v>
      </c>
      <c r="S38" s="244">
        <f t="shared" si="24"/>
        <v>0</v>
      </c>
      <c r="T38" s="244">
        <f t="shared" si="24"/>
        <v>0</v>
      </c>
      <c r="U38" s="244">
        <f t="shared" si="24"/>
        <v>0</v>
      </c>
      <c r="V38" s="244">
        <f t="shared" si="24"/>
        <v>0</v>
      </c>
      <c r="W38" s="244">
        <f t="shared" si="24"/>
        <v>0</v>
      </c>
      <c r="X38" s="244">
        <f t="shared" si="24"/>
        <v>0</v>
      </c>
      <c r="Y38" s="244">
        <f t="shared" si="24"/>
        <v>0</v>
      </c>
      <c r="Z38" s="244">
        <f t="shared" si="24"/>
        <v>0</v>
      </c>
      <c r="AA38" s="244">
        <f t="shared" si="24"/>
        <v>0</v>
      </c>
      <c r="AB38" s="244">
        <f t="shared" si="24"/>
        <v>0</v>
      </c>
      <c r="AC38" s="244">
        <f t="shared" si="24"/>
        <v>0</v>
      </c>
      <c r="AD38" s="244">
        <f t="shared" si="24"/>
        <v>0</v>
      </c>
      <c r="AE38" s="244">
        <f t="shared" si="24"/>
        <v>0</v>
      </c>
      <c r="AF38" s="244">
        <f t="shared" si="24"/>
        <v>0</v>
      </c>
    </row>
    <row r="39" spans="1:32" ht="14.1" customHeight="1" outlineLevel="1" x14ac:dyDescent="0.2"/>
    <row r="40" spans="1:32" ht="14.1" customHeight="1" outlineLevel="1" x14ac:dyDescent="0.2">
      <c r="B40" s="244" t="s">
        <v>120</v>
      </c>
      <c r="F40" s="244">
        <v>60</v>
      </c>
      <c r="G40" s="244">
        <f>F40</f>
        <v>60</v>
      </c>
      <c r="H40" s="244">
        <f t="shared" ref="H40:S40" si="25">G40</f>
        <v>60</v>
      </c>
      <c r="I40" s="244">
        <f t="shared" si="25"/>
        <v>60</v>
      </c>
      <c r="J40" s="244">
        <f t="shared" si="25"/>
        <v>60</v>
      </c>
      <c r="K40" s="244">
        <f t="shared" si="25"/>
        <v>60</v>
      </c>
      <c r="L40" s="244">
        <f t="shared" si="25"/>
        <v>60</v>
      </c>
      <c r="M40" s="244">
        <f t="shared" si="25"/>
        <v>60</v>
      </c>
      <c r="N40" s="244">
        <f t="shared" si="25"/>
        <v>60</v>
      </c>
      <c r="O40" s="244">
        <f t="shared" si="25"/>
        <v>60</v>
      </c>
      <c r="P40" s="244">
        <f t="shared" si="25"/>
        <v>60</v>
      </c>
      <c r="Q40" s="244">
        <f t="shared" si="25"/>
        <v>60</v>
      </c>
      <c r="R40" s="244">
        <f t="shared" si="25"/>
        <v>60</v>
      </c>
      <c r="S40" s="244">
        <f t="shared" si="25"/>
        <v>60</v>
      </c>
      <c r="T40" s="244">
        <f t="shared" ref="T40:AB40" si="26">S40</f>
        <v>60</v>
      </c>
      <c r="U40" s="244">
        <f t="shared" si="26"/>
        <v>60</v>
      </c>
      <c r="V40" s="244">
        <f t="shared" si="26"/>
        <v>60</v>
      </c>
      <c r="W40" s="244">
        <f t="shared" si="26"/>
        <v>60</v>
      </c>
      <c r="X40" s="244">
        <f t="shared" si="26"/>
        <v>60</v>
      </c>
      <c r="Y40" s="244">
        <f t="shared" si="26"/>
        <v>60</v>
      </c>
      <c r="Z40" s="244">
        <f t="shared" si="26"/>
        <v>60</v>
      </c>
      <c r="AA40" s="244">
        <f t="shared" si="26"/>
        <v>60</v>
      </c>
      <c r="AB40" s="244">
        <f t="shared" si="26"/>
        <v>60</v>
      </c>
      <c r="AC40" s="244">
        <f>AB40</f>
        <v>60</v>
      </c>
      <c r="AD40" s="244">
        <f>AC40</f>
        <v>60</v>
      </c>
      <c r="AE40" s="244">
        <f>AD40</f>
        <v>60</v>
      </c>
      <c r="AF40" s="244">
        <f>AE40</f>
        <v>60</v>
      </c>
    </row>
    <row r="41" spans="1:32" ht="14.1" customHeight="1" outlineLevel="1" x14ac:dyDescent="0.2"/>
    <row r="42" spans="1:32" ht="14.1" customHeight="1" outlineLevel="1" x14ac:dyDescent="0.2">
      <c r="B42" s="245" t="s">
        <v>122</v>
      </c>
      <c r="C42" s="245"/>
      <c r="D42" s="245"/>
      <c r="E42" s="245"/>
      <c r="F42" s="245">
        <f>F38/F40</f>
        <v>0</v>
      </c>
      <c r="G42" s="245">
        <f>G38/G40</f>
        <v>0</v>
      </c>
      <c r="H42" s="245">
        <f t="shared" ref="H42:S42" si="27">H38/H40</f>
        <v>0</v>
      </c>
      <c r="I42" s="245">
        <f t="shared" si="27"/>
        <v>0</v>
      </c>
      <c r="J42" s="245">
        <f t="shared" si="27"/>
        <v>0</v>
      </c>
      <c r="K42" s="245">
        <f>K38/K40</f>
        <v>0</v>
      </c>
      <c r="L42" s="245">
        <f t="shared" si="27"/>
        <v>0</v>
      </c>
      <c r="M42" s="245">
        <f t="shared" si="27"/>
        <v>0</v>
      </c>
      <c r="N42" s="245">
        <f t="shared" si="27"/>
        <v>0</v>
      </c>
      <c r="O42" s="245">
        <f t="shared" si="27"/>
        <v>0</v>
      </c>
      <c r="P42" s="245">
        <f t="shared" si="27"/>
        <v>0</v>
      </c>
      <c r="Q42" s="245">
        <f t="shared" si="27"/>
        <v>0</v>
      </c>
      <c r="R42" s="245">
        <f t="shared" si="27"/>
        <v>0</v>
      </c>
      <c r="S42" s="245">
        <f t="shared" si="27"/>
        <v>0</v>
      </c>
      <c r="T42" s="245">
        <f t="shared" ref="T42:AB42" si="28">T38/T40</f>
        <v>0</v>
      </c>
      <c r="U42" s="245">
        <f t="shared" si="28"/>
        <v>0</v>
      </c>
      <c r="V42" s="245">
        <f t="shared" si="28"/>
        <v>0</v>
      </c>
      <c r="W42" s="245">
        <f t="shared" si="28"/>
        <v>0</v>
      </c>
      <c r="X42" s="245">
        <f t="shared" si="28"/>
        <v>0</v>
      </c>
      <c r="Y42" s="245">
        <f t="shared" si="28"/>
        <v>0</v>
      </c>
      <c r="Z42" s="245">
        <f t="shared" si="28"/>
        <v>0</v>
      </c>
      <c r="AA42" s="245">
        <f t="shared" si="28"/>
        <v>0</v>
      </c>
      <c r="AB42" s="245">
        <f t="shared" si="28"/>
        <v>0</v>
      </c>
      <c r="AC42" s="245">
        <f>AC38/AC40</f>
        <v>0</v>
      </c>
      <c r="AD42" s="245">
        <f>AD38/AD40</f>
        <v>0</v>
      </c>
      <c r="AE42" s="245">
        <f>AE38/AE40</f>
        <v>0</v>
      </c>
      <c r="AF42" s="245">
        <f>AF38/AF40</f>
        <v>0</v>
      </c>
    </row>
    <row r="43" spans="1:32" ht="14.1" customHeight="1" outlineLevel="1" x14ac:dyDescent="0.2">
      <c r="I43" s="254"/>
      <c r="J43" s="254"/>
    </row>
    <row r="44" spans="1:32" ht="14.1" customHeight="1" x14ac:dyDescent="0.2">
      <c r="I44" s="254"/>
      <c r="J44" s="254"/>
    </row>
    <row r="45" spans="1:32" ht="14.1" customHeight="1" x14ac:dyDescent="0.2">
      <c r="I45" s="254"/>
      <c r="J45" s="254"/>
    </row>
    <row r="46" spans="1:32" ht="14.1" customHeight="1" x14ac:dyDescent="0.2">
      <c r="I46" s="269"/>
      <c r="J46" s="269"/>
    </row>
    <row r="47" spans="1:32" ht="14.1" customHeight="1" x14ac:dyDescent="0.2">
      <c r="I47" s="269"/>
      <c r="J47" s="269"/>
    </row>
    <row r="48" spans="1:32" ht="14.1" customHeight="1" x14ac:dyDescent="0.2">
      <c r="I48" s="269"/>
      <c r="J48" s="269"/>
    </row>
    <row r="49" spans="9:10" ht="14.1" customHeight="1" x14ac:dyDescent="0.2">
      <c r="I49" s="269"/>
      <c r="J49" s="269"/>
    </row>
    <row r="50" spans="9:10" ht="14.1" customHeight="1" x14ac:dyDescent="0.2">
      <c r="I50" s="254"/>
      <c r="J50" s="254"/>
    </row>
    <row r="51" spans="9:10" ht="14.1" customHeight="1" x14ac:dyDescent="0.2">
      <c r="I51" s="254"/>
      <c r="J51" s="254"/>
    </row>
    <row r="52" spans="9:10" ht="14.1" customHeight="1" x14ac:dyDescent="0.2">
      <c r="I52" s="254"/>
      <c r="J52" s="254"/>
    </row>
    <row r="53" spans="9:10" ht="14.1" customHeight="1" x14ac:dyDescent="0.2">
      <c r="I53" s="254"/>
      <c r="J53" s="254"/>
    </row>
    <row r="54" spans="9:10" ht="14.1" customHeight="1" x14ac:dyDescent="0.2">
      <c r="I54" s="254"/>
      <c r="J54" s="254"/>
    </row>
    <row r="55" spans="9:10" ht="14.1" customHeight="1" x14ac:dyDescent="0.2">
      <c r="I55" s="254"/>
      <c r="J55" s="254"/>
    </row>
    <row r="56" spans="9:10" ht="14.1" customHeight="1" x14ac:dyDescent="0.2">
      <c r="I56" s="254"/>
      <c r="J56" s="254"/>
    </row>
    <row r="57" spans="9:10" ht="14.1" customHeight="1" x14ac:dyDescent="0.2">
      <c r="I57" s="254"/>
      <c r="J57" s="254"/>
    </row>
    <row r="58" spans="9:10" ht="14.1" customHeight="1" x14ac:dyDescent="0.2">
      <c r="I58" s="254"/>
      <c r="J58" s="254"/>
    </row>
    <row r="59" spans="9:10" ht="14.1" customHeight="1" x14ac:dyDescent="0.2">
      <c r="I59" s="254"/>
      <c r="J59" s="254"/>
    </row>
    <row r="60" spans="9:10" ht="14.1" customHeight="1" x14ac:dyDescent="0.2">
      <c r="I60" s="254"/>
      <c r="J60" s="254"/>
    </row>
    <row r="61" spans="9:10" ht="14.1" customHeight="1" x14ac:dyDescent="0.2">
      <c r="I61" s="254"/>
      <c r="J61" s="254"/>
    </row>
    <row r="62" spans="9:10" ht="14.1" customHeight="1" x14ac:dyDescent="0.2">
      <c r="I62" s="254"/>
      <c r="J62" s="254"/>
    </row>
    <row r="63" spans="9:10" ht="14.1" customHeight="1" x14ac:dyDescent="0.2">
      <c r="I63" s="254"/>
      <c r="J63" s="254"/>
    </row>
    <row r="64" spans="9:10" ht="14.1" customHeight="1" x14ac:dyDescent="0.2">
      <c r="I64" s="254"/>
      <c r="J64" s="254"/>
    </row>
    <row r="65" spans="9:10" ht="14.1" customHeight="1" x14ac:dyDescent="0.2">
      <c r="I65" s="254"/>
      <c r="J65" s="254"/>
    </row>
    <row r="66" spans="9:10" ht="14.1" customHeight="1" x14ac:dyDescent="0.2">
      <c r="I66" s="254"/>
      <c r="J66" s="254"/>
    </row>
    <row r="67" spans="9:10" ht="14.1" customHeight="1" x14ac:dyDescent="0.2">
      <c r="I67" s="254"/>
      <c r="J67" s="254"/>
    </row>
    <row r="68" spans="9:10" ht="14.1" customHeight="1" x14ac:dyDescent="0.2">
      <c r="I68" s="254"/>
      <c r="J68" s="254"/>
    </row>
    <row r="69" spans="9:10" ht="14.1" customHeight="1" x14ac:dyDescent="0.2">
      <c r="I69" s="254"/>
      <c r="J69" s="254"/>
    </row>
    <row r="70" spans="9:10" ht="14.1" customHeight="1" x14ac:dyDescent="0.2">
      <c r="I70" s="254"/>
      <c r="J70" s="254"/>
    </row>
    <row r="71" spans="9:10" ht="14.1" customHeight="1" x14ac:dyDescent="0.2">
      <c r="I71" s="254"/>
      <c r="J71" s="254"/>
    </row>
    <row r="72" spans="9:10" ht="14.1" customHeight="1" x14ac:dyDescent="0.2">
      <c r="I72" s="254"/>
      <c r="J72" s="254"/>
    </row>
    <row r="73" spans="9:10" ht="14.1" customHeight="1" x14ac:dyDescent="0.2">
      <c r="I73" s="254"/>
      <c r="J73" s="254"/>
    </row>
    <row r="74" spans="9:10" ht="14.1" customHeight="1" x14ac:dyDescent="0.2">
      <c r="I74" s="254"/>
      <c r="J74" s="254"/>
    </row>
    <row r="75" spans="9:10" ht="14.1" customHeight="1" x14ac:dyDescent="0.2">
      <c r="I75" s="254"/>
      <c r="J75" s="254"/>
    </row>
    <row r="76" spans="9:10" ht="14.1" customHeight="1" x14ac:dyDescent="0.2">
      <c r="I76" s="254"/>
      <c r="J76" s="254"/>
    </row>
    <row r="77" spans="9:10" ht="14.1" customHeight="1" x14ac:dyDescent="0.2">
      <c r="I77" s="254"/>
      <c r="J77" s="254"/>
    </row>
    <row r="78" spans="9:10" ht="14.1" customHeight="1" x14ac:dyDescent="0.2">
      <c r="I78" s="254"/>
      <c r="J78" s="254"/>
    </row>
  </sheetData>
  <pageMargins left="0.25" right="0.25" top="0.75" bottom="0.75" header="0.3" footer="0.3"/>
  <pageSetup paperSize="5" scale="74" fitToWidth="2" orientation="landscape" r:id="rId1"/>
  <headerFooter alignWithMargins="0">
    <oddFooter>&amp;C&amp;P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pageSetUpPr fitToPage="1"/>
  </sheetPr>
  <dimension ref="A1:AO24"/>
  <sheetViews>
    <sheetView showGridLines="0" zoomScale="80" zoomScaleNormal="80" zoomScalePageLayoutView="80" workbookViewId="0"/>
  </sheetViews>
  <sheetFormatPr defaultColWidth="8.85546875" defaultRowHeight="12.75" x14ac:dyDescent="0.2"/>
  <cols>
    <col min="1" max="1" width="55.7109375" style="106" bestFit="1" customWidth="1"/>
    <col min="2" max="2" width="13.42578125" style="229" bestFit="1" customWidth="1"/>
    <col min="3" max="3" width="13.42578125" style="229" customWidth="1"/>
    <col min="4" max="17" width="13.42578125" style="229" bestFit="1" customWidth="1"/>
    <col min="18" max="18" width="13.42578125" style="229" customWidth="1"/>
    <col min="19" max="19" width="13.42578125" style="229" bestFit="1" customWidth="1"/>
    <col min="20" max="20" width="13.42578125" style="229" customWidth="1"/>
    <col min="21" max="21" width="13.42578125" style="229" bestFit="1" customWidth="1"/>
    <col min="22" max="22" width="13.42578125" style="229" customWidth="1"/>
    <col min="23" max="16384" width="8.85546875" style="229"/>
  </cols>
  <sheetData>
    <row r="1" spans="1:22" x14ac:dyDescent="0.2">
      <c r="A1" s="227" t="str">
        <f>'Valuation &amp; Sources &amp; Uses'!B2</f>
        <v>Colorado Timberline</v>
      </c>
      <c r="B1" s="228"/>
      <c r="C1" s="228"/>
      <c r="D1" s="228"/>
      <c r="E1" s="228"/>
      <c r="F1" s="228"/>
      <c r="G1" s="228"/>
      <c r="H1" s="228"/>
      <c r="I1" s="228"/>
      <c r="J1" s="228"/>
      <c r="K1" s="228"/>
      <c r="L1" s="228"/>
      <c r="M1" s="228"/>
      <c r="N1" s="228"/>
      <c r="O1" s="228"/>
      <c r="P1" s="228"/>
      <c r="Q1" s="228"/>
      <c r="R1" s="228"/>
      <c r="S1" s="228"/>
      <c r="T1" s="228"/>
      <c r="U1" s="228"/>
      <c r="V1" s="228"/>
    </row>
    <row r="2" spans="1:22" x14ac:dyDescent="0.2">
      <c r="A2" s="230" t="str">
        <f ca="1">REPLACE(CELL("filename",B2),1,FIND("]",CELL("filename",B2)),"")</f>
        <v>CapEx and Depreciation</v>
      </c>
      <c r="B2" s="174"/>
      <c r="C2" s="174"/>
      <c r="D2" s="174"/>
      <c r="E2" s="174"/>
      <c r="F2" s="174"/>
      <c r="G2" s="174"/>
      <c r="H2" s="174"/>
      <c r="I2" s="174"/>
      <c r="J2" s="174"/>
      <c r="K2" s="174"/>
      <c r="L2" s="174"/>
      <c r="M2" s="174"/>
      <c r="N2" s="174"/>
      <c r="O2" s="174"/>
      <c r="P2" s="174"/>
      <c r="Q2" s="174"/>
      <c r="R2" s="174"/>
      <c r="S2" s="174"/>
      <c r="T2" s="174"/>
      <c r="U2" s="174"/>
      <c r="V2" s="174"/>
    </row>
    <row r="3" spans="1:22" x14ac:dyDescent="0.2">
      <c r="A3" s="230" t="str">
        <f>'Valuation &amp; Sources &amp; Uses'!B4</f>
        <v>Financial Model_v12 - Term + Mezzanine</v>
      </c>
      <c r="F3" s="231"/>
    </row>
    <row r="4" spans="1:22" x14ac:dyDescent="0.2">
      <c r="A4" s="230"/>
      <c r="B4" s="232"/>
      <c r="C4" s="232"/>
      <c r="D4" s="232"/>
      <c r="E4" s="232"/>
      <c r="F4" s="233"/>
      <c r="G4" s="232"/>
      <c r="H4" s="232"/>
      <c r="I4" s="232"/>
      <c r="J4" s="232"/>
      <c r="K4" s="232"/>
      <c r="L4" s="232"/>
      <c r="M4" s="232"/>
      <c r="N4" s="232"/>
      <c r="O4" s="232"/>
      <c r="P4" s="232"/>
      <c r="Q4" s="232"/>
      <c r="R4" s="232"/>
      <c r="S4" s="232"/>
      <c r="T4" s="232"/>
      <c r="U4" s="232"/>
      <c r="V4" s="232"/>
    </row>
    <row r="5" spans="1:22" x14ac:dyDescent="0.2">
      <c r="A5" s="230" t="s">
        <v>327</v>
      </c>
      <c r="B5" s="234">
        <v>0.5</v>
      </c>
      <c r="C5" s="232"/>
      <c r="D5" s="232"/>
      <c r="E5" s="232"/>
      <c r="F5" s="232"/>
      <c r="G5" s="232"/>
      <c r="H5" s="232"/>
      <c r="I5" s="232"/>
      <c r="J5" s="232"/>
      <c r="K5" s="232"/>
      <c r="L5" s="232"/>
      <c r="M5" s="232"/>
      <c r="N5" s="232"/>
      <c r="O5" s="232"/>
      <c r="P5" s="232"/>
      <c r="Q5" s="232"/>
      <c r="R5" s="232"/>
      <c r="S5" s="232"/>
      <c r="T5" s="232"/>
      <c r="U5" s="232"/>
      <c r="V5" s="232"/>
    </row>
    <row r="6" spans="1:22" x14ac:dyDescent="0.2">
      <c r="A6" s="122"/>
      <c r="B6" s="232"/>
      <c r="C6" s="232"/>
      <c r="D6" s="235"/>
      <c r="E6" s="232">
        <v>2014</v>
      </c>
      <c r="F6" s="232">
        <v>2015</v>
      </c>
      <c r="G6" s="232">
        <v>2016</v>
      </c>
      <c r="H6" s="232">
        <v>2017</v>
      </c>
      <c r="I6" s="232">
        <v>2018</v>
      </c>
      <c r="J6" s="232">
        <v>2019</v>
      </c>
      <c r="K6" s="232">
        <v>2020</v>
      </c>
      <c r="L6" s="235"/>
      <c r="M6" s="235"/>
      <c r="N6" s="235"/>
      <c r="O6" s="235"/>
      <c r="P6" s="235"/>
      <c r="Q6" s="235"/>
      <c r="R6" s="235"/>
      <c r="S6" s="235"/>
      <c r="T6" s="235"/>
      <c r="U6" s="235"/>
      <c r="V6" s="235"/>
    </row>
    <row r="7" spans="1:22" ht="15" x14ac:dyDescent="0.35">
      <c r="A7" s="122"/>
      <c r="B7" s="232"/>
      <c r="C7" s="232"/>
      <c r="D7" s="236" t="s">
        <v>184</v>
      </c>
      <c r="E7" s="236" t="s">
        <v>43</v>
      </c>
      <c r="F7" s="237"/>
      <c r="G7" s="237"/>
      <c r="H7" s="237"/>
      <c r="I7" s="237"/>
      <c r="J7" s="237"/>
      <c r="K7" s="237"/>
      <c r="L7" s="237"/>
      <c r="M7" s="237"/>
      <c r="N7" s="237"/>
      <c r="O7" s="237"/>
      <c r="P7" s="237"/>
      <c r="Q7" s="237"/>
      <c r="R7" s="237"/>
      <c r="S7" s="237"/>
      <c r="T7" s="237"/>
      <c r="U7" s="237"/>
      <c r="V7" s="237"/>
    </row>
    <row r="8" spans="1:22" s="106" customFormat="1" x14ac:dyDescent="0.2">
      <c r="A8" s="230" t="s">
        <v>185</v>
      </c>
      <c r="B8" s="232"/>
      <c r="C8" s="232"/>
      <c r="D8" s="238" t="s">
        <v>34</v>
      </c>
      <c r="E8" s="238" t="s">
        <v>34</v>
      </c>
      <c r="F8" s="201" t="s">
        <v>35</v>
      </c>
      <c r="G8" s="201" t="s">
        <v>36</v>
      </c>
      <c r="H8" s="201" t="s">
        <v>37</v>
      </c>
      <c r="I8" s="201" t="s">
        <v>38</v>
      </c>
      <c r="J8" s="201" t="s">
        <v>203</v>
      </c>
      <c r="K8" s="201" t="s">
        <v>311</v>
      </c>
      <c r="L8" s="201"/>
      <c r="M8" s="201"/>
      <c r="N8" s="201"/>
      <c r="O8" s="201"/>
      <c r="P8" s="201"/>
      <c r="Q8" s="201"/>
      <c r="R8" s="201"/>
      <c r="S8" s="201"/>
      <c r="T8" s="201"/>
      <c r="U8" s="201"/>
      <c r="V8" s="201"/>
    </row>
    <row r="9" spans="1:22" x14ac:dyDescent="0.2">
      <c r="A9" s="106" t="s">
        <v>32</v>
      </c>
      <c r="B9" s="232"/>
      <c r="C9" s="232"/>
    </row>
    <row r="10" spans="1:22" x14ac:dyDescent="0.2">
      <c r="A10" s="106" t="s">
        <v>357</v>
      </c>
      <c r="B10" s="232"/>
      <c r="C10" s="232"/>
      <c r="D10" s="229">
        <v>0</v>
      </c>
      <c r="E10" s="229">
        <v>10000</v>
      </c>
      <c r="F10" s="229">
        <f ca="1">2500-('Summary Balance Sheet'!H22-'Summary Balance Sheet'!D22)</f>
        <v>959.56395749999865</v>
      </c>
      <c r="G10" s="242">
        <v>1500</v>
      </c>
      <c r="H10" s="242">
        <v>1500</v>
      </c>
      <c r="I10" s="242">
        <v>1500</v>
      </c>
      <c r="J10" s="242">
        <v>1500</v>
      </c>
      <c r="K10" s="242">
        <v>1500</v>
      </c>
    </row>
    <row r="11" spans="1:22" x14ac:dyDescent="0.2">
      <c r="A11" s="106" t="s">
        <v>329</v>
      </c>
      <c r="B11" s="232"/>
      <c r="C11" s="232"/>
      <c r="D11" s="147">
        <v>0</v>
      </c>
      <c r="E11" s="147">
        <v>0</v>
      </c>
      <c r="F11" s="147">
        <v>0</v>
      </c>
      <c r="G11" s="147">
        <v>0</v>
      </c>
      <c r="H11" s="147">
        <v>0</v>
      </c>
      <c r="I11" s="147">
        <v>0</v>
      </c>
      <c r="J11" s="147">
        <v>0</v>
      </c>
      <c r="K11" s="147">
        <v>0</v>
      </c>
    </row>
    <row r="12" spans="1:22" x14ac:dyDescent="0.2">
      <c r="B12" s="232"/>
      <c r="C12" s="232"/>
      <c r="D12" s="239">
        <f t="shared" ref="D12:K12" si="0">SUM(D10:D11)</f>
        <v>0</v>
      </c>
      <c r="E12" s="239">
        <f t="shared" si="0"/>
        <v>10000</v>
      </c>
      <c r="F12" s="239">
        <f t="shared" ca="1" si="0"/>
        <v>959.56395749999865</v>
      </c>
      <c r="G12" s="239">
        <f t="shared" si="0"/>
        <v>1500</v>
      </c>
      <c r="H12" s="239">
        <f t="shared" si="0"/>
        <v>1500</v>
      </c>
      <c r="I12" s="239">
        <f t="shared" si="0"/>
        <v>1500</v>
      </c>
      <c r="J12" s="239">
        <f t="shared" si="0"/>
        <v>1500</v>
      </c>
      <c r="K12" s="239">
        <f t="shared" si="0"/>
        <v>1500</v>
      </c>
    </row>
    <row r="13" spans="1:22" x14ac:dyDescent="0.2">
      <c r="A13" s="230" t="s">
        <v>186</v>
      </c>
    </row>
    <row r="14" spans="1:22" x14ac:dyDescent="0.2">
      <c r="A14" s="106" t="s">
        <v>32</v>
      </c>
    </row>
    <row r="15" spans="1:22" x14ac:dyDescent="0.2">
      <c r="A15" s="106" t="s">
        <v>328</v>
      </c>
      <c r="E15" s="229">
        <f>E10*$B$22</f>
        <v>2000</v>
      </c>
      <c r="F15" s="229">
        <f ca="1">F10*$B$22+E10*$C$22</f>
        <v>3391.9127914999999</v>
      </c>
      <c r="G15" s="229">
        <f ca="1">G10*$B$22+E10*$D$22+F10*$C$22</f>
        <v>2527.0604663999998</v>
      </c>
      <c r="H15" s="229">
        <f ca="1">H10*$B$22+G10*C$22+F10*D$22+E10*E$22</f>
        <v>2116.23627984</v>
      </c>
      <c r="I15" s="229">
        <f ca="1">I10*$B$22+H10*C$22+G10*D$22+F10*E$22+E10*F$22</f>
        <v>2330.5417679040002</v>
      </c>
      <c r="J15" s="229">
        <f ca="1">J10*$B$22+I10*C$22+H10*D$22+G10*E$22+F10*F$22+E10*G$22</f>
        <v>1927.3417679039999</v>
      </c>
      <c r="K15" s="229">
        <f ca="1">K10*B$22+J10*C$22+I10*D$22+H10*E$22+G10*F$22+F10*G$22</f>
        <v>1468.8708839519998</v>
      </c>
    </row>
    <row r="16" spans="1:22" x14ac:dyDescent="0.2">
      <c r="A16" s="106" t="s">
        <v>139</v>
      </c>
      <c r="E16" s="229">
        <f>E11*$B$22</f>
        <v>0</v>
      </c>
      <c r="F16" s="229">
        <f>F11*$B$22+E11*$C$22</f>
        <v>0</v>
      </c>
      <c r="G16" s="229">
        <f>G11*$B$22+E11*$D$22+F11*$C$22</f>
        <v>0</v>
      </c>
      <c r="H16" s="229">
        <f>H11*$B$22+G11*C$22+F11*D$22+E11*E$22</f>
        <v>0</v>
      </c>
      <c r="I16" s="229">
        <f>I11*$B$22+H11*C$22+G11*D$22+F11*E$22+E11*F$22</f>
        <v>0</v>
      </c>
      <c r="J16" s="229">
        <f>J11*$B$22+I11*C$22+H11*D$22+G11*E$22+F11*F$22+E11*G$22</f>
        <v>0</v>
      </c>
      <c r="K16" s="229">
        <f>K11*B$22+J11*C$22+I11*D$22+H11*E$22+G11*F$22+F11*G$22</f>
        <v>0</v>
      </c>
    </row>
    <row r="17" spans="1:41" x14ac:dyDescent="0.2">
      <c r="A17" s="106" t="s">
        <v>187</v>
      </c>
      <c r="E17" s="239">
        <f t="shared" ref="E17:K17" si="1">SUM(E15:E16)</f>
        <v>2000</v>
      </c>
      <c r="F17" s="239">
        <f t="shared" ca="1" si="1"/>
        <v>3391.9127914999999</v>
      </c>
      <c r="G17" s="239">
        <f t="shared" ca="1" si="1"/>
        <v>2527.0604663999998</v>
      </c>
      <c r="H17" s="239">
        <f t="shared" ca="1" si="1"/>
        <v>2116.23627984</v>
      </c>
      <c r="I17" s="239">
        <f t="shared" ca="1" si="1"/>
        <v>2330.5417679040002</v>
      </c>
      <c r="J17" s="239">
        <f t="shared" ca="1" si="1"/>
        <v>1927.3417679039999</v>
      </c>
      <c r="K17" s="239">
        <f t="shared" ca="1" si="1"/>
        <v>1468.8708839519998</v>
      </c>
    </row>
    <row r="20" spans="1:41" x14ac:dyDescent="0.2">
      <c r="A20" s="240" t="s">
        <v>142</v>
      </c>
      <c r="B20" s="241" t="s">
        <v>144</v>
      </c>
      <c r="C20" s="241" t="s">
        <v>145</v>
      </c>
      <c r="D20" s="241" t="s">
        <v>146</v>
      </c>
      <c r="E20" s="241" t="s">
        <v>147</v>
      </c>
      <c r="F20" s="241" t="s">
        <v>148</v>
      </c>
      <c r="G20" s="241" t="s">
        <v>149</v>
      </c>
      <c r="H20" s="241" t="s">
        <v>150</v>
      </c>
      <c r="I20" s="241" t="s">
        <v>151</v>
      </c>
      <c r="J20" s="241" t="s">
        <v>152</v>
      </c>
      <c r="K20" s="241" t="s">
        <v>153</v>
      </c>
      <c r="L20" s="241" t="s">
        <v>154</v>
      </c>
      <c r="M20" s="241" t="s">
        <v>155</v>
      </c>
      <c r="N20" s="241" t="s">
        <v>156</v>
      </c>
      <c r="O20" s="241" t="s">
        <v>157</v>
      </c>
      <c r="P20" s="241" t="s">
        <v>158</v>
      </c>
      <c r="Q20" s="241" t="s">
        <v>159</v>
      </c>
      <c r="R20" s="241" t="s">
        <v>160</v>
      </c>
      <c r="S20" s="241" t="s">
        <v>161</v>
      </c>
      <c r="T20" s="241" t="s">
        <v>162</v>
      </c>
      <c r="U20" s="241" t="s">
        <v>163</v>
      </c>
      <c r="V20" s="241" t="s">
        <v>164</v>
      </c>
      <c r="W20" s="241" t="s">
        <v>165</v>
      </c>
      <c r="X20" s="241" t="s">
        <v>166</v>
      </c>
      <c r="Y20" s="241" t="s">
        <v>167</v>
      </c>
      <c r="Z20" s="241" t="s">
        <v>168</v>
      </c>
      <c r="AA20" s="241" t="s">
        <v>169</v>
      </c>
      <c r="AB20" s="241" t="s">
        <v>170</v>
      </c>
      <c r="AC20" s="241" t="s">
        <v>171</v>
      </c>
      <c r="AD20" s="241" t="s">
        <v>172</v>
      </c>
      <c r="AE20" s="241" t="s">
        <v>173</v>
      </c>
      <c r="AF20" s="241" t="s">
        <v>174</v>
      </c>
      <c r="AG20" s="241" t="s">
        <v>175</v>
      </c>
      <c r="AH20" s="241" t="s">
        <v>176</v>
      </c>
      <c r="AI20" s="241" t="s">
        <v>177</v>
      </c>
      <c r="AJ20" s="241" t="s">
        <v>178</v>
      </c>
      <c r="AK20" s="241" t="s">
        <v>179</v>
      </c>
      <c r="AL20" s="241" t="s">
        <v>180</v>
      </c>
      <c r="AM20" s="241" t="s">
        <v>181</v>
      </c>
      <c r="AN20" s="241" t="s">
        <v>182</v>
      </c>
      <c r="AO20" s="241" t="s">
        <v>183</v>
      </c>
    </row>
    <row r="21" spans="1:41" x14ac:dyDescent="0.2">
      <c r="A21" s="225" t="s">
        <v>429</v>
      </c>
    </row>
    <row r="22" spans="1:41" s="242" customFormat="1" x14ac:dyDescent="0.2">
      <c r="A22" s="106" t="s">
        <v>210</v>
      </c>
      <c r="B22" s="234">
        <v>0.2</v>
      </c>
      <c r="C22" s="234">
        <v>0.32</v>
      </c>
      <c r="D22" s="234">
        <v>0.192</v>
      </c>
      <c r="E22" s="234">
        <v>0.1152</v>
      </c>
      <c r="F22" s="234">
        <v>0.1152</v>
      </c>
      <c r="G22" s="234">
        <v>5.7599999999999998E-2</v>
      </c>
    </row>
    <row r="23" spans="1:41" s="242" customFormat="1" x14ac:dyDescent="0.2">
      <c r="A23" s="106" t="s">
        <v>209</v>
      </c>
      <c r="B23" s="243">
        <v>0.1429</v>
      </c>
      <c r="C23" s="243">
        <v>0.24490000000000001</v>
      </c>
      <c r="D23" s="243">
        <v>0.1749</v>
      </c>
      <c r="E23" s="243">
        <v>0.1249</v>
      </c>
      <c r="F23" s="243">
        <v>8.9300000000000004E-2</v>
      </c>
      <c r="G23" s="243">
        <v>8.9200000000000002E-2</v>
      </c>
      <c r="H23" s="243">
        <v>8.9300000000000004E-2</v>
      </c>
      <c r="I23" s="243">
        <v>4.4600000000000001E-2</v>
      </c>
    </row>
    <row r="24" spans="1:41" s="242" customFormat="1" x14ac:dyDescent="0.2">
      <c r="A24" s="106" t="s">
        <v>143</v>
      </c>
      <c r="B24" s="243">
        <f>1/39/2</f>
        <v>1.282051282051282E-2</v>
      </c>
      <c r="C24" s="243">
        <f t="shared" ref="C24:AM24" si="2">1/39</f>
        <v>2.564102564102564E-2</v>
      </c>
      <c r="D24" s="243">
        <f t="shared" si="2"/>
        <v>2.564102564102564E-2</v>
      </c>
      <c r="E24" s="243">
        <f t="shared" si="2"/>
        <v>2.564102564102564E-2</v>
      </c>
      <c r="F24" s="243">
        <f t="shared" si="2"/>
        <v>2.564102564102564E-2</v>
      </c>
      <c r="G24" s="243">
        <f t="shared" si="2"/>
        <v>2.564102564102564E-2</v>
      </c>
      <c r="H24" s="243">
        <f t="shared" si="2"/>
        <v>2.564102564102564E-2</v>
      </c>
      <c r="I24" s="243">
        <f t="shared" si="2"/>
        <v>2.564102564102564E-2</v>
      </c>
      <c r="J24" s="243">
        <f t="shared" si="2"/>
        <v>2.564102564102564E-2</v>
      </c>
      <c r="K24" s="243">
        <f t="shared" si="2"/>
        <v>2.564102564102564E-2</v>
      </c>
      <c r="L24" s="243">
        <f t="shared" si="2"/>
        <v>2.564102564102564E-2</v>
      </c>
      <c r="M24" s="243">
        <f t="shared" si="2"/>
        <v>2.564102564102564E-2</v>
      </c>
      <c r="N24" s="243">
        <f t="shared" si="2"/>
        <v>2.564102564102564E-2</v>
      </c>
      <c r="O24" s="243">
        <f t="shared" si="2"/>
        <v>2.564102564102564E-2</v>
      </c>
      <c r="P24" s="243">
        <f t="shared" si="2"/>
        <v>2.564102564102564E-2</v>
      </c>
      <c r="Q24" s="243">
        <f t="shared" si="2"/>
        <v>2.564102564102564E-2</v>
      </c>
      <c r="R24" s="243">
        <f t="shared" si="2"/>
        <v>2.564102564102564E-2</v>
      </c>
      <c r="S24" s="243">
        <f t="shared" si="2"/>
        <v>2.564102564102564E-2</v>
      </c>
      <c r="T24" s="243">
        <f t="shared" si="2"/>
        <v>2.564102564102564E-2</v>
      </c>
      <c r="U24" s="243">
        <f t="shared" si="2"/>
        <v>2.564102564102564E-2</v>
      </c>
      <c r="V24" s="243">
        <f t="shared" si="2"/>
        <v>2.564102564102564E-2</v>
      </c>
      <c r="W24" s="243">
        <f t="shared" si="2"/>
        <v>2.564102564102564E-2</v>
      </c>
      <c r="X24" s="243">
        <f t="shared" si="2"/>
        <v>2.564102564102564E-2</v>
      </c>
      <c r="Y24" s="243">
        <f t="shared" si="2"/>
        <v>2.564102564102564E-2</v>
      </c>
      <c r="Z24" s="243">
        <f t="shared" si="2"/>
        <v>2.564102564102564E-2</v>
      </c>
      <c r="AA24" s="243">
        <f t="shared" si="2"/>
        <v>2.564102564102564E-2</v>
      </c>
      <c r="AB24" s="243">
        <f t="shared" si="2"/>
        <v>2.564102564102564E-2</v>
      </c>
      <c r="AC24" s="243">
        <f t="shared" si="2"/>
        <v>2.564102564102564E-2</v>
      </c>
      <c r="AD24" s="243">
        <f t="shared" si="2"/>
        <v>2.564102564102564E-2</v>
      </c>
      <c r="AE24" s="243">
        <f t="shared" si="2"/>
        <v>2.564102564102564E-2</v>
      </c>
      <c r="AF24" s="243">
        <f t="shared" si="2"/>
        <v>2.564102564102564E-2</v>
      </c>
      <c r="AG24" s="243">
        <f t="shared" si="2"/>
        <v>2.564102564102564E-2</v>
      </c>
      <c r="AH24" s="243">
        <f t="shared" si="2"/>
        <v>2.564102564102564E-2</v>
      </c>
      <c r="AI24" s="243">
        <f t="shared" si="2"/>
        <v>2.564102564102564E-2</v>
      </c>
      <c r="AJ24" s="243">
        <f t="shared" si="2"/>
        <v>2.564102564102564E-2</v>
      </c>
      <c r="AK24" s="243">
        <f t="shared" si="2"/>
        <v>2.564102564102564E-2</v>
      </c>
      <c r="AL24" s="243">
        <f t="shared" si="2"/>
        <v>2.564102564102564E-2</v>
      </c>
      <c r="AM24" s="243">
        <f t="shared" si="2"/>
        <v>2.564102564102564E-2</v>
      </c>
      <c r="AN24" s="243">
        <f>1/39</f>
        <v>2.564102564102564E-2</v>
      </c>
      <c r="AO24" s="243">
        <f>1/39/2</f>
        <v>1.282051282051282E-2</v>
      </c>
    </row>
  </sheetData>
  <hyperlinks>
    <hyperlink ref="A20" r:id="rId1"/>
  </hyperlinks>
  <pageMargins left="0.25" right="0.25" top="0.75" bottom="0.75" header="0.3" footer="0.3"/>
  <pageSetup scale="75" orientation="landscape" r:id="rId2"/>
  <legacy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J48"/>
  <sheetViews>
    <sheetView zoomScale="80" zoomScaleNormal="80" workbookViewId="0"/>
  </sheetViews>
  <sheetFormatPr defaultRowHeight="15" x14ac:dyDescent="0.25"/>
  <sheetData>
    <row r="48" spans="10:10" x14ac:dyDescent="0.25">
      <c r="J48" t="s">
        <v>615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
  <sheetViews>
    <sheetView topLeftCell="A64" zoomScale="80" zoomScaleNormal="80" workbookViewId="0">
      <selection activeCell="R95" sqref="R95"/>
    </sheetView>
  </sheetViews>
  <sheetFormatPr defaultColWidth="8.85546875" defaultRowHeight="16.5" x14ac:dyDescent="0.3"/>
  <cols>
    <col min="1" max="1" width="2.7109375" style="588" customWidth="1"/>
    <col min="2" max="3" width="12.7109375" style="588" customWidth="1"/>
    <col min="4" max="13" width="12.85546875" style="588" customWidth="1"/>
    <col min="14" max="17" width="8.85546875" style="588"/>
    <col min="18" max="18" width="12" style="588" bestFit="1" customWidth="1"/>
    <col min="19" max="19" width="8.85546875" style="588"/>
    <col min="20" max="20" width="12" style="588" bestFit="1" customWidth="1"/>
    <col min="21" max="16384" width="8.85546875" style="588"/>
  </cols>
  <sheetData>
    <row r="1" spans="1:20" ht="21" thickBot="1" x14ac:dyDescent="0.35">
      <c r="A1" s="586" t="s">
        <v>976</v>
      </c>
      <c r="B1" s="587"/>
      <c r="C1" s="587"/>
      <c r="D1" s="587"/>
      <c r="E1" s="587"/>
      <c r="F1" s="587"/>
      <c r="G1" s="587"/>
      <c r="H1" s="587"/>
      <c r="I1" s="587"/>
      <c r="J1" s="587"/>
      <c r="K1" s="587"/>
      <c r="L1" s="587"/>
      <c r="M1" s="587"/>
    </row>
    <row r="2" spans="1:20" x14ac:dyDescent="0.3">
      <c r="A2" s="1" t="s">
        <v>472</v>
      </c>
    </row>
    <row r="4" spans="1:20" x14ac:dyDescent="0.3">
      <c r="A4" s="589" t="s">
        <v>473</v>
      </c>
      <c r="B4" s="590" t="s">
        <v>472</v>
      </c>
      <c r="C4" s="591"/>
      <c r="D4" s="591"/>
      <c r="E4" s="591"/>
      <c r="F4" s="591"/>
      <c r="G4" s="591"/>
      <c r="H4" s="591"/>
      <c r="I4" s="591"/>
      <c r="J4" s="591"/>
      <c r="K4" s="591"/>
      <c r="L4" s="591"/>
      <c r="M4" s="591"/>
    </row>
    <row r="5" spans="1:20" s="1" customFormat="1" ht="13.5" x14ac:dyDescent="0.25">
      <c r="H5" s="1">
        <v>0</v>
      </c>
      <c r="I5" s="1">
        <f>H5+1</f>
        <v>1</v>
      </c>
      <c r="J5" s="1">
        <f>I5+1</f>
        <v>2</v>
      </c>
      <c r="K5" s="1">
        <f>J5+1</f>
        <v>3</v>
      </c>
      <c r="L5" s="1">
        <f>K5+1</f>
        <v>4</v>
      </c>
      <c r="M5" s="1">
        <f>L5+1</f>
        <v>5</v>
      </c>
    </row>
    <row r="6" spans="1:20" s="1" customFormat="1" ht="15.75" thickBot="1" x14ac:dyDescent="0.35">
      <c r="B6" s="592"/>
      <c r="C6" s="592"/>
      <c r="D6" s="592"/>
      <c r="E6" s="592"/>
      <c r="F6" s="592"/>
      <c r="G6" s="592"/>
      <c r="H6" s="593">
        <v>42369</v>
      </c>
      <c r="I6" s="594">
        <f>EOMONTH(H6,12)</f>
        <v>42735</v>
      </c>
      <c r="J6" s="594">
        <f>EOMONTH(I6,12)</f>
        <v>43100</v>
      </c>
      <c r="K6" s="594">
        <f>EOMONTH(J6,12)</f>
        <v>43465</v>
      </c>
      <c r="L6" s="594">
        <f>EOMONTH(K6,12)</f>
        <v>43830</v>
      </c>
      <c r="M6" s="594">
        <f>EOMONTH(L6,12)</f>
        <v>44196</v>
      </c>
    </row>
    <row r="7" spans="1:20" s="1" customFormat="1" ht="13.5" x14ac:dyDescent="0.25">
      <c r="B7" s="595"/>
      <c r="C7" s="595"/>
      <c r="D7" s="595"/>
      <c r="E7" s="595"/>
      <c r="F7" s="595"/>
      <c r="G7" s="595"/>
      <c r="H7" s="595"/>
      <c r="I7" s="596"/>
      <c r="J7" s="596"/>
      <c r="K7" s="595"/>
      <c r="L7" s="595"/>
      <c r="M7" s="595"/>
    </row>
    <row r="8" spans="1:20" s="1" customFormat="1" ht="13.5" x14ac:dyDescent="0.25">
      <c r="B8" s="595" t="s">
        <v>105</v>
      </c>
      <c r="C8" s="595"/>
      <c r="D8" s="595"/>
      <c r="E8" s="595"/>
      <c r="F8" s="595"/>
      <c r="G8" s="597"/>
      <c r="H8" s="598"/>
      <c r="I8" s="599">
        <v>6</v>
      </c>
      <c r="J8" s="600">
        <f>I8</f>
        <v>6</v>
      </c>
      <c r="K8" s="600">
        <f>J8</f>
        <v>6</v>
      </c>
      <c r="L8" s="600">
        <f>K8</f>
        <v>6</v>
      </c>
      <c r="M8" s="600">
        <f>L8</f>
        <v>6</v>
      </c>
    </row>
    <row r="9" spans="1:20" s="1" customFormat="1" ht="13.5" x14ac:dyDescent="0.25">
      <c r="B9" s="601" t="s">
        <v>70</v>
      </c>
      <c r="C9" s="601"/>
      <c r="D9" s="601"/>
      <c r="E9" s="601"/>
      <c r="F9" s="601"/>
      <c r="G9" s="602"/>
      <c r="H9" s="603"/>
      <c r="I9" s="604">
        <f ca="1">'Summary Income Statement'!AI71</f>
        <v>6330.0662625000077</v>
      </c>
      <c r="J9" s="604">
        <f ca="1">'Summary Income Statement'!AJ71</f>
        <v>7132.8935756249994</v>
      </c>
      <c r="K9" s="604">
        <f ca="1">'Summary Income Statement'!AK71</f>
        <v>8021.4166544062537</v>
      </c>
      <c r="L9" s="604">
        <f ca="1">'Summary Income Statement'!AL71</f>
        <v>8745.6036151265671</v>
      </c>
      <c r="M9" s="604">
        <f ca="1">'Summary Income Statement'!AM71</f>
        <v>9531.849214122898</v>
      </c>
    </row>
    <row r="10" spans="1:20" s="1" customFormat="1" ht="15" x14ac:dyDescent="0.3">
      <c r="B10" s="605" t="s">
        <v>474</v>
      </c>
      <c r="C10" s="605"/>
      <c r="D10" s="605"/>
      <c r="E10" s="605"/>
      <c r="F10" s="595"/>
      <c r="G10" s="606"/>
      <c r="H10" s="606"/>
      <c r="I10" s="607">
        <f ca="1">I8*I9</f>
        <v>37980.397575000046</v>
      </c>
      <c r="J10" s="607">
        <f ca="1">J8*J9</f>
        <v>42797.361453749996</v>
      </c>
      <c r="K10" s="607">
        <f ca="1">K8*K9</f>
        <v>48128.499926437522</v>
      </c>
      <c r="L10" s="607">
        <f ca="1">L8*L9</f>
        <v>52473.621690759406</v>
      </c>
      <c r="M10" s="607">
        <f ca="1">M8*M9</f>
        <v>57191.095284737385</v>
      </c>
      <c r="T10" s="608"/>
    </row>
    <row r="11" spans="1:20" s="1" customFormat="1" ht="13.5" x14ac:dyDescent="0.25">
      <c r="B11" s="609" t="s">
        <v>437</v>
      </c>
      <c r="C11" s="595"/>
      <c r="D11" s="595"/>
      <c r="E11" s="595"/>
      <c r="F11" s="595"/>
      <c r="G11" s="610"/>
      <c r="H11" s="611"/>
      <c r="I11" s="612">
        <f ca="1">-SUM('Summary Balance Sheet'!AJ38:AJ40)</f>
        <v>-18449.061091856165</v>
      </c>
      <c r="J11" s="612">
        <f ca="1">-SUM('Summary Balance Sheet'!AK38:AK40)</f>
        <v>-17287.469036116636</v>
      </c>
      <c r="K11" s="612">
        <f ca="1">-SUM('Summary Balance Sheet'!AL38:AL40)</f>
        <v>-15681.125298781068</v>
      </c>
      <c r="L11" s="612">
        <f ca="1">-SUM('Summary Balance Sheet'!AM38:AM40)</f>
        <v>-13940.496307383362</v>
      </c>
      <c r="M11" s="612">
        <f ca="1">-SUM('Summary Balance Sheet'!AN38:AN40)</f>
        <v>-11827.598106154626</v>
      </c>
      <c r="R11" s="612"/>
    </row>
    <row r="12" spans="1:20" s="1" customFormat="1" ht="13.5" x14ac:dyDescent="0.25">
      <c r="B12" s="609" t="s">
        <v>475</v>
      </c>
      <c r="C12" s="595"/>
      <c r="D12" s="595"/>
      <c r="E12" s="595"/>
      <c r="F12" s="595"/>
      <c r="G12" s="610"/>
      <c r="H12" s="611"/>
      <c r="I12" s="612">
        <f ca="1">'Summary Balance Sheet'!AJ6</f>
        <v>99.999999999999091</v>
      </c>
      <c r="J12" s="612">
        <f ca="1">'Summary Balance Sheet'!AK6</f>
        <v>100.00000000000051</v>
      </c>
      <c r="K12" s="612">
        <f ca="1">'Summary Balance Sheet'!AL6</f>
        <v>99.999999999999687</v>
      </c>
      <c r="L12" s="612">
        <f ca="1">'Summary Balance Sheet'!AM6</f>
        <v>99.999999999999972</v>
      </c>
      <c r="M12" s="612">
        <f ca="1">'Summary Balance Sheet'!AN6</f>
        <v>101.99999291498929</v>
      </c>
      <c r="T12" s="7"/>
    </row>
    <row r="13" spans="1:20" s="1" customFormat="1" ht="15" x14ac:dyDescent="0.3">
      <c r="B13" s="613" t="s">
        <v>476</v>
      </c>
      <c r="C13" s="614"/>
      <c r="D13" s="614"/>
      <c r="E13" s="614"/>
      <c r="F13" s="615"/>
      <c r="G13" s="616"/>
      <c r="H13" s="616"/>
      <c r="I13" s="617">
        <f ca="1">SUM(I10:I12)</f>
        <v>19631.336483143881</v>
      </c>
      <c r="J13" s="617">
        <f ca="1">SUM(J10:J12)</f>
        <v>25609.89241763336</v>
      </c>
      <c r="K13" s="617">
        <f ca="1">SUM(K10:K12)</f>
        <v>32547.374627656456</v>
      </c>
      <c r="L13" s="617">
        <f ca="1">SUM(L10:L12)</f>
        <v>38633.125383376042</v>
      </c>
      <c r="M13" s="617">
        <f ca="1">SUM(M10:M12)</f>
        <v>45465.497171497751</v>
      </c>
    </row>
    <row r="14" spans="1:20" s="1" customFormat="1" ht="13.5" x14ac:dyDescent="0.25">
      <c r="B14" s="609"/>
      <c r="C14" s="595"/>
      <c r="D14" s="595"/>
      <c r="E14" s="595"/>
      <c r="F14" s="595"/>
      <c r="G14" s="595"/>
      <c r="H14" s="595"/>
      <c r="I14" s="595"/>
      <c r="J14" s="595"/>
      <c r="K14" s="595"/>
      <c r="L14" s="595"/>
      <c r="M14" s="595"/>
    </row>
    <row r="15" spans="1:20" s="1" customFormat="1" ht="13.5" x14ac:dyDescent="0.25">
      <c r="B15" s="609" t="s">
        <v>42</v>
      </c>
      <c r="C15" s="595"/>
      <c r="D15" s="618">
        <f>'Valuation &amp; Sources &amp; Uses'!D7</f>
        <v>0.71799999999999997</v>
      </c>
      <c r="E15" s="595"/>
      <c r="F15" s="595"/>
      <c r="G15" s="595"/>
      <c r="H15" s="595"/>
      <c r="I15" s="619">
        <f ca="1">$D15*I$13</f>
        <v>14095.299594897306</v>
      </c>
      <c r="J15" s="619">
        <f ca="1">$D15*J$13</f>
        <v>18387.902755860752</v>
      </c>
      <c r="K15" s="619">
        <f ca="1">$D15*K$13</f>
        <v>23369.014982657336</v>
      </c>
      <c r="L15" s="619">
        <f ca="1">$D15*L$13</f>
        <v>27738.584025263997</v>
      </c>
      <c r="M15" s="619">
        <f ca="1">$D15*M$13</f>
        <v>32644.226969135383</v>
      </c>
    </row>
    <row r="16" spans="1:20" s="1" customFormat="1" ht="13.5" x14ac:dyDescent="0.25">
      <c r="B16" s="609" t="s">
        <v>477</v>
      </c>
      <c r="C16" s="595"/>
      <c r="D16" s="618">
        <f>'Valuation &amp; Sources &amp; Uses'!D8</f>
        <v>0.28199999999999997</v>
      </c>
      <c r="E16" s="595"/>
      <c r="F16" s="595"/>
      <c r="G16" s="595"/>
      <c r="H16" s="595"/>
      <c r="I16" s="619">
        <f t="shared" ref="I16:M17" ca="1" si="0">$D16*I$13</f>
        <v>5536.0368882465737</v>
      </c>
      <c r="J16" s="619">
        <f t="shared" ca="1" si="0"/>
        <v>7221.9896617726072</v>
      </c>
      <c r="K16" s="619">
        <f t="shared" ca="1" si="0"/>
        <v>9178.3596449991201</v>
      </c>
      <c r="L16" s="619">
        <f t="shared" ca="1" si="0"/>
        <v>10894.541358112043</v>
      </c>
      <c r="M16" s="619">
        <f t="shared" ca="1" si="0"/>
        <v>12821.270202362364</v>
      </c>
    </row>
    <row r="17" spans="2:13" s="1" customFormat="1" ht="13.5" x14ac:dyDescent="0.25">
      <c r="B17" s="609" t="s">
        <v>424</v>
      </c>
      <c r="C17" s="595"/>
      <c r="D17" s="618">
        <f>'Valuation &amp; Sources &amp; Uses'!$D$23</f>
        <v>0</v>
      </c>
      <c r="E17" s="595"/>
      <c r="F17" s="595"/>
      <c r="G17" s="595"/>
      <c r="H17" s="595"/>
      <c r="I17" s="619">
        <f t="shared" ca="1" si="0"/>
        <v>0</v>
      </c>
      <c r="J17" s="619">
        <f t="shared" ca="1" si="0"/>
        <v>0</v>
      </c>
      <c r="K17" s="619">
        <f t="shared" ca="1" si="0"/>
        <v>0</v>
      </c>
      <c r="L17" s="619">
        <f t="shared" ca="1" si="0"/>
        <v>0</v>
      </c>
      <c r="M17" s="619">
        <f t="shared" ca="1" si="0"/>
        <v>0</v>
      </c>
    </row>
    <row r="18" spans="2:13" s="1" customFormat="1" ht="13.5" x14ac:dyDescent="0.25">
      <c r="B18" s="609"/>
      <c r="C18" s="595"/>
      <c r="D18" s="595"/>
      <c r="E18" s="595"/>
      <c r="F18" s="595"/>
      <c r="G18" s="595"/>
      <c r="H18" s="595"/>
      <c r="I18" s="595"/>
      <c r="J18" s="595"/>
      <c r="K18" s="595"/>
      <c r="L18" s="595"/>
      <c r="M18" s="620"/>
    </row>
    <row r="19" spans="2:13" s="1" customFormat="1" ht="13.5" x14ac:dyDescent="0.25">
      <c r="B19" s="609"/>
      <c r="C19" s="595"/>
      <c r="D19" s="595"/>
      <c r="E19" s="595"/>
      <c r="F19" s="595"/>
      <c r="G19" s="595"/>
      <c r="H19" s="595"/>
      <c r="I19" s="595"/>
      <c r="J19" s="595"/>
      <c r="K19" s="595"/>
      <c r="L19" s="595"/>
      <c r="M19" s="595"/>
    </row>
    <row r="20" spans="2:13" s="1" customFormat="1" ht="15" x14ac:dyDescent="0.3">
      <c r="B20" s="621" t="s">
        <v>478</v>
      </c>
      <c r="C20" s="601"/>
      <c r="D20" s="601"/>
      <c r="E20" s="601"/>
      <c r="F20" s="601"/>
      <c r="G20" s="601"/>
      <c r="H20" s="601"/>
      <c r="I20" s="601"/>
      <c r="J20" s="601"/>
      <c r="K20" s="601"/>
      <c r="L20" s="601"/>
      <c r="M20" s="601"/>
    </row>
    <row r="21" spans="2:13" s="1" customFormat="1" ht="13.5" x14ac:dyDescent="0.25">
      <c r="B21" s="622" t="s">
        <v>479</v>
      </c>
      <c r="C21" s="615"/>
      <c r="D21" s="615"/>
      <c r="E21" s="615"/>
      <c r="F21" s="615"/>
      <c r="G21" s="615"/>
      <c r="H21" s="615"/>
      <c r="I21" s="623">
        <f ca="1">I15</f>
        <v>14095.299594897306</v>
      </c>
      <c r="J21" s="623">
        <f ca="1">J15</f>
        <v>18387.902755860752</v>
      </c>
      <c r="K21" s="623">
        <f ca="1">K15</f>
        <v>23369.014982657336</v>
      </c>
      <c r="L21" s="623">
        <f ca="1">L15</f>
        <v>27738.584025263997</v>
      </c>
      <c r="M21" s="623">
        <f ca="1">M15</f>
        <v>32644.226969135383</v>
      </c>
    </row>
    <row r="22" spans="2:13" s="1" customFormat="1" ht="13.5" x14ac:dyDescent="0.25">
      <c r="B22" s="609" t="s">
        <v>480</v>
      </c>
      <c r="C22" s="595"/>
      <c r="D22" s="595"/>
      <c r="E22" s="595"/>
      <c r="F22" s="595"/>
      <c r="G22" s="595"/>
      <c r="H22" s="595"/>
      <c r="I22" s="624"/>
      <c r="J22" s="624"/>
      <c r="K22" s="624"/>
      <c r="L22" s="624"/>
      <c r="M22" s="625">
        <v>0.34216821685950971</v>
      </c>
    </row>
    <row r="23" spans="2:13" s="1" customFormat="1" ht="10.5" customHeight="1" x14ac:dyDescent="0.25">
      <c r="B23" s="626" t="s">
        <v>481</v>
      </c>
      <c r="C23" s="601"/>
      <c r="D23" s="601"/>
      <c r="E23" s="601"/>
      <c r="F23" s="601"/>
      <c r="G23" s="601"/>
      <c r="H23" s="601"/>
      <c r="I23" s="627"/>
      <c r="J23" s="627"/>
      <c r="K23" s="627"/>
      <c r="L23" s="627"/>
      <c r="M23" s="627">
        <v>4.3554672407118593</v>
      </c>
    </row>
    <row r="24" spans="2:13" s="1" customFormat="1" ht="13.5" x14ac:dyDescent="0.25">
      <c r="B24" s="609"/>
      <c r="C24" s="595"/>
      <c r="D24" s="595"/>
      <c r="E24" s="595"/>
      <c r="F24" s="595"/>
      <c r="G24" s="595"/>
      <c r="H24" s="595"/>
      <c r="I24" s="595"/>
      <c r="J24" s="595"/>
      <c r="K24" s="595"/>
      <c r="L24" s="595"/>
      <c r="M24" s="595"/>
    </row>
    <row r="25" spans="2:13" s="1" customFormat="1" ht="15" x14ac:dyDescent="0.3">
      <c r="B25" s="621" t="s">
        <v>482</v>
      </c>
      <c r="C25" s="601"/>
      <c r="D25" s="601"/>
      <c r="E25" s="601"/>
      <c r="F25" s="601"/>
      <c r="G25" s="601"/>
      <c r="H25" s="601"/>
      <c r="I25" s="601"/>
      <c r="J25" s="601"/>
      <c r="K25" s="601"/>
      <c r="L25" s="601"/>
      <c r="M25" s="601"/>
    </row>
    <row r="26" spans="2:13" s="1" customFormat="1" ht="13.5" x14ac:dyDescent="0.25">
      <c r="B26" s="626" t="s">
        <v>483</v>
      </c>
      <c r="C26" s="601"/>
      <c r="D26" s="601"/>
      <c r="E26" s="601"/>
      <c r="F26" s="601"/>
      <c r="G26" s="601"/>
      <c r="H26" s="601"/>
      <c r="I26" s="601"/>
      <c r="J26" s="601"/>
      <c r="K26" s="601"/>
      <c r="L26" s="601"/>
      <c r="M26" s="601"/>
    </row>
    <row r="27" spans="2:13" s="1" customFormat="1" ht="13.5" x14ac:dyDescent="0.25">
      <c r="B27" s="609" t="s">
        <v>484</v>
      </c>
      <c r="C27" s="595"/>
      <c r="D27" s="595"/>
      <c r="E27" s="595"/>
      <c r="F27" s="595"/>
      <c r="G27" s="595"/>
      <c r="H27" s="595"/>
      <c r="I27" s="624"/>
      <c r="J27" s="624"/>
      <c r="K27" s="624"/>
      <c r="L27" s="624"/>
      <c r="M27" s="625">
        <f ca="1">XIRR($H$36:$M$36,$H$6:$M$6)</f>
        <v>0.28452427983284001</v>
      </c>
    </row>
    <row r="28" spans="2:13" s="1" customFormat="1" ht="13.5" x14ac:dyDescent="0.25">
      <c r="B28" s="626" t="s">
        <v>481</v>
      </c>
      <c r="C28" s="601"/>
      <c r="D28" s="601"/>
      <c r="E28" s="601"/>
      <c r="F28" s="601"/>
      <c r="G28" s="601"/>
      <c r="H28" s="601"/>
      <c r="I28" s="627"/>
      <c r="J28" s="627"/>
      <c r="K28" s="627"/>
      <c r="L28" s="627"/>
      <c r="M28" s="627">
        <v>3.5019298547060438</v>
      </c>
    </row>
    <row r="29" spans="2:13" s="1" customFormat="1" ht="13.5" x14ac:dyDescent="0.25">
      <c r="B29" s="609"/>
      <c r="C29" s="595"/>
      <c r="D29" s="595"/>
      <c r="E29" s="595"/>
      <c r="F29" s="595"/>
      <c r="G29" s="595"/>
      <c r="H29" s="595"/>
      <c r="I29" s="595"/>
      <c r="J29" s="595"/>
      <c r="K29" s="595"/>
      <c r="L29" s="595"/>
      <c r="M29" s="595"/>
    </row>
    <row r="30" spans="2:13" s="1" customFormat="1" ht="13.5" x14ac:dyDescent="0.25">
      <c r="B30" s="609"/>
      <c r="C30" s="595"/>
      <c r="D30" s="595"/>
      <c r="E30" s="595"/>
      <c r="F30" s="595"/>
      <c r="G30" s="628" t="s">
        <v>485</v>
      </c>
      <c r="H30" s="595"/>
      <c r="I30" s="619"/>
      <c r="J30" s="619"/>
      <c r="K30" s="619"/>
      <c r="L30" s="619"/>
      <c r="M30" s="629">
        <f ca="1">-M62</f>
        <v>-6397.2627948766303</v>
      </c>
    </row>
    <row r="31" spans="2:13" s="1" customFormat="1" ht="13.5" x14ac:dyDescent="0.25">
      <c r="B31" s="609"/>
      <c r="C31" s="595"/>
      <c r="D31" s="595"/>
      <c r="E31" s="595"/>
      <c r="F31" s="595"/>
      <c r="G31" s="630" t="s">
        <v>42</v>
      </c>
      <c r="H31" s="631">
        <v>-7495</v>
      </c>
      <c r="I31" s="632">
        <f ca="1">I15</f>
        <v>14095.299594897306</v>
      </c>
      <c r="J31" s="632">
        <f ca="1">J15</f>
        <v>18387.902755860752</v>
      </c>
      <c r="K31" s="632">
        <f ca="1">K15</f>
        <v>23369.014982657336</v>
      </c>
      <c r="L31" s="632">
        <f ca="1">L15</f>
        <v>27738.584025263997</v>
      </c>
      <c r="M31" s="632">
        <f ca="1">M15</f>
        <v>32644.226969135383</v>
      </c>
    </row>
    <row r="32" spans="2:13" s="1" customFormat="1" ht="13.5" x14ac:dyDescent="0.25">
      <c r="B32" s="609"/>
      <c r="C32" s="595"/>
      <c r="D32" s="595"/>
      <c r="E32" s="595"/>
      <c r="F32" s="595"/>
      <c r="G32" s="633">
        <v>42735</v>
      </c>
      <c r="H32" s="619">
        <f>H31</f>
        <v>-7495</v>
      </c>
      <c r="I32" s="619">
        <f ca="1">I31</f>
        <v>14095.299594897306</v>
      </c>
      <c r="J32" s="619"/>
      <c r="K32" s="595"/>
      <c r="L32" s="595"/>
      <c r="M32" s="595"/>
    </row>
    <row r="33" spans="2:14" s="1" customFormat="1" ht="13.5" x14ac:dyDescent="0.25">
      <c r="B33" s="609"/>
      <c r="C33" s="595"/>
      <c r="D33" s="595"/>
      <c r="E33" s="595"/>
      <c r="F33" s="595"/>
      <c r="G33" s="634">
        <f>EOMONTH(G32,12)</f>
        <v>43100</v>
      </c>
      <c r="H33" s="619">
        <f>H32</f>
        <v>-7495</v>
      </c>
      <c r="I33" s="635"/>
      <c r="J33" s="619">
        <f ca="1">J31</f>
        <v>18387.902755860752</v>
      </c>
      <c r="K33" s="619"/>
      <c r="L33" s="595"/>
      <c r="M33" s="595"/>
    </row>
    <row r="34" spans="2:14" s="1" customFormat="1" ht="13.5" x14ac:dyDescent="0.25">
      <c r="B34" s="609"/>
      <c r="C34" s="595"/>
      <c r="D34" s="595"/>
      <c r="E34" s="595"/>
      <c r="F34" s="595"/>
      <c r="G34" s="634">
        <f>EOMONTH(G33,12)</f>
        <v>43465</v>
      </c>
      <c r="H34" s="619">
        <f>H33</f>
        <v>-7495</v>
      </c>
      <c r="I34" s="635"/>
      <c r="J34" s="635"/>
      <c r="K34" s="619">
        <f ca="1">K31</f>
        <v>23369.014982657336</v>
      </c>
      <c r="L34" s="619"/>
      <c r="M34" s="595"/>
    </row>
    <row r="35" spans="2:14" s="1" customFormat="1" ht="13.5" x14ac:dyDescent="0.25">
      <c r="B35" s="609"/>
      <c r="C35" s="595"/>
      <c r="D35" s="595"/>
      <c r="E35" s="595"/>
      <c r="F35" s="595"/>
      <c r="G35" s="634">
        <f>EOMONTH(G34,12)</f>
        <v>43830</v>
      </c>
      <c r="H35" s="619">
        <f>H34</f>
        <v>-7495</v>
      </c>
      <c r="I35" s="635"/>
      <c r="J35" s="635"/>
      <c r="K35" s="635"/>
      <c r="L35" s="619">
        <f ca="1">L31</f>
        <v>27738.584025263997</v>
      </c>
      <c r="M35" s="619"/>
    </row>
    <row r="36" spans="2:14" s="1" customFormat="1" ht="13.5" x14ac:dyDescent="0.25">
      <c r="B36" s="609"/>
      <c r="C36" s="595"/>
      <c r="D36" s="595"/>
      <c r="E36" s="595"/>
      <c r="F36" s="595"/>
      <c r="G36" s="634">
        <f>EOMONTH(G35,12)</f>
        <v>44196</v>
      </c>
      <c r="H36" s="619">
        <f>H35</f>
        <v>-7495</v>
      </c>
      <c r="I36" s="635"/>
      <c r="J36" s="635"/>
      <c r="K36" s="635"/>
      <c r="L36" s="635"/>
      <c r="M36" s="619">
        <f ca="1">SUM(M30:M35)</f>
        <v>26246.964174258752</v>
      </c>
      <c r="N36" s="636"/>
    </row>
    <row r="37" spans="2:14" s="1" customFormat="1" ht="13.5" x14ac:dyDescent="0.25">
      <c r="B37" s="609"/>
      <c r="C37" s="595"/>
      <c r="D37" s="595"/>
      <c r="E37" s="595"/>
      <c r="F37" s="595"/>
      <c r="G37" s="595"/>
      <c r="H37" s="595"/>
      <c r="I37" s="595"/>
      <c r="J37" s="595"/>
      <c r="K37" s="595"/>
      <c r="L37" s="595"/>
      <c r="M37" s="595"/>
    </row>
    <row r="38" spans="2:14" s="1" customFormat="1" ht="13.5" x14ac:dyDescent="0.25">
      <c r="B38" s="609"/>
      <c r="C38" s="595"/>
      <c r="D38" s="595"/>
      <c r="E38" s="595"/>
      <c r="F38" s="595"/>
      <c r="G38" s="595"/>
      <c r="H38" s="595"/>
      <c r="I38" s="595"/>
      <c r="J38" s="595"/>
      <c r="K38" s="595"/>
      <c r="L38" s="595"/>
      <c r="M38" s="595"/>
    </row>
    <row r="39" spans="2:14" s="1" customFormat="1" ht="15" x14ac:dyDescent="0.3">
      <c r="B39" s="621" t="s">
        <v>486</v>
      </c>
      <c r="C39" s="601"/>
      <c r="D39" s="601"/>
      <c r="E39" s="601"/>
      <c r="F39" s="601"/>
      <c r="G39" s="601"/>
      <c r="H39" s="601"/>
      <c r="I39" s="601"/>
      <c r="J39" s="601"/>
      <c r="K39" s="601"/>
      <c r="L39" s="601"/>
      <c r="M39" s="601"/>
    </row>
    <row r="40" spans="2:14" s="1" customFormat="1" ht="13.5" x14ac:dyDescent="0.25">
      <c r="B40" s="609" t="s">
        <v>487</v>
      </c>
      <c r="C40" s="595"/>
      <c r="D40" s="637"/>
      <c r="E40" s="595"/>
      <c r="F40" s="595"/>
      <c r="G40" s="595"/>
      <c r="H40" s="635"/>
      <c r="I40" s="638">
        <v>125</v>
      </c>
      <c r="J40" s="638">
        <v>125</v>
      </c>
      <c r="K40" s="638">
        <v>125</v>
      </c>
      <c r="L40" s="638">
        <v>125</v>
      </c>
      <c r="M40" s="638">
        <v>125</v>
      </c>
    </row>
    <row r="41" spans="2:14" s="1" customFormat="1" ht="13.5" x14ac:dyDescent="0.25">
      <c r="B41" s="609" t="s">
        <v>488</v>
      </c>
      <c r="C41" s="595"/>
      <c r="D41" s="639">
        <v>2</v>
      </c>
      <c r="E41" s="640">
        <v>3</v>
      </c>
      <c r="F41" s="595"/>
      <c r="G41" s="595"/>
      <c r="H41" s="635"/>
      <c r="I41" s="641">
        <f>($D$41*$E$41)*12</f>
        <v>72</v>
      </c>
      <c r="J41" s="641">
        <f>($D$41*$E$41)*12</f>
        <v>72</v>
      </c>
      <c r="K41" s="641">
        <f>($D$41*$E$41)*12</f>
        <v>72</v>
      </c>
      <c r="L41" s="641">
        <f>($D$41*$E$41)*12</f>
        <v>72</v>
      </c>
      <c r="M41" s="641">
        <f>($D$41*$E$41)*12</f>
        <v>72</v>
      </c>
    </row>
    <row r="42" spans="2:14" s="1" customFormat="1" ht="15" x14ac:dyDescent="0.3">
      <c r="B42" s="642" t="s">
        <v>489</v>
      </c>
      <c r="C42" s="643"/>
      <c r="D42" s="643"/>
      <c r="E42" s="643"/>
      <c r="F42" s="644"/>
      <c r="G42" s="644"/>
      <c r="H42" s="645"/>
      <c r="I42" s="645">
        <f>SUM(I40:I41)</f>
        <v>197</v>
      </c>
      <c r="J42" s="645">
        <f>SUM(J40:J41)</f>
        <v>197</v>
      </c>
      <c r="K42" s="645">
        <f>SUM(K40:K41)</f>
        <v>197</v>
      </c>
      <c r="L42" s="645">
        <f>SUM(L40:L41)</f>
        <v>197</v>
      </c>
      <c r="M42" s="645">
        <f>SUM(M40:M41)</f>
        <v>197</v>
      </c>
    </row>
    <row r="43" spans="2:14" s="1" customFormat="1" ht="13.5" x14ac:dyDescent="0.25">
      <c r="B43" s="609"/>
      <c r="C43" s="595"/>
      <c r="D43" s="595"/>
      <c r="E43" s="595"/>
      <c r="F43" s="595"/>
      <c r="G43" s="595"/>
      <c r="H43" s="595"/>
      <c r="I43" s="595"/>
      <c r="J43" s="595"/>
      <c r="K43" s="595"/>
      <c r="L43" s="595"/>
      <c r="M43" s="595"/>
    </row>
    <row r="44" spans="2:14" s="1" customFormat="1" ht="15" x14ac:dyDescent="0.3">
      <c r="B44" s="621" t="s">
        <v>478</v>
      </c>
      <c r="C44" s="601"/>
      <c r="D44" s="601"/>
      <c r="E44" s="601"/>
      <c r="F44" s="601"/>
      <c r="G44" s="601"/>
      <c r="H44" s="601"/>
      <c r="I44" s="601"/>
      <c r="J44" s="601"/>
      <c r="K44" s="601"/>
      <c r="L44" s="601"/>
      <c r="M44" s="601"/>
    </row>
    <row r="45" spans="2:14" s="1" customFormat="1" ht="13.5" x14ac:dyDescent="0.25">
      <c r="B45" s="646" t="s">
        <v>490</v>
      </c>
      <c r="C45" s="595"/>
      <c r="D45" s="595"/>
      <c r="E45" s="595"/>
      <c r="F45" s="595"/>
      <c r="G45" s="595"/>
      <c r="H45" s="635">
        <f>H36</f>
        <v>-7495</v>
      </c>
      <c r="J45" s="595"/>
      <c r="K45" s="595"/>
      <c r="L45" s="595"/>
      <c r="M45" s="595"/>
    </row>
    <row r="46" spans="2:14" s="1" customFormat="1" ht="13.5" x14ac:dyDescent="0.25">
      <c r="B46" s="609" t="s">
        <v>126</v>
      </c>
      <c r="C46" s="595"/>
      <c r="D46" s="595"/>
      <c r="E46" s="595"/>
      <c r="F46" s="595"/>
      <c r="G46" s="595"/>
      <c r="H46" s="638"/>
      <c r="I46" s="612">
        <v>372.32330695627712</v>
      </c>
      <c r="J46" s="612">
        <v>975.67776990824291</v>
      </c>
      <c r="K46" s="612">
        <v>1382.1350471805179</v>
      </c>
      <c r="L46" s="612">
        <v>1741.3365618800315</v>
      </c>
      <c r="M46" s="612">
        <v>2122.0158349955582</v>
      </c>
    </row>
    <row r="47" spans="2:14" s="1" customFormat="1" ht="13.5" x14ac:dyDescent="0.25">
      <c r="B47" s="609" t="s">
        <v>491</v>
      </c>
      <c r="C47" s="595"/>
      <c r="D47" s="595"/>
      <c r="E47" s="595"/>
      <c r="F47" s="595"/>
      <c r="G47" s="595"/>
      <c r="H47" s="635"/>
      <c r="I47" s="612">
        <v>0</v>
      </c>
      <c r="J47" s="612">
        <v>0</v>
      </c>
      <c r="K47" s="612">
        <v>0</v>
      </c>
      <c r="L47" s="612">
        <v>0</v>
      </c>
      <c r="M47" s="612">
        <v>243.59849846025099</v>
      </c>
    </row>
    <row r="48" spans="2:14" s="1" customFormat="1" ht="13.5" x14ac:dyDescent="0.25">
      <c r="B48" s="609" t="s">
        <v>44</v>
      </c>
      <c r="C48" s="595"/>
      <c r="D48" s="595"/>
      <c r="E48" s="595"/>
      <c r="F48" s="595"/>
      <c r="G48" s="610"/>
      <c r="H48" s="611"/>
      <c r="I48" s="612"/>
      <c r="J48" s="612"/>
      <c r="K48" s="612"/>
      <c r="L48" s="612"/>
      <c r="M48" s="641">
        <f ca="1">M15</f>
        <v>32644.226969135383</v>
      </c>
    </row>
    <row r="49" spans="2:14" s="1" customFormat="1" ht="15" x14ac:dyDescent="0.3">
      <c r="B49" s="647" t="s">
        <v>492</v>
      </c>
      <c r="C49" s="648"/>
      <c r="D49" s="648"/>
      <c r="E49" s="648"/>
      <c r="F49" s="596"/>
      <c r="G49" s="649"/>
      <c r="H49" s="650">
        <f>SUM(H45:H48)</f>
        <v>-7495</v>
      </c>
      <c r="I49" s="651">
        <f>SUM(I46:I48)</f>
        <v>372.32330695627712</v>
      </c>
      <c r="J49" s="651">
        <f>SUM(J46:J48)</f>
        <v>975.67776990824291</v>
      </c>
      <c r="K49" s="651">
        <f>SUM(K46:K48)</f>
        <v>1382.1350471805179</v>
      </c>
      <c r="L49" s="651">
        <f>SUM(L46:L48)</f>
        <v>1741.3365618800315</v>
      </c>
      <c r="M49" s="651">
        <f ca="1">SUM(M46:M48)</f>
        <v>35009.841302591194</v>
      </c>
    </row>
    <row r="50" spans="2:14" s="1" customFormat="1" ht="15" x14ac:dyDescent="0.3">
      <c r="B50" s="652" t="s">
        <v>493</v>
      </c>
      <c r="C50" s="595"/>
      <c r="D50" s="595"/>
      <c r="E50" s="595"/>
      <c r="F50" s="595"/>
      <c r="G50" s="595"/>
      <c r="H50" s="5">
        <f t="shared" ref="H50:M50" si="1">H49-H46</f>
        <v>-7495</v>
      </c>
      <c r="I50" s="5">
        <f t="shared" si="1"/>
        <v>0</v>
      </c>
      <c r="J50" s="5">
        <f t="shared" si="1"/>
        <v>0</v>
      </c>
      <c r="K50" s="5">
        <f t="shared" si="1"/>
        <v>0</v>
      </c>
      <c r="L50" s="5">
        <f t="shared" si="1"/>
        <v>0</v>
      </c>
      <c r="M50" s="5">
        <f t="shared" ca="1" si="1"/>
        <v>32887.825467595634</v>
      </c>
    </row>
    <row r="51" spans="2:14" s="1" customFormat="1" ht="13.5" x14ac:dyDescent="0.25">
      <c r="B51" s="609"/>
      <c r="C51" s="595"/>
      <c r="D51" s="595"/>
      <c r="E51" s="595"/>
      <c r="F51" s="595"/>
      <c r="G51" s="595"/>
      <c r="H51" s="595"/>
      <c r="I51" s="595"/>
      <c r="J51" s="595"/>
      <c r="K51" s="595"/>
      <c r="L51" s="595"/>
      <c r="M51" s="595"/>
    </row>
    <row r="52" spans="2:14" s="1" customFormat="1" ht="15" x14ac:dyDescent="0.3">
      <c r="B52" s="621" t="s">
        <v>389</v>
      </c>
      <c r="C52" s="601"/>
      <c r="D52" s="601"/>
      <c r="E52" s="601"/>
      <c r="F52" s="601"/>
      <c r="G52" s="601"/>
      <c r="H52" s="601"/>
      <c r="I52" s="601"/>
      <c r="J52" s="601"/>
      <c r="K52" s="601"/>
      <c r="L52" s="601"/>
      <c r="M52" s="601"/>
    </row>
    <row r="53" spans="2:14" s="1" customFormat="1" ht="13.5" x14ac:dyDescent="0.25">
      <c r="B53" s="646" t="s">
        <v>490</v>
      </c>
      <c r="C53" s="595"/>
      <c r="D53" s="595"/>
      <c r="E53" s="595"/>
      <c r="F53" s="595"/>
      <c r="G53" s="595"/>
      <c r="H53" s="635">
        <f>H45</f>
        <v>-7495</v>
      </c>
      <c r="I53" s="595"/>
      <c r="J53" s="595"/>
      <c r="K53" s="595"/>
      <c r="L53" s="595"/>
      <c r="M53" s="595"/>
    </row>
    <row r="54" spans="2:14" s="1" customFormat="1" ht="13.5" x14ac:dyDescent="0.25">
      <c r="B54" s="646" t="s">
        <v>494</v>
      </c>
      <c r="C54" s="595"/>
      <c r="D54" s="595"/>
      <c r="E54" s="595"/>
      <c r="F54" s="595"/>
      <c r="G54" s="595"/>
      <c r="H54" s="635">
        <v>0</v>
      </c>
      <c r="I54" s="595"/>
      <c r="J54" s="595"/>
      <c r="K54" s="595"/>
      <c r="L54" s="595"/>
      <c r="M54" s="595"/>
    </row>
    <row r="55" spans="2:14" s="1" customFormat="1" ht="13.5" x14ac:dyDescent="0.25">
      <c r="B55" s="609" t="s">
        <v>126</v>
      </c>
      <c r="C55" s="595"/>
      <c r="D55" s="595"/>
      <c r="E55" s="595"/>
      <c r="F55" s="595"/>
      <c r="G55" s="595"/>
      <c r="H55" s="635"/>
      <c r="I55" s="635">
        <f>I46</f>
        <v>372.32330695627712</v>
      </c>
      <c r="J55" s="635">
        <f t="shared" ref="J55:M56" si="2">J46</f>
        <v>975.67776990824291</v>
      </c>
      <c r="K55" s="635">
        <f t="shared" si="2"/>
        <v>1382.1350471805179</v>
      </c>
      <c r="L55" s="635">
        <f t="shared" si="2"/>
        <v>1741.3365618800315</v>
      </c>
      <c r="M55" s="635">
        <f t="shared" si="2"/>
        <v>2122.0158349955582</v>
      </c>
    </row>
    <row r="56" spans="2:14" s="1" customFormat="1" ht="13.5" x14ac:dyDescent="0.25">
      <c r="B56" s="609" t="s">
        <v>491</v>
      </c>
      <c r="C56" s="595"/>
      <c r="D56" s="595"/>
      <c r="E56" s="595"/>
      <c r="F56" s="595"/>
      <c r="G56" s="595"/>
      <c r="H56" s="635"/>
      <c r="I56" s="635">
        <f>I47</f>
        <v>0</v>
      </c>
      <c r="J56" s="635">
        <f t="shared" si="2"/>
        <v>0</v>
      </c>
      <c r="K56" s="635">
        <f t="shared" si="2"/>
        <v>0</v>
      </c>
      <c r="L56" s="635">
        <f t="shared" si="2"/>
        <v>0</v>
      </c>
      <c r="M56" s="635">
        <f t="shared" si="2"/>
        <v>243.59849846025099</v>
      </c>
    </row>
    <row r="57" spans="2:14" s="1" customFormat="1" ht="13.5" x14ac:dyDescent="0.25">
      <c r="B57" s="626" t="s">
        <v>44</v>
      </c>
      <c r="C57" s="601"/>
      <c r="D57" s="601"/>
      <c r="E57" s="601"/>
      <c r="F57" s="601"/>
      <c r="G57" s="602"/>
      <c r="H57" s="603"/>
      <c r="I57" s="604"/>
      <c r="J57" s="604"/>
      <c r="K57" s="604"/>
      <c r="L57" s="604"/>
      <c r="M57" s="653">
        <f ca="1">M48</f>
        <v>32644.226969135383</v>
      </c>
    </row>
    <row r="58" spans="2:14" s="1" customFormat="1" ht="15" x14ac:dyDescent="0.3">
      <c r="B58" s="621" t="s">
        <v>495</v>
      </c>
      <c r="C58" s="654"/>
      <c r="D58" s="654"/>
      <c r="E58" s="654"/>
      <c r="F58" s="601"/>
      <c r="G58" s="655"/>
      <c r="H58" s="656">
        <f>SUM(H53:H57)</f>
        <v>-7495</v>
      </c>
      <c r="I58" s="656">
        <f>H58+SUM(I53:I57)</f>
        <v>-7122.6766930437225</v>
      </c>
      <c r="J58" s="656">
        <f>I58+SUM(J53:J57)</f>
        <v>-6146.9989231354793</v>
      </c>
      <c r="K58" s="656">
        <f>J58+SUM(K53:K57)</f>
        <v>-4764.8638759549613</v>
      </c>
      <c r="L58" s="656">
        <f>K58+SUM(L53:L57)</f>
        <v>-3023.5273140749296</v>
      </c>
      <c r="M58" s="656">
        <f ca="1">L58+SUM(M53:M57)</f>
        <v>31986.313988516264</v>
      </c>
    </row>
    <row r="59" spans="2:14" s="1" customFormat="1" ht="13.5" x14ac:dyDescent="0.25">
      <c r="B59" s="609"/>
      <c r="C59" s="595"/>
      <c r="D59" s="595"/>
      <c r="E59" s="595"/>
      <c r="F59" s="595"/>
      <c r="G59" s="595"/>
      <c r="H59" s="595"/>
      <c r="I59" s="595"/>
      <c r="J59" s="595"/>
      <c r="K59" s="595"/>
      <c r="L59" s="595"/>
      <c r="M59" s="595"/>
    </row>
    <row r="60" spans="2:14" s="1" customFormat="1" ht="13.5" x14ac:dyDescent="0.25">
      <c r="B60" s="609" t="s">
        <v>393</v>
      </c>
      <c r="C60" s="595"/>
      <c r="D60" s="595"/>
      <c r="E60" s="595"/>
      <c r="F60" s="595"/>
      <c r="G60" s="595"/>
      <c r="H60" s="657">
        <v>1</v>
      </c>
      <c r="I60" s="657">
        <v>1</v>
      </c>
      <c r="J60" s="657">
        <v>1</v>
      </c>
      <c r="K60" s="657">
        <v>1</v>
      </c>
      <c r="L60" s="657">
        <v>1</v>
      </c>
      <c r="M60" s="657">
        <v>0.81727244227097462</v>
      </c>
    </row>
    <row r="61" spans="2:14" s="1" customFormat="1" ht="13.5" x14ac:dyDescent="0.25">
      <c r="B61" s="609"/>
      <c r="C61" s="595"/>
      <c r="D61" s="595"/>
      <c r="E61" s="595"/>
      <c r="F61" s="595"/>
      <c r="G61" s="595"/>
      <c r="H61" s="657"/>
      <c r="I61" s="657"/>
      <c r="J61" s="657"/>
      <c r="K61" s="657"/>
      <c r="L61" s="657"/>
      <c r="M61" s="657"/>
    </row>
    <row r="62" spans="2:14" s="1" customFormat="1" ht="15" x14ac:dyDescent="0.3">
      <c r="B62" s="658" t="s">
        <v>496</v>
      </c>
      <c r="C62" s="595"/>
      <c r="D62" s="595"/>
      <c r="E62" s="595"/>
      <c r="F62" s="595"/>
      <c r="G62" s="595"/>
      <c r="H62" s="5">
        <f t="shared" ref="H62:M62" si="3">H64/H60*(1-H60)</f>
        <v>0</v>
      </c>
      <c r="I62" s="5">
        <f t="shared" si="3"/>
        <v>0</v>
      </c>
      <c r="J62" s="5">
        <f t="shared" si="3"/>
        <v>0</v>
      </c>
      <c r="K62" s="5">
        <f t="shared" si="3"/>
        <v>0</v>
      </c>
      <c r="L62" s="5">
        <f t="shared" si="3"/>
        <v>0</v>
      </c>
      <c r="M62" s="5">
        <f t="shared" ca="1" si="3"/>
        <v>6397.2628033499313</v>
      </c>
      <c r="N62" s="659"/>
    </row>
    <row r="63" spans="2:14" s="1" customFormat="1" ht="15" x14ac:dyDescent="0.3">
      <c r="B63" s="660"/>
      <c r="C63" s="601"/>
      <c r="D63" s="601"/>
      <c r="E63" s="601"/>
      <c r="F63" s="601"/>
      <c r="G63" s="601"/>
      <c r="H63" s="631"/>
      <c r="I63" s="661"/>
      <c r="J63" s="661"/>
      <c r="K63" s="661"/>
      <c r="L63" s="661"/>
      <c r="M63" s="661"/>
    </row>
    <row r="64" spans="2:14" s="1" customFormat="1" ht="15" x14ac:dyDescent="0.3">
      <c r="B64" s="652" t="s">
        <v>497</v>
      </c>
      <c r="C64" s="605"/>
      <c r="D64" s="605"/>
      <c r="E64" s="605"/>
      <c r="F64" s="595"/>
      <c r="G64" s="662"/>
      <c r="H64" s="663">
        <f t="shared" ref="H64:M64" si="4">SUM(H53,H55:H57)*H60</f>
        <v>-7495</v>
      </c>
      <c r="I64" s="663">
        <f t="shared" si="4"/>
        <v>372.32330695627712</v>
      </c>
      <c r="J64" s="663">
        <f t="shared" si="4"/>
        <v>975.67776990824291</v>
      </c>
      <c r="K64" s="663">
        <f t="shared" si="4"/>
        <v>1382.1350471805179</v>
      </c>
      <c r="L64" s="663">
        <f t="shared" si="4"/>
        <v>1741.3365618800315</v>
      </c>
      <c r="M64" s="663">
        <f t="shared" ca="1" si="4"/>
        <v>28612.578504887944</v>
      </c>
    </row>
    <row r="65" spans="2:13" s="1" customFormat="1" ht="15" x14ac:dyDescent="0.3">
      <c r="B65" s="652" t="s">
        <v>498</v>
      </c>
      <c r="C65" s="605"/>
      <c r="D65" s="605"/>
      <c r="E65" s="605"/>
      <c r="F65" s="595"/>
      <c r="G65" s="662"/>
      <c r="H65" s="663">
        <f t="shared" ref="H65:M65" si="5">SUM(H53,H56:H57)*H60</f>
        <v>-7495</v>
      </c>
      <c r="I65" s="663">
        <f t="shared" si="5"/>
        <v>0</v>
      </c>
      <c r="J65" s="663">
        <f t="shared" si="5"/>
        <v>0</v>
      </c>
      <c r="K65" s="663">
        <f t="shared" si="5"/>
        <v>0</v>
      </c>
      <c r="L65" s="663">
        <f t="shared" si="5"/>
        <v>0</v>
      </c>
      <c r="M65" s="663">
        <f t="shared" ca="1" si="5"/>
        <v>26878.313440883441</v>
      </c>
    </row>
    <row r="66" spans="2:13" s="1" customFormat="1" ht="13.5" x14ac:dyDescent="0.25">
      <c r="B66" s="609"/>
      <c r="C66" s="595"/>
      <c r="D66" s="595"/>
      <c r="E66" s="595"/>
      <c r="F66" s="595"/>
      <c r="G66" s="595"/>
      <c r="H66" s="595"/>
      <c r="I66" s="595"/>
      <c r="J66" s="595"/>
      <c r="K66" s="595"/>
      <c r="L66" s="595"/>
      <c r="M66" s="595"/>
    </row>
    <row r="67" spans="2:13" s="1" customFormat="1" ht="14.25" customHeight="1" x14ac:dyDescent="0.25">
      <c r="B67" s="609"/>
      <c r="C67" s="595"/>
      <c r="D67" s="595"/>
      <c r="E67" s="595"/>
      <c r="F67" s="595"/>
      <c r="G67" s="595"/>
      <c r="H67" s="595"/>
      <c r="I67" s="595"/>
      <c r="J67" s="595"/>
      <c r="K67" s="595"/>
      <c r="L67" s="595"/>
      <c r="M67" s="595"/>
    </row>
    <row r="68" spans="2:13" s="1" customFormat="1" ht="23.25" x14ac:dyDescent="0.35">
      <c r="B68" s="664" t="s">
        <v>499</v>
      </c>
      <c r="C68" s="595"/>
      <c r="D68" s="595"/>
      <c r="E68" s="595"/>
      <c r="F68" s="595"/>
      <c r="G68" s="595"/>
      <c r="H68" s="595"/>
      <c r="I68" s="595"/>
      <c r="J68" s="595"/>
      <c r="K68" s="595"/>
      <c r="L68" s="595"/>
      <c r="M68" s="595"/>
    </row>
    <row r="69" spans="2:13" s="1" customFormat="1" ht="13.5" x14ac:dyDescent="0.25">
      <c r="B69" s="609"/>
      <c r="C69" s="595"/>
      <c r="D69" s="595"/>
      <c r="E69" s="595"/>
      <c r="F69" s="595"/>
      <c r="G69" s="595"/>
      <c r="H69" s="595"/>
      <c r="I69" s="595"/>
      <c r="J69" s="595"/>
      <c r="K69" s="595"/>
      <c r="L69" s="595"/>
      <c r="M69" s="595"/>
    </row>
    <row r="70" spans="2:13" s="1" customFormat="1" ht="15.75" thickBot="1" x14ac:dyDescent="0.35">
      <c r="B70" s="665" t="s">
        <v>500</v>
      </c>
      <c r="C70" s="592"/>
      <c r="D70" s="592"/>
      <c r="E70" s="592"/>
      <c r="F70" s="592"/>
      <c r="G70" s="592"/>
      <c r="H70" s="666">
        <f t="shared" ref="H70:M70" si="6">H6</f>
        <v>42369</v>
      </c>
      <c r="I70" s="594">
        <f t="shared" si="6"/>
        <v>42735</v>
      </c>
      <c r="J70" s="594">
        <f t="shared" si="6"/>
        <v>43100</v>
      </c>
      <c r="K70" s="594">
        <f t="shared" si="6"/>
        <v>43465</v>
      </c>
      <c r="L70" s="594">
        <f t="shared" si="6"/>
        <v>43830</v>
      </c>
      <c r="M70" s="594">
        <f t="shared" si="6"/>
        <v>44196</v>
      </c>
    </row>
    <row r="71" spans="2:13" s="1" customFormat="1" ht="13.5" x14ac:dyDescent="0.25">
      <c r="B71" s="595"/>
      <c r="C71" s="595"/>
      <c r="D71" s="595"/>
      <c r="E71" s="595"/>
      <c r="F71" s="595"/>
      <c r="G71" s="595"/>
      <c r="H71" s="595"/>
      <c r="I71" s="595"/>
      <c r="J71" s="595"/>
      <c r="K71" s="595"/>
      <c r="L71" s="595"/>
      <c r="M71" s="595"/>
    </row>
    <row r="72" spans="2:13" s="1" customFormat="1" ht="15" x14ac:dyDescent="0.3">
      <c r="B72" s="621" t="s">
        <v>501</v>
      </c>
      <c r="C72" s="601"/>
      <c r="D72" s="601"/>
      <c r="E72" s="601"/>
      <c r="F72" s="601"/>
      <c r="G72" s="601"/>
      <c r="H72" s="667">
        <f t="shared" ref="H72:M72" si="7">H70</f>
        <v>42369</v>
      </c>
      <c r="I72" s="667">
        <f t="shared" si="7"/>
        <v>42735</v>
      </c>
      <c r="J72" s="667">
        <f t="shared" si="7"/>
        <v>43100</v>
      </c>
      <c r="K72" s="667">
        <f t="shared" si="7"/>
        <v>43465</v>
      </c>
      <c r="L72" s="667">
        <f t="shared" si="7"/>
        <v>43830</v>
      </c>
      <c r="M72" s="667">
        <f t="shared" si="7"/>
        <v>44196</v>
      </c>
    </row>
    <row r="73" spans="2:13" s="1" customFormat="1" ht="13.5" x14ac:dyDescent="0.25">
      <c r="B73" s="646"/>
      <c r="C73" s="595"/>
      <c r="D73" s="595"/>
      <c r="E73" s="595"/>
      <c r="F73" s="595"/>
      <c r="G73" s="595"/>
      <c r="H73" s="635">
        <f>H45</f>
        <v>-7495</v>
      </c>
      <c r="I73" s="635">
        <f ca="1">SUM(I$15,I$46:I$47)</f>
        <v>14467.622901853583</v>
      </c>
      <c r="J73" s="635"/>
      <c r="K73" s="635"/>
      <c r="L73" s="635"/>
      <c r="M73" s="635"/>
    </row>
    <row r="74" spans="2:13" s="1" customFormat="1" ht="13.5" x14ac:dyDescent="0.25">
      <c r="B74" s="646"/>
      <c r="C74" s="595"/>
      <c r="D74" s="595"/>
      <c r="E74" s="595"/>
      <c r="F74" s="595"/>
      <c r="G74" s="595"/>
      <c r="H74" s="635">
        <f>H73</f>
        <v>-7495</v>
      </c>
      <c r="I74" s="635">
        <f>SUM(I$46:I$47)</f>
        <v>372.32330695627712</v>
      </c>
      <c r="J74" s="635">
        <f ca="1">SUM(J$15,J$46:J$47)</f>
        <v>19363.580525768994</v>
      </c>
      <c r="K74" s="635"/>
      <c r="L74" s="635"/>
      <c r="M74" s="635"/>
    </row>
    <row r="75" spans="2:13" s="1" customFormat="1" ht="13.5" x14ac:dyDescent="0.25">
      <c r="B75" s="646"/>
      <c r="C75" s="595"/>
      <c r="D75" s="595"/>
      <c r="E75" s="595"/>
      <c r="F75" s="595"/>
      <c r="G75" s="595"/>
      <c r="H75" s="635">
        <f>H74</f>
        <v>-7495</v>
      </c>
      <c r="I75" s="635">
        <f>SUM(I$46:I$47)</f>
        <v>372.32330695627712</v>
      </c>
      <c r="J75" s="635">
        <f>SUM(J$46:J$47)</f>
        <v>975.67776990824291</v>
      </c>
      <c r="K75" s="635">
        <f ca="1">SUM(K$15,K$46:K$47)</f>
        <v>24751.150029837852</v>
      </c>
      <c r="L75" s="635"/>
      <c r="M75" s="635"/>
    </row>
    <row r="76" spans="2:13" s="1" customFormat="1" ht="13.5" x14ac:dyDescent="0.25">
      <c r="B76" s="646"/>
      <c r="C76" s="595"/>
      <c r="D76" s="595"/>
      <c r="E76" s="595"/>
      <c r="F76" s="595"/>
      <c r="G76" s="595"/>
      <c r="H76" s="635">
        <f>H75</f>
        <v>-7495</v>
      </c>
      <c r="I76" s="635">
        <f>SUM(I$46:I$47)</f>
        <v>372.32330695627712</v>
      </c>
      <c r="J76" s="635">
        <f>SUM(J$46:J$47)</f>
        <v>975.67776990824291</v>
      </c>
      <c r="K76" s="635">
        <f>SUM(K$46:K$47)</f>
        <v>1382.1350471805179</v>
      </c>
      <c r="L76" s="635">
        <f ca="1">SUM(L$15,L$46:L$47)</f>
        <v>29479.920587144028</v>
      </c>
      <c r="M76" s="635"/>
    </row>
    <row r="77" spans="2:13" s="1" customFormat="1" ht="13.5" x14ac:dyDescent="0.25">
      <c r="B77" s="646"/>
      <c r="C77" s="595"/>
      <c r="D77" s="595"/>
      <c r="E77" s="595"/>
      <c r="F77" s="595"/>
      <c r="G77" s="595"/>
      <c r="H77" s="635">
        <f>H76</f>
        <v>-7495</v>
      </c>
      <c r="I77" s="635">
        <f>SUM(I$46:I$47)</f>
        <v>372.32330695627712</v>
      </c>
      <c r="J77" s="635">
        <f>SUM(J$46:J$47)</f>
        <v>975.67776990824291</v>
      </c>
      <c r="K77" s="635">
        <f>SUM(K$46:K$47)</f>
        <v>1382.1350471805179</v>
      </c>
      <c r="L77" s="635">
        <f>SUM(L$46:L$47)</f>
        <v>1741.3365618800315</v>
      </c>
      <c r="M77" s="635">
        <f ca="1">SUM(M$15,M$46:M$47)</f>
        <v>35009.841302591187</v>
      </c>
    </row>
    <row r="78" spans="2:13" s="1" customFormat="1" ht="15" x14ac:dyDescent="0.3">
      <c r="B78" s="668" t="s">
        <v>502</v>
      </c>
      <c r="C78" s="669"/>
      <c r="D78" s="669"/>
      <c r="E78" s="669"/>
      <c r="F78" s="670"/>
      <c r="G78" s="671"/>
      <c r="H78" s="671"/>
      <c r="I78" s="671">
        <f ca="1">XIRR($H73:I73,$H72:I72)</f>
        <v>0.9268377423286438</v>
      </c>
      <c r="J78" s="671">
        <f ca="1">XIRR($H74:J74,$H72:J72)</f>
        <v>0.63125651478767408</v>
      </c>
      <c r="K78" s="671">
        <f ca="1">XIRR($H75:K75,$H72:K72)</f>
        <v>0.53473101258277889</v>
      </c>
      <c r="L78" s="671">
        <f ca="1">XIRR($H76:L76,$H72:L72)</f>
        <v>0.4673771440982819</v>
      </c>
      <c r="M78" s="671">
        <f ca="1">XIRR($H77:M77,$H72:M72)</f>
        <v>0.4288639605045319</v>
      </c>
    </row>
    <row r="79" spans="2:13" s="1" customFormat="1" ht="15" x14ac:dyDescent="0.3">
      <c r="B79" s="652" t="s">
        <v>503</v>
      </c>
      <c r="C79" s="605"/>
      <c r="D79" s="605"/>
      <c r="E79" s="605"/>
      <c r="F79" s="670"/>
      <c r="G79" s="672"/>
      <c r="H79" s="672"/>
      <c r="I79" s="672">
        <f ca="1">SUM(I73)/-H73</f>
        <v>1.9303032557509785</v>
      </c>
      <c r="J79" s="672">
        <f ca="1">SUM($I74:J74/-$H74)</f>
        <v>2.5835330921639752</v>
      </c>
      <c r="K79" s="672">
        <f ca="1">SUM($I75:K75/-$H75)</f>
        <v>3.3023549072498803</v>
      </c>
      <c r="L79" s="672">
        <f ca="1">SUM($I76:L76/-$H76)</f>
        <v>3.9332782637950672</v>
      </c>
      <c r="M79" s="672">
        <f ca="1">SUM($I77:M77/-$H77)</f>
        <v>4.6710929022803453</v>
      </c>
    </row>
    <row r="80" spans="2:13" s="1" customFormat="1" ht="4.9000000000000004" customHeight="1" x14ac:dyDescent="0.3">
      <c r="B80" s="621"/>
      <c r="C80" s="654"/>
      <c r="D80" s="654"/>
      <c r="E80" s="654"/>
      <c r="F80" s="654"/>
      <c r="G80" s="673"/>
      <c r="H80" s="673"/>
      <c r="I80" s="673"/>
      <c r="J80" s="673"/>
      <c r="K80" s="673"/>
      <c r="L80" s="673"/>
      <c r="M80" s="673"/>
    </row>
    <row r="81" spans="2:13" s="1" customFormat="1" ht="15" x14ac:dyDescent="0.3">
      <c r="B81" s="652"/>
      <c r="C81" s="605"/>
      <c r="D81" s="605"/>
      <c r="E81" s="605"/>
      <c r="F81" s="605"/>
      <c r="G81" s="674"/>
      <c r="H81" s="674"/>
      <c r="I81" s="674"/>
      <c r="J81" s="674"/>
      <c r="K81" s="674"/>
      <c r="L81" s="674"/>
      <c r="M81" s="674"/>
    </row>
    <row r="82" spans="2:13" s="1" customFormat="1" ht="15.75" thickBot="1" x14ac:dyDescent="0.35">
      <c r="B82" s="665" t="s">
        <v>504</v>
      </c>
      <c r="C82" s="592"/>
      <c r="D82" s="592"/>
      <c r="E82" s="592"/>
      <c r="F82" s="592"/>
      <c r="G82" s="592"/>
      <c r="H82" s="666">
        <f t="shared" ref="H82:M82" si="8">H70</f>
        <v>42369</v>
      </c>
      <c r="I82" s="594">
        <f t="shared" si="8"/>
        <v>42735</v>
      </c>
      <c r="J82" s="594">
        <f t="shared" si="8"/>
        <v>43100</v>
      </c>
      <c r="K82" s="594">
        <f t="shared" si="8"/>
        <v>43465</v>
      </c>
      <c r="L82" s="594">
        <f t="shared" si="8"/>
        <v>43830</v>
      </c>
      <c r="M82" s="594">
        <f t="shared" si="8"/>
        <v>44196</v>
      </c>
    </row>
    <row r="83" spans="2:13" s="1" customFormat="1" ht="13.5" x14ac:dyDescent="0.25">
      <c r="B83" s="595"/>
      <c r="C83" s="595"/>
      <c r="D83" s="595"/>
      <c r="E83" s="595"/>
      <c r="F83" s="595"/>
      <c r="G83" s="595"/>
      <c r="H83" s="595"/>
      <c r="I83" s="595"/>
      <c r="J83" s="595"/>
      <c r="K83" s="595"/>
      <c r="L83" s="595"/>
      <c r="M83" s="595"/>
    </row>
    <row r="84" spans="2:13" s="1" customFormat="1" ht="15" x14ac:dyDescent="0.3">
      <c r="B84" s="621" t="s">
        <v>501</v>
      </c>
      <c r="C84" s="601"/>
      <c r="D84" s="601"/>
      <c r="E84" s="601"/>
      <c r="F84" s="601"/>
      <c r="G84" s="601"/>
      <c r="H84" s="667">
        <f t="shared" ref="H84:M84" si="9">H82</f>
        <v>42369</v>
      </c>
      <c r="I84" s="667">
        <f t="shared" si="9"/>
        <v>42735</v>
      </c>
      <c r="J84" s="667">
        <f t="shared" si="9"/>
        <v>43100</v>
      </c>
      <c r="K84" s="667">
        <f t="shared" si="9"/>
        <v>43465</v>
      </c>
      <c r="L84" s="667">
        <f t="shared" si="9"/>
        <v>43830</v>
      </c>
      <c r="M84" s="667">
        <f t="shared" si="9"/>
        <v>44196</v>
      </c>
    </row>
    <row r="85" spans="2:13" x14ac:dyDescent="0.3">
      <c r="B85" s="646"/>
      <c r="C85" s="595"/>
      <c r="D85" s="595"/>
      <c r="E85" s="595"/>
      <c r="F85" s="595"/>
      <c r="G85" s="595"/>
      <c r="H85" s="635">
        <f>H45</f>
        <v>-7495</v>
      </c>
      <c r="I85" s="635">
        <f ca="1">SUM(I$15,I$46:I$47)*I$60</f>
        <v>14467.622901853583</v>
      </c>
      <c r="J85" s="635"/>
      <c r="K85" s="635"/>
      <c r="L85" s="635"/>
      <c r="M85" s="635"/>
    </row>
    <row r="86" spans="2:13" x14ac:dyDescent="0.3">
      <c r="B86" s="646"/>
      <c r="C86" s="595"/>
      <c r="D86" s="595"/>
      <c r="E86" s="595"/>
      <c r="F86" s="595"/>
      <c r="G86" s="595"/>
      <c r="H86" s="635">
        <f>H85</f>
        <v>-7495</v>
      </c>
      <c r="I86" s="619">
        <f>SUM(I$46:I$47)*I$60</f>
        <v>372.32330695627712</v>
      </c>
      <c r="J86" s="635">
        <f ca="1">SUM(J$15,J$46:J$47)*J$60</f>
        <v>19363.580525768994</v>
      </c>
      <c r="K86" s="635"/>
      <c r="L86" s="635"/>
      <c r="M86" s="635"/>
    </row>
    <row r="87" spans="2:13" x14ac:dyDescent="0.3">
      <c r="B87" s="646"/>
      <c r="C87" s="595"/>
      <c r="D87" s="595"/>
      <c r="E87" s="595"/>
      <c r="F87" s="595"/>
      <c r="G87" s="595"/>
      <c r="H87" s="635">
        <f>H86</f>
        <v>-7495</v>
      </c>
      <c r="I87" s="619">
        <f>SUM(I$46:I$47)*I$60</f>
        <v>372.32330695627712</v>
      </c>
      <c r="J87" s="619">
        <f>SUM(J$46:J$47)*J$60</f>
        <v>975.67776990824291</v>
      </c>
      <c r="K87" s="635">
        <f ca="1">SUM(K$15,K$46:K$47)*K$60</f>
        <v>24751.150029837852</v>
      </c>
      <c r="L87" s="635"/>
      <c r="M87" s="635"/>
    </row>
    <row r="88" spans="2:13" x14ac:dyDescent="0.3">
      <c r="B88" s="646"/>
      <c r="C88" s="595"/>
      <c r="D88" s="595"/>
      <c r="E88" s="595"/>
      <c r="F88" s="595"/>
      <c r="G88" s="595"/>
      <c r="H88" s="635">
        <f>H87</f>
        <v>-7495</v>
      </c>
      <c r="I88" s="619">
        <f>SUM(I$46:I$47)*I$60</f>
        <v>372.32330695627712</v>
      </c>
      <c r="J88" s="619">
        <f>SUM(J$46:J$47)*J$60</f>
        <v>975.67776990824291</v>
      </c>
      <c r="K88" s="619">
        <f>SUM(K$46:K$47)*K$60</f>
        <v>1382.1350471805179</v>
      </c>
      <c r="L88" s="635">
        <f ca="1">SUM(L$15,L$46:L$47)*L$60</f>
        <v>29479.920587144028</v>
      </c>
      <c r="M88" s="635"/>
    </row>
    <row r="89" spans="2:13" x14ac:dyDescent="0.3">
      <c r="B89" s="646"/>
      <c r="C89" s="595"/>
      <c r="D89" s="595"/>
      <c r="E89" s="595"/>
      <c r="F89" s="595"/>
      <c r="G89" s="595"/>
      <c r="H89" s="635">
        <f>H88</f>
        <v>-7495</v>
      </c>
      <c r="I89" s="619">
        <f>SUM(I$46:I$47)*I$60</f>
        <v>372.32330695627712</v>
      </c>
      <c r="J89" s="619">
        <f>SUM(J$46:J$47)*J$60</f>
        <v>975.67776990824291</v>
      </c>
      <c r="K89" s="619">
        <f>SUM(K$46:K$47)*K$60</f>
        <v>1382.1350471805179</v>
      </c>
      <c r="L89" s="619">
        <f>SUM(L$46:L$47)*L$60</f>
        <v>1741.3365618800315</v>
      </c>
      <c r="M89" s="635">
        <f ca="1">SUM(M$15,M$46:M$47)*M$60</f>
        <v>28612.578504887937</v>
      </c>
    </row>
    <row r="90" spans="2:13" x14ac:dyDescent="0.3">
      <c r="B90" s="668" t="s">
        <v>502</v>
      </c>
      <c r="C90" s="669"/>
      <c r="D90" s="669"/>
      <c r="E90" s="669"/>
      <c r="F90" s="670"/>
      <c r="G90" s="671"/>
      <c r="H90" s="671"/>
      <c r="I90" s="671">
        <f ca="1">XIRR($H85:I85,$H84:I84)</f>
        <v>0.9268377423286438</v>
      </c>
      <c r="J90" s="671">
        <f ca="1">XIRR($H86:J86,$H84:J84)</f>
        <v>0.63125651478767408</v>
      </c>
      <c r="K90" s="671">
        <f ca="1">XIRR($H87:K87,$H84:K84)</f>
        <v>0.53473101258277889</v>
      </c>
      <c r="L90" s="671">
        <f ca="1">XIRR($H88:L88,$H84:L84)</f>
        <v>0.4673771440982819</v>
      </c>
      <c r="M90" s="671">
        <f ca="1">XIRR($H89:M89,$H84:M84)</f>
        <v>0.37993518710136409</v>
      </c>
    </row>
    <row r="91" spans="2:13" x14ac:dyDescent="0.3">
      <c r="B91" s="652" t="s">
        <v>503</v>
      </c>
      <c r="C91" s="605"/>
      <c r="D91" s="605"/>
      <c r="E91" s="605"/>
      <c r="F91" s="670"/>
      <c r="G91" s="672"/>
      <c r="H91" s="672"/>
      <c r="I91" s="672">
        <f ca="1">SUM(I85)/-H85</f>
        <v>1.9303032557509785</v>
      </c>
      <c r="J91" s="672">
        <f ca="1">SUM($I86:J86/-$H86)</f>
        <v>2.5835330921639752</v>
      </c>
      <c r="K91" s="672">
        <f ca="1">SUM($I87:K87/-$H87)</f>
        <v>3.3023549072498803</v>
      </c>
      <c r="L91" s="672">
        <f ca="1">SUM($I88:L88/-$H88)</f>
        <v>3.9332782637950672</v>
      </c>
      <c r="M91" s="672">
        <f ca="1">SUM($I89:M89/-$H89)</f>
        <v>3.8175555043212723</v>
      </c>
    </row>
    <row r="92" spans="2:13" ht="4.9000000000000004" customHeight="1" x14ac:dyDescent="0.3">
      <c r="B92" s="675"/>
      <c r="C92" s="675"/>
      <c r="D92" s="675"/>
      <c r="E92" s="675"/>
      <c r="F92" s="675"/>
      <c r="G92" s="675"/>
      <c r="H92" s="675"/>
      <c r="I92" s="675"/>
      <c r="J92" s="675"/>
      <c r="K92" s="675"/>
      <c r="L92" s="675"/>
      <c r="M92" s="675"/>
    </row>
    <row r="93" spans="2:13" s="1" customFormat="1" ht="13.5" x14ac:dyDescent="0.25">
      <c r="B93" s="609"/>
      <c r="C93" s="595"/>
      <c r="D93" s="595"/>
      <c r="E93" s="595"/>
      <c r="F93" s="595"/>
      <c r="G93" s="595"/>
      <c r="H93" s="595"/>
      <c r="I93" s="595"/>
      <c r="J93" s="595"/>
      <c r="K93" s="595"/>
      <c r="L93" s="595"/>
      <c r="M93" s="59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9"/>
  <sheetViews>
    <sheetView topLeftCell="A100" zoomScale="80" zoomScaleNormal="80" workbookViewId="0">
      <selection activeCell="K115" sqref="K115"/>
    </sheetView>
  </sheetViews>
  <sheetFormatPr defaultColWidth="8.85546875" defaultRowHeight="16.5" x14ac:dyDescent="0.3"/>
  <cols>
    <col min="1" max="1" width="2.7109375" style="588" customWidth="1"/>
    <col min="2" max="2" width="12.7109375" style="588" customWidth="1"/>
    <col min="3" max="3" width="16.7109375" style="588" customWidth="1"/>
    <col min="4" max="7" width="12.7109375" style="588" customWidth="1"/>
    <col min="8" max="8" width="14.85546875" style="588" bestFit="1" customWidth="1"/>
    <col min="9" max="15" width="12.28515625" style="588" bestFit="1" customWidth="1"/>
    <col min="16" max="17" width="13.85546875" style="588" bestFit="1" customWidth="1"/>
    <col min="18" max="18" width="15.140625" style="588" bestFit="1" customWidth="1"/>
    <col min="19" max="22" width="8.85546875" style="588"/>
    <col min="23" max="23" width="12" style="588" bestFit="1" customWidth="1"/>
    <col min="24" max="24" width="8.85546875" style="588"/>
    <col min="25" max="25" width="12" style="588" bestFit="1" customWidth="1"/>
    <col min="26" max="16384" width="8.85546875" style="588"/>
  </cols>
  <sheetData>
    <row r="1" spans="1:25" ht="21" thickBot="1" x14ac:dyDescent="0.35">
      <c r="A1" s="586" t="s">
        <v>976</v>
      </c>
      <c r="B1" s="587"/>
      <c r="C1" s="587"/>
      <c r="D1" s="587"/>
      <c r="E1" s="587"/>
      <c r="F1" s="587"/>
      <c r="G1" s="587"/>
      <c r="H1" s="587"/>
      <c r="I1" s="587"/>
      <c r="J1" s="587"/>
      <c r="K1" s="587"/>
      <c r="L1" s="587"/>
      <c r="M1" s="587"/>
      <c r="N1" s="587"/>
      <c r="O1" s="587"/>
      <c r="P1" s="587"/>
      <c r="Q1" s="587"/>
      <c r="R1" s="587"/>
    </row>
    <row r="2" spans="1:25" x14ac:dyDescent="0.3">
      <c r="A2" s="1" t="s">
        <v>472</v>
      </c>
    </row>
    <row r="4" spans="1:25" x14ac:dyDescent="0.3">
      <c r="A4" s="589" t="s">
        <v>473</v>
      </c>
      <c r="B4" s="590" t="s">
        <v>472</v>
      </c>
      <c r="C4" s="591"/>
      <c r="D4" s="591"/>
      <c r="E4" s="591"/>
      <c r="F4" s="591"/>
      <c r="G4" s="591"/>
      <c r="H4" s="591"/>
      <c r="I4" s="591"/>
      <c r="J4" s="591"/>
      <c r="K4" s="591"/>
      <c r="L4" s="591"/>
      <c r="M4" s="591"/>
      <c r="N4" s="591"/>
      <c r="O4" s="591"/>
      <c r="P4" s="591"/>
      <c r="Q4" s="591"/>
      <c r="R4" s="591"/>
    </row>
    <row r="5" spans="1:25" s="1" customFormat="1" ht="13.5" x14ac:dyDescent="0.25"/>
    <row r="6" spans="1:25" s="1" customFormat="1" ht="15.75" thickBot="1" x14ac:dyDescent="0.35">
      <c r="B6" s="592"/>
      <c r="C6" s="592"/>
      <c r="D6" s="592"/>
      <c r="E6" s="592"/>
      <c r="F6" s="592"/>
      <c r="G6" s="592"/>
      <c r="H6" s="593">
        <v>42308</v>
      </c>
      <c r="I6" s="594">
        <f>EOMONTH(H6,12)</f>
        <v>42674</v>
      </c>
      <c r="J6" s="594">
        <f t="shared" ref="J6:R6" si="0">EOMONTH(I6,12)</f>
        <v>43039</v>
      </c>
      <c r="K6" s="594">
        <f t="shared" si="0"/>
        <v>43404</v>
      </c>
      <c r="L6" s="594">
        <f t="shared" si="0"/>
        <v>43769</v>
      </c>
      <c r="M6" s="594">
        <f t="shared" si="0"/>
        <v>44135</v>
      </c>
      <c r="N6" s="594">
        <f t="shared" si="0"/>
        <v>44500</v>
      </c>
      <c r="O6" s="594">
        <f t="shared" si="0"/>
        <v>44865</v>
      </c>
      <c r="P6" s="594">
        <f t="shared" si="0"/>
        <v>45230</v>
      </c>
      <c r="Q6" s="594">
        <f t="shared" si="0"/>
        <v>45596</v>
      </c>
      <c r="R6" s="594">
        <f t="shared" si="0"/>
        <v>45961</v>
      </c>
    </row>
    <row r="7" spans="1:25" s="1" customFormat="1" ht="13.5" x14ac:dyDescent="0.25">
      <c r="B7" s="595"/>
      <c r="C7" s="595"/>
      <c r="D7" s="595"/>
      <c r="E7" s="595"/>
      <c r="F7" s="595"/>
      <c r="G7" s="595"/>
      <c r="H7" s="595"/>
      <c r="I7" s="596"/>
      <c r="J7" s="596"/>
      <c r="K7" s="595"/>
      <c r="L7" s="595"/>
      <c r="M7" s="595"/>
      <c r="N7" s="595"/>
      <c r="O7" s="595"/>
      <c r="P7" s="595"/>
      <c r="Q7" s="595"/>
      <c r="R7" s="595"/>
    </row>
    <row r="8" spans="1:25" s="1" customFormat="1" ht="13.5" x14ac:dyDescent="0.25">
      <c r="B8" s="595" t="s">
        <v>105</v>
      </c>
      <c r="C8" s="595"/>
      <c r="D8" s="595"/>
      <c r="E8" s="595"/>
      <c r="F8" s="595"/>
      <c r="G8" s="597"/>
      <c r="H8" s="598"/>
      <c r="I8" s="599">
        <v>6</v>
      </c>
      <c r="J8" s="600">
        <f>I8</f>
        <v>6</v>
      </c>
      <c r="K8" s="600">
        <f t="shared" ref="K8:R8" si="1">J8</f>
        <v>6</v>
      </c>
      <c r="L8" s="600">
        <f t="shared" si="1"/>
        <v>6</v>
      </c>
      <c r="M8" s="600">
        <f t="shared" si="1"/>
        <v>6</v>
      </c>
      <c r="N8" s="600">
        <f t="shared" si="1"/>
        <v>6</v>
      </c>
      <c r="O8" s="600">
        <f t="shared" si="1"/>
        <v>6</v>
      </c>
      <c r="P8" s="600">
        <f t="shared" si="1"/>
        <v>6</v>
      </c>
      <c r="Q8" s="600">
        <f t="shared" si="1"/>
        <v>6</v>
      </c>
      <c r="R8" s="600">
        <f t="shared" si="1"/>
        <v>6</v>
      </c>
    </row>
    <row r="9" spans="1:25" s="1" customFormat="1" ht="13.5" x14ac:dyDescent="0.25">
      <c r="B9" s="601" t="s">
        <v>70</v>
      </c>
      <c r="C9" s="601"/>
      <c r="D9" s="601"/>
      <c r="E9" s="601"/>
      <c r="F9" s="601"/>
      <c r="G9" s="602"/>
      <c r="H9" s="603"/>
      <c r="I9" s="604">
        <v>3063.5986849999999</v>
      </c>
      <c r="J9" s="604">
        <v>3796.9186849999996</v>
      </c>
      <c r="K9" s="604">
        <v>4638.670685</v>
      </c>
      <c r="L9" s="604">
        <v>5527.4674849999983</v>
      </c>
      <c r="M9" s="604">
        <v>6399.5303330000015</v>
      </c>
      <c r="N9" s="604">
        <v>7133.4652936400016</v>
      </c>
      <c r="O9" s="604">
        <v>7501.7748493520021</v>
      </c>
      <c r="P9" s="604">
        <v>7888.4998828496018</v>
      </c>
      <c r="Q9" s="604">
        <v>8294.5611680220827</v>
      </c>
      <c r="R9" s="604">
        <v>8720.9255174531863</v>
      </c>
    </row>
    <row r="10" spans="1:25" s="1" customFormat="1" ht="15" x14ac:dyDescent="0.3">
      <c r="B10" s="605" t="s">
        <v>474</v>
      </c>
      <c r="C10" s="605"/>
      <c r="D10" s="605"/>
      <c r="E10" s="605"/>
      <c r="F10" s="595"/>
      <c r="G10" s="606"/>
      <c r="H10" s="606"/>
      <c r="I10" s="607">
        <f>I8*I9</f>
        <v>18381.592109999998</v>
      </c>
      <c r="J10" s="607">
        <f t="shared" ref="J10:R10" si="2">J8*J9</f>
        <v>22781.512109999996</v>
      </c>
      <c r="K10" s="607">
        <f t="shared" si="2"/>
        <v>27832.024109999998</v>
      </c>
      <c r="L10" s="607">
        <f t="shared" si="2"/>
        <v>33164.804909999992</v>
      </c>
      <c r="M10" s="607">
        <f t="shared" si="2"/>
        <v>38397.181998000007</v>
      </c>
      <c r="N10" s="607">
        <f t="shared" si="2"/>
        <v>42800.79176184001</v>
      </c>
      <c r="O10" s="607">
        <f t="shared" si="2"/>
        <v>45010.649096112014</v>
      </c>
      <c r="P10" s="607">
        <f t="shared" si="2"/>
        <v>47330.999297097609</v>
      </c>
      <c r="Q10" s="607">
        <f t="shared" si="2"/>
        <v>49767.367008132496</v>
      </c>
      <c r="R10" s="607">
        <f t="shared" si="2"/>
        <v>52325.553104719118</v>
      </c>
      <c r="Y10" s="608"/>
    </row>
    <row r="11" spans="1:25" s="1" customFormat="1" ht="13.5" x14ac:dyDescent="0.25">
      <c r="B11" s="609" t="s">
        <v>437</v>
      </c>
      <c r="C11" s="595"/>
      <c r="D11" s="595"/>
      <c r="E11" s="595"/>
      <c r="F11" s="595"/>
      <c r="G11" s="610"/>
      <c r="H11" s="611"/>
      <c r="I11" s="612">
        <v>-6923.5819901192954</v>
      </c>
      <c r="J11" s="612">
        <v>-5789.5706491752371</v>
      </c>
      <c r="K11" s="612">
        <v>-4359.0911286836126</v>
      </c>
      <c r="L11" s="612">
        <v>-2325.1401733877901</v>
      </c>
      <c r="M11" s="612">
        <v>-15.405456296846296</v>
      </c>
      <c r="N11" s="612">
        <v>-0.15561066966511383</v>
      </c>
      <c r="O11" s="612">
        <v>-1.5718249461122713E-3</v>
      </c>
      <c r="P11" s="612">
        <v>-1.5877019657699375E-5</v>
      </c>
      <c r="Q11" s="612">
        <v>-1.6037393593650099E-7</v>
      </c>
      <c r="R11" s="612">
        <v>-1.6199387467854307E-9</v>
      </c>
      <c r="W11" s="612"/>
    </row>
    <row r="12" spans="1:25" s="1" customFormat="1" ht="13.5" x14ac:dyDescent="0.25">
      <c r="B12" s="609" t="s">
        <v>475</v>
      </c>
      <c r="C12" s="595"/>
      <c r="D12" s="595"/>
      <c r="E12" s="595"/>
      <c r="F12" s="595"/>
      <c r="G12" s="610"/>
      <c r="H12" s="611"/>
      <c r="I12" s="612">
        <v>0</v>
      </c>
      <c r="J12" s="612">
        <v>0</v>
      </c>
      <c r="K12" s="612">
        <v>0</v>
      </c>
      <c r="L12" s="612">
        <v>0</v>
      </c>
      <c r="M12" s="612">
        <v>0</v>
      </c>
      <c r="N12" s="612">
        <v>0</v>
      </c>
      <c r="O12" s="612">
        <v>-2.2737367544323206E-11</v>
      </c>
      <c r="P12" s="612">
        <v>-1.2969394447281957E-9</v>
      </c>
      <c r="Q12" s="612">
        <v>-4.5734850573353469E-8</v>
      </c>
      <c r="R12" s="612">
        <v>-5.5426971812266856E-7</v>
      </c>
      <c r="Y12" s="7"/>
    </row>
    <row r="13" spans="1:25" s="1" customFormat="1" ht="15" x14ac:dyDescent="0.3">
      <c r="B13" s="613" t="s">
        <v>290</v>
      </c>
      <c r="C13" s="614"/>
      <c r="D13" s="614"/>
      <c r="E13" s="614"/>
      <c r="F13" s="615"/>
      <c r="G13" s="616"/>
      <c r="H13" s="616"/>
      <c r="I13" s="617">
        <f>SUM(I10:I12)</f>
        <v>11458.010119880702</v>
      </c>
      <c r="J13" s="617">
        <f t="shared" ref="J13:R13" si="3">SUM(J10:J12)</f>
        <v>16991.941460824761</v>
      </c>
      <c r="K13" s="617">
        <f t="shared" si="3"/>
        <v>23472.932981316386</v>
      </c>
      <c r="L13" s="617">
        <f t="shared" si="3"/>
        <v>30839.664736612202</v>
      </c>
      <c r="M13" s="617">
        <f t="shared" si="3"/>
        <v>38381.776541703162</v>
      </c>
      <c r="N13" s="617">
        <f t="shared" si="3"/>
        <v>42800.636151170344</v>
      </c>
      <c r="O13" s="617">
        <f t="shared" si="3"/>
        <v>45010.647524287044</v>
      </c>
      <c r="P13" s="617">
        <f t="shared" si="3"/>
        <v>47330.999281219294</v>
      </c>
      <c r="Q13" s="617">
        <f t="shared" si="3"/>
        <v>49767.367007926383</v>
      </c>
      <c r="R13" s="617">
        <f t="shared" si="3"/>
        <v>52325.553104163228</v>
      </c>
    </row>
    <row r="14" spans="1:25" s="1" customFormat="1" ht="13.5" x14ac:dyDescent="0.25">
      <c r="B14" s="609"/>
      <c r="C14" s="595"/>
      <c r="D14" s="595"/>
      <c r="E14" s="595"/>
      <c r="F14" s="595"/>
      <c r="G14" s="595"/>
      <c r="H14" s="595"/>
      <c r="I14" s="595"/>
      <c r="J14" s="595"/>
      <c r="K14" s="595"/>
      <c r="L14" s="595"/>
      <c r="M14" s="595"/>
      <c r="N14" s="595"/>
      <c r="O14" s="595"/>
      <c r="P14" s="595"/>
      <c r="Q14" s="595"/>
      <c r="R14" s="595"/>
    </row>
    <row r="15" spans="1:25" s="1" customFormat="1" ht="15" x14ac:dyDescent="0.3">
      <c r="B15" s="621" t="s">
        <v>486</v>
      </c>
      <c r="C15" s="601"/>
      <c r="D15" s="601"/>
      <c r="E15" s="601"/>
      <c r="F15" s="601"/>
      <c r="G15" s="601"/>
      <c r="H15" s="601"/>
      <c r="I15" s="601"/>
      <c r="J15" s="601"/>
      <c r="K15" s="601"/>
      <c r="L15" s="601"/>
      <c r="M15" s="601"/>
      <c r="N15" s="601"/>
      <c r="O15" s="601"/>
      <c r="P15" s="601"/>
      <c r="Q15" s="601"/>
      <c r="R15" s="601"/>
    </row>
    <row r="16" spans="1:25" s="1" customFormat="1" ht="13.5" x14ac:dyDescent="0.25">
      <c r="B16" s="609" t="s">
        <v>505</v>
      </c>
      <c r="C16" s="595"/>
      <c r="D16" s="595"/>
      <c r="E16" s="595"/>
      <c r="F16" s="595"/>
      <c r="G16" s="595"/>
      <c r="H16" s="612">
        <v>320</v>
      </c>
      <c r="I16" s="638">
        <v>0</v>
      </c>
      <c r="J16" s="638">
        <v>0</v>
      </c>
      <c r="K16" s="638">
        <v>0</v>
      </c>
      <c r="L16" s="638">
        <v>0</v>
      </c>
      <c r="M16" s="638">
        <v>0</v>
      </c>
      <c r="N16" s="638">
        <v>0</v>
      </c>
      <c r="O16" s="638">
        <v>0</v>
      </c>
      <c r="P16" s="638">
        <v>0</v>
      </c>
      <c r="Q16" s="638">
        <v>0</v>
      </c>
      <c r="R16" s="638">
        <v>0</v>
      </c>
    </row>
    <row r="17" spans="2:18" s="1" customFormat="1" ht="13.5" x14ac:dyDescent="0.25">
      <c r="B17" s="609" t="s">
        <v>487</v>
      </c>
      <c r="C17" s="595"/>
      <c r="D17" s="637"/>
      <c r="E17" s="595"/>
      <c r="F17" s="595"/>
      <c r="G17" s="595"/>
      <c r="H17" s="635"/>
      <c r="I17" s="638">
        <v>125</v>
      </c>
      <c r="J17" s="638">
        <v>125</v>
      </c>
      <c r="K17" s="638">
        <v>125</v>
      </c>
      <c r="L17" s="638">
        <v>125</v>
      </c>
      <c r="M17" s="638">
        <v>125</v>
      </c>
      <c r="N17" s="638">
        <v>125</v>
      </c>
      <c r="O17" s="638">
        <v>125</v>
      </c>
      <c r="P17" s="638">
        <v>125</v>
      </c>
      <c r="Q17" s="638">
        <v>125</v>
      </c>
      <c r="R17" s="638">
        <v>125</v>
      </c>
    </row>
    <row r="18" spans="2:18" s="1" customFormat="1" ht="13.5" x14ac:dyDescent="0.25">
      <c r="B18" s="609" t="s">
        <v>488</v>
      </c>
      <c r="C18" s="595"/>
      <c r="D18" s="676">
        <v>2</v>
      </c>
      <c r="E18" s="595">
        <v>3</v>
      </c>
      <c r="F18" s="595"/>
      <c r="G18" s="595"/>
      <c r="H18" s="635"/>
      <c r="I18" s="641">
        <f>($D$18*$E$18)*12</f>
        <v>72</v>
      </c>
      <c r="J18" s="641">
        <f t="shared" ref="J18:R18" si="4">($D$18*$E$18)*12</f>
        <v>72</v>
      </c>
      <c r="K18" s="641">
        <f t="shared" si="4"/>
        <v>72</v>
      </c>
      <c r="L18" s="641">
        <f t="shared" si="4"/>
        <v>72</v>
      </c>
      <c r="M18" s="641">
        <f t="shared" si="4"/>
        <v>72</v>
      </c>
      <c r="N18" s="641">
        <f t="shared" si="4"/>
        <v>72</v>
      </c>
      <c r="O18" s="641">
        <f t="shared" si="4"/>
        <v>72</v>
      </c>
      <c r="P18" s="641">
        <f t="shared" si="4"/>
        <v>72</v>
      </c>
      <c r="Q18" s="641">
        <f t="shared" si="4"/>
        <v>72</v>
      </c>
      <c r="R18" s="641">
        <f t="shared" si="4"/>
        <v>72</v>
      </c>
    </row>
    <row r="19" spans="2:18" s="1" customFormat="1" ht="15" x14ac:dyDescent="0.3">
      <c r="B19" s="642" t="s">
        <v>489</v>
      </c>
      <c r="C19" s="643"/>
      <c r="D19" s="643"/>
      <c r="E19" s="643"/>
      <c r="F19" s="644"/>
      <c r="G19" s="644"/>
      <c r="H19" s="645">
        <f>SUM(H16:H17)</f>
        <v>320</v>
      </c>
      <c r="I19" s="645">
        <f>SUM(I16:I18)</f>
        <v>197</v>
      </c>
      <c r="J19" s="645">
        <f t="shared" ref="J19:R19" si="5">SUM(J16:J18)</f>
        <v>197</v>
      </c>
      <c r="K19" s="645">
        <f t="shared" si="5"/>
        <v>197</v>
      </c>
      <c r="L19" s="645">
        <f t="shared" si="5"/>
        <v>197</v>
      </c>
      <c r="M19" s="645">
        <f t="shared" si="5"/>
        <v>197</v>
      </c>
      <c r="N19" s="645">
        <f t="shared" si="5"/>
        <v>197</v>
      </c>
      <c r="O19" s="645">
        <f t="shared" si="5"/>
        <v>197</v>
      </c>
      <c r="P19" s="645">
        <f t="shared" si="5"/>
        <v>197</v>
      </c>
      <c r="Q19" s="645">
        <f t="shared" si="5"/>
        <v>197</v>
      </c>
      <c r="R19" s="645">
        <f t="shared" si="5"/>
        <v>197</v>
      </c>
    </row>
    <row r="20" spans="2:18" s="1" customFormat="1" ht="13.5" x14ac:dyDescent="0.25">
      <c r="B20" s="609"/>
      <c r="C20" s="595"/>
      <c r="D20" s="595"/>
      <c r="E20" s="595"/>
      <c r="F20" s="595"/>
      <c r="G20" s="595"/>
      <c r="H20" s="595"/>
      <c r="I20" s="595"/>
      <c r="J20" s="595"/>
      <c r="K20" s="595"/>
      <c r="L20" s="595"/>
      <c r="M20" s="595"/>
      <c r="N20" s="595"/>
      <c r="O20" s="595"/>
      <c r="P20" s="595"/>
      <c r="Q20" s="595"/>
      <c r="R20" s="595"/>
    </row>
    <row r="21" spans="2:18" s="1" customFormat="1" ht="15" x14ac:dyDescent="0.3">
      <c r="B21" s="621" t="s">
        <v>478</v>
      </c>
      <c r="C21" s="601"/>
      <c r="D21" s="601"/>
      <c r="E21" s="601"/>
      <c r="F21" s="601"/>
      <c r="G21" s="601"/>
      <c r="H21" s="601"/>
      <c r="I21" s="601"/>
      <c r="J21" s="601"/>
      <c r="K21" s="601"/>
      <c r="L21" s="601"/>
      <c r="M21" s="601"/>
      <c r="N21" s="601"/>
      <c r="O21" s="601"/>
      <c r="P21" s="601"/>
      <c r="Q21" s="601"/>
      <c r="R21" s="601"/>
    </row>
    <row r="22" spans="2:18" s="1" customFormat="1" ht="13.5" x14ac:dyDescent="0.25">
      <c r="B22" s="646" t="s">
        <v>490</v>
      </c>
      <c r="C22" s="595"/>
      <c r="D22" s="595"/>
      <c r="E22" s="595"/>
      <c r="F22" s="595"/>
      <c r="G22" s="595"/>
      <c r="H22" s="635">
        <v>-8095</v>
      </c>
      <c r="J22" s="595"/>
      <c r="K22" s="595"/>
      <c r="L22" s="595"/>
      <c r="M22" s="595"/>
      <c r="N22" s="595"/>
      <c r="O22" s="595"/>
      <c r="P22" s="595"/>
      <c r="Q22" s="595"/>
      <c r="R22" s="595"/>
    </row>
    <row r="23" spans="2:18" s="1" customFormat="1" ht="13.5" x14ac:dyDescent="0.25">
      <c r="B23" s="646" t="s">
        <v>506</v>
      </c>
      <c r="C23" s="595"/>
      <c r="D23" s="595"/>
      <c r="E23" s="595"/>
      <c r="F23" s="595"/>
      <c r="G23" s="595"/>
      <c r="H23" s="635">
        <f>H16</f>
        <v>320</v>
      </c>
      <c r="J23" s="595"/>
      <c r="K23" s="595"/>
      <c r="L23" s="595"/>
      <c r="M23" s="595"/>
      <c r="N23" s="595"/>
      <c r="O23" s="595"/>
      <c r="P23" s="595"/>
      <c r="Q23" s="595"/>
      <c r="R23" s="595"/>
    </row>
    <row r="24" spans="2:18" s="1" customFormat="1" ht="13.5" x14ac:dyDescent="0.25">
      <c r="B24" s="609" t="s">
        <v>126</v>
      </c>
      <c r="C24" s="595"/>
      <c r="D24" s="595"/>
      <c r="E24" s="595"/>
      <c r="F24" s="595"/>
      <c r="G24" s="595"/>
      <c r="H24" s="638"/>
      <c r="I24" s="612">
        <v>518.55613782211299</v>
      </c>
      <c r="J24" s="612">
        <v>1358.8826878944888</v>
      </c>
      <c r="K24" s="612">
        <v>1924.9791743461251</v>
      </c>
      <c r="L24" s="612">
        <v>2425.259835487509</v>
      </c>
      <c r="M24" s="612">
        <v>2955.453809186014</v>
      </c>
      <c r="N24" s="612">
        <v>3405.0029210297348</v>
      </c>
      <c r="O24" s="612">
        <v>3648.6628484876551</v>
      </c>
      <c r="P24" s="612">
        <v>3839.8325413616108</v>
      </c>
      <c r="Q24" s="612">
        <v>4040.4472546190173</v>
      </c>
      <c r="R24" s="612">
        <v>4251.0915574666997</v>
      </c>
    </row>
    <row r="25" spans="2:18" s="1" customFormat="1" ht="13.5" x14ac:dyDescent="0.25">
      <c r="B25" s="609" t="s">
        <v>491</v>
      </c>
      <c r="C25" s="595"/>
      <c r="D25" s="595"/>
      <c r="E25" s="595"/>
      <c r="F25" s="595"/>
      <c r="G25" s="595"/>
      <c r="H25" s="635"/>
      <c r="I25" s="612">
        <v>0</v>
      </c>
      <c r="J25" s="612">
        <v>0</v>
      </c>
      <c r="K25" s="612">
        <v>0</v>
      </c>
      <c r="L25" s="612">
        <v>0</v>
      </c>
      <c r="M25" s="612">
        <v>243.59849846025099</v>
      </c>
      <c r="N25" s="612">
        <v>2984.1549107108858</v>
      </c>
      <c r="O25" s="612">
        <v>3213.4189278098202</v>
      </c>
      <c r="P25" s="612">
        <v>3387.4462895852926</v>
      </c>
      <c r="Q25" s="612">
        <v>3570.1210177496787</v>
      </c>
      <c r="R25" s="612">
        <v>3761.9289373543797</v>
      </c>
    </row>
    <row r="26" spans="2:18" s="1" customFormat="1" ht="13.5" x14ac:dyDescent="0.25">
      <c r="B26" s="609" t="s">
        <v>44</v>
      </c>
      <c r="C26" s="595"/>
      <c r="D26" s="595"/>
      <c r="E26" s="595"/>
      <c r="F26" s="595"/>
      <c r="G26" s="610"/>
      <c r="H26" s="611"/>
      <c r="I26" s="612"/>
      <c r="J26" s="612"/>
      <c r="K26" s="612"/>
      <c r="L26" s="612"/>
      <c r="M26" s="612"/>
      <c r="N26" s="612"/>
      <c r="O26" s="612"/>
      <c r="P26" s="612"/>
      <c r="Q26" s="612"/>
      <c r="R26" s="612">
        <f>R13</f>
        <v>52325.553104163228</v>
      </c>
    </row>
    <row r="27" spans="2:18" s="1" customFormat="1" ht="15" x14ac:dyDescent="0.3">
      <c r="B27" s="647" t="s">
        <v>492</v>
      </c>
      <c r="C27" s="648"/>
      <c r="D27" s="648"/>
      <c r="E27" s="648"/>
      <c r="F27" s="596"/>
      <c r="G27" s="649"/>
      <c r="H27" s="650">
        <f>SUM(H22:H26)</f>
        <v>-7775</v>
      </c>
      <c r="I27" s="651">
        <f t="shared" ref="I27:R27" si="6">SUM(I22:I26)</f>
        <v>518.55613782211299</v>
      </c>
      <c r="J27" s="651">
        <f t="shared" si="6"/>
        <v>1358.8826878944888</v>
      </c>
      <c r="K27" s="651">
        <f t="shared" si="6"/>
        <v>1924.9791743461251</v>
      </c>
      <c r="L27" s="651">
        <f t="shared" si="6"/>
        <v>2425.259835487509</v>
      </c>
      <c r="M27" s="651">
        <f t="shared" si="6"/>
        <v>3199.052307646265</v>
      </c>
      <c r="N27" s="651">
        <f t="shared" si="6"/>
        <v>6389.1578317406202</v>
      </c>
      <c r="O27" s="651">
        <f t="shared" si="6"/>
        <v>6862.0817762974748</v>
      </c>
      <c r="P27" s="651">
        <f t="shared" si="6"/>
        <v>7227.2788309469033</v>
      </c>
      <c r="Q27" s="651">
        <f t="shared" si="6"/>
        <v>7610.5682723686959</v>
      </c>
      <c r="R27" s="651">
        <f t="shared" si="6"/>
        <v>60338.573598984309</v>
      </c>
    </row>
    <row r="28" spans="2:18" s="1" customFormat="1" ht="15" x14ac:dyDescent="0.3">
      <c r="B28" s="652" t="s">
        <v>493</v>
      </c>
      <c r="C28" s="595"/>
      <c r="D28" s="595"/>
      <c r="E28" s="595"/>
      <c r="F28" s="595"/>
      <c r="G28" s="595"/>
      <c r="H28" s="5">
        <f>H27-H24</f>
        <v>-7775</v>
      </c>
      <c r="I28" s="5">
        <f t="shared" ref="I28:R28" si="7">I27-I24</f>
        <v>0</v>
      </c>
      <c r="J28" s="5">
        <f t="shared" si="7"/>
        <v>0</v>
      </c>
      <c r="K28" s="5">
        <f t="shared" si="7"/>
        <v>0</v>
      </c>
      <c r="L28" s="5">
        <f t="shared" si="7"/>
        <v>0</v>
      </c>
      <c r="M28" s="5">
        <f t="shared" si="7"/>
        <v>243.59849846025099</v>
      </c>
      <c r="N28" s="5">
        <f t="shared" si="7"/>
        <v>2984.1549107108854</v>
      </c>
      <c r="O28" s="5">
        <f t="shared" si="7"/>
        <v>3213.4189278098197</v>
      </c>
      <c r="P28" s="5">
        <f t="shared" si="7"/>
        <v>3387.4462895852926</v>
      </c>
      <c r="Q28" s="5">
        <f t="shared" si="7"/>
        <v>3570.1210177496787</v>
      </c>
      <c r="R28" s="5">
        <f t="shared" si="7"/>
        <v>56087.482041517607</v>
      </c>
    </row>
    <row r="29" spans="2:18" s="1" customFormat="1" ht="13.5" x14ac:dyDescent="0.25">
      <c r="B29" s="609"/>
      <c r="C29" s="595"/>
      <c r="D29" s="595"/>
      <c r="E29" s="595"/>
      <c r="F29" s="595"/>
      <c r="G29" s="595"/>
      <c r="H29" s="595"/>
      <c r="I29" s="595"/>
      <c r="J29" s="595"/>
      <c r="K29" s="595"/>
      <c r="L29" s="595"/>
      <c r="M29" s="595"/>
      <c r="N29" s="595"/>
      <c r="O29" s="595"/>
      <c r="P29" s="595"/>
      <c r="Q29" s="595"/>
      <c r="R29" s="595"/>
    </row>
    <row r="30" spans="2:18" s="1" customFormat="1" ht="15" x14ac:dyDescent="0.3">
      <c r="B30" s="621" t="s">
        <v>389</v>
      </c>
      <c r="C30" s="601"/>
      <c r="D30" s="601"/>
      <c r="E30" s="601"/>
      <c r="F30" s="601"/>
      <c r="G30" s="601"/>
      <c r="H30" s="601"/>
      <c r="I30" s="601"/>
      <c r="J30" s="601"/>
      <c r="K30" s="601"/>
      <c r="L30" s="601"/>
      <c r="M30" s="601"/>
      <c r="N30" s="601"/>
      <c r="O30" s="601"/>
      <c r="P30" s="601"/>
      <c r="Q30" s="601"/>
      <c r="R30" s="601"/>
    </row>
    <row r="31" spans="2:18" s="1" customFormat="1" ht="13.5" x14ac:dyDescent="0.25">
      <c r="B31" s="646" t="s">
        <v>490</v>
      </c>
      <c r="C31" s="595"/>
      <c r="D31" s="595"/>
      <c r="E31" s="595"/>
      <c r="F31" s="595"/>
      <c r="G31" s="595"/>
      <c r="H31" s="635">
        <f>H22</f>
        <v>-8095</v>
      </c>
      <c r="I31" s="595"/>
      <c r="J31" s="595"/>
      <c r="K31" s="595"/>
      <c r="L31" s="595"/>
      <c r="M31" s="595"/>
      <c r="N31" s="595"/>
      <c r="O31" s="595"/>
      <c r="P31" s="595"/>
      <c r="Q31" s="595"/>
      <c r="R31" s="595"/>
    </row>
    <row r="32" spans="2:18" s="1" customFormat="1" ht="13.5" x14ac:dyDescent="0.25">
      <c r="B32" s="646" t="s">
        <v>494</v>
      </c>
      <c r="C32" s="595"/>
      <c r="D32" s="595"/>
      <c r="E32" s="595"/>
      <c r="F32" s="595"/>
      <c r="G32" s="595"/>
      <c r="H32" s="635">
        <v>0</v>
      </c>
      <c r="I32" s="595"/>
      <c r="J32" s="595"/>
      <c r="K32" s="595"/>
      <c r="L32" s="595"/>
      <c r="M32" s="595"/>
      <c r="N32" s="595"/>
      <c r="O32" s="595"/>
      <c r="P32" s="595"/>
      <c r="Q32" s="595"/>
      <c r="R32" s="595"/>
    </row>
    <row r="33" spans="2:18" s="1" customFormat="1" ht="13.5" x14ac:dyDescent="0.25">
      <c r="B33" s="609" t="s">
        <v>126</v>
      </c>
      <c r="C33" s="595"/>
      <c r="D33" s="595"/>
      <c r="E33" s="595"/>
      <c r="F33" s="595"/>
      <c r="G33" s="595"/>
      <c r="H33" s="635"/>
      <c r="I33" s="635">
        <f t="shared" ref="I33:R35" si="8">I24</f>
        <v>518.55613782211299</v>
      </c>
      <c r="J33" s="635">
        <f t="shared" si="8"/>
        <v>1358.8826878944888</v>
      </c>
      <c r="K33" s="635">
        <f t="shared" si="8"/>
        <v>1924.9791743461251</v>
      </c>
      <c r="L33" s="635">
        <f t="shared" si="8"/>
        <v>2425.259835487509</v>
      </c>
      <c r="M33" s="635">
        <f t="shared" si="8"/>
        <v>2955.453809186014</v>
      </c>
      <c r="N33" s="635">
        <f t="shared" si="8"/>
        <v>3405.0029210297348</v>
      </c>
      <c r="O33" s="635">
        <f t="shared" si="8"/>
        <v>3648.6628484876551</v>
      </c>
      <c r="P33" s="635">
        <f t="shared" si="8"/>
        <v>3839.8325413616108</v>
      </c>
      <c r="Q33" s="635">
        <f t="shared" si="8"/>
        <v>4040.4472546190173</v>
      </c>
      <c r="R33" s="635">
        <f t="shared" si="8"/>
        <v>4251.0915574666997</v>
      </c>
    </row>
    <row r="34" spans="2:18" s="1" customFormat="1" ht="13.5" x14ac:dyDescent="0.25">
      <c r="B34" s="609" t="s">
        <v>491</v>
      </c>
      <c r="C34" s="595"/>
      <c r="D34" s="595"/>
      <c r="E34" s="595"/>
      <c r="F34" s="595"/>
      <c r="G34" s="595"/>
      <c r="H34" s="635"/>
      <c r="I34" s="635">
        <f t="shared" si="8"/>
        <v>0</v>
      </c>
      <c r="J34" s="635">
        <f t="shared" si="8"/>
        <v>0</v>
      </c>
      <c r="K34" s="635">
        <f t="shared" si="8"/>
        <v>0</v>
      </c>
      <c r="L34" s="635">
        <f t="shared" si="8"/>
        <v>0</v>
      </c>
      <c r="M34" s="635">
        <f t="shared" si="8"/>
        <v>243.59849846025099</v>
      </c>
      <c r="N34" s="635">
        <f t="shared" si="8"/>
        <v>2984.1549107108858</v>
      </c>
      <c r="O34" s="635">
        <f t="shared" si="8"/>
        <v>3213.4189278098202</v>
      </c>
      <c r="P34" s="635">
        <f t="shared" si="8"/>
        <v>3387.4462895852926</v>
      </c>
      <c r="Q34" s="635">
        <f t="shared" si="8"/>
        <v>3570.1210177496787</v>
      </c>
      <c r="R34" s="635">
        <f t="shared" si="8"/>
        <v>3761.9289373543797</v>
      </c>
    </row>
    <row r="35" spans="2:18" s="1" customFormat="1" ht="13.5" x14ac:dyDescent="0.25">
      <c r="B35" s="626" t="s">
        <v>44</v>
      </c>
      <c r="C35" s="601"/>
      <c r="D35" s="601"/>
      <c r="E35" s="601"/>
      <c r="F35" s="601"/>
      <c r="G35" s="602"/>
      <c r="H35" s="603"/>
      <c r="I35" s="604">
        <f t="shared" si="8"/>
        <v>0</v>
      </c>
      <c r="J35" s="604">
        <f t="shared" si="8"/>
        <v>0</v>
      </c>
      <c r="K35" s="604">
        <f t="shared" si="8"/>
        <v>0</v>
      </c>
      <c r="L35" s="604">
        <f t="shared" si="8"/>
        <v>0</v>
      </c>
      <c r="M35" s="604">
        <f t="shared" si="8"/>
        <v>0</v>
      </c>
      <c r="N35" s="604">
        <f t="shared" si="8"/>
        <v>0</v>
      </c>
      <c r="O35" s="604">
        <f t="shared" si="8"/>
        <v>0</v>
      </c>
      <c r="P35" s="604">
        <f t="shared" si="8"/>
        <v>0</v>
      </c>
      <c r="Q35" s="604">
        <f t="shared" si="8"/>
        <v>0</v>
      </c>
      <c r="R35" s="604">
        <f t="shared" si="8"/>
        <v>52325.553104163228</v>
      </c>
    </row>
    <row r="36" spans="2:18" s="1" customFormat="1" ht="15" x14ac:dyDescent="0.3">
      <c r="B36" s="621" t="s">
        <v>495</v>
      </c>
      <c r="C36" s="654"/>
      <c r="D36" s="654"/>
      <c r="E36" s="654"/>
      <c r="F36" s="601"/>
      <c r="G36" s="655"/>
      <c r="H36" s="656">
        <f>SUM(H31:H35)</f>
        <v>-8095</v>
      </c>
      <c r="I36" s="656">
        <f t="shared" ref="I36:R36" si="9">H36+SUM(I31:I35)</f>
        <v>-7576.4438621778872</v>
      </c>
      <c r="J36" s="656">
        <f t="shared" si="9"/>
        <v>-6217.5611742833989</v>
      </c>
      <c r="K36" s="656">
        <f t="shared" si="9"/>
        <v>-4292.5819999372743</v>
      </c>
      <c r="L36" s="656">
        <f t="shared" si="9"/>
        <v>-1867.3221644497653</v>
      </c>
      <c r="M36" s="656">
        <f t="shared" si="9"/>
        <v>1331.7301431964997</v>
      </c>
      <c r="N36" s="656">
        <f t="shared" si="9"/>
        <v>7720.8879749371199</v>
      </c>
      <c r="O36" s="656">
        <f t="shared" si="9"/>
        <v>14582.969751234596</v>
      </c>
      <c r="P36" s="656">
        <f t="shared" si="9"/>
        <v>21810.248582181499</v>
      </c>
      <c r="Q36" s="656">
        <f t="shared" si="9"/>
        <v>29420.816854550194</v>
      </c>
      <c r="R36" s="656">
        <f t="shared" si="9"/>
        <v>89759.390453534506</v>
      </c>
    </row>
    <row r="37" spans="2:18" s="1" customFormat="1" ht="13.5" x14ac:dyDescent="0.25">
      <c r="B37" s="609"/>
      <c r="C37" s="595"/>
      <c r="D37" s="595"/>
      <c r="E37" s="595"/>
      <c r="F37" s="595"/>
      <c r="G37" s="595"/>
      <c r="H37" s="595"/>
      <c r="I37" s="595"/>
      <c r="J37" s="595"/>
      <c r="K37" s="595"/>
      <c r="L37" s="595"/>
      <c r="M37" s="595"/>
      <c r="N37" s="595"/>
      <c r="O37" s="595"/>
      <c r="P37" s="595"/>
      <c r="Q37" s="595"/>
      <c r="R37" s="595"/>
    </row>
    <row r="38" spans="2:18" s="1" customFormat="1" ht="13.5" x14ac:dyDescent="0.25">
      <c r="B38" s="609" t="s">
        <v>393</v>
      </c>
      <c r="C38" s="595"/>
      <c r="D38" s="595"/>
      <c r="E38" s="595"/>
      <c r="F38" s="595"/>
      <c r="G38" s="595"/>
      <c r="H38" s="657">
        <v>1</v>
      </c>
      <c r="I38" s="657">
        <v>1</v>
      </c>
      <c r="J38" s="657">
        <v>1</v>
      </c>
      <c r="K38" s="657">
        <v>1</v>
      </c>
      <c r="L38" s="657">
        <v>1</v>
      </c>
      <c r="M38" s="657">
        <v>0.9167422089339744</v>
      </c>
      <c r="N38" s="657">
        <v>0.8</v>
      </c>
      <c r="O38" s="657">
        <v>0.8</v>
      </c>
      <c r="P38" s="657">
        <v>0.8</v>
      </c>
      <c r="Q38" s="657">
        <v>0.8</v>
      </c>
      <c r="R38" s="657">
        <v>0.8</v>
      </c>
    </row>
    <row r="39" spans="2:18" s="1" customFormat="1" ht="13.5" x14ac:dyDescent="0.25">
      <c r="B39" s="609"/>
      <c r="C39" s="595"/>
      <c r="D39" s="595"/>
      <c r="E39" s="595"/>
      <c r="F39" s="595"/>
      <c r="G39" s="595"/>
      <c r="H39" s="657"/>
      <c r="I39" s="657"/>
      <c r="J39" s="657"/>
      <c r="K39" s="657"/>
      <c r="L39" s="657"/>
      <c r="M39" s="657"/>
      <c r="N39" s="657"/>
      <c r="O39" s="657"/>
      <c r="P39" s="657"/>
      <c r="Q39" s="657"/>
      <c r="R39" s="657"/>
    </row>
    <row r="40" spans="2:18" s="1" customFormat="1" ht="15" x14ac:dyDescent="0.3">
      <c r="B40" s="658" t="s">
        <v>496</v>
      </c>
      <c r="C40" s="595"/>
      <c r="D40" s="595"/>
      <c r="E40" s="595"/>
      <c r="F40" s="595"/>
      <c r="G40" s="595"/>
      <c r="H40" s="5">
        <f t="shared" ref="H40:R40" si="10">H42/H38*(1-H38)</f>
        <v>0</v>
      </c>
      <c r="I40" s="5">
        <f t="shared" si="10"/>
        <v>0</v>
      </c>
      <c r="J40" s="5">
        <f t="shared" si="10"/>
        <v>0</v>
      </c>
      <c r="K40" s="5">
        <f t="shared" si="10"/>
        <v>0</v>
      </c>
      <c r="L40" s="5">
        <f t="shared" si="10"/>
        <v>0</v>
      </c>
      <c r="M40" s="5">
        <f t="shared" si="10"/>
        <v>266.34602863929979</v>
      </c>
      <c r="N40" s="5">
        <f t="shared" si="10"/>
        <v>1277.8315663481237</v>
      </c>
      <c r="O40" s="5">
        <f t="shared" si="10"/>
        <v>1372.4163552594946</v>
      </c>
      <c r="P40" s="5">
        <f t="shared" si="10"/>
        <v>1445.4557661893803</v>
      </c>
      <c r="Q40" s="5">
        <f t="shared" si="10"/>
        <v>1522.113654473739</v>
      </c>
      <c r="R40" s="5">
        <f t="shared" si="10"/>
        <v>12067.714719796859</v>
      </c>
    </row>
    <row r="41" spans="2:18" s="1" customFormat="1" ht="15" x14ac:dyDescent="0.3">
      <c r="B41" s="660"/>
      <c r="C41" s="601"/>
      <c r="D41" s="601"/>
      <c r="E41" s="601"/>
      <c r="F41" s="601"/>
      <c r="G41" s="601"/>
      <c r="H41" s="631"/>
      <c r="I41" s="661"/>
      <c r="J41" s="661"/>
      <c r="K41" s="661"/>
      <c r="L41" s="661"/>
      <c r="M41" s="661"/>
      <c r="N41" s="661"/>
      <c r="O41" s="661"/>
      <c r="P41" s="661"/>
      <c r="Q41" s="661"/>
      <c r="R41" s="661"/>
    </row>
    <row r="42" spans="2:18" s="1" customFormat="1" ht="15" x14ac:dyDescent="0.3">
      <c r="B42" s="652" t="s">
        <v>497</v>
      </c>
      <c r="C42" s="605"/>
      <c r="D42" s="605"/>
      <c r="E42" s="605"/>
      <c r="F42" s="595"/>
      <c r="G42" s="662"/>
      <c r="H42" s="663">
        <f t="shared" ref="H42:R42" si="11">SUM(H31,H33:H35)*H38</f>
        <v>-8095</v>
      </c>
      <c r="I42" s="663">
        <f t="shared" si="11"/>
        <v>518.55613782211299</v>
      </c>
      <c r="J42" s="663">
        <f t="shared" si="11"/>
        <v>1358.8826878944888</v>
      </c>
      <c r="K42" s="663">
        <f t="shared" si="11"/>
        <v>1924.9791743461251</v>
      </c>
      <c r="L42" s="663">
        <f t="shared" si="11"/>
        <v>2425.259835487509</v>
      </c>
      <c r="M42" s="663">
        <f t="shared" si="11"/>
        <v>2932.7062790069654</v>
      </c>
      <c r="N42" s="663">
        <f t="shared" si="11"/>
        <v>5111.3262653924967</v>
      </c>
      <c r="O42" s="663">
        <f t="shared" si="11"/>
        <v>5489.6654210379802</v>
      </c>
      <c r="P42" s="663">
        <f t="shared" si="11"/>
        <v>5781.8230647575228</v>
      </c>
      <c r="Q42" s="663">
        <f t="shared" si="11"/>
        <v>6088.4546178949568</v>
      </c>
      <c r="R42" s="663">
        <f t="shared" si="11"/>
        <v>48270.85887918745</v>
      </c>
    </row>
    <row r="43" spans="2:18" s="1" customFormat="1" ht="15" x14ac:dyDescent="0.3">
      <c r="B43" s="652" t="s">
        <v>498</v>
      </c>
      <c r="C43" s="605"/>
      <c r="D43" s="605"/>
      <c r="E43" s="605"/>
      <c r="F43" s="595"/>
      <c r="G43" s="662"/>
      <c r="H43" s="663">
        <f>SUM(H31,H34:H35)*H38</f>
        <v>-8095</v>
      </c>
      <c r="I43" s="663">
        <f t="shared" ref="I43:R43" si="12">SUM(I31,I34:I35)*I38</f>
        <v>0</v>
      </c>
      <c r="J43" s="663">
        <f t="shared" si="12"/>
        <v>0</v>
      </c>
      <c r="K43" s="663">
        <f t="shared" si="12"/>
        <v>0</v>
      </c>
      <c r="L43" s="663">
        <f t="shared" si="12"/>
        <v>0</v>
      </c>
      <c r="M43" s="663">
        <f t="shared" si="12"/>
        <v>223.31702557144985</v>
      </c>
      <c r="N43" s="663">
        <f t="shared" si="12"/>
        <v>2387.3239285687087</v>
      </c>
      <c r="O43" s="663">
        <f t="shared" si="12"/>
        <v>2570.7351422478564</v>
      </c>
      <c r="P43" s="663">
        <f t="shared" si="12"/>
        <v>2709.9570316682343</v>
      </c>
      <c r="Q43" s="663">
        <f t="shared" si="12"/>
        <v>2856.0968141997432</v>
      </c>
      <c r="R43" s="663">
        <f t="shared" si="12"/>
        <v>44869.985633214092</v>
      </c>
    </row>
    <row r="44" spans="2:18" s="1" customFormat="1" ht="13.5" x14ac:dyDescent="0.25">
      <c r="B44" s="609"/>
      <c r="C44" s="595"/>
      <c r="D44" s="595"/>
      <c r="E44" s="595"/>
      <c r="F44" s="595"/>
      <c r="G44" s="595"/>
      <c r="H44" s="595"/>
      <c r="I44" s="595"/>
      <c r="J44" s="595"/>
      <c r="K44" s="595"/>
      <c r="L44" s="595"/>
      <c r="M44" s="595"/>
      <c r="N44" s="595"/>
      <c r="O44" s="595"/>
      <c r="P44" s="595"/>
      <c r="Q44" s="595"/>
      <c r="R44" s="595"/>
    </row>
    <row r="45" spans="2:18" s="1" customFormat="1" ht="15" x14ac:dyDescent="0.3">
      <c r="B45" s="609"/>
      <c r="C45" s="677"/>
      <c r="D45" s="677"/>
      <c r="E45" s="595"/>
      <c r="F45" s="595"/>
      <c r="G45" s="595"/>
      <c r="H45" s="595"/>
      <c r="I45" s="595"/>
      <c r="J45" s="595"/>
      <c r="K45" s="595"/>
      <c r="L45" s="595"/>
      <c r="M45" s="595"/>
      <c r="N45" s="595"/>
      <c r="O45" s="595"/>
      <c r="P45" s="595"/>
      <c r="Q45" s="595"/>
      <c r="R45" s="595"/>
    </row>
    <row r="46" spans="2:18" s="1" customFormat="1" ht="15" x14ac:dyDescent="0.3">
      <c r="B46" s="658"/>
      <c r="C46" s="657"/>
      <c r="D46" s="657"/>
      <c r="E46" s="595"/>
      <c r="F46" s="595"/>
      <c r="G46" s="595"/>
      <c r="H46" s="595"/>
      <c r="I46" s="595"/>
      <c r="J46" s="595"/>
      <c r="K46" s="595"/>
      <c r="L46" s="595"/>
      <c r="M46" s="595"/>
      <c r="N46" s="595"/>
      <c r="O46" s="595"/>
      <c r="P46" s="595"/>
      <c r="Q46" s="595"/>
      <c r="R46" s="595"/>
    </row>
    <row r="47" spans="2:18" s="1" customFormat="1" ht="15" x14ac:dyDescent="0.3">
      <c r="B47" s="658"/>
      <c r="C47" s="678"/>
      <c r="D47" s="678"/>
      <c r="E47" s="595"/>
      <c r="F47" s="595"/>
      <c r="G47" s="595"/>
      <c r="H47" s="595"/>
      <c r="I47" s="595"/>
      <c r="J47" s="595"/>
      <c r="K47" s="595"/>
      <c r="L47" s="595"/>
      <c r="M47" s="595"/>
      <c r="N47" s="595"/>
      <c r="O47" s="595"/>
      <c r="P47" s="595"/>
      <c r="Q47" s="595"/>
      <c r="R47" s="595"/>
    </row>
    <row r="48" spans="2:18" s="1" customFormat="1" ht="14.25" customHeight="1" x14ac:dyDescent="0.25">
      <c r="B48" s="609"/>
      <c r="C48" s="595"/>
      <c r="D48" s="595"/>
      <c r="E48" s="595"/>
      <c r="F48" s="595"/>
      <c r="G48" s="595"/>
      <c r="H48" s="595"/>
      <c r="I48" s="595"/>
      <c r="J48" s="595"/>
      <c r="K48" s="595"/>
      <c r="L48" s="595"/>
      <c r="M48" s="595"/>
      <c r="N48" s="595"/>
      <c r="O48" s="595"/>
      <c r="P48" s="595"/>
      <c r="Q48" s="595"/>
      <c r="R48" s="595"/>
    </row>
    <row r="49" spans="2:18" s="1" customFormat="1" ht="23.25" x14ac:dyDescent="0.35">
      <c r="B49" s="664" t="s">
        <v>499</v>
      </c>
      <c r="C49" s="595"/>
      <c r="D49" s="595"/>
      <c r="E49" s="595"/>
      <c r="F49" s="595"/>
      <c r="G49" s="595"/>
      <c r="H49" s="595"/>
      <c r="I49" s="595"/>
      <c r="J49" s="595"/>
      <c r="K49" s="595"/>
      <c r="L49" s="595"/>
      <c r="M49" s="595"/>
      <c r="N49" s="595"/>
      <c r="O49" s="595"/>
      <c r="P49" s="595"/>
      <c r="Q49" s="595"/>
      <c r="R49" s="595"/>
    </row>
    <row r="50" spans="2:18" s="1" customFormat="1" ht="13.5" x14ac:dyDescent="0.25">
      <c r="B50" s="609"/>
      <c r="C50" s="595"/>
      <c r="D50" s="595"/>
      <c r="E50" s="595"/>
      <c r="F50" s="595"/>
      <c r="G50" s="595"/>
      <c r="H50" s="595"/>
      <c r="I50" s="595"/>
      <c r="J50" s="595"/>
      <c r="K50" s="595"/>
      <c r="L50" s="595"/>
      <c r="M50" s="595"/>
      <c r="N50" s="595"/>
      <c r="O50" s="595"/>
      <c r="P50" s="595"/>
      <c r="Q50" s="595"/>
      <c r="R50" s="595"/>
    </row>
    <row r="51" spans="2:18" s="1" customFormat="1" ht="15.75" thickBot="1" x14ac:dyDescent="0.35">
      <c r="B51" s="665" t="s">
        <v>500</v>
      </c>
      <c r="C51" s="592"/>
      <c r="D51" s="592"/>
      <c r="E51" s="592"/>
      <c r="F51" s="592"/>
      <c r="G51" s="592"/>
      <c r="H51" s="666">
        <f>H6</f>
        <v>42308</v>
      </c>
      <c r="I51" s="594">
        <f t="shared" ref="I51:R51" si="13">I6</f>
        <v>42674</v>
      </c>
      <c r="J51" s="594">
        <f t="shared" si="13"/>
        <v>43039</v>
      </c>
      <c r="K51" s="594">
        <f t="shared" si="13"/>
        <v>43404</v>
      </c>
      <c r="L51" s="594">
        <f t="shared" si="13"/>
        <v>43769</v>
      </c>
      <c r="M51" s="594">
        <f t="shared" si="13"/>
        <v>44135</v>
      </c>
      <c r="N51" s="594">
        <f t="shared" si="13"/>
        <v>44500</v>
      </c>
      <c r="O51" s="594">
        <f t="shared" si="13"/>
        <v>44865</v>
      </c>
      <c r="P51" s="594">
        <f t="shared" si="13"/>
        <v>45230</v>
      </c>
      <c r="Q51" s="594">
        <f t="shared" si="13"/>
        <v>45596</v>
      </c>
      <c r="R51" s="594">
        <f t="shared" si="13"/>
        <v>45961</v>
      </c>
    </row>
    <row r="52" spans="2:18" s="1" customFormat="1" ht="13.5" x14ac:dyDescent="0.25">
      <c r="B52" s="595"/>
      <c r="C52" s="595"/>
      <c r="D52" s="595"/>
      <c r="E52" s="595"/>
      <c r="F52" s="595"/>
      <c r="G52" s="595"/>
      <c r="H52" s="595"/>
      <c r="I52" s="595"/>
      <c r="J52" s="595"/>
      <c r="K52" s="595"/>
      <c r="L52" s="595"/>
      <c r="M52" s="595"/>
      <c r="N52" s="595"/>
      <c r="O52" s="595"/>
      <c r="P52" s="595"/>
      <c r="Q52" s="595"/>
      <c r="R52" s="595"/>
    </row>
    <row r="53" spans="2:18" s="1" customFormat="1" ht="15" x14ac:dyDescent="0.3">
      <c r="B53" s="621" t="s">
        <v>501</v>
      </c>
      <c r="C53" s="601"/>
      <c r="D53" s="601"/>
      <c r="E53" s="601"/>
      <c r="F53" s="601"/>
      <c r="G53" s="601"/>
      <c r="H53" s="667">
        <v>42004</v>
      </c>
      <c r="I53" s="667">
        <v>42369</v>
      </c>
      <c r="J53" s="667">
        <v>42735</v>
      </c>
      <c r="K53" s="667">
        <v>43100</v>
      </c>
      <c r="L53" s="667">
        <v>43465</v>
      </c>
      <c r="M53" s="667">
        <v>43830</v>
      </c>
      <c r="N53" s="667">
        <v>44196</v>
      </c>
      <c r="O53" s="667">
        <v>44561</v>
      </c>
      <c r="P53" s="667">
        <v>44926</v>
      </c>
      <c r="Q53" s="667">
        <v>45291</v>
      </c>
      <c r="R53" s="667">
        <v>45657</v>
      </c>
    </row>
    <row r="54" spans="2:18" s="1" customFormat="1" ht="13.5" x14ac:dyDescent="0.25">
      <c r="B54" s="646"/>
      <c r="C54" s="595"/>
      <c r="D54" s="595"/>
      <c r="E54" s="595"/>
      <c r="F54" s="595"/>
      <c r="G54" s="595"/>
      <c r="H54" s="635">
        <f>H22</f>
        <v>-8095</v>
      </c>
      <c r="I54" s="635">
        <f>SUM(I$13,I$24:I$25)</f>
        <v>11976.566257702816</v>
      </c>
      <c r="J54" s="635"/>
      <c r="K54" s="635"/>
      <c r="L54" s="635"/>
      <c r="M54" s="635"/>
      <c r="N54" s="635"/>
      <c r="O54" s="635"/>
      <c r="P54" s="635"/>
      <c r="Q54" s="635"/>
      <c r="R54" s="635"/>
    </row>
    <row r="55" spans="2:18" s="1" customFormat="1" ht="13.5" x14ac:dyDescent="0.25">
      <c r="B55" s="646"/>
      <c r="C55" s="595"/>
      <c r="D55" s="595"/>
      <c r="E55" s="595"/>
      <c r="F55" s="595"/>
      <c r="G55" s="595"/>
      <c r="H55" s="635">
        <f>H54</f>
        <v>-8095</v>
      </c>
      <c r="I55" s="635">
        <f>SUM(I$24:I$25)</f>
        <v>518.55613782211299</v>
      </c>
      <c r="J55" s="635">
        <f>SUM(J$13,J$24:J$25)</f>
        <v>18350.82414871925</v>
      </c>
      <c r="K55" s="635"/>
      <c r="L55" s="635"/>
      <c r="M55" s="635"/>
      <c r="N55" s="635"/>
      <c r="O55" s="635"/>
      <c r="P55" s="635"/>
      <c r="Q55" s="635"/>
      <c r="R55" s="635"/>
    </row>
    <row r="56" spans="2:18" s="1" customFormat="1" ht="13.5" x14ac:dyDescent="0.25">
      <c r="B56" s="646"/>
      <c r="C56" s="595"/>
      <c r="D56" s="595"/>
      <c r="E56" s="595"/>
      <c r="F56" s="595"/>
      <c r="G56" s="595"/>
      <c r="H56" s="635">
        <f t="shared" ref="H56:H63" si="14">H55</f>
        <v>-8095</v>
      </c>
      <c r="I56" s="635">
        <f>SUM(I$24:I$25)</f>
        <v>518.55613782211299</v>
      </c>
      <c r="J56" s="635">
        <f>SUM(J$24:J$25)</f>
        <v>1358.8826878944888</v>
      </c>
      <c r="K56" s="635">
        <f>SUM(K$13,K$24:K$25)</f>
        <v>25397.91215566251</v>
      </c>
      <c r="L56" s="635"/>
      <c r="M56" s="635"/>
      <c r="N56" s="635"/>
      <c r="O56" s="635"/>
      <c r="P56" s="635"/>
      <c r="Q56" s="635"/>
      <c r="R56" s="635"/>
    </row>
    <row r="57" spans="2:18" s="1" customFormat="1" ht="13.5" x14ac:dyDescent="0.25">
      <c r="B57" s="646"/>
      <c r="C57" s="595"/>
      <c r="D57" s="595"/>
      <c r="E57" s="595"/>
      <c r="F57" s="595"/>
      <c r="G57" s="595"/>
      <c r="H57" s="635">
        <f t="shared" si="14"/>
        <v>-8095</v>
      </c>
      <c r="I57" s="635">
        <f>SUM(I$24:I$25)</f>
        <v>518.55613782211299</v>
      </c>
      <c r="J57" s="635">
        <f>SUM(J$24:J$25)</f>
        <v>1358.8826878944888</v>
      </c>
      <c r="K57" s="635">
        <f>SUM(K$24:K$25)</f>
        <v>1924.9791743461251</v>
      </c>
      <c r="L57" s="635">
        <f>SUM(L$13,L$24:L$25)</f>
        <v>33264.924572099713</v>
      </c>
      <c r="M57" s="635"/>
      <c r="N57" s="635"/>
      <c r="O57" s="635"/>
      <c r="P57" s="635"/>
      <c r="Q57" s="635"/>
      <c r="R57" s="635"/>
    </row>
    <row r="58" spans="2:18" s="1" customFormat="1" ht="13.5" x14ac:dyDescent="0.25">
      <c r="B58" s="646"/>
      <c r="C58" s="595"/>
      <c r="D58" s="595"/>
      <c r="E58" s="595"/>
      <c r="F58" s="595"/>
      <c r="G58" s="595"/>
      <c r="H58" s="635">
        <f t="shared" si="14"/>
        <v>-8095</v>
      </c>
      <c r="I58" s="635">
        <f t="shared" ref="I58:L63" si="15">SUM(I$33:I$34)</f>
        <v>518.55613782211299</v>
      </c>
      <c r="J58" s="635">
        <f t="shared" si="15"/>
        <v>1358.8826878944888</v>
      </c>
      <c r="K58" s="635">
        <f t="shared" si="15"/>
        <v>1924.9791743461251</v>
      </c>
      <c r="L58" s="635">
        <f t="shared" si="15"/>
        <v>2425.259835487509</v>
      </c>
      <c r="M58" s="635">
        <f>SUM(M$13,M$33:M$34)</f>
        <v>41580.828849349433</v>
      </c>
      <c r="N58" s="635"/>
      <c r="O58" s="635"/>
      <c r="P58" s="635"/>
      <c r="Q58" s="635"/>
      <c r="R58" s="635"/>
    </row>
    <row r="59" spans="2:18" s="1" customFormat="1" ht="13.5" x14ac:dyDescent="0.25">
      <c r="B59" s="646"/>
      <c r="C59" s="595"/>
      <c r="D59" s="595"/>
      <c r="E59" s="595"/>
      <c r="F59" s="595"/>
      <c r="G59" s="595"/>
      <c r="H59" s="635">
        <f t="shared" si="14"/>
        <v>-8095</v>
      </c>
      <c r="I59" s="635">
        <f t="shared" si="15"/>
        <v>518.55613782211299</v>
      </c>
      <c r="J59" s="635">
        <f t="shared" si="15"/>
        <v>1358.8826878944888</v>
      </c>
      <c r="K59" s="635">
        <f t="shared" si="15"/>
        <v>1924.9791743461251</v>
      </c>
      <c r="L59" s="635">
        <f t="shared" si="15"/>
        <v>2425.259835487509</v>
      </c>
      <c r="M59" s="635">
        <f>SUM(M$33:M$34)</f>
        <v>3199.052307646265</v>
      </c>
      <c r="N59" s="635">
        <f>SUM(N$13,N$33:N$34)</f>
        <v>49189.793982910967</v>
      </c>
      <c r="O59" s="635"/>
      <c r="P59" s="635"/>
      <c r="Q59" s="635"/>
      <c r="R59" s="635"/>
    </row>
    <row r="60" spans="2:18" s="1" customFormat="1" ht="13.5" x14ac:dyDescent="0.25">
      <c r="B60" s="646"/>
      <c r="C60" s="595"/>
      <c r="D60" s="595"/>
      <c r="E60" s="595"/>
      <c r="F60" s="595"/>
      <c r="G60" s="595"/>
      <c r="H60" s="635">
        <f t="shared" si="14"/>
        <v>-8095</v>
      </c>
      <c r="I60" s="635">
        <f t="shared" si="15"/>
        <v>518.55613782211299</v>
      </c>
      <c r="J60" s="635">
        <f t="shared" si="15"/>
        <v>1358.8826878944888</v>
      </c>
      <c r="K60" s="635">
        <f t="shared" si="15"/>
        <v>1924.9791743461251</v>
      </c>
      <c r="L60" s="635">
        <f t="shared" si="15"/>
        <v>2425.259835487509</v>
      </c>
      <c r="M60" s="635">
        <f>SUM(M$33:M$34)</f>
        <v>3199.052307646265</v>
      </c>
      <c r="N60" s="635">
        <f>SUM(N$33:N$34)</f>
        <v>6389.1578317406202</v>
      </c>
      <c r="O60" s="635">
        <f>SUM(O$13,O$33:O$34)</f>
        <v>51872.72930058452</v>
      </c>
      <c r="P60" s="635"/>
      <c r="Q60" s="635"/>
      <c r="R60" s="635"/>
    </row>
    <row r="61" spans="2:18" s="1" customFormat="1" ht="13.5" x14ac:dyDescent="0.25">
      <c r="B61" s="646"/>
      <c r="C61" s="595"/>
      <c r="D61" s="595"/>
      <c r="E61" s="595"/>
      <c r="F61" s="595"/>
      <c r="G61" s="595"/>
      <c r="H61" s="635">
        <f t="shared" si="14"/>
        <v>-8095</v>
      </c>
      <c r="I61" s="635">
        <f t="shared" si="15"/>
        <v>518.55613782211299</v>
      </c>
      <c r="J61" s="635">
        <f t="shared" si="15"/>
        <v>1358.8826878944888</v>
      </c>
      <c r="K61" s="635">
        <f t="shared" si="15"/>
        <v>1924.9791743461251</v>
      </c>
      <c r="L61" s="635">
        <f t="shared" si="15"/>
        <v>2425.259835487509</v>
      </c>
      <c r="M61" s="635">
        <f>SUM(M$33:M$34)</f>
        <v>3199.052307646265</v>
      </c>
      <c r="N61" s="635">
        <f>SUM(N$33:N$34)</f>
        <v>6389.1578317406202</v>
      </c>
      <c r="O61" s="635">
        <f>SUM(O$33:O$34)</f>
        <v>6862.0817762974748</v>
      </c>
      <c r="P61" s="635">
        <f>SUM(P$13,P$33:P$34)</f>
        <v>54558.278112166197</v>
      </c>
      <c r="Q61" s="635"/>
      <c r="R61" s="635"/>
    </row>
    <row r="62" spans="2:18" s="1" customFormat="1" ht="13.5" x14ac:dyDescent="0.25">
      <c r="B62" s="646"/>
      <c r="C62" s="595"/>
      <c r="D62" s="595"/>
      <c r="E62" s="595"/>
      <c r="F62" s="595"/>
      <c r="G62" s="595"/>
      <c r="H62" s="635">
        <f t="shared" si="14"/>
        <v>-8095</v>
      </c>
      <c r="I62" s="635">
        <f t="shared" si="15"/>
        <v>518.55613782211299</v>
      </c>
      <c r="J62" s="635">
        <f t="shared" si="15"/>
        <v>1358.8826878944888</v>
      </c>
      <c r="K62" s="635">
        <f t="shared" si="15"/>
        <v>1924.9791743461251</v>
      </c>
      <c r="L62" s="635">
        <f t="shared" si="15"/>
        <v>2425.259835487509</v>
      </c>
      <c r="M62" s="635">
        <f>SUM(M$33:M$34)</f>
        <v>3199.052307646265</v>
      </c>
      <c r="N62" s="635">
        <f>SUM(N$33:N$34)</f>
        <v>6389.1578317406202</v>
      </c>
      <c r="O62" s="635">
        <f>SUM(O$33:O$34)</f>
        <v>6862.0817762974748</v>
      </c>
      <c r="P62" s="635">
        <f>SUM(P$33:P$34)</f>
        <v>7227.2788309469033</v>
      </c>
      <c r="Q62" s="635">
        <f>SUM(Q$13,Q$33:Q$34)</f>
        <v>57377.935280295074</v>
      </c>
      <c r="R62" s="635"/>
    </row>
    <row r="63" spans="2:18" s="1" customFormat="1" ht="13.5" x14ac:dyDescent="0.25">
      <c r="B63" s="646"/>
      <c r="C63" s="595"/>
      <c r="D63" s="595"/>
      <c r="E63" s="595"/>
      <c r="F63" s="679"/>
      <c r="G63" s="595"/>
      <c r="H63" s="635">
        <f t="shared" si="14"/>
        <v>-8095</v>
      </c>
      <c r="I63" s="635">
        <f t="shared" si="15"/>
        <v>518.55613782211299</v>
      </c>
      <c r="J63" s="635">
        <f t="shared" si="15"/>
        <v>1358.8826878944888</v>
      </c>
      <c r="K63" s="635">
        <f t="shared" si="15"/>
        <v>1924.9791743461251</v>
      </c>
      <c r="L63" s="635">
        <f t="shared" si="15"/>
        <v>2425.259835487509</v>
      </c>
      <c r="M63" s="635">
        <f>SUM(M$33:M$34)</f>
        <v>3199.052307646265</v>
      </c>
      <c r="N63" s="635">
        <f>SUM(N$33:N$34)</f>
        <v>6389.1578317406202</v>
      </c>
      <c r="O63" s="635">
        <f>SUM(O$33:O$34)</f>
        <v>6862.0817762974748</v>
      </c>
      <c r="P63" s="635">
        <f>SUM(P$33:P$34)</f>
        <v>7227.2788309469033</v>
      </c>
      <c r="Q63" s="635">
        <f>SUM(Q$33:Q$34)</f>
        <v>7610.5682723686959</v>
      </c>
      <c r="R63" s="635">
        <f>SUM(R$13,R$33:R$34)</f>
        <v>60338.573598984309</v>
      </c>
    </row>
    <row r="64" spans="2:18" s="1" customFormat="1" ht="15" x14ac:dyDescent="0.3">
      <c r="B64" s="668" t="s">
        <v>502</v>
      </c>
      <c r="C64" s="669"/>
      <c r="D64" s="669"/>
      <c r="E64" s="669"/>
      <c r="F64" s="670"/>
      <c r="G64" s="671"/>
      <c r="H64" s="671"/>
      <c r="I64" s="671">
        <f>XIRR($H54:I54,$H53:I53)</f>
        <v>0.47950169444084156</v>
      </c>
      <c r="J64" s="671">
        <f>XIRR($H55:J55,$H53:J53)</f>
        <v>0.53711764216423041</v>
      </c>
      <c r="K64" s="671">
        <f>XIRR($H56:K56,$H53:K53)</f>
        <v>0.52378388047218316</v>
      </c>
      <c r="L64" s="671">
        <f>XIRR($H57:L57,$H53:L53)</f>
        <v>0.49935401082038877</v>
      </c>
      <c r="M64" s="671">
        <f>XIRR($H58:M58,$H53:M53)</f>
        <v>0.47253662943840036</v>
      </c>
      <c r="N64" s="671">
        <f>XIRR($H59:N59,$H53:N53)</f>
        <v>0.44524400830268862</v>
      </c>
      <c r="O64" s="671">
        <f>XIRR($H60:O60,$H53:O53)</f>
        <v>0.41966971755027782</v>
      </c>
      <c r="P64" s="671">
        <f>XIRR($H61:P61,$H53:P53)</f>
        <v>0.40234507918357842</v>
      </c>
      <c r="Q64" s="671">
        <f>XIRR($H62:Q62,$H53:Q53)</f>
        <v>0.39010855555534363</v>
      </c>
      <c r="R64" s="671">
        <f>XIRR($H63:R63,$H53:R53)</f>
        <v>0.38115357756614676</v>
      </c>
    </row>
    <row r="65" spans="2:18" s="1" customFormat="1" ht="15" x14ac:dyDescent="0.3">
      <c r="B65" s="652" t="s">
        <v>503</v>
      </c>
      <c r="C65" s="605"/>
      <c r="D65" s="605"/>
      <c r="E65" s="605"/>
      <c r="F65" s="670"/>
      <c r="G65" s="672"/>
      <c r="H65" s="672"/>
      <c r="I65" s="672">
        <f>SUM(I54)/-H54</f>
        <v>1.4795016995309223</v>
      </c>
      <c r="J65" s="672">
        <f>SUM(I$55:J55)/-$H55</f>
        <v>2.3309920057493962</v>
      </c>
      <c r="K65" s="672">
        <f>SUM(I$56:K56)/-$H56</f>
        <v>3.3694071626163202</v>
      </c>
      <c r="L65" s="672">
        <f>SUM(I$57:L57)/-$H57</f>
        <v>4.5790417013171636</v>
      </c>
      <c r="M65" s="672">
        <f>SUM(I$58:M58)/-$H58</f>
        <v>5.9059304119703109</v>
      </c>
      <c r="N65" s="672">
        <f>SUM(I$59:N59)/-$H59</f>
        <v>7.2410777178638011</v>
      </c>
      <c r="O65" s="672">
        <f>SUM(I$60:O60)/-$H60</f>
        <v>8.3617810099470837</v>
      </c>
      <c r="P65" s="672">
        <f>SUM(I$61:P61)/-$H61</f>
        <v>9.5412288898580346</v>
      </c>
      <c r="Q65" s="672">
        <f>SUM(I$62:Q62)/-$H62</f>
        <v>10.782357487643802</v>
      </c>
      <c r="R65" s="672">
        <f>SUM(I$63:R63)/-$H63</f>
        <v>12.088250828108031</v>
      </c>
    </row>
    <row r="66" spans="2:18" s="1" customFormat="1" ht="4.9000000000000004" customHeight="1" x14ac:dyDescent="0.3">
      <c r="B66" s="621"/>
      <c r="C66" s="654"/>
      <c r="D66" s="654"/>
      <c r="E66" s="654"/>
      <c r="F66" s="654"/>
      <c r="G66" s="673"/>
      <c r="H66" s="673"/>
      <c r="I66" s="673"/>
      <c r="J66" s="673"/>
      <c r="K66" s="673"/>
      <c r="L66" s="673"/>
      <c r="M66" s="673"/>
      <c r="N66" s="673"/>
      <c r="O66" s="673"/>
      <c r="P66" s="673"/>
      <c r="Q66" s="673"/>
      <c r="R66" s="673"/>
    </row>
    <row r="67" spans="2:18" s="1" customFormat="1" ht="15" x14ac:dyDescent="0.3">
      <c r="B67" s="652"/>
      <c r="C67" s="605"/>
      <c r="D67" s="605"/>
      <c r="E67" s="605"/>
      <c r="F67" s="605"/>
      <c r="G67" s="674"/>
      <c r="H67" s="674"/>
      <c r="I67" s="674"/>
      <c r="J67" s="674"/>
      <c r="K67" s="674"/>
      <c r="L67" s="674"/>
      <c r="M67" s="674"/>
      <c r="N67" s="674"/>
      <c r="O67" s="674"/>
      <c r="P67" s="674"/>
      <c r="Q67" s="674"/>
      <c r="R67" s="674"/>
    </row>
    <row r="68" spans="2:18" s="1" customFormat="1" ht="15.75" thickBot="1" x14ac:dyDescent="0.35">
      <c r="B68" s="665" t="s">
        <v>504</v>
      </c>
      <c r="C68" s="592"/>
      <c r="D68" s="592"/>
      <c r="E68" s="592"/>
      <c r="F68" s="592"/>
      <c r="G68" s="592"/>
      <c r="H68" s="666">
        <f>H51</f>
        <v>42308</v>
      </c>
      <c r="I68" s="594">
        <f t="shared" ref="I68:R68" si="16">I51</f>
        <v>42674</v>
      </c>
      <c r="J68" s="594">
        <f t="shared" si="16"/>
        <v>43039</v>
      </c>
      <c r="K68" s="594">
        <f t="shared" si="16"/>
        <v>43404</v>
      </c>
      <c r="L68" s="594">
        <f t="shared" si="16"/>
        <v>43769</v>
      </c>
      <c r="M68" s="594">
        <f t="shared" si="16"/>
        <v>44135</v>
      </c>
      <c r="N68" s="594">
        <f t="shared" si="16"/>
        <v>44500</v>
      </c>
      <c r="O68" s="594">
        <f t="shared" si="16"/>
        <v>44865</v>
      </c>
      <c r="P68" s="594">
        <f t="shared" si="16"/>
        <v>45230</v>
      </c>
      <c r="Q68" s="594">
        <f t="shared" si="16"/>
        <v>45596</v>
      </c>
      <c r="R68" s="594">
        <f t="shared" si="16"/>
        <v>45961</v>
      </c>
    </row>
    <row r="69" spans="2:18" s="1" customFormat="1" ht="13.5" x14ac:dyDescent="0.25">
      <c r="B69" s="595"/>
      <c r="C69" s="595"/>
      <c r="D69" s="595"/>
      <c r="E69" s="595"/>
      <c r="F69" s="595"/>
      <c r="G69" s="595"/>
      <c r="H69" s="595"/>
      <c r="I69" s="595"/>
      <c r="J69" s="595"/>
      <c r="K69" s="595"/>
      <c r="L69" s="595"/>
      <c r="M69" s="595"/>
      <c r="N69" s="595"/>
      <c r="O69" s="595"/>
      <c r="P69" s="595"/>
      <c r="Q69" s="595"/>
      <c r="R69" s="595"/>
    </row>
    <row r="70" spans="2:18" s="1" customFormat="1" ht="15" x14ac:dyDescent="0.3">
      <c r="B70" s="621" t="s">
        <v>501</v>
      </c>
      <c r="C70" s="601"/>
      <c r="D70" s="601"/>
      <c r="E70" s="601"/>
      <c r="F70" s="601"/>
      <c r="G70" s="601"/>
      <c r="H70" s="667">
        <f>H68</f>
        <v>42308</v>
      </c>
      <c r="I70" s="667">
        <f t="shared" ref="I70:R70" si="17">I68</f>
        <v>42674</v>
      </c>
      <c r="J70" s="667">
        <f t="shared" si="17"/>
        <v>43039</v>
      </c>
      <c r="K70" s="667">
        <f t="shared" si="17"/>
        <v>43404</v>
      </c>
      <c r="L70" s="667">
        <f t="shared" si="17"/>
        <v>43769</v>
      </c>
      <c r="M70" s="667">
        <f t="shared" si="17"/>
        <v>44135</v>
      </c>
      <c r="N70" s="667">
        <f t="shared" si="17"/>
        <v>44500</v>
      </c>
      <c r="O70" s="667">
        <f t="shared" si="17"/>
        <v>44865</v>
      </c>
      <c r="P70" s="667">
        <f t="shared" si="17"/>
        <v>45230</v>
      </c>
      <c r="Q70" s="667">
        <f t="shared" si="17"/>
        <v>45596</v>
      </c>
      <c r="R70" s="667">
        <f t="shared" si="17"/>
        <v>45961</v>
      </c>
    </row>
    <row r="71" spans="2:18" x14ac:dyDescent="0.3">
      <c r="B71" s="646"/>
      <c r="C71" s="595"/>
      <c r="D71" s="595"/>
      <c r="E71" s="595"/>
      <c r="F71" s="595"/>
      <c r="G71" s="595"/>
      <c r="H71" s="635">
        <f>H22</f>
        <v>-8095</v>
      </c>
      <c r="I71" s="5">
        <f>SUM(I$13,I$33:I$34)*I38</f>
        <v>11976.566257702816</v>
      </c>
      <c r="J71" s="635"/>
      <c r="K71" s="635"/>
      <c r="L71" s="635"/>
      <c r="M71" s="635"/>
      <c r="N71" s="635"/>
      <c r="O71" s="635"/>
      <c r="P71" s="635"/>
      <c r="Q71" s="635"/>
      <c r="R71" s="635"/>
    </row>
    <row r="72" spans="2:18" x14ac:dyDescent="0.3">
      <c r="B72" s="646"/>
      <c r="C72" s="595"/>
      <c r="D72" s="595"/>
      <c r="E72" s="595"/>
      <c r="F72" s="595"/>
      <c r="G72" s="595"/>
      <c r="H72" s="635">
        <f>H71</f>
        <v>-8095</v>
      </c>
      <c r="I72" s="5">
        <f>SUM(I$33:I$34)*I$38</f>
        <v>518.55613782211299</v>
      </c>
      <c r="J72" s="5">
        <f>SUM(J$13,J$33:J$34)*J$38</f>
        <v>18350.82414871925</v>
      </c>
      <c r="K72" s="635"/>
      <c r="L72" s="635"/>
      <c r="M72" s="635"/>
      <c r="N72" s="635"/>
      <c r="O72" s="635"/>
      <c r="P72" s="635"/>
      <c r="Q72" s="635"/>
      <c r="R72" s="635"/>
    </row>
    <row r="73" spans="2:18" x14ac:dyDescent="0.3">
      <c r="B73" s="646"/>
      <c r="C73" s="595"/>
      <c r="D73" s="595"/>
      <c r="E73" s="595"/>
      <c r="F73" s="595"/>
      <c r="G73" s="595"/>
      <c r="H73" s="635">
        <f t="shared" ref="H73:H80" si="18">H72</f>
        <v>-8095</v>
      </c>
      <c r="I73" s="5">
        <f>SUM(I$33:I$34)*I$38</f>
        <v>518.55613782211299</v>
      </c>
      <c r="J73" s="5">
        <f>SUM(J$33:J$34)*J$38</f>
        <v>1358.8826878944888</v>
      </c>
      <c r="K73" s="5">
        <f>SUM(K$13,K$33:K$34)*K$38</f>
        <v>25397.91215566251</v>
      </c>
      <c r="L73" s="635"/>
      <c r="M73" s="635"/>
      <c r="N73" s="635"/>
      <c r="O73" s="635"/>
      <c r="P73" s="635"/>
      <c r="Q73" s="635"/>
      <c r="R73" s="635"/>
    </row>
    <row r="74" spans="2:18" x14ac:dyDescent="0.3">
      <c r="B74" s="646"/>
      <c r="C74" s="595"/>
      <c r="D74" s="595"/>
      <c r="E74" s="595"/>
      <c r="F74" s="595"/>
      <c r="G74" s="595"/>
      <c r="H74" s="635">
        <f t="shared" si="18"/>
        <v>-8095</v>
      </c>
      <c r="I74" s="5">
        <f t="shared" ref="I74:Q80" si="19">SUM(I$33:I$34)*I$38</f>
        <v>518.55613782211299</v>
      </c>
      <c r="J74" s="5">
        <f t="shared" si="19"/>
        <v>1358.8826878944888</v>
      </c>
      <c r="K74" s="5">
        <f t="shared" si="19"/>
        <v>1924.9791743461251</v>
      </c>
      <c r="L74" s="5">
        <f>SUM(L$13,L$33:L$34)*L$38</f>
        <v>33264.924572099713</v>
      </c>
      <c r="M74" s="635"/>
      <c r="N74" s="635"/>
      <c r="O74" s="635"/>
      <c r="P74" s="635"/>
      <c r="Q74" s="635"/>
      <c r="R74" s="635"/>
    </row>
    <row r="75" spans="2:18" x14ac:dyDescent="0.3">
      <c r="B75" s="646"/>
      <c r="C75" s="595"/>
      <c r="D75" s="595"/>
      <c r="E75" s="595"/>
      <c r="F75" s="595"/>
      <c r="G75" s="595"/>
      <c r="H75" s="635">
        <f t="shared" si="18"/>
        <v>-8095</v>
      </c>
      <c r="I75" s="5">
        <f t="shared" si="19"/>
        <v>518.55613782211299</v>
      </c>
      <c r="J75" s="5">
        <f t="shared" si="19"/>
        <v>1358.8826878944888</v>
      </c>
      <c r="K75" s="5">
        <f t="shared" si="19"/>
        <v>1924.9791743461251</v>
      </c>
      <c r="L75" s="5">
        <f t="shared" si="19"/>
        <v>2425.259835487509</v>
      </c>
      <c r="M75" s="5">
        <f>SUM(M$13,M$33:M$34)*M$38</f>
        <v>38118.900888658129</v>
      </c>
      <c r="N75" s="635"/>
      <c r="O75" s="635"/>
      <c r="P75" s="635"/>
      <c r="Q75" s="635"/>
      <c r="R75" s="635"/>
    </row>
    <row r="76" spans="2:18" x14ac:dyDescent="0.3">
      <c r="B76" s="646"/>
      <c r="C76" s="595"/>
      <c r="D76" s="595"/>
      <c r="E76" s="595"/>
      <c r="F76" s="595"/>
      <c r="G76" s="595"/>
      <c r="H76" s="635">
        <f t="shared" si="18"/>
        <v>-8095</v>
      </c>
      <c r="I76" s="5">
        <f t="shared" si="19"/>
        <v>518.55613782211299</v>
      </c>
      <c r="J76" s="5">
        <f t="shared" si="19"/>
        <v>1358.8826878944888</v>
      </c>
      <c r="K76" s="5">
        <f t="shared" si="19"/>
        <v>1924.9791743461251</v>
      </c>
      <c r="L76" s="5">
        <f t="shared" si="19"/>
        <v>2425.259835487509</v>
      </c>
      <c r="M76" s="5">
        <f t="shared" si="19"/>
        <v>2932.7062790069654</v>
      </c>
      <c r="N76" s="5">
        <f>SUM(N$13,N$33:N$34)*N$38</f>
        <v>39351.835186328775</v>
      </c>
      <c r="O76" s="635"/>
      <c r="P76" s="635"/>
      <c r="Q76" s="635"/>
      <c r="R76" s="635"/>
    </row>
    <row r="77" spans="2:18" x14ac:dyDescent="0.3">
      <c r="B77" s="646"/>
      <c r="C77" s="595"/>
      <c r="D77" s="595"/>
      <c r="E77" s="595"/>
      <c r="F77" s="595"/>
      <c r="G77" s="595"/>
      <c r="H77" s="635">
        <f t="shared" si="18"/>
        <v>-8095</v>
      </c>
      <c r="I77" s="5">
        <f t="shared" si="19"/>
        <v>518.55613782211299</v>
      </c>
      <c r="J77" s="5">
        <f t="shared" si="19"/>
        <v>1358.8826878944888</v>
      </c>
      <c r="K77" s="5">
        <f t="shared" si="19"/>
        <v>1924.9791743461251</v>
      </c>
      <c r="L77" s="5">
        <f t="shared" si="19"/>
        <v>2425.259835487509</v>
      </c>
      <c r="M77" s="5">
        <f t="shared" si="19"/>
        <v>2932.7062790069654</v>
      </c>
      <c r="N77" s="5">
        <f t="shared" si="19"/>
        <v>5111.3262653924967</v>
      </c>
      <c r="O77" s="5">
        <f>SUM(O$13,O$33:O$34)*O$38</f>
        <v>41498.183440467619</v>
      </c>
      <c r="P77" s="635"/>
      <c r="Q77" s="635"/>
      <c r="R77" s="635"/>
    </row>
    <row r="78" spans="2:18" x14ac:dyDescent="0.3">
      <c r="B78" s="646"/>
      <c r="C78" s="595"/>
      <c r="D78" s="595"/>
      <c r="E78" s="595"/>
      <c r="F78" s="595"/>
      <c r="G78" s="595"/>
      <c r="H78" s="635">
        <f t="shared" si="18"/>
        <v>-8095</v>
      </c>
      <c r="I78" s="5">
        <f t="shared" si="19"/>
        <v>518.55613782211299</v>
      </c>
      <c r="J78" s="5">
        <f t="shared" si="19"/>
        <v>1358.8826878944888</v>
      </c>
      <c r="K78" s="5">
        <f t="shared" si="19"/>
        <v>1924.9791743461251</v>
      </c>
      <c r="L78" s="5">
        <f t="shared" si="19"/>
        <v>2425.259835487509</v>
      </c>
      <c r="M78" s="5">
        <f t="shared" si="19"/>
        <v>2932.7062790069654</v>
      </c>
      <c r="N78" s="5">
        <f t="shared" si="19"/>
        <v>5111.3262653924967</v>
      </c>
      <c r="O78" s="5">
        <f t="shared" si="19"/>
        <v>5489.6654210379802</v>
      </c>
      <c r="P78" s="5">
        <f>SUM(P$13,P$33:P$34)*P$38</f>
        <v>43646.622489732959</v>
      </c>
      <c r="Q78" s="635"/>
      <c r="R78" s="635"/>
    </row>
    <row r="79" spans="2:18" x14ac:dyDescent="0.3">
      <c r="B79" s="646"/>
      <c r="C79" s="595"/>
      <c r="D79" s="595"/>
      <c r="E79" s="595"/>
      <c r="F79" s="595"/>
      <c r="G79" s="595"/>
      <c r="H79" s="635">
        <f t="shared" si="18"/>
        <v>-8095</v>
      </c>
      <c r="I79" s="5">
        <f t="shared" si="19"/>
        <v>518.55613782211299</v>
      </c>
      <c r="J79" s="5">
        <f t="shared" si="19"/>
        <v>1358.8826878944888</v>
      </c>
      <c r="K79" s="5">
        <f t="shared" si="19"/>
        <v>1924.9791743461251</v>
      </c>
      <c r="L79" s="5">
        <f t="shared" si="19"/>
        <v>2425.259835487509</v>
      </c>
      <c r="M79" s="5">
        <f t="shared" si="19"/>
        <v>2932.7062790069654</v>
      </c>
      <c r="N79" s="5">
        <f t="shared" si="19"/>
        <v>5111.3262653924967</v>
      </c>
      <c r="O79" s="5">
        <f t="shared" si="19"/>
        <v>5489.6654210379802</v>
      </c>
      <c r="P79" s="5">
        <f t="shared" si="19"/>
        <v>5781.8230647575228</v>
      </c>
      <c r="Q79" s="5">
        <f>SUM(Q$13,Q$33:Q$34)*Q$38</f>
        <v>45902.348224236062</v>
      </c>
      <c r="R79" s="635"/>
    </row>
    <row r="80" spans="2:18" x14ac:dyDescent="0.3">
      <c r="B80" s="646"/>
      <c r="C80" s="595"/>
      <c r="D80" s="595"/>
      <c r="E80" s="595"/>
      <c r="F80" s="679"/>
      <c r="G80" s="595"/>
      <c r="H80" s="635">
        <f t="shared" si="18"/>
        <v>-8095</v>
      </c>
      <c r="I80" s="635">
        <f t="shared" si="19"/>
        <v>518.55613782211299</v>
      </c>
      <c r="J80" s="635">
        <f t="shared" si="19"/>
        <v>1358.8826878944888</v>
      </c>
      <c r="K80" s="635">
        <f t="shared" si="19"/>
        <v>1924.9791743461251</v>
      </c>
      <c r="L80" s="635">
        <f t="shared" si="19"/>
        <v>2425.259835487509</v>
      </c>
      <c r="M80" s="635">
        <f t="shared" si="19"/>
        <v>2932.7062790069654</v>
      </c>
      <c r="N80" s="635">
        <f t="shared" si="19"/>
        <v>5111.3262653924967</v>
      </c>
      <c r="O80" s="635">
        <f t="shared" si="19"/>
        <v>5489.6654210379802</v>
      </c>
      <c r="P80" s="635">
        <f t="shared" si="19"/>
        <v>5781.8230647575228</v>
      </c>
      <c r="Q80" s="635">
        <f t="shared" si="19"/>
        <v>6088.4546178949568</v>
      </c>
      <c r="R80" s="635">
        <f>SUM(R$13,R$33:R$34)*R$38</f>
        <v>48270.85887918745</v>
      </c>
    </row>
    <row r="81" spans="2:18" x14ac:dyDescent="0.3">
      <c r="B81" s="668" t="s">
        <v>502</v>
      </c>
      <c r="C81" s="669"/>
      <c r="D81" s="669"/>
      <c r="E81" s="669"/>
      <c r="F81" s="670"/>
      <c r="G81" s="671"/>
      <c r="H81" s="671"/>
      <c r="I81" s="671">
        <f>XIRR($H71:I71,$H53:I53)</f>
        <v>0.47950169444084156</v>
      </c>
      <c r="J81" s="671">
        <f>XIRR($H72:J72,$H53:J53)</f>
        <v>0.53711764216423041</v>
      </c>
      <c r="K81" s="671">
        <f>XIRR($H73:K73,$H53:K53)</f>
        <v>0.52378388047218316</v>
      </c>
      <c r="L81" s="671">
        <f>XIRR($H74:L74,$H53:L53)</f>
        <v>0.49935401082038877</v>
      </c>
      <c r="M81" s="671">
        <f>XIRR($H75:M75,$H53:M53)</f>
        <v>0.45115289092063915</v>
      </c>
      <c r="N81" s="671">
        <f>XIRR($H76:N76,$H53:N53)</f>
        <v>0.40212792754173277</v>
      </c>
      <c r="O81" s="671">
        <f>XIRR($H77:O77,$H53:O53)</f>
        <v>0.38199616074562071</v>
      </c>
      <c r="P81" s="671">
        <f>XIRR($H78:P78,$H53:P53)</f>
        <v>0.36818568110465999</v>
      </c>
      <c r="Q81" s="671">
        <f>XIRR($H79:Q79,$H53:Q53)</f>
        <v>0.35831767916679391</v>
      </c>
      <c r="R81" s="671">
        <f>XIRR($H80:R80,$H53:R53)</f>
        <v>0.35100880265235912</v>
      </c>
    </row>
    <row r="82" spans="2:18" x14ac:dyDescent="0.3">
      <c r="B82" s="652" t="s">
        <v>503</v>
      </c>
      <c r="C82" s="605"/>
      <c r="D82" s="605"/>
      <c r="E82" s="605"/>
      <c r="F82" s="670"/>
      <c r="G82" s="672"/>
      <c r="H82" s="672"/>
      <c r="I82" s="672">
        <f>SUM(I71)/-H71</f>
        <v>1.4795016995309223</v>
      </c>
      <c r="J82" s="672">
        <f>SUM(I$71:J72)/-$H72</f>
        <v>3.8104937052803187</v>
      </c>
      <c r="K82" s="672">
        <f>SUM(I$73:K73)/-$H73</f>
        <v>3.3694071626163202</v>
      </c>
      <c r="L82" s="672">
        <f>SUM(I$74:L74)/-$H74</f>
        <v>4.5790417013171636</v>
      </c>
      <c r="M82" s="672">
        <f>SUM(I$75:M75)/-$H75</f>
        <v>5.4782679091054183</v>
      </c>
      <c r="N82" s="672">
        <f>SUM(I$76:N76)/-$H76</f>
        <v>5.9928621742910408</v>
      </c>
      <c r="O82" s="672">
        <f>SUM(I$77:O77)/-$H77</f>
        <v>6.889424807957667</v>
      </c>
      <c r="P82" s="672">
        <f>SUM(I$78:P78)/-$H78</f>
        <v>7.8329831118864277</v>
      </c>
      <c r="Q82" s="672">
        <f>SUM(I$79:Q79)/-$H79</f>
        <v>8.8258859901150419</v>
      </c>
      <c r="R82" s="672">
        <f>SUM(I$80:R80)/-$H80</f>
        <v>9.8706006624864244</v>
      </c>
    </row>
    <row r="83" spans="2:18" ht="4.9000000000000004" customHeight="1" x14ac:dyDescent="0.3">
      <c r="B83" s="675"/>
      <c r="C83" s="675"/>
      <c r="D83" s="675"/>
      <c r="E83" s="675"/>
      <c r="F83" s="675"/>
      <c r="G83" s="675"/>
      <c r="H83" s="675"/>
      <c r="I83" s="675"/>
      <c r="J83" s="675"/>
      <c r="K83" s="675"/>
      <c r="L83" s="675"/>
      <c r="M83" s="675"/>
      <c r="N83" s="675"/>
      <c r="O83" s="675"/>
      <c r="P83" s="675"/>
      <c r="Q83" s="675"/>
      <c r="R83" s="675"/>
    </row>
    <row r="84" spans="2:18" s="1" customFormat="1" ht="13.5" x14ac:dyDescent="0.25">
      <c r="B84" s="609"/>
      <c r="C84" s="595"/>
      <c r="D84" s="595"/>
      <c r="E84" s="595"/>
      <c r="F84" s="595"/>
      <c r="G84" s="595"/>
      <c r="H84" s="595"/>
      <c r="I84" s="595"/>
      <c r="J84" s="595"/>
      <c r="K84" s="595"/>
      <c r="L84" s="595"/>
      <c r="M84" s="595"/>
      <c r="N84" s="595"/>
      <c r="O84" s="595"/>
      <c r="P84" s="595"/>
      <c r="Q84" s="595"/>
      <c r="R84" s="595"/>
    </row>
    <row r="85" spans="2:18" s="1" customFormat="1" ht="23.25" x14ac:dyDescent="0.35">
      <c r="B85" s="664" t="s">
        <v>507</v>
      </c>
      <c r="C85" s="595"/>
      <c r="D85" s="595"/>
      <c r="E85" s="595"/>
      <c r="F85" s="595"/>
      <c r="G85" s="595"/>
      <c r="H85" s="595"/>
      <c r="I85" s="595"/>
      <c r="J85" s="595"/>
      <c r="K85" s="595"/>
      <c r="L85" s="595"/>
      <c r="M85" s="595"/>
      <c r="N85" s="595"/>
      <c r="O85" s="595"/>
      <c r="P85" s="595"/>
      <c r="Q85" s="595"/>
      <c r="R85" s="595"/>
    </row>
    <row r="86" spans="2:18" s="1" customFormat="1" ht="13.5" x14ac:dyDescent="0.25">
      <c r="B86" s="609"/>
      <c r="C86" s="595"/>
      <c r="D86" s="595"/>
      <c r="E86" s="595"/>
      <c r="F86" s="595"/>
      <c r="G86" s="595"/>
      <c r="H86" s="595"/>
      <c r="I86" s="595"/>
      <c r="J86" s="595"/>
      <c r="K86" s="595"/>
      <c r="L86" s="595"/>
      <c r="M86" s="595"/>
      <c r="N86" s="595"/>
      <c r="O86" s="595"/>
      <c r="P86" s="595"/>
      <c r="Q86" s="595"/>
      <c r="R86" s="595"/>
    </row>
    <row r="87" spans="2:18" s="1" customFormat="1" ht="15.75" thickBot="1" x14ac:dyDescent="0.35">
      <c r="B87" s="665" t="s">
        <v>500</v>
      </c>
      <c r="C87" s="592"/>
      <c r="D87" s="592"/>
      <c r="E87" s="592"/>
      <c r="F87" s="592"/>
      <c r="G87" s="592"/>
      <c r="H87" s="666">
        <f>H68</f>
        <v>42308</v>
      </c>
      <c r="I87" s="594">
        <f t="shared" ref="I87:R87" si="20">I68</f>
        <v>42674</v>
      </c>
      <c r="J87" s="594">
        <f t="shared" si="20"/>
        <v>43039</v>
      </c>
      <c r="K87" s="594">
        <f t="shared" si="20"/>
        <v>43404</v>
      </c>
      <c r="L87" s="594">
        <f t="shared" si="20"/>
        <v>43769</v>
      </c>
      <c r="M87" s="594">
        <f t="shared" si="20"/>
        <v>44135</v>
      </c>
      <c r="N87" s="594">
        <f t="shared" si="20"/>
        <v>44500</v>
      </c>
      <c r="O87" s="594">
        <f t="shared" si="20"/>
        <v>44865</v>
      </c>
      <c r="P87" s="594">
        <f t="shared" si="20"/>
        <v>45230</v>
      </c>
      <c r="Q87" s="594">
        <f t="shared" si="20"/>
        <v>45596</v>
      </c>
      <c r="R87" s="594">
        <f t="shared" si="20"/>
        <v>45961</v>
      </c>
    </row>
    <row r="88" spans="2:18" s="1" customFormat="1" ht="13.5" x14ac:dyDescent="0.25">
      <c r="B88" s="595"/>
      <c r="C88" s="595"/>
      <c r="D88" s="595"/>
      <c r="E88" s="595"/>
      <c r="F88" s="595"/>
      <c r="G88" s="595"/>
      <c r="H88" s="595"/>
      <c r="I88" s="595"/>
      <c r="J88" s="595"/>
      <c r="K88" s="595"/>
      <c r="L88" s="595"/>
      <c r="M88" s="595"/>
      <c r="N88" s="595"/>
      <c r="O88" s="595"/>
      <c r="P88" s="595"/>
      <c r="Q88" s="595"/>
      <c r="R88" s="595"/>
    </row>
    <row r="89" spans="2:18" s="1" customFormat="1" ht="15" x14ac:dyDescent="0.3">
      <c r="B89" s="621" t="s">
        <v>501</v>
      </c>
      <c r="C89" s="601"/>
      <c r="D89" s="601"/>
      <c r="E89" s="601"/>
      <c r="F89" s="601"/>
      <c r="G89" s="601"/>
      <c r="H89" s="667">
        <f>H70</f>
        <v>42308</v>
      </c>
      <c r="I89" s="667">
        <f t="shared" ref="I89:R89" si="21">I70</f>
        <v>42674</v>
      </c>
      <c r="J89" s="667">
        <f t="shared" si="21"/>
        <v>43039</v>
      </c>
      <c r="K89" s="667">
        <f t="shared" si="21"/>
        <v>43404</v>
      </c>
      <c r="L89" s="667">
        <f t="shared" si="21"/>
        <v>43769</v>
      </c>
      <c r="M89" s="667">
        <f t="shared" si="21"/>
        <v>44135</v>
      </c>
      <c r="N89" s="667">
        <f t="shared" si="21"/>
        <v>44500</v>
      </c>
      <c r="O89" s="667">
        <f t="shared" si="21"/>
        <v>44865</v>
      </c>
      <c r="P89" s="667">
        <f t="shared" si="21"/>
        <v>45230</v>
      </c>
      <c r="Q89" s="667">
        <f t="shared" si="21"/>
        <v>45596</v>
      </c>
      <c r="R89" s="667">
        <f t="shared" si="21"/>
        <v>45961</v>
      </c>
    </row>
    <row r="90" spans="2:18" s="1" customFormat="1" ht="13.5" x14ac:dyDescent="0.25">
      <c r="B90" s="646"/>
      <c r="C90" s="595"/>
      <c r="D90" s="595"/>
      <c r="E90" s="595"/>
      <c r="F90" s="595"/>
      <c r="G90" s="595"/>
      <c r="H90" s="635">
        <f>H22</f>
        <v>-8095</v>
      </c>
      <c r="I90" s="635">
        <f>SUM(I$13,I$25)</f>
        <v>11458.010119880702</v>
      </c>
      <c r="J90" s="635"/>
      <c r="K90" s="635"/>
      <c r="L90" s="635"/>
      <c r="M90" s="635"/>
      <c r="N90" s="635"/>
      <c r="O90" s="635"/>
      <c r="P90" s="635"/>
      <c r="Q90" s="635"/>
      <c r="R90" s="635"/>
    </row>
    <row r="91" spans="2:18" s="1" customFormat="1" ht="13.5" x14ac:dyDescent="0.25">
      <c r="B91" s="646"/>
      <c r="C91" s="595"/>
      <c r="D91" s="595"/>
      <c r="E91" s="595"/>
      <c r="F91" s="595"/>
      <c r="G91" s="595"/>
      <c r="H91" s="635">
        <f>H90</f>
        <v>-8095</v>
      </c>
      <c r="I91" s="635">
        <f t="shared" ref="I91:L99" si="22">SUM(I$25)</f>
        <v>0</v>
      </c>
      <c r="J91" s="635">
        <f>SUM(J$13,J$25)</f>
        <v>16991.941460824761</v>
      </c>
      <c r="K91" s="635"/>
      <c r="L91" s="635"/>
      <c r="M91" s="635"/>
      <c r="N91" s="635"/>
      <c r="O91" s="635"/>
      <c r="P91" s="635"/>
      <c r="Q91" s="635"/>
      <c r="R91" s="635"/>
    </row>
    <row r="92" spans="2:18" s="1" customFormat="1" ht="13.5" x14ac:dyDescent="0.25">
      <c r="B92" s="646"/>
      <c r="C92" s="595"/>
      <c r="D92" s="595"/>
      <c r="E92" s="595"/>
      <c r="F92" s="595"/>
      <c r="G92" s="595"/>
      <c r="H92" s="635">
        <f t="shared" ref="H92:H99" si="23">H91</f>
        <v>-8095</v>
      </c>
      <c r="I92" s="635">
        <f t="shared" si="22"/>
        <v>0</v>
      </c>
      <c r="J92" s="635">
        <f t="shared" si="22"/>
        <v>0</v>
      </c>
      <c r="K92" s="635">
        <f>SUM(K$13,K$25)</f>
        <v>23472.932981316386</v>
      </c>
      <c r="L92" s="635"/>
      <c r="M92" s="635"/>
      <c r="N92" s="635"/>
      <c r="O92" s="635"/>
      <c r="P92" s="635"/>
      <c r="Q92" s="635"/>
      <c r="R92" s="635"/>
    </row>
    <row r="93" spans="2:18" s="1" customFormat="1" ht="13.5" x14ac:dyDescent="0.25">
      <c r="B93" s="646"/>
      <c r="C93" s="595"/>
      <c r="D93" s="595"/>
      <c r="E93" s="595"/>
      <c r="F93" s="595"/>
      <c r="G93" s="595"/>
      <c r="H93" s="635">
        <f t="shared" si="23"/>
        <v>-8095</v>
      </c>
      <c r="I93" s="635">
        <f t="shared" si="22"/>
        <v>0</v>
      </c>
      <c r="J93" s="635">
        <f t="shared" si="22"/>
        <v>0</v>
      </c>
      <c r="K93" s="635">
        <f t="shared" si="22"/>
        <v>0</v>
      </c>
      <c r="L93" s="635">
        <f>SUM(L$13,L$25)</f>
        <v>30839.664736612202</v>
      </c>
      <c r="M93" s="635"/>
      <c r="N93" s="635"/>
      <c r="O93" s="635"/>
      <c r="P93" s="635"/>
      <c r="Q93" s="635"/>
      <c r="R93" s="635"/>
    </row>
    <row r="94" spans="2:18" s="1" customFormat="1" ht="13.5" x14ac:dyDescent="0.25">
      <c r="B94" s="646"/>
      <c r="C94" s="595"/>
      <c r="D94" s="595"/>
      <c r="E94" s="595"/>
      <c r="F94" s="595"/>
      <c r="G94" s="595"/>
      <c r="H94" s="635">
        <f t="shared" si="23"/>
        <v>-8095</v>
      </c>
      <c r="I94" s="635">
        <f t="shared" si="22"/>
        <v>0</v>
      </c>
      <c r="J94" s="635">
        <f t="shared" si="22"/>
        <v>0</v>
      </c>
      <c r="K94" s="635">
        <f t="shared" si="22"/>
        <v>0</v>
      </c>
      <c r="L94" s="635">
        <f t="shared" si="22"/>
        <v>0</v>
      </c>
      <c r="M94" s="635">
        <f>SUM(M$13,M$25)</f>
        <v>38625.375040163417</v>
      </c>
      <c r="N94" s="635"/>
      <c r="O94" s="635"/>
      <c r="P94" s="635"/>
      <c r="Q94" s="635"/>
      <c r="R94" s="635"/>
    </row>
    <row r="95" spans="2:18" s="1" customFormat="1" ht="13.5" x14ac:dyDescent="0.25">
      <c r="B95" s="646"/>
      <c r="C95" s="595"/>
      <c r="D95" s="595"/>
      <c r="E95" s="595"/>
      <c r="F95" s="595"/>
      <c r="G95" s="595"/>
      <c r="H95" s="635">
        <f t="shared" si="23"/>
        <v>-8095</v>
      </c>
      <c r="I95" s="635">
        <f t="shared" si="22"/>
        <v>0</v>
      </c>
      <c r="J95" s="635">
        <f t="shared" si="22"/>
        <v>0</v>
      </c>
      <c r="K95" s="635">
        <f t="shared" si="22"/>
        <v>0</v>
      </c>
      <c r="L95" s="635">
        <f t="shared" si="22"/>
        <v>0</v>
      </c>
      <c r="M95" s="635">
        <f>SUM(M$25)</f>
        <v>243.59849846025099</v>
      </c>
      <c r="N95" s="635">
        <f>SUM(N$13,N$25)</f>
        <v>45784.791061881231</v>
      </c>
      <c r="O95" s="635"/>
      <c r="P95" s="635"/>
      <c r="Q95" s="635"/>
      <c r="R95" s="635"/>
    </row>
    <row r="96" spans="2:18" s="1" customFormat="1" ht="13.5" x14ac:dyDescent="0.25">
      <c r="B96" s="646"/>
      <c r="C96" s="595"/>
      <c r="D96" s="595"/>
      <c r="E96" s="595"/>
      <c r="F96" s="595"/>
      <c r="G96" s="595"/>
      <c r="H96" s="635">
        <f t="shared" si="23"/>
        <v>-8095</v>
      </c>
      <c r="I96" s="635">
        <f t="shared" si="22"/>
        <v>0</v>
      </c>
      <c r="J96" s="635">
        <f t="shared" si="22"/>
        <v>0</v>
      </c>
      <c r="K96" s="635">
        <f t="shared" si="22"/>
        <v>0</v>
      </c>
      <c r="L96" s="635">
        <f t="shared" si="22"/>
        <v>0</v>
      </c>
      <c r="M96" s="635">
        <f>SUM(M$25)</f>
        <v>243.59849846025099</v>
      </c>
      <c r="N96" s="635">
        <f>SUM(N$25)</f>
        <v>2984.1549107108858</v>
      </c>
      <c r="O96" s="635">
        <f>SUM(O$13,O$25)</f>
        <v>48224.066452096864</v>
      </c>
      <c r="P96" s="635"/>
      <c r="Q96" s="635"/>
      <c r="R96" s="635"/>
    </row>
    <row r="97" spans="2:18" s="1" customFormat="1" ht="13.5" x14ac:dyDescent="0.25">
      <c r="B97" s="646"/>
      <c r="C97" s="595"/>
      <c r="D97" s="595"/>
      <c r="E97" s="595"/>
      <c r="F97" s="595"/>
      <c r="G97" s="595"/>
      <c r="H97" s="635">
        <f t="shared" si="23"/>
        <v>-8095</v>
      </c>
      <c r="I97" s="635">
        <f t="shared" si="22"/>
        <v>0</v>
      </c>
      <c r="J97" s="635">
        <f t="shared" si="22"/>
        <v>0</v>
      </c>
      <c r="K97" s="635">
        <f t="shared" si="22"/>
        <v>0</v>
      </c>
      <c r="L97" s="635">
        <f t="shared" si="22"/>
        <v>0</v>
      </c>
      <c r="M97" s="635">
        <f>SUM(M$25)</f>
        <v>243.59849846025099</v>
      </c>
      <c r="N97" s="635">
        <f>SUM(N$25)</f>
        <v>2984.1549107108858</v>
      </c>
      <c r="O97" s="635">
        <f>SUM(O$25)</f>
        <v>3213.4189278098202</v>
      </c>
      <c r="P97" s="635">
        <f>SUM(P$13,P$25)</f>
        <v>50718.445570804586</v>
      </c>
      <c r="Q97" s="635"/>
      <c r="R97" s="635"/>
    </row>
    <row r="98" spans="2:18" s="1" customFormat="1" ht="13.5" x14ac:dyDescent="0.25">
      <c r="B98" s="646"/>
      <c r="C98" s="595"/>
      <c r="D98" s="595"/>
      <c r="E98" s="595"/>
      <c r="F98" s="595"/>
      <c r="G98" s="595"/>
      <c r="H98" s="635">
        <f t="shared" si="23"/>
        <v>-8095</v>
      </c>
      <c r="I98" s="635">
        <f t="shared" si="22"/>
        <v>0</v>
      </c>
      <c r="J98" s="635">
        <f t="shared" si="22"/>
        <v>0</v>
      </c>
      <c r="K98" s="635">
        <f t="shared" si="22"/>
        <v>0</v>
      </c>
      <c r="L98" s="635">
        <f t="shared" si="22"/>
        <v>0</v>
      </c>
      <c r="M98" s="635">
        <f>SUM(M$25)</f>
        <v>243.59849846025099</v>
      </c>
      <c r="N98" s="635">
        <f>SUM(N$25)</f>
        <v>2984.1549107108858</v>
      </c>
      <c r="O98" s="635">
        <f>SUM(O$25)</f>
        <v>3213.4189278098202</v>
      </c>
      <c r="P98" s="635">
        <f>SUM(P$25)</f>
        <v>3387.4462895852926</v>
      </c>
      <c r="Q98" s="635">
        <f>SUM(Q$13,Q$25)</f>
        <v>53337.488025676059</v>
      </c>
      <c r="R98" s="635"/>
    </row>
    <row r="99" spans="2:18" s="1" customFormat="1" ht="13.5" x14ac:dyDescent="0.25">
      <c r="B99" s="646"/>
      <c r="C99" s="595"/>
      <c r="D99" s="595"/>
      <c r="E99" s="595"/>
      <c r="F99" s="679"/>
      <c r="G99" s="595"/>
      <c r="H99" s="635">
        <f t="shared" si="23"/>
        <v>-8095</v>
      </c>
      <c r="I99" s="635">
        <f t="shared" si="22"/>
        <v>0</v>
      </c>
      <c r="J99" s="635">
        <f t="shared" si="22"/>
        <v>0</v>
      </c>
      <c r="K99" s="635">
        <f t="shared" si="22"/>
        <v>0</v>
      </c>
      <c r="L99" s="635">
        <f t="shared" si="22"/>
        <v>0</v>
      </c>
      <c r="M99" s="635">
        <f>SUM(M$25)</f>
        <v>243.59849846025099</v>
      </c>
      <c r="N99" s="635">
        <f>SUM(N$25)</f>
        <v>2984.1549107108858</v>
      </c>
      <c r="O99" s="635">
        <f>SUM(O$25)</f>
        <v>3213.4189278098202</v>
      </c>
      <c r="P99" s="635">
        <f>SUM(P$25)</f>
        <v>3387.4462895852926</v>
      </c>
      <c r="Q99" s="635">
        <f>SUM(Q$25)</f>
        <v>3570.1210177496787</v>
      </c>
      <c r="R99" s="635">
        <f>SUM(R$13,R$25)</f>
        <v>56087.482041517607</v>
      </c>
    </row>
    <row r="100" spans="2:18" s="1" customFormat="1" ht="15" x14ac:dyDescent="0.3">
      <c r="B100" s="668" t="s">
        <v>502</v>
      </c>
      <c r="C100" s="669"/>
      <c r="D100" s="669"/>
      <c r="E100" s="669"/>
      <c r="F100" s="670"/>
      <c r="G100" s="671"/>
      <c r="H100" s="671"/>
      <c r="I100" s="671">
        <f>XIRR($H90:I90,$H89:I89)</f>
        <v>0.41409984230995178</v>
      </c>
      <c r="J100" s="671">
        <f>XIRR($H91:J91,$H89:J89)</f>
        <v>0.44808085560798649</v>
      </c>
      <c r="K100" s="671">
        <f>XIRR($H92:K92,$H89:K89)</f>
        <v>0.42552953362464918</v>
      </c>
      <c r="L100" s="671">
        <f>XIRR($H93:L93,$H89:L89)</f>
        <v>0.39676646590232856</v>
      </c>
      <c r="M100" s="671">
        <f>XIRR($H94:M94,$H89:M89)</f>
        <v>0.36641489863395693</v>
      </c>
      <c r="N100" s="671">
        <f>XIRR($H95:N95,$H89:N89)</f>
        <v>0.33602687716484081</v>
      </c>
      <c r="O100" s="671">
        <f>XIRR($H96:O96,$H89:O89)</f>
        <v>0.30600423216819772</v>
      </c>
      <c r="P100" s="671">
        <f>XIRR($H97:P97,$H89:P89)</f>
        <v>0.28508463501930237</v>
      </c>
      <c r="Q100" s="671">
        <f>XIRR($H98:Q98,$H89:Q89)</f>
        <v>0.26971704363822946</v>
      </c>
      <c r="R100" s="671">
        <f>XIRR($H99:R99,$H89:R89)</f>
        <v>0.25814030766487117</v>
      </c>
    </row>
    <row r="101" spans="2:18" s="1" customFormat="1" ht="15" x14ac:dyDescent="0.3">
      <c r="B101" s="652" t="s">
        <v>503</v>
      </c>
      <c r="C101" s="605"/>
      <c r="D101" s="605"/>
      <c r="E101" s="605"/>
      <c r="F101" s="670"/>
      <c r="G101" s="672"/>
      <c r="H101" s="672"/>
      <c r="I101" s="672">
        <f>SUM(I90)/-H90</f>
        <v>1.4154428807758743</v>
      </c>
      <c r="J101" s="672">
        <f>SUM(I$91:J91)/-$H91</f>
        <v>2.0990662706392538</v>
      </c>
      <c r="K101" s="672">
        <f>SUM(I$92:K92)/-$H92</f>
        <v>2.8996828883652115</v>
      </c>
      <c r="L101" s="672">
        <f>SUM(I$93:L93)/-$H93</f>
        <v>3.8097176944548736</v>
      </c>
      <c r="M101" s="672">
        <f>SUM(I$94:M94)/-$H94</f>
        <v>4.7715101964377293</v>
      </c>
      <c r="N101" s="672">
        <f>SUM(I$95:N95)/-$H95</f>
        <v>5.6860271229575643</v>
      </c>
      <c r="O101" s="672">
        <f>SUM(I$96:O96)/-$H96</f>
        <v>6.3559999828620137</v>
      </c>
      <c r="P101" s="672">
        <f>SUM(I$97:P97)/-$H97</f>
        <v>7.0611016563045759</v>
      </c>
      <c r="Q101" s="672">
        <f>SUM(I$98:Q98)/-$H98</f>
        <v>7.8031015012034963</v>
      </c>
      <c r="R101" s="672">
        <f>SUM(I$99:R99)/-$H99</f>
        <v>8.5838445566193364</v>
      </c>
    </row>
    <row r="102" spans="2:18" s="1" customFormat="1" ht="4.9000000000000004" customHeight="1" x14ac:dyDescent="0.3">
      <c r="B102" s="621"/>
      <c r="C102" s="654"/>
      <c r="D102" s="654"/>
      <c r="E102" s="654"/>
      <c r="F102" s="654"/>
      <c r="G102" s="673"/>
      <c r="H102" s="673"/>
      <c r="I102" s="673"/>
      <c r="J102" s="673"/>
      <c r="K102" s="673"/>
      <c r="L102" s="673"/>
      <c r="M102" s="673"/>
      <c r="N102" s="673"/>
      <c r="O102" s="673"/>
      <c r="P102" s="673"/>
      <c r="Q102" s="673"/>
      <c r="R102" s="673"/>
    </row>
    <row r="103" spans="2:18" s="1" customFormat="1" ht="15" x14ac:dyDescent="0.3">
      <c r="B103" s="652"/>
      <c r="C103" s="605"/>
      <c r="D103" s="605"/>
      <c r="E103" s="605"/>
      <c r="F103" s="605"/>
      <c r="G103" s="674"/>
      <c r="H103" s="674"/>
      <c r="I103" s="674"/>
      <c r="J103" s="674"/>
      <c r="K103" s="674"/>
      <c r="L103" s="674"/>
      <c r="M103" s="674"/>
      <c r="N103" s="674"/>
      <c r="O103" s="674"/>
      <c r="P103" s="674"/>
      <c r="Q103" s="674"/>
      <c r="R103" s="674"/>
    </row>
    <row r="104" spans="2:18" s="1" customFormat="1" ht="15.75" thickBot="1" x14ac:dyDescent="0.35">
      <c r="B104" s="665" t="s">
        <v>504</v>
      </c>
      <c r="C104" s="592"/>
      <c r="D104" s="592"/>
      <c r="E104" s="592"/>
      <c r="F104" s="592"/>
      <c r="G104" s="592"/>
      <c r="H104" s="666">
        <f>H87</f>
        <v>42308</v>
      </c>
      <c r="I104" s="594">
        <f t="shared" ref="I104:R104" si="24">I87</f>
        <v>42674</v>
      </c>
      <c r="J104" s="594">
        <f t="shared" si="24"/>
        <v>43039</v>
      </c>
      <c r="K104" s="594">
        <f t="shared" si="24"/>
        <v>43404</v>
      </c>
      <c r="L104" s="594">
        <f t="shared" si="24"/>
        <v>43769</v>
      </c>
      <c r="M104" s="594">
        <f t="shared" si="24"/>
        <v>44135</v>
      </c>
      <c r="N104" s="594">
        <f t="shared" si="24"/>
        <v>44500</v>
      </c>
      <c r="O104" s="594">
        <f t="shared" si="24"/>
        <v>44865</v>
      </c>
      <c r="P104" s="594">
        <f t="shared" si="24"/>
        <v>45230</v>
      </c>
      <c r="Q104" s="594">
        <f t="shared" si="24"/>
        <v>45596</v>
      </c>
      <c r="R104" s="594">
        <f t="shared" si="24"/>
        <v>45961</v>
      </c>
    </row>
    <row r="105" spans="2:18" s="1" customFormat="1" ht="13.5" x14ac:dyDescent="0.25">
      <c r="B105" s="595"/>
      <c r="C105" s="595"/>
      <c r="D105" s="595"/>
      <c r="E105" s="595"/>
      <c r="F105" s="595"/>
      <c r="G105" s="595"/>
      <c r="H105" s="595"/>
      <c r="I105" s="595"/>
      <c r="J105" s="595"/>
      <c r="K105" s="595"/>
      <c r="L105" s="595"/>
      <c r="M105" s="595"/>
      <c r="N105" s="595"/>
      <c r="O105" s="595"/>
      <c r="P105" s="595"/>
      <c r="Q105" s="595"/>
      <c r="R105" s="595"/>
    </row>
    <row r="106" spans="2:18" s="1" customFormat="1" ht="15" x14ac:dyDescent="0.3">
      <c r="B106" s="621" t="s">
        <v>501</v>
      </c>
      <c r="C106" s="601"/>
      <c r="D106" s="601"/>
      <c r="E106" s="601"/>
      <c r="F106" s="601"/>
      <c r="G106" s="601"/>
      <c r="H106" s="680">
        <f>H89</f>
        <v>42308</v>
      </c>
      <c r="I106" s="680">
        <f t="shared" ref="I106:R106" si="25">I89</f>
        <v>42674</v>
      </c>
      <c r="J106" s="680">
        <f t="shared" si="25"/>
        <v>43039</v>
      </c>
      <c r="K106" s="680">
        <f t="shared" si="25"/>
        <v>43404</v>
      </c>
      <c r="L106" s="680">
        <f t="shared" si="25"/>
        <v>43769</v>
      </c>
      <c r="M106" s="680">
        <f t="shared" si="25"/>
        <v>44135</v>
      </c>
      <c r="N106" s="680">
        <f t="shared" si="25"/>
        <v>44500</v>
      </c>
      <c r="O106" s="680">
        <f t="shared" si="25"/>
        <v>44865</v>
      </c>
      <c r="P106" s="680">
        <f t="shared" si="25"/>
        <v>45230</v>
      </c>
      <c r="Q106" s="680">
        <f t="shared" si="25"/>
        <v>45596</v>
      </c>
      <c r="R106" s="680">
        <f t="shared" si="25"/>
        <v>45961</v>
      </c>
    </row>
    <row r="107" spans="2:18" x14ac:dyDescent="0.3">
      <c r="B107" s="646"/>
      <c r="C107" s="595"/>
      <c r="D107" s="595"/>
      <c r="E107" s="595"/>
      <c r="F107" s="595"/>
      <c r="G107" s="595"/>
      <c r="H107" s="635">
        <f>H22</f>
        <v>-8095</v>
      </c>
      <c r="I107" s="5">
        <f>I$13*I$38+I43</f>
        <v>11458.010119880702</v>
      </c>
      <c r="J107" s="635"/>
      <c r="K107" s="635"/>
      <c r="L107" s="635"/>
      <c r="M107" s="635"/>
      <c r="N107" s="635"/>
      <c r="O107" s="635"/>
      <c r="P107" s="635"/>
      <c r="Q107" s="635"/>
      <c r="R107" s="635"/>
    </row>
    <row r="108" spans="2:18" x14ac:dyDescent="0.3">
      <c r="B108" s="646"/>
      <c r="C108" s="595"/>
      <c r="D108" s="595"/>
      <c r="E108" s="595"/>
      <c r="F108" s="595"/>
      <c r="G108" s="595"/>
      <c r="H108" s="635">
        <f>H107</f>
        <v>-8095</v>
      </c>
      <c r="I108" s="5">
        <f t="shared" ref="I108:L116" si="26">I$43</f>
        <v>0</v>
      </c>
      <c r="J108" s="5">
        <f>J$13*J$38+J$43</f>
        <v>16991.941460824761</v>
      </c>
      <c r="K108" s="635"/>
      <c r="L108" s="635"/>
      <c r="M108" s="635"/>
      <c r="N108" s="635"/>
      <c r="O108" s="635"/>
      <c r="P108" s="635"/>
      <c r="Q108" s="635"/>
      <c r="R108" s="635"/>
    </row>
    <row r="109" spans="2:18" x14ac:dyDescent="0.3">
      <c r="B109" s="646"/>
      <c r="C109" s="595"/>
      <c r="D109" s="595"/>
      <c r="E109" s="595"/>
      <c r="F109" s="595"/>
      <c r="G109" s="595"/>
      <c r="H109" s="635">
        <f t="shared" ref="H109:H116" si="27">H108</f>
        <v>-8095</v>
      </c>
      <c r="I109" s="5">
        <f t="shared" si="26"/>
        <v>0</v>
      </c>
      <c r="J109" s="5">
        <f t="shared" si="26"/>
        <v>0</v>
      </c>
      <c r="K109" s="5">
        <f>K$13*K$38+K$43</f>
        <v>23472.932981316386</v>
      </c>
      <c r="L109" s="635"/>
      <c r="M109" s="635"/>
      <c r="N109" s="635"/>
      <c r="O109" s="635"/>
      <c r="P109" s="635"/>
      <c r="Q109" s="635"/>
      <c r="R109" s="635"/>
    </row>
    <row r="110" spans="2:18" x14ac:dyDescent="0.3">
      <c r="B110" s="646"/>
      <c r="C110" s="595"/>
      <c r="D110" s="595"/>
      <c r="E110" s="595"/>
      <c r="F110" s="595"/>
      <c r="G110" s="595"/>
      <c r="H110" s="635">
        <f t="shared" si="27"/>
        <v>-8095</v>
      </c>
      <c r="I110" s="5">
        <f t="shared" si="26"/>
        <v>0</v>
      </c>
      <c r="J110" s="5">
        <f t="shared" si="26"/>
        <v>0</v>
      </c>
      <c r="K110" s="5">
        <f t="shared" si="26"/>
        <v>0</v>
      </c>
      <c r="L110" s="5">
        <f>L$13*L$38+L$43</f>
        <v>30839.664736612202</v>
      </c>
      <c r="M110" s="635"/>
      <c r="N110" s="635"/>
      <c r="O110" s="635"/>
      <c r="P110" s="635"/>
      <c r="Q110" s="635"/>
      <c r="R110" s="635"/>
    </row>
    <row r="111" spans="2:18" x14ac:dyDescent="0.3">
      <c r="B111" s="646"/>
      <c r="C111" s="595"/>
      <c r="D111" s="595"/>
      <c r="E111" s="595"/>
      <c r="F111" s="595"/>
      <c r="G111" s="595"/>
      <c r="H111" s="635">
        <f t="shared" si="27"/>
        <v>-8095</v>
      </c>
      <c r="I111" s="5">
        <f t="shared" si="26"/>
        <v>0</v>
      </c>
      <c r="J111" s="5">
        <f t="shared" si="26"/>
        <v>0</v>
      </c>
      <c r="K111" s="5">
        <f t="shared" si="26"/>
        <v>0</v>
      </c>
      <c r="L111" s="5">
        <f t="shared" si="26"/>
        <v>0</v>
      </c>
      <c r="M111" s="5">
        <f>M$13*M$38+M$43</f>
        <v>35409.51163522261</v>
      </c>
      <c r="N111" s="635"/>
      <c r="O111" s="635"/>
      <c r="P111" s="635"/>
      <c r="Q111" s="635"/>
      <c r="R111" s="635"/>
    </row>
    <row r="112" spans="2:18" x14ac:dyDescent="0.3">
      <c r="B112" s="646"/>
      <c r="C112" s="595"/>
      <c r="D112" s="595"/>
      <c r="E112" s="595"/>
      <c r="F112" s="595"/>
      <c r="G112" s="595"/>
      <c r="H112" s="635">
        <f t="shared" si="27"/>
        <v>-8095</v>
      </c>
      <c r="I112" s="5">
        <f t="shared" si="26"/>
        <v>0</v>
      </c>
      <c r="J112" s="5">
        <f t="shared" si="26"/>
        <v>0</v>
      </c>
      <c r="K112" s="5">
        <f t="shared" si="26"/>
        <v>0</v>
      </c>
      <c r="L112" s="5">
        <f t="shared" si="26"/>
        <v>0</v>
      </c>
      <c r="M112" s="5">
        <f>M$43</f>
        <v>223.31702557144985</v>
      </c>
      <c r="N112" s="5">
        <f>N$13*N$38+N$43</f>
        <v>36627.832849504986</v>
      </c>
      <c r="O112" s="635"/>
      <c r="P112" s="635"/>
      <c r="Q112" s="635"/>
      <c r="R112" s="635"/>
    </row>
    <row r="113" spans="2:18" x14ac:dyDescent="0.3">
      <c r="B113" s="646"/>
      <c r="C113" s="595"/>
      <c r="D113" s="595"/>
      <c r="E113" s="595"/>
      <c r="F113" s="595"/>
      <c r="G113" s="595"/>
      <c r="H113" s="635">
        <f t="shared" si="27"/>
        <v>-8095</v>
      </c>
      <c r="I113" s="5">
        <f t="shared" si="26"/>
        <v>0</v>
      </c>
      <c r="J113" s="5">
        <f t="shared" si="26"/>
        <v>0</v>
      </c>
      <c r="K113" s="5">
        <f t="shared" si="26"/>
        <v>0</v>
      </c>
      <c r="L113" s="5">
        <f t="shared" si="26"/>
        <v>0</v>
      </c>
      <c r="M113" s="5">
        <f>M$43</f>
        <v>223.31702557144985</v>
      </c>
      <c r="N113" s="5">
        <f>N$43</f>
        <v>2387.3239285687087</v>
      </c>
      <c r="O113" s="5">
        <f>O$13*O$38+O$43</f>
        <v>38579.253161677487</v>
      </c>
      <c r="P113" s="635"/>
      <c r="Q113" s="635"/>
      <c r="R113" s="635"/>
    </row>
    <row r="114" spans="2:18" x14ac:dyDescent="0.3">
      <c r="B114" s="646"/>
      <c r="C114" s="595"/>
      <c r="D114" s="595"/>
      <c r="E114" s="595"/>
      <c r="F114" s="595"/>
      <c r="G114" s="595"/>
      <c r="H114" s="635">
        <f t="shared" si="27"/>
        <v>-8095</v>
      </c>
      <c r="I114" s="5">
        <f t="shared" si="26"/>
        <v>0</v>
      </c>
      <c r="J114" s="5">
        <f t="shared" si="26"/>
        <v>0</v>
      </c>
      <c r="K114" s="5">
        <f t="shared" si="26"/>
        <v>0</v>
      </c>
      <c r="L114" s="5">
        <f t="shared" si="26"/>
        <v>0</v>
      </c>
      <c r="M114" s="5">
        <f>M$43</f>
        <v>223.31702557144985</v>
      </c>
      <c r="N114" s="5">
        <f>N$43</f>
        <v>2387.3239285687087</v>
      </c>
      <c r="O114" s="5">
        <f>O$43</f>
        <v>2570.7351422478564</v>
      </c>
      <c r="P114" s="5">
        <f>P$13*P$38+P$43</f>
        <v>40574.75645664367</v>
      </c>
      <c r="Q114" s="635"/>
      <c r="R114" s="635"/>
    </row>
    <row r="115" spans="2:18" x14ac:dyDescent="0.3">
      <c r="B115" s="646"/>
      <c r="C115" s="595"/>
      <c r="D115" s="595"/>
      <c r="E115" s="595"/>
      <c r="F115" s="595"/>
      <c r="G115" s="595"/>
      <c r="H115" s="635">
        <f t="shared" si="27"/>
        <v>-8095</v>
      </c>
      <c r="I115" s="5">
        <f t="shared" si="26"/>
        <v>0</v>
      </c>
      <c r="J115" s="5">
        <f t="shared" si="26"/>
        <v>0</v>
      </c>
      <c r="K115" s="5">
        <f t="shared" si="26"/>
        <v>0</v>
      </c>
      <c r="L115" s="5">
        <f t="shared" si="26"/>
        <v>0</v>
      </c>
      <c r="M115" s="5">
        <f>M$43</f>
        <v>223.31702557144985</v>
      </c>
      <c r="N115" s="5">
        <f>N$43</f>
        <v>2387.3239285687087</v>
      </c>
      <c r="O115" s="5">
        <f>O$43</f>
        <v>2570.7351422478564</v>
      </c>
      <c r="P115" s="5">
        <f>P$43</f>
        <v>2709.9570316682343</v>
      </c>
      <c r="Q115" s="5">
        <f>Q$13*Q$38+Q$43</f>
        <v>42669.990420540853</v>
      </c>
      <c r="R115" s="635"/>
    </row>
    <row r="116" spans="2:18" x14ac:dyDescent="0.3">
      <c r="B116" s="646"/>
      <c r="C116" s="595"/>
      <c r="D116" s="595"/>
      <c r="E116" s="595"/>
      <c r="F116" s="679"/>
      <c r="G116" s="595"/>
      <c r="H116" s="635">
        <f t="shared" si="27"/>
        <v>-8095</v>
      </c>
      <c r="I116" s="5">
        <f t="shared" si="26"/>
        <v>0</v>
      </c>
      <c r="J116" s="5">
        <f t="shared" si="26"/>
        <v>0</v>
      </c>
      <c r="K116" s="5">
        <f t="shared" si="26"/>
        <v>0</v>
      </c>
      <c r="L116" s="5">
        <f t="shared" si="26"/>
        <v>0</v>
      </c>
      <c r="M116" s="5">
        <f>M$43</f>
        <v>223.31702557144985</v>
      </c>
      <c r="N116" s="5">
        <f>N$43</f>
        <v>2387.3239285687087</v>
      </c>
      <c r="O116" s="5">
        <f>O$43</f>
        <v>2570.7351422478564</v>
      </c>
      <c r="P116" s="5">
        <f>P$43</f>
        <v>2709.9570316682343</v>
      </c>
      <c r="Q116" s="5">
        <f>Q$43</f>
        <v>2856.0968141997432</v>
      </c>
      <c r="R116" s="5">
        <f>R$43</f>
        <v>44869.985633214092</v>
      </c>
    </row>
    <row r="117" spans="2:18" x14ac:dyDescent="0.3">
      <c r="B117" s="668" t="s">
        <v>502</v>
      </c>
      <c r="C117" s="669"/>
      <c r="D117" s="669"/>
      <c r="E117" s="669"/>
      <c r="F117" s="670"/>
      <c r="G117" s="671"/>
      <c r="H117" s="671"/>
      <c r="I117" s="671">
        <f>XIRR($H107:I107,$H89:I89)</f>
        <v>0.41409984230995178</v>
      </c>
      <c r="J117" s="671">
        <f>XIRR($H108:J108,$H89:J89)</f>
        <v>0.44808085560798649</v>
      </c>
      <c r="K117" s="671">
        <f>XIRR($H109:K109,$H89:K89)</f>
        <v>0.42552953362464918</v>
      </c>
      <c r="L117" s="671">
        <f>XIRR($H110:L110,$H89:L89)</f>
        <v>0.39676646590232856</v>
      </c>
      <c r="M117" s="671">
        <f>XIRR($H111:M111,$H89:M89)</f>
        <v>0.34288956522941594</v>
      </c>
      <c r="N117" s="671">
        <f>XIRR($H112:N112,$H89:N89)</f>
        <v>0.28745324015617379</v>
      </c>
      <c r="O117" s="671">
        <f>XIRR($H113:O113,$H89:O89)</f>
        <v>0.26474317908287048</v>
      </c>
      <c r="P117" s="671">
        <f>XIRR($H114:P114,$H89:P89)</f>
        <v>0.24881365895271301</v>
      </c>
      <c r="Q117" s="671">
        <f>XIRR($H115:Q115,$H89:Q89)</f>
        <v>0.23703225255012514</v>
      </c>
      <c r="R117" s="671">
        <f>XIRR($H116:R116,$H89:R89)</f>
        <v>0.22811310887336733</v>
      </c>
    </row>
    <row r="118" spans="2:18" x14ac:dyDescent="0.3">
      <c r="B118" s="652" t="s">
        <v>503</v>
      </c>
      <c r="C118" s="605"/>
      <c r="D118" s="605"/>
      <c r="E118" s="605"/>
      <c r="F118" s="670"/>
      <c r="G118" s="672"/>
      <c r="H118" s="672"/>
      <c r="I118" s="672">
        <f>SUM(I107)/-H107</f>
        <v>1.4154428807758743</v>
      </c>
      <c r="J118" s="672">
        <f>SUM(I$107:J108)/-$H108</f>
        <v>3.5145091514151283</v>
      </c>
      <c r="K118" s="672">
        <f>SUM(I$109:K109)/-$H109</f>
        <v>2.8996828883652115</v>
      </c>
      <c r="L118" s="672">
        <f>SUM(I$110:L110)/-$H110</f>
        <v>3.8097176944548736</v>
      </c>
      <c r="M118" s="672">
        <f>SUM(I$111:M111)/-$H111</f>
        <v>4.3742447974333061</v>
      </c>
      <c r="N118" s="672">
        <f>SUM(I$112:N112)/-$H112</f>
        <v>4.5523347591200043</v>
      </c>
      <c r="O118" s="672">
        <f>SUM(I$113:O113)/-$H113</f>
        <v>5.0883130470435631</v>
      </c>
      <c r="P118" s="672">
        <f>SUM(I$114:P114)/-$H114</f>
        <v>5.6523943857976136</v>
      </c>
      <c r="Q118" s="672">
        <f>SUM(I$115:Q115)/-$H115</f>
        <v>6.245994261716751</v>
      </c>
      <c r="R118" s="672">
        <f>SUM(I$116:R116)/-$H116</f>
        <v>6.870588706049424</v>
      </c>
    </row>
    <row r="119" spans="2:18" ht="4.9000000000000004" customHeight="1" x14ac:dyDescent="0.3">
      <c r="B119" s="675"/>
      <c r="C119" s="675"/>
      <c r="D119" s="675"/>
      <c r="E119" s="675"/>
      <c r="F119" s="675"/>
      <c r="G119" s="675"/>
      <c r="H119" s="675"/>
      <c r="I119" s="675"/>
      <c r="J119" s="675"/>
      <c r="K119" s="675"/>
      <c r="L119" s="675"/>
      <c r="M119" s="675"/>
      <c r="N119" s="675"/>
      <c r="O119" s="675"/>
      <c r="P119" s="675"/>
      <c r="Q119" s="675"/>
      <c r="R119" s="675"/>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zoomScale="80" zoomScaleNormal="80" workbookViewId="0">
      <selection activeCell="U52" sqref="U52"/>
    </sheetView>
  </sheetViews>
  <sheetFormatPr defaultColWidth="8.85546875" defaultRowHeight="16.5" x14ac:dyDescent="0.3"/>
  <cols>
    <col min="1" max="1" width="2.7109375" style="588" customWidth="1"/>
    <col min="2" max="2" width="15.28515625" style="588" customWidth="1"/>
    <col min="3" max="5" width="12.7109375" style="588" customWidth="1"/>
    <col min="6" max="6" width="26.7109375" style="588" customWidth="1"/>
    <col min="7" max="8" width="12.7109375" style="588" customWidth="1"/>
    <col min="9" max="9" width="15.28515625" style="588" customWidth="1"/>
    <col min="10" max="12" width="12.7109375" style="588" customWidth="1"/>
    <col min="13" max="13" width="35" style="588" bestFit="1" customWidth="1"/>
    <col min="14" max="14" width="12.7109375" style="588" customWidth="1"/>
    <col min="15" max="15" width="16.7109375" style="588" bestFit="1" customWidth="1"/>
    <col min="16" max="16" width="12.28515625" style="588" bestFit="1" customWidth="1"/>
    <col min="17" max="18" width="8.85546875" style="588"/>
    <col min="19" max="19" width="32.85546875" style="588" bestFit="1" customWidth="1"/>
    <col min="20" max="20" width="9.5703125" style="588" bestFit="1" customWidth="1"/>
    <col min="21" max="24" width="9" style="588" customWidth="1"/>
    <col min="25" max="16384" width="8.85546875" style="588"/>
  </cols>
  <sheetData>
    <row r="1" spans="1:21" ht="21" thickBot="1" x14ac:dyDescent="0.35">
      <c r="A1" s="586" t="s">
        <v>976</v>
      </c>
      <c r="B1" s="587"/>
      <c r="C1" s="587"/>
      <c r="D1" s="587"/>
      <c r="E1" s="587"/>
      <c r="F1" s="587"/>
      <c r="G1" s="587"/>
      <c r="H1" s="587"/>
      <c r="I1" s="587"/>
      <c r="J1" s="587"/>
      <c r="K1" s="587"/>
      <c r="L1" s="587"/>
      <c r="M1" s="587"/>
      <c r="N1" s="587"/>
    </row>
    <row r="2" spans="1:21" x14ac:dyDescent="0.3">
      <c r="A2" s="1"/>
    </row>
    <row r="3" spans="1:21" x14ac:dyDescent="0.3">
      <c r="A3" s="1"/>
    </row>
    <row r="4" spans="1:21" x14ac:dyDescent="0.3">
      <c r="A4" s="589" t="s">
        <v>473</v>
      </c>
      <c r="B4" s="823" t="s">
        <v>508</v>
      </c>
      <c r="C4" s="824"/>
      <c r="D4" s="824"/>
      <c r="E4" s="824"/>
      <c r="F4" s="824"/>
      <c r="G4" s="824"/>
      <c r="H4" s="824"/>
      <c r="I4" s="824"/>
      <c r="J4" s="824"/>
      <c r="K4" s="824"/>
      <c r="L4" s="824"/>
      <c r="M4" s="824"/>
      <c r="N4" s="824"/>
    </row>
    <row r="5" spans="1:21" ht="14.45" customHeight="1" x14ac:dyDescent="0.3">
      <c r="B5" s="681"/>
      <c r="C5" s="682"/>
      <c r="D5" s="1"/>
      <c r="E5" s="1"/>
      <c r="F5" s="682"/>
      <c r="G5" s="683"/>
      <c r="I5" s="1"/>
      <c r="J5" s="682"/>
      <c r="K5" s="683"/>
    </row>
    <row r="6" spans="1:21" s="1" customFormat="1" ht="14.45" customHeight="1" x14ac:dyDescent="0.25">
      <c r="B6" s="684" t="s">
        <v>509</v>
      </c>
      <c r="I6" s="684" t="s">
        <v>510</v>
      </c>
    </row>
    <row r="7" spans="1:21" s="1" customFormat="1" ht="14.45" customHeight="1" x14ac:dyDescent="0.3">
      <c r="B7" s="685" t="s">
        <v>511</v>
      </c>
      <c r="C7" s="686" t="s">
        <v>512</v>
      </c>
      <c r="D7" s="686"/>
      <c r="I7" s="685" t="s">
        <v>511</v>
      </c>
      <c r="J7" s="686" t="s">
        <v>512</v>
      </c>
      <c r="K7" s="686"/>
    </row>
    <row r="8" spans="1:21" s="1" customFormat="1" ht="14.45" customHeight="1" thickBot="1" x14ac:dyDescent="0.35">
      <c r="C8" s="687" t="s">
        <v>971</v>
      </c>
      <c r="D8" s="687" t="s">
        <v>972</v>
      </c>
      <c r="J8" s="687" t="str">
        <f>C8</f>
        <v>2015E</v>
      </c>
      <c r="K8" s="687" t="str">
        <f>D8</f>
        <v>2020E</v>
      </c>
    </row>
    <row r="9" spans="1:21" s="1" customFormat="1" ht="14.45" customHeight="1" x14ac:dyDescent="0.25">
      <c r="B9" s="1" t="s">
        <v>513</v>
      </c>
      <c r="C9" s="7">
        <f>C11-C10</f>
        <v>24263.033552881352</v>
      </c>
      <c r="D9" s="688">
        <f ca="1">G26</f>
        <v>66707.53904256344</v>
      </c>
      <c r="I9" s="1" t="s">
        <v>514</v>
      </c>
      <c r="J9" s="688">
        <f>N29</f>
        <v>0</v>
      </c>
      <c r="K9" s="688">
        <f ca="1">N31</f>
        <v>39418.125182715579</v>
      </c>
    </row>
    <row r="10" spans="1:21" s="1" customFormat="1" ht="14.45" customHeight="1" x14ac:dyDescent="0.25">
      <c r="B10" s="1" t="s">
        <v>515</v>
      </c>
      <c r="C10" s="688">
        <f>'Valuation &amp; Sources &amp; Uses'!D37</f>
        <v>10059.490820000001</v>
      </c>
      <c r="D10" s="7">
        <f ca="1">D11-D9</f>
        <v>15.40545629686676</v>
      </c>
    </row>
    <row r="11" spans="1:21" s="1" customFormat="1" ht="14.45" customHeight="1" thickBot="1" x14ac:dyDescent="0.35">
      <c r="B11" s="689" t="s">
        <v>516</v>
      </c>
      <c r="C11" s="690">
        <f>'Valuation &amp; Sources &amp; Uses'!D36</f>
        <v>34322.524372881351</v>
      </c>
      <c r="D11" s="691">
        <f ca="1">G20</f>
        <v>66722.944498860292</v>
      </c>
    </row>
    <row r="12" spans="1:21" s="1" customFormat="1" ht="14.45" customHeight="1" x14ac:dyDescent="0.25"/>
    <row r="13" spans="1:21" s="1" customFormat="1" ht="13.5" x14ac:dyDescent="0.25"/>
    <row r="14" spans="1:21" s="1" customFormat="1" ht="15" x14ac:dyDescent="0.3">
      <c r="B14" s="825" t="s">
        <v>517</v>
      </c>
      <c r="C14" s="825"/>
      <c r="D14" s="825"/>
      <c r="E14" s="825"/>
      <c r="F14" s="825"/>
      <c r="G14" s="825"/>
      <c r="I14" s="1216" t="s">
        <v>518</v>
      </c>
      <c r="J14" s="1216"/>
      <c r="K14" s="1216"/>
      <c r="L14" s="1216"/>
      <c r="M14" s="1216"/>
      <c r="N14" s="1216"/>
    </row>
    <row r="15" spans="1:21" s="1" customFormat="1" ht="17.25" x14ac:dyDescent="0.45">
      <c r="T15" s="846"/>
      <c r="U15" s="846"/>
    </row>
    <row r="16" spans="1:21" s="1" customFormat="1" ht="15" x14ac:dyDescent="0.3">
      <c r="B16" s="692" t="s">
        <v>511</v>
      </c>
      <c r="C16" s="693"/>
      <c r="D16" s="693"/>
      <c r="E16" s="693"/>
      <c r="F16" s="692" t="s">
        <v>511</v>
      </c>
      <c r="G16" s="694" t="s">
        <v>10</v>
      </c>
      <c r="H16" s="695"/>
      <c r="I16" s="692" t="s">
        <v>511</v>
      </c>
      <c r="J16" s="693"/>
      <c r="K16" s="693"/>
      <c r="L16" s="693"/>
      <c r="M16" s="692" t="s">
        <v>511</v>
      </c>
      <c r="N16" s="686" t="s">
        <v>10</v>
      </c>
      <c r="T16" s="845"/>
    </row>
    <row r="17" spans="2:16" s="1" customFormat="1" ht="15.75" thickBot="1" x14ac:dyDescent="0.35">
      <c r="G17" s="696" t="str">
        <f>D8</f>
        <v>2020E</v>
      </c>
      <c r="N17" s="696" t="str">
        <f>G17</f>
        <v>2020E</v>
      </c>
    </row>
    <row r="18" spans="2:16" s="1" customFormat="1" ht="13.5" x14ac:dyDescent="0.25">
      <c r="F18" s="1" t="str">
        <f>+"FY "&amp;G17&amp;" EBITDA"</f>
        <v>FY 2020E EBITDA</v>
      </c>
      <c r="G18" s="697">
        <f ca="1">'Summary Income Statement'!AM71</f>
        <v>9531.849214122898</v>
      </c>
      <c r="M18" s="1" t="str">
        <f>+"FY "&amp;N17&amp;" EBITDA"</f>
        <v>FY 2020E EBITDA</v>
      </c>
      <c r="N18" s="697">
        <f ca="1">G18</f>
        <v>9531.849214122898</v>
      </c>
    </row>
    <row r="19" spans="2:16" s="1" customFormat="1" ht="13.5" x14ac:dyDescent="0.25">
      <c r="F19" s="1" t="s">
        <v>519</v>
      </c>
      <c r="G19" s="698">
        <v>7</v>
      </c>
      <c r="M19" s="1" t="s">
        <v>519</v>
      </c>
      <c r="N19" s="698">
        <f>G19</f>
        <v>7</v>
      </c>
    </row>
    <row r="20" spans="2:16" s="1" customFormat="1" ht="13.5" x14ac:dyDescent="0.25">
      <c r="F20" s="1" t="s">
        <v>474</v>
      </c>
      <c r="G20" s="699">
        <f ca="1">G18*G19</f>
        <v>66722.944498860292</v>
      </c>
      <c r="M20" s="1" t="s">
        <v>474</v>
      </c>
      <c r="N20" s="699">
        <f ca="1">N18*N19</f>
        <v>66722.944498860292</v>
      </c>
    </row>
    <row r="21" spans="2:16" s="1" customFormat="1" ht="13.5" x14ac:dyDescent="0.25">
      <c r="G21" s="695"/>
      <c r="N21" s="695"/>
    </row>
    <row r="22" spans="2:16" s="1" customFormat="1" ht="13.5" x14ac:dyDescent="0.25">
      <c r="G22" s="695"/>
      <c r="N22" s="695"/>
    </row>
    <row r="23" spans="2:16" s="1" customFormat="1" ht="13.5" x14ac:dyDescent="0.25">
      <c r="F23" s="1" t="s">
        <v>474</v>
      </c>
      <c r="G23" s="697">
        <f ca="1">G20</f>
        <v>66722.944498860292</v>
      </c>
      <c r="M23" s="1" t="s">
        <v>474</v>
      </c>
      <c r="N23" s="697">
        <f ca="1">N20</f>
        <v>66722.944498860292</v>
      </c>
    </row>
    <row r="24" spans="2:16" s="1" customFormat="1" ht="13.5" x14ac:dyDescent="0.25">
      <c r="F24" s="1" t="s">
        <v>520</v>
      </c>
      <c r="G24" s="700">
        <v>-15.405456296846296</v>
      </c>
      <c r="M24" s="1" t="s">
        <v>520</v>
      </c>
      <c r="N24" s="700">
        <f ca="1">-SUM('Summary Balance Sheet'!AN38:AN41)</f>
        <v>-11925.048737160538</v>
      </c>
    </row>
    <row r="25" spans="2:16" s="1" customFormat="1" ht="13.5" x14ac:dyDescent="0.25">
      <c r="F25" s="1" t="s">
        <v>521</v>
      </c>
      <c r="G25" s="688">
        <v>0</v>
      </c>
      <c r="M25" s="1" t="s">
        <v>521</v>
      </c>
      <c r="N25" s="688">
        <f ca="1">'Summary Balance Sheet'!AN6</f>
        <v>101.99999291498929</v>
      </c>
    </row>
    <row r="26" spans="2:16" s="1" customFormat="1" ht="15.75" thickBot="1" x14ac:dyDescent="0.35">
      <c r="F26" s="689" t="s">
        <v>476</v>
      </c>
      <c r="G26" s="701">
        <f ca="1">SUM(G23:G25)</f>
        <v>66707.53904256344</v>
      </c>
      <c r="M26" s="689" t="s">
        <v>596</v>
      </c>
      <c r="N26" s="701">
        <f ca="1">SUM(N23:N25)</f>
        <v>54899.895754614743</v>
      </c>
      <c r="P26" s="4"/>
    </row>
    <row r="27" spans="2:16" s="1" customFormat="1" ht="13.5" x14ac:dyDescent="0.25">
      <c r="G27" s="695"/>
      <c r="P27" s="4"/>
    </row>
    <row r="28" spans="2:16" s="1" customFormat="1" ht="13.5" x14ac:dyDescent="0.25">
      <c r="G28" s="695"/>
      <c r="M28" s="684" t="s">
        <v>522</v>
      </c>
      <c r="P28" s="4"/>
    </row>
    <row r="29" spans="2:16" s="1" customFormat="1" ht="13.5" x14ac:dyDescent="0.25">
      <c r="G29" s="695"/>
      <c r="M29" s="1" t="s">
        <v>40</v>
      </c>
      <c r="N29" s="697">
        <f>G31</f>
        <v>0</v>
      </c>
    </row>
    <row r="30" spans="2:16" s="1" customFormat="1" ht="13.5" x14ac:dyDescent="0.25">
      <c r="F30" s="684" t="s">
        <v>523</v>
      </c>
      <c r="G30" s="695"/>
      <c r="M30" s="1" t="s">
        <v>597</v>
      </c>
      <c r="N30" s="688">
        <f ca="1">SUM(Economics!C21:W21,Economics!C10:W10)</f>
        <v>5124.7057532800827</v>
      </c>
    </row>
    <row r="31" spans="2:16" x14ac:dyDescent="0.3">
      <c r="B31" s="1"/>
      <c r="C31" s="1"/>
      <c r="D31" s="1"/>
      <c r="E31" s="1"/>
      <c r="F31" s="1" t="s">
        <v>40</v>
      </c>
      <c r="G31" s="697">
        <f>-Economics!C8</f>
        <v>0</v>
      </c>
      <c r="I31" s="1"/>
      <c r="J31" s="1"/>
      <c r="K31" s="1"/>
      <c r="L31" s="1"/>
      <c r="M31" s="1" t="s">
        <v>525</v>
      </c>
      <c r="N31" s="688">
        <f ca="1">N26*'Valuation &amp; Sources &amp; Uses'!D7-P31</f>
        <v>39418.125151813387</v>
      </c>
      <c r="O31" s="588" t="s">
        <v>389</v>
      </c>
      <c r="P31" s="688">
        <f ca="1">Economics!$X$34</f>
        <v>0</v>
      </c>
    </row>
    <row r="32" spans="2:16" x14ac:dyDescent="0.3">
      <c r="B32" s="1"/>
      <c r="C32" s="1"/>
      <c r="D32" s="1"/>
      <c r="E32" s="1"/>
      <c r="F32" s="1" t="s">
        <v>524</v>
      </c>
      <c r="G32" s="688">
        <f ca="1">G26</f>
        <v>66707.53904256344</v>
      </c>
      <c r="I32" s="1"/>
      <c r="J32" s="1"/>
      <c r="K32" s="1"/>
      <c r="L32" s="1"/>
      <c r="M32" s="1" t="s">
        <v>616</v>
      </c>
      <c r="N32" s="847">
        <f ca="1">SUM(N30:N31)</f>
        <v>44542.830905093469</v>
      </c>
    </row>
    <row r="33" spans="2:14" x14ac:dyDescent="0.3">
      <c r="B33" s="1"/>
      <c r="C33" s="1"/>
      <c r="D33" s="1"/>
      <c r="E33" s="1"/>
      <c r="F33" s="1"/>
      <c r="G33" s="1"/>
      <c r="I33" s="1"/>
      <c r="J33" s="1"/>
      <c r="K33" s="1"/>
      <c r="L33" s="1"/>
    </row>
    <row r="34" spans="2:14" x14ac:dyDescent="0.3">
      <c r="B34" s="1"/>
      <c r="C34" s="1"/>
      <c r="D34" s="1"/>
      <c r="E34" s="1"/>
      <c r="F34" s="702" t="s">
        <v>526</v>
      </c>
      <c r="G34" s="703">
        <f ca="1">++IFERROR(RATE(5,0,-G31,G32),0)</f>
        <v>0</v>
      </c>
      <c r="I34" s="1"/>
      <c r="J34" s="1"/>
      <c r="K34" s="1"/>
      <c r="L34" s="1"/>
      <c r="M34" s="702" t="s">
        <v>526</v>
      </c>
      <c r="N34" s="703">
        <f ca="1">++IFERROR(RATE(5,0,-N29,N32),0)</f>
        <v>0</v>
      </c>
    </row>
    <row r="35" spans="2:14" ht="17.25" thickBot="1" x14ac:dyDescent="0.35">
      <c r="B35" s="1"/>
      <c r="C35" s="1"/>
      <c r="D35" s="1"/>
      <c r="E35" s="1"/>
      <c r="F35" s="704" t="s">
        <v>527</v>
      </c>
      <c r="G35" s="705">
        <f>+IF(G31=0,0,G32/G31)</f>
        <v>0</v>
      </c>
      <c r="I35" s="1"/>
      <c r="J35" s="1"/>
      <c r="K35" s="1"/>
      <c r="L35" s="1"/>
      <c r="M35" s="704" t="s">
        <v>527</v>
      </c>
      <c r="N35" s="705">
        <f>+IF(N29=0,0,N31/N29)</f>
        <v>0</v>
      </c>
    </row>
    <row r="37" spans="2:14" x14ac:dyDescent="0.3">
      <c r="B37" s="706"/>
      <c r="C37" s="707"/>
      <c r="D37" s="707"/>
      <c r="E37" s="707"/>
      <c r="F37" s="707"/>
      <c r="G37" s="707"/>
      <c r="I37" s="842"/>
      <c r="J37" s="843"/>
      <c r="K37" s="843"/>
      <c r="L37" s="843"/>
      <c r="M37" s="843"/>
      <c r="N37" s="843"/>
    </row>
  </sheetData>
  <mergeCells count="1">
    <mergeCell ref="I14:N14"/>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zoomScale="80" zoomScaleNormal="80" workbookViewId="0">
      <selection activeCell="H15" sqref="H15"/>
    </sheetView>
  </sheetViews>
  <sheetFormatPr defaultColWidth="8.85546875" defaultRowHeight="16.5" x14ac:dyDescent="0.3"/>
  <cols>
    <col min="1" max="1" width="2.7109375" style="588" customWidth="1"/>
    <col min="2" max="2" width="22.7109375" style="588" customWidth="1"/>
    <col min="3" max="3" width="15.7109375" style="588" customWidth="1"/>
    <col min="4" max="4" width="2.7109375" style="588" customWidth="1"/>
    <col min="5" max="5" width="22.7109375" style="588" customWidth="1"/>
    <col min="6" max="6" width="15.7109375" style="588" customWidth="1"/>
    <col min="7" max="19" width="12.7109375" style="588" customWidth="1"/>
    <col min="20" max="20" width="9.140625" style="588" customWidth="1"/>
    <col min="21" max="16384" width="8.85546875" style="588"/>
  </cols>
  <sheetData>
    <row r="1" spans="1:11" ht="21" thickBot="1" x14ac:dyDescent="0.35">
      <c r="A1" s="586" t="s">
        <v>976</v>
      </c>
      <c r="B1" s="587"/>
      <c r="C1" s="587"/>
      <c r="D1" s="587"/>
      <c r="E1" s="587"/>
      <c r="F1" s="587"/>
      <c r="G1" s="587"/>
      <c r="H1" s="587"/>
      <c r="I1" s="587"/>
    </row>
    <row r="2" spans="1:11" x14ac:dyDescent="0.3">
      <c r="A2" s="1" t="s">
        <v>528</v>
      </c>
    </row>
    <row r="3" spans="1:11" x14ac:dyDescent="0.3">
      <c r="A3" s="1"/>
    </row>
    <row r="4" spans="1:11" x14ac:dyDescent="0.3">
      <c r="A4" s="589" t="s">
        <v>473</v>
      </c>
      <c r="B4" s="590" t="s">
        <v>528</v>
      </c>
      <c r="C4" s="591"/>
      <c r="D4" s="591"/>
      <c r="E4" s="591"/>
      <c r="F4" s="591"/>
      <c r="G4" s="591"/>
      <c r="H4" s="591"/>
      <c r="I4" s="591"/>
    </row>
    <row r="5" spans="1:11" ht="14.45" customHeight="1" x14ac:dyDescent="0.3">
      <c r="B5" s="681"/>
      <c r="C5" s="682"/>
      <c r="D5" s="1"/>
      <c r="E5" s="1"/>
      <c r="F5" s="682"/>
      <c r="G5" s="683" t="s">
        <v>529</v>
      </c>
    </row>
    <row r="6" spans="1:11" ht="14.45" customHeight="1" thickBot="1" x14ac:dyDescent="0.35">
      <c r="B6" s="684" t="s">
        <v>64</v>
      </c>
      <c r="C6" s="708" t="s">
        <v>530</v>
      </c>
      <c r="D6" s="1"/>
      <c r="E6" s="684" t="s">
        <v>63</v>
      </c>
      <c r="F6" s="708" t="s">
        <v>531</v>
      </c>
      <c r="G6" s="708" t="s">
        <v>9</v>
      </c>
      <c r="H6" s="708" t="s">
        <v>532</v>
      </c>
      <c r="I6" s="708" t="s">
        <v>533</v>
      </c>
      <c r="K6" s="708" t="s">
        <v>9</v>
      </c>
    </row>
    <row r="7" spans="1:11" ht="14.45" customHeight="1" x14ac:dyDescent="0.3">
      <c r="B7" s="695" t="s">
        <v>534</v>
      </c>
      <c r="C7" s="697">
        <v>16000</v>
      </c>
      <c r="D7" s="1"/>
      <c r="E7" s="695" t="s">
        <v>973</v>
      </c>
      <c r="F7" s="697">
        <v>1500</v>
      </c>
      <c r="G7" s="709">
        <f>F7/$K$7</f>
        <v>0.56603773584905659</v>
      </c>
      <c r="H7" s="710">
        <v>3.5000000000000003E-2</v>
      </c>
      <c r="I7" s="711"/>
      <c r="K7" s="712">
        <v>2650</v>
      </c>
    </row>
    <row r="8" spans="1:11" ht="14.45" customHeight="1" x14ac:dyDescent="0.3">
      <c r="B8" s="695" t="s">
        <v>535</v>
      </c>
      <c r="C8" s="688">
        <v>595</v>
      </c>
      <c r="D8" s="1"/>
      <c r="E8" s="695" t="s">
        <v>974</v>
      </c>
      <c r="F8" s="713">
        <v>4000</v>
      </c>
      <c r="G8" s="709">
        <f>F8/$K$7</f>
        <v>1.5094339622641511</v>
      </c>
      <c r="H8" s="710">
        <v>0.05</v>
      </c>
      <c r="I8" s="714">
        <v>5</v>
      </c>
    </row>
    <row r="9" spans="1:11" ht="14.45" customHeight="1" x14ac:dyDescent="0.3">
      <c r="B9" s="695"/>
      <c r="C9" s="688"/>
      <c r="D9" s="1"/>
      <c r="E9" s="695" t="s">
        <v>975</v>
      </c>
      <c r="F9" s="713">
        <v>3000</v>
      </c>
      <c r="G9" s="709">
        <f>F9/$K$7</f>
        <v>1.1320754716981132</v>
      </c>
      <c r="H9" s="710">
        <v>0.11</v>
      </c>
      <c r="I9" s="714"/>
    </row>
    <row r="10" spans="1:11" ht="14.45" customHeight="1" x14ac:dyDescent="0.3">
      <c r="B10" s="695"/>
      <c r="C10" s="688"/>
      <c r="D10" s="1"/>
      <c r="E10" s="695" t="s">
        <v>477</v>
      </c>
      <c r="F10" s="713">
        <v>600</v>
      </c>
      <c r="G10" s="709"/>
      <c r="H10" s="710"/>
      <c r="I10" s="714"/>
    </row>
    <row r="11" spans="1:11" ht="14.45" customHeight="1" x14ac:dyDescent="0.3">
      <c r="B11" s="695"/>
      <c r="C11" s="688"/>
      <c r="D11" s="1"/>
      <c r="E11" s="695" t="s">
        <v>342</v>
      </c>
      <c r="F11" s="713">
        <v>7495</v>
      </c>
      <c r="G11" s="709"/>
      <c r="H11" s="711"/>
      <c r="I11" s="711"/>
    </row>
    <row r="12" spans="1:11" ht="14.45" customHeight="1" x14ac:dyDescent="0.3">
      <c r="B12" s="695"/>
      <c r="C12" s="688"/>
      <c r="D12" s="1"/>
      <c r="E12" s="695"/>
      <c r="F12" s="713"/>
      <c r="G12" s="709"/>
      <c r="H12" s="1"/>
      <c r="I12" s="1"/>
    </row>
    <row r="13" spans="1:11" ht="14.45" customHeight="1" thickBot="1" x14ac:dyDescent="0.35">
      <c r="B13" s="689" t="s">
        <v>536</v>
      </c>
      <c r="C13" s="715">
        <f>SUM(C7:C12)</f>
        <v>16595</v>
      </c>
      <c r="D13" s="1"/>
      <c r="E13" s="689" t="s">
        <v>537</v>
      </c>
      <c r="F13" s="715">
        <f>SUM(F7:F12)</f>
        <v>16595</v>
      </c>
      <c r="G13" s="715"/>
      <c r="H13" s="715"/>
      <c r="I13" s="715"/>
    </row>
    <row r="14" spans="1:11" ht="14.45" customHeight="1" x14ac:dyDescent="0.3">
      <c r="B14" s="681" t="s">
        <v>538</v>
      </c>
      <c r="C14" s="716">
        <f>F13-C13</f>
        <v>0</v>
      </c>
      <c r="D14" s="1"/>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
  <sheetViews>
    <sheetView zoomScale="80" zoomScaleNormal="80" workbookViewId="0"/>
  </sheetViews>
  <sheetFormatPr defaultRowHeight="15" x14ac:dyDescent="0.2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showGridLines="0" zoomScale="80" zoomScaleNormal="80" zoomScaleSheetLayoutView="100" workbookViewId="0">
      <selection activeCell="E23" sqref="E23"/>
    </sheetView>
  </sheetViews>
  <sheetFormatPr defaultColWidth="8.85546875" defaultRowHeight="16.5" outlineLevelRow="1" x14ac:dyDescent="0.3"/>
  <cols>
    <col min="1" max="1" width="2.7109375" style="588" customWidth="1"/>
    <col min="2" max="2" width="37.7109375" style="588" customWidth="1"/>
    <col min="3" max="8" width="13.42578125" style="588" bestFit="1" customWidth="1"/>
    <col min="9" max="9" width="8.85546875" style="588"/>
    <col min="10" max="10" width="15.140625" style="588" bestFit="1" customWidth="1"/>
    <col min="11" max="11" width="29.7109375" style="588" bestFit="1" customWidth="1"/>
    <col min="12" max="12" width="14.7109375" style="588" bestFit="1" customWidth="1"/>
    <col min="13" max="16384" width="8.85546875" style="588"/>
  </cols>
  <sheetData>
    <row r="1" spans="1:8" ht="21" thickBot="1" x14ac:dyDescent="0.35">
      <c r="A1" s="586" t="s">
        <v>976</v>
      </c>
      <c r="B1" s="587"/>
      <c r="C1" s="587"/>
      <c r="D1" s="587"/>
      <c r="E1" s="587"/>
      <c r="F1" s="587"/>
      <c r="G1" s="587"/>
      <c r="H1" s="587"/>
    </row>
    <row r="2" spans="1:8" x14ac:dyDescent="0.3">
      <c r="A2" s="1" t="s">
        <v>539</v>
      </c>
    </row>
    <row r="3" spans="1:8" x14ac:dyDescent="0.3">
      <c r="A3" s="1"/>
    </row>
    <row r="4" spans="1:8" x14ac:dyDescent="0.3">
      <c r="A4" s="589" t="s">
        <v>473</v>
      </c>
      <c r="B4" s="823" t="s">
        <v>540</v>
      </c>
      <c r="C4" s="824"/>
      <c r="D4" s="824"/>
      <c r="E4" s="824"/>
      <c r="F4" s="824"/>
      <c r="G4" s="824"/>
      <c r="H4" s="824"/>
    </row>
    <row r="5" spans="1:8" x14ac:dyDescent="0.3">
      <c r="A5" s="717"/>
      <c r="B5" s="718"/>
      <c r="C5" s="719"/>
      <c r="D5" s="719"/>
      <c r="E5" s="719"/>
      <c r="F5" s="719"/>
    </row>
    <row r="6" spans="1:8" s="1" customFormat="1" ht="15" x14ac:dyDescent="0.3">
      <c r="B6" s="681"/>
      <c r="C6" s="720" t="s">
        <v>10</v>
      </c>
      <c r="D6" s="721" t="s">
        <v>541</v>
      </c>
      <c r="E6" s="721"/>
      <c r="F6" s="721"/>
      <c r="G6" s="721"/>
      <c r="H6" s="721"/>
    </row>
    <row r="7" spans="1:8" s="1" customFormat="1" ht="15.75" thickBot="1" x14ac:dyDescent="0.35">
      <c r="B7" s="695"/>
      <c r="C7" s="722">
        <f>'Returns Analysis'!H6</f>
        <v>42308</v>
      </c>
      <c r="D7" s="723">
        <f>'Returns Analysis'!I6</f>
        <v>42674</v>
      </c>
      <c r="E7" s="723">
        <f>'Returns Analysis'!J6</f>
        <v>43039</v>
      </c>
      <c r="F7" s="723">
        <f>'Returns Analysis'!K6</f>
        <v>43404</v>
      </c>
      <c r="G7" s="723">
        <f>'Returns Analysis'!L6</f>
        <v>43769</v>
      </c>
      <c r="H7" s="723">
        <f>'Returns Analysis'!M6</f>
        <v>44135</v>
      </c>
    </row>
    <row r="8" spans="1:8" s="1" customFormat="1" ht="13.5" x14ac:dyDescent="0.25">
      <c r="B8" s="695" t="s">
        <v>118</v>
      </c>
      <c r="C8" s="724">
        <f ca="1">'IS Summary'!F8</f>
        <v>38000</v>
      </c>
      <c r="D8" s="724">
        <f ca="1">'IS Summary'!G8</f>
        <v>41040</v>
      </c>
      <c r="E8" s="724">
        <f ca="1">'IS Summary'!H8</f>
        <v>44323.199999999997</v>
      </c>
      <c r="F8" s="724">
        <f ca="1">'IS Summary'!I8</f>
        <v>47869.056000000011</v>
      </c>
      <c r="G8" s="724">
        <f ca="1">'IS Summary'!J8</f>
        <v>51698.580480000019</v>
      </c>
      <c r="H8" s="724">
        <f ca="1">'IS Summary'!K8</f>
        <v>55834.466918400023</v>
      </c>
    </row>
    <row r="9" spans="1:8" s="1" customFormat="1" ht="15" x14ac:dyDescent="0.3">
      <c r="B9" s="725" t="s">
        <v>542</v>
      </c>
      <c r="C9" s="726">
        <v>6.4799415257519311E-3</v>
      </c>
      <c r="D9" s="727">
        <f ca="1">+IF(C8=0,0,D8/C8-1)</f>
        <v>8.0000000000000071E-2</v>
      </c>
      <c r="E9" s="727">
        <f ca="1">+IF(D8=0,0,E8/D8-1)</f>
        <v>7.9999999999999849E-2</v>
      </c>
      <c r="F9" s="727">
        <f ca="1">+IF(E8=0,0,F8/E8-1)</f>
        <v>8.0000000000000293E-2</v>
      </c>
      <c r="G9" s="727">
        <f ca="1">+IF(F8=0,0,G8/F8-1)</f>
        <v>8.0000000000000071E-2</v>
      </c>
      <c r="H9" s="727">
        <f ca="1">+IF(G8=0,0,H8/G8-1)</f>
        <v>8.0000000000000071E-2</v>
      </c>
    </row>
    <row r="10" spans="1:8" s="1" customFormat="1" ht="13.5" x14ac:dyDescent="0.25">
      <c r="B10" s="695"/>
      <c r="C10" s="728"/>
      <c r="D10" s="695"/>
      <c r="E10" s="695"/>
      <c r="F10" s="695"/>
      <c r="G10" s="695"/>
      <c r="H10" s="695"/>
    </row>
    <row r="11" spans="1:8" s="1" customFormat="1" ht="15" x14ac:dyDescent="0.3">
      <c r="B11" s="729" t="s">
        <v>70</v>
      </c>
      <c r="C11" s="730">
        <f ca="1">'IS Summary'!F18</f>
        <v>6032.892085613561</v>
      </c>
      <c r="D11" s="731">
        <f ca="1">'IS Summary'!G18</f>
        <v>6330.0662625000023</v>
      </c>
      <c r="E11" s="731">
        <f ca="1">'IS Summary'!H18</f>
        <v>7132.8935756249975</v>
      </c>
      <c r="F11" s="731">
        <f ca="1">'IS Summary'!I18</f>
        <v>8021.4166544062537</v>
      </c>
      <c r="G11" s="731">
        <f ca="1">'IS Summary'!J18</f>
        <v>8745.6036151265725</v>
      </c>
      <c r="H11" s="731">
        <f ca="1">'IS Summary'!K18</f>
        <v>9531.849214122898</v>
      </c>
    </row>
    <row r="12" spans="1:8" s="1" customFormat="1" ht="15" x14ac:dyDescent="0.3">
      <c r="B12" s="732" t="s">
        <v>543</v>
      </c>
      <c r="C12" s="733">
        <f t="shared" ref="C12:H12" ca="1" si="0">C11/C8</f>
        <v>0.15876031804246213</v>
      </c>
      <c r="D12" s="734">
        <f t="shared" ca="1" si="0"/>
        <v>0.15424138066520474</v>
      </c>
      <c r="E12" s="734">
        <f t="shared" ca="1" si="0"/>
        <v>0.16092912009117116</v>
      </c>
      <c r="F12" s="734">
        <f t="shared" ca="1" si="0"/>
        <v>0.1675699778664165</v>
      </c>
      <c r="G12" s="734">
        <f t="shared" ca="1" si="0"/>
        <v>0.16916525625901613</v>
      </c>
      <c r="H12" s="734">
        <f t="shared" ca="1" si="0"/>
        <v>0.1707162213629323</v>
      </c>
    </row>
    <row r="13" spans="1:8" s="1" customFormat="1" ht="13.5" x14ac:dyDescent="0.25">
      <c r="B13" s="695"/>
      <c r="C13" s="728"/>
      <c r="D13" s="695"/>
      <c r="E13" s="695"/>
      <c r="F13" s="695"/>
      <c r="G13" s="695"/>
      <c r="H13" s="695"/>
    </row>
    <row r="14" spans="1:8" s="1" customFormat="1" ht="13.5" x14ac:dyDescent="0.25">
      <c r="B14" s="695" t="s">
        <v>29</v>
      </c>
      <c r="C14" s="728"/>
      <c r="D14" s="688">
        <f ca="1">'Summary Income Statement'!AI40</f>
        <v>1635.8967695000001</v>
      </c>
      <c r="E14" s="688">
        <f ca="1">'Summary Income Statement'!AJ40</f>
        <v>1785.8967694999999</v>
      </c>
      <c r="F14" s="688">
        <f ca="1">'Summary Income Statement'!AK40</f>
        <v>1935.8967694999999</v>
      </c>
      <c r="G14" s="688">
        <f ca="1">'Summary Income Statement'!AL40</f>
        <v>2085.8967695000001</v>
      </c>
      <c r="H14" s="688">
        <f ca="1">'Summary Income Statement'!AM40</f>
        <v>2235.8967695000001</v>
      </c>
    </row>
    <row r="15" spans="1:8" s="1" customFormat="1" ht="13.5" hidden="1" outlineLevel="1" x14ac:dyDescent="0.25">
      <c r="B15" s="695" t="s">
        <v>544</v>
      </c>
      <c r="C15" s="728"/>
      <c r="D15" s="688">
        <v>0</v>
      </c>
      <c r="E15" s="688">
        <v>0</v>
      </c>
      <c r="F15" s="688">
        <v>0</v>
      </c>
      <c r="G15" s="688">
        <v>0</v>
      </c>
      <c r="H15" s="688">
        <v>0</v>
      </c>
    </row>
    <row r="16" spans="1:8" s="1" customFormat="1" ht="13.5" hidden="1" outlineLevel="1" x14ac:dyDescent="0.25">
      <c r="B16" s="695" t="s">
        <v>545</v>
      </c>
      <c r="C16" s="728"/>
      <c r="D16" s="688"/>
      <c r="E16" s="688"/>
      <c r="F16" s="688"/>
      <c r="G16" s="688"/>
      <c r="H16" s="688"/>
    </row>
    <row r="17" spans="2:8" s="1" customFormat="1" ht="13.5" hidden="1" outlineLevel="1" x14ac:dyDescent="0.25">
      <c r="B17" s="695" t="s">
        <v>546</v>
      </c>
      <c r="C17" s="728"/>
      <c r="D17" s="688"/>
      <c r="E17" s="688"/>
      <c r="F17" s="688"/>
      <c r="G17" s="688"/>
      <c r="H17" s="688"/>
    </row>
    <row r="18" spans="2:8" s="1" customFormat="1" ht="13.5" hidden="1" outlineLevel="1" x14ac:dyDescent="0.25">
      <c r="B18" s="735" t="s">
        <v>547</v>
      </c>
      <c r="C18" s="728"/>
      <c r="D18" s="688"/>
      <c r="E18" s="688"/>
      <c r="F18" s="688"/>
      <c r="G18" s="688"/>
      <c r="H18" s="688"/>
    </row>
    <row r="19" spans="2:8" s="1" customFormat="1" ht="13.5" collapsed="1" x14ac:dyDescent="0.25">
      <c r="B19" s="695" t="s">
        <v>548</v>
      </c>
      <c r="C19" s="728"/>
      <c r="D19" s="736">
        <f ca="1">D11-SUM(D14:D18)</f>
        <v>4694.1694930000021</v>
      </c>
      <c r="E19" s="736">
        <f ca="1">E11-SUM(E14:E18)</f>
        <v>5346.9968061249974</v>
      </c>
      <c r="F19" s="736">
        <f ca="1">F11-SUM(F14:F18)</f>
        <v>6085.5198849062535</v>
      </c>
      <c r="G19" s="736">
        <f ca="1">G11-SUM(G14:G18)</f>
        <v>6659.7068456265724</v>
      </c>
      <c r="H19" s="736">
        <f ca="1">H11-SUM(H14:H18)</f>
        <v>7295.9524446228979</v>
      </c>
    </row>
    <row r="20" spans="2:8" s="1" customFormat="1" ht="13.5" x14ac:dyDescent="0.25">
      <c r="B20" s="695"/>
      <c r="C20" s="728"/>
      <c r="D20" s="695"/>
      <c r="E20" s="695"/>
      <c r="F20" s="695"/>
      <c r="G20" s="695"/>
      <c r="H20" s="695"/>
    </row>
    <row r="21" spans="2:8" s="1" customFormat="1" ht="13.5" x14ac:dyDescent="0.25">
      <c r="B21" s="695" t="s">
        <v>126</v>
      </c>
      <c r="C21" s="728"/>
      <c r="D21" s="713">
        <f ca="1">-SOCF!AE35</f>
        <v>13.815026401876594</v>
      </c>
      <c r="E21" s="713">
        <f ca="1">-SOCF!AF35</f>
        <v>1242.0560082091849</v>
      </c>
      <c r="F21" s="713">
        <f ca="1">-SOCF!AG35</f>
        <v>1619.1752310543254</v>
      </c>
      <c r="G21" s="713">
        <f ca="1">-SOCF!AH35</f>
        <v>2113.2269245301504</v>
      </c>
      <c r="H21" s="713">
        <f ca="1">-SOCF!AI35</f>
        <v>2729.9365440310485</v>
      </c>
    </row>
    <row r="22" spans="2:8" s="1" customFormat="1" ht="15.75" thickBot="1" x14ac:dyDescent="0.35">
      <c r="B22" s="737" t="s">
        <v>549</v>
      </c>
      <c r="C22" s="738"/>
      <c r="D22" s="701">
        <f ca="1">D19-D21</f>
        <v>4680.3544665981253</v>
      </c>
      <c r="E22" s="701">
        <f ca="1">E19-E21</f>
        <v>4104.9407979158123</v>
      </c>
      <c r="F22" s="701">
        <f ca="1">F19-F21</f>
        <v>4466.3446538519283</v>
      </c>
      <c r="G22" s="701">
        <f ca="1">G19-G21</f>
        <v>4546.479921096422</v>
      </c>
      <c r="H22" s="701">
        <f ca="1">H19-H21</f>
        <v>4566.0159005918495</v>
      </c>
    </row>
    <row r="23" spans="2:8" s="1" customFormat="1" ht="13.5" x14ac:dyDescent="0.25">
      <c r="B23" s="695"/>
      <c r="C23" s="728"/>
      <c r="D23" s="695"/>
      <c r="E23" s="695"/>
      <c r="F23" s="695"/>
      <c r="G23" s="695"/>
      <c r="H23" s="695"/>
    </row>
    <row r="24" spans="2:8" s="1" customFormat="1" ht="13.5" x14ac:dyDescent="0.25">
      <c r="B24" s="695" t="s">
        <v>549</v>
      </c>
      <c r="C24" s="728"/>
      <c r="D24" s="697">
        <f ca="1">D22</f>
        <v>4680.3544665981253</v>
      </c>
      <c r="E24" s="697">
        <f ca="1">E22</f>
        <v>4104.9407979158123</v>
      </c>
      <c r="F24" s="697">
        <f ca="1">F22</f>
        <v>4466.3446538519283</v>
      </c>
      <c r="G24" s="697">
        <f ca="1">G22</f>
        <v>4546.479921096422</v>
      </c>
      <c r="H24" s="697">
        <f ca="1">H22</f>
        <v>4566.0159005918495</v>
      </c>
    </row>
    <row r="25" spans="2:8" s="1" customFormat="1" ht="13.5" x14ac:dyDescent="0.25">
      <c r="B25" s="695" t="s">
        <v>550</v>
      </c>
      <c r="C25" s="728"/>
      <c r="D25" s="688">
        <f ca="1">D14</f>
        <v>1635.8967695000001</v>
      </c>
      <c r="E25" s="688">
        <f t="shared" ref="E25:H26" ca="1" si="1">E14</f>
        <v>1785.8967694999999</v>
      </c>
      <c r="F25" s="688">
        <f t="shared" ca="1" si="1"/>
        <v>1935.8967694999999</v>
      </c>
      <c r="G25" s="688">
        <f t="shared" ca="1" si="1"/>
        <v>2085.8967695000001</v>
      </c>
      <c r="H25" s="688">
        <f t="shared" ca="1" si="1"/>
        <v>2235.8967695000001</v>
      </c>
    </row>
    <row r="26" spans="2:8" s="1" customFormat="1" ht="13.5" hidden="1" outlineLevel="1" x14ac:dyDescent="0.25">
      <c r="B26" s="695" t="s">
        <v>551</v>
      </c>
      <c r="C26" s="728"/>
      <c r="D26" s="688">
        <f>D15</f>
        <v>0</v>
      </c>
      <c r="E26" s="688">
        <f t="shared" si="1"/>
        <v>0</v>
      </c>
      <c r="F26" s="688">
        <f t="shared" si="1"/>
        <v>0</v>
      </c>
      <c r="G26" s="688">
        <f t="shared" si="1"/>
        <v>0</v>
      </c>
      <c r="H26" s="688">
        <f t="shared" si="1"/>
        <v>0</v>
      </c>
    </row>
    <row r="27" spans="2:8" s="1" customFormat="1" ht="13.5" hidden="1" outlineLevel="1" x14ac:dyDescent="0.25">
      <c r="B27" s="695" t="s">
        <v>552</v>
      </c>
      <c r="C27" s="728"/>
      <c r="D27" s="688"/>
      <c r="E27" s="688"/>
      <c r="F27" s="688"/>
      <c r="G27" s="688"/>
      <c r="H27" s="688"/>
    </row>
    <row r="28" spans="2:8" s="1" customFormat="1" ht="13.5" hidden="1" outlineLevel="1" x14ac:dyDescent="0.25">
      <c r="B28" s="695" t="s">
        <v>553</v>
      </c>
      <c r="C28" s="728"/>
      <c r="D28" s="688"/>
      <c r="E28" s="688"/>
      <c r="F28" s="688"/>
      <c r="G28" s="688"/>
      <c r="H28" s="688"/>
    </row>
    <row r="29" spans="2:8" s="1" customFormat="1" ht="13.5" hidden="1" outlineLevel="1" x14ac:dyDescent="0.25">
      <c r="B29" s="695" t="s">
        <v>554</v>
      </c>
      <c r="C29" s="728"/>
      <c r="D29" s="688">
        <f>D18</f>
        <v>0</v>
      </c>
      <c r="E29" s="688">
        <f>E18</f>
        <v>0</v>
      </c>
      <c r="F29" s="688">
        <f>F18</f>
        <v>0</v>
      </c>
      <c r="G29" s="688">
        <f>G18</f>
        <v>0</v>
      </c>
      <c r="H29" s="688">
        <f>H18</f>
        <v>0</v>
      </c>
    </row>
    <row r="30" spans="2:8" s="1" customFormat="1" ht="13.5" collapsed="1" x14ac:dyDescent="0.25">
      <c r="B30" s="695" t="s">
        <v>555</v>
      </c>
      <c r="C30" s="728"/>
      <c r="D30" s="688">
        <f ca="1">'NWC Summary'!G21</f>
        <v>-2344.3724848325091</v>
      </c>
      <c r="E30" s="688">
        <f ca="1">'NWC Summary'!H21</f>
        <v>1065.6004811313342</v>
      </c>
      <c r="F30" s="688">
        <f ca="1">'NWC Summary'!I21</f>
        <v>1148.5180796997993</v>
      </c>
      <c r="G30" s="688">
        <f ca="1">'NWC Summary'!J21</f>
        <v>1268.0090258629152</v>
      </c>
      <c r="H30" s="688">
        <f ca="1">'NWC Summary'!K21</f>
        <v>1369.1579120780298</v>
      </c>
    </row>
    <row r="31" spans="2:8" s="1" customFormat="1" ht="13.5" x14ac:dyDescent="0.25">
      <c r="B31" s="695" t="s">
        <v>556</v>
      </c>
      <c r="C31" s="728"/>
      <c r="D31" s="688">
        <f ca="1">SOCF!AE27</f>
        <v>-1499.9999999999982</v>
      </c>
      <c r="E31" s="688">
        <f ca="1">SOCF!AF27</f>
        <v>-1500</v>
      </c>
      <c r="F31" s="688">
        <f ca="1">SOCF!AG27</f>
        <v>-1500</v>
      </c>
      <c r="G31" s="688">
        <f ca="1">SOCF!AH27</f>
        <v>-1500</v>
      </c>
      <c r="H31" s="688">
        <f ca="1">SOCF!AI27</f>
        <v>-1500</v>
      </c>
    </row>
    <row r="32" spans="2:8" s="1" customFormat="1" ht="15.75" thickBot="1" x14ac:dyDescent="0.35">
      <c r="B32" s="737" t="s">
        <v>557</v>
      </c>
      <c r="C32" s="738"/>
      <c r="D32" s="701">
        <f ca="1">SUM(D24:D31)</f>
        <v>2471.8787512656181</v>
      </c>
      <c r="E32" s="701">
        <f ca="1">SUM(E24:E31)</f>
        <v>5456.4380485471465</v>
      </c>
      <c r="F32" s="701">
        <f ca="1">SUM(F24:F31)</f>
        <v>6050.7595030517277</v>
      </c>
      <c r="G32" s="701">
        <f ca="1">SUM(G24:G31)</f>
        <v>6400.3857164593373</v>
      </c>
      <c r="H32" s="701">
        <f ca="1">SUM(H24:H31)</f>
        <v>6671.0705821698793</v>
      </c>
    </row>
    <row r="33" spans="2:8" s="1" customFormat="1" ht="13.5" x14ac:dyDescent="0.25">
      <c r="B33" s="695"/>
      <c r="C33" s="695"/>
      <c r="D33" s="695"/>
      <c r="E33" s="695"/>
      <c r="F33" s="695"/>
      <c r="G33" s="695"/>
      <c r="H33" s="695"/>
    </row>
    <row r="34" spans="2:8" s="1" customFormat="1" ht="13.5" hidden="1" outlineLevel="1" x14ac:dyDescent="0.25">
      <c r="B34" s="739" t="s">
        <v>558</v>
      </c>
      <c r="C34" s="739"/>
      <c r="D34" s="695"/>
      <c r="E34" s="695"/>
      <c r="F34" s="695"/>
      <c r="G34" s="695"/>
      <c r="H34" s="695"/>
    </row>
    <row r="35" spans="2:8" s="1" customFormat="1" ht="13.5" hidden="1" outlineLevel="1" x14ac:dyDescent="0.25">
      <c r="B35" s="695" t="s">
        <v>559</v>
      </c>
      <c r="C35" s="695"/>
      <c r="D35" s="740">
        <v>0.18</v>
      </c>
      <c r="E35" s="740">
        <f>D35</f>
        <v>0.18</v>
      </c>
      <c r="F35" s="740">
        <f>E35</f>
        <v>0.18</v>
      </c>
      <c r="G35" s="740">
        <f>F35</f>
        <v>0.18</v>
      </c>
      <c r="H35" s="740">
        <f>G35</f>
        <v>0.18</v>
      </c>
    </row>
    <row r="36" spans="2:8" s="1" customFormat="1" ht="13.5" hidden="1" outlineLevel="1" x14ac:dyDescent="0.25">
      <c r="B36" s="695" t="s">
        <v>560</v>
      </c>
      <c r="C36" s="695"/>
      <c r="D36" s="741">
        <v>0.5</v>
      </c>
      <c r="E36" s="741">
        <f>D36+1</f>
        <v>1.5</v>
      </c>
      <c r="F36" s="741">
        <f>E36+1</f>
        <v>2.5</v>
      </c>
      <c r="G36" s="741">
        <f>F36+1</f>
        <v>3.5</v>
      </c>
      <c r="H36" s="741">
        <f>G36+1</f>
        <v>4.5</v>
      </c>
    </row>
    <row r="37" spans="2:8" s="1" customFormat="1" ht="13.5" hidden="1" outlineLevel="1" x14ac:dyDescent="0.25">
      <c r="B37" s="695" t="s">
        <v>561</v>
      </c>
      <c r="C37" s="695"/>
      <c r="D37" s="740">
        <f>1/(1+D35)^D36</f>
        <v>0.92057461789832351</v>
      </c>
      <c r="E37" s="740">
        <f>1/(1+E35)^E36</f>
        <v>0.7801479812697657</v>
      </c>
      <c r="F37" s="740">
        <f>1/(1+F35)^F36</f>
        <v>0.66114235700827606</v>
      </c>
      <c r="G37" s="740">
        <f>1/(1+G35)^G36</f>
        <v>0.56029013305786102</v>
      </c>
      <c r="H37" s="740">
        <f>1/(1+H35)^H36</f>
        <v>0.47482214665920436</v>
      </c>
    </row>
    <row r="38" spans="2:8" s="1" customFormat="1" ht="13.5" hidden="1" outlineLevel="1" x14ac:dyDescent="0.25">
      <c r="B38" s="695" t="s">
        <v>562</v>
      </c>
      <c r="C38" s="695"/>
      <c r="D38" s="700">
        <f ca="1">D32*D37</f>
        <v>2275.5488369373315</v>
      </c>
      <c r="E38" s="700">
        <f ca="1">E32*E37</f>
        <v>4256.8291284975958</v>
      </c>
      <c r="F38" s="700">
        <f ca="1">F32*F37</f>
        <v>4000.4133995378443</v>
      </c>
      <c r="G38" s="700">
        <f ca="1">G32*G37</f>
        <v>3586.0729646966352</v>
      </c>
      <c r="H38" s="700">
        <f ca="1">H32*H37</f>
        <v>3167.5720543409702</v>
      </c>
    </row>
    <row r="39" spans="2:8" s="1" customFormat="1" ht="13.5" hidden="1" outlineLevel="1" x14ac:dyDescent="0.25">
      <c r="B39" s="695" t="str">
        <f>+"Sum of Discounted Unlevered Free Cash Flows assuming a WACC of "&amp;TEXT(D35,"0.0%")</f>
        <v>Sum of Discounted Unlevered Free Cash Flows assuming a WACC of 18.0%</v>
      </c>
      <c r="C39" s="695"/>
      <c r="D39" s="695"/>
      <c r="E39" s="695"/>
      <c r="F39" s="695"/>
      <c r="G39" s="695"/>
      <c r="H39" s="700">
        <f ca="1">SUM(D38:H38)</f>
        <v>17286.436384010376</v>
      </c>
    </row>
    <row r="40" spans="2:8" s="1" customFormat="1" ht="13.5" collapsed="1" x14ac:dyDescent="0.25">
      <c r="B40" s="695"/>
      <c r="C40" s="695"/>
      <c r="D40" s="695"/>
      <c r="E40" s="695"/>
      <c r="F40" s="695"/>
      <c r="G40" s="695"/>
      <c r="H40" s="695"/>
    </row>
    <row r="41" spans="2:8" s="1" customFormat="1" ht="13.5" x14ac:dyDescent="0.25">
      <c r="B41" s="695" t="s">
        <v>563</v>
      </c>
      <c r="C41" s="695"/>
      <c r="D41" s="695"/>
      <c r="E41" s="695"/>
      <c r="F41" s="695"/>
      <c r="G41" s="695"/>
      <c r="H41" s="698">
        <v>6</v>
      </c>
    </row>
    <row r="42" spans="2:8" s="1" customFormat="1" ht="13.5" x14ac:dyDescent="0.25">
      <c r="B42" s="695" t="s">
        <v>44</v>
      </c>
      <c r="C42" s="695"/>
      <c r="D42" s="695"/>
      <c r="E42" s="695"/>
      <c r="F42" s="695"/>
      <c r="G42" s="695"/>
      <c r="H42" s="700">
        <f ca="1">H11*H41</f>
        <v>57191.095284737385</v>
      </c>
    </row>
    <row r="43" spans="2:8" s="1" customFormat="1" ht="13.5" x14ac:dyDescent="0.25">
      <c r="B43" s="695" t="str">
        <f>+"Discounted Terminal Value assuming a Terminal Multiple of "&amp;TEXT(H41,"0.00x")&amp;" and WACC of "&amp;TEXT(D35,"0.0%")</f>
        <v>Discounted Terminal Value assuming a Terminal Multiple of 6.00x and WACC of 18.0%</v>
      </c>
      <c r="C43" s="695"/>
      <c r="D43" s="695"/>
      <c r="E43" s="695"/>
      <c r="F43" s="695"/>
      <c r="G43" s="695"/>
      <c r="H43" s="688">
        <f ca="1">+H42/(1+D35)^5</f>
        <v>24998.754835273041</v>
      </c>
    </row>
    <row r="44" spans="2:8" s="1" customFormat="1" ht="15.75" thickBot="1" x14ac:dyDescent="0.35">
      <c r="B44" s="742" t="s">
        <v>474</v>
      </c>
      <c r="C44" s="742"/>
      <c r="D44" s="742"/>
      <c r="E44" s="742"/>
      <c r="F44" s="742"/>
      <c r="G44" s="742"/>
      <c r="H44" s="743">
        <f ca="1">H39+H43</f>
        <v>42285.191219283413</v>
      </c>
    </row>
    <row r="45" spans="2:8" s="1" customFormat="1" ht="13.5" x14ac:dyDescent="0.25"/>
    <row r="46" spans="2:8" s="1" customFormat="1" ht="13.5" x14ac:dyDescent="0.25">
      <c r="B46" s="744" t="s">
        <v>564</v>
      </c>
      <c r="C46" s="744"/>
    </row>
    <row r="47" spans="2:8" s="1" customFormat="1" ht="13.5" x14ac:dyDescent="0.25">
      <c r="B47" s="1" t="s">
        <v>44</v>
      </c>
      <c r="D47" s="745"/>
      <c r="E47" s="746"/>
      <c r="F47" s="746"/>
      <c r="G47" s="746"/>
      <c r="H47" s="659">
        <f ca="1">H42</f>
        <v>57191.095284737385</v>
      </c>
    </row>
    <row r="48" spans="2:8" s="1" customFormat="1" ht="13.5" x14ac:dyDescent="0.25">
      <c r="B48" s="1" t="s">
        <v>565</v>
      </c>
      <c r="D48" s="747"/>
      <c r="E48" s="747"/>
      <c r="F48" s="747"/>
      <c r="G48" s="747"/>
      <c r="H48" s="740">
        <f>D35</f>
        <v>0.18</v>
      </c>
    </row>
    <row r="49" spans="2:10" s="1" customFormat="1" ht="13.5" x14ac:dyDescent="0.25">
      <c r="B49" s="1" t="s">
        <v>566</v>
      </c>
      <c r="D49" s="746"/>
      <c r="E49" s="746"/>
      <c r="F49" s="746"/>
      <c r="G49" s="746"/>
      <c r="H49" s="659">
        <f ca="1">H32</f>
        <v>6671.0705821698793</v>
      </c>
      <c r="J49" s="748"/>
    </row>
    <row r="50" spans="2:10" s="1" customFormat="1" ht="15.75" thickBot="1" x14ac:dyDescent="0.35">
      <c r="B50" s="749" t="s">
        <v>564</v>
      </c>
      <c r="C50" s="749"/>
      <c r="D50" s="749"/>
      <c r="E50" s="749"/>
      <c r="F50" s="749"/>
      <c r="G50" s="749"/>
      <c r="H50" s="750">
        <f ca="1">+(H47*H48-H49)/(H49+H47)</f>
        <v>5.6736669041793676E-2</v>
      </c>
    </row>
    <row r="51" spans="2:10" s="1" customFormat="1" ht="13.5" x14ac:dyDescent="0.25"/>
    <row r="52" spans="2:10" s="1" customFormat="1" ht="13.5" x14ac:dyDescent="0.25">
      <c r="H52" s="751"/>
    </row>
    <row r="53" spans="2:10" s="1" customFormat="1" ht="13.5" x14ac:dyDescent="0.25">
      <c r="H53" s="659"/>
    </row>
    <row r="54" spans="2:10" s="1" customFormat="1" ht="13.5" x14ac:dyDescent="0.25">
      <c r="H54" s="7"/>
    </row>
  </sheetData>
  <pageMargins left="0.7" right="0.7" top="0.75" bottom="0.75" header="0.3" footer="0.3"/>
  <pageSetup scale="74"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
  <sheetViews>
    <sheetView zoomScale="80" zoomScaleNormal="80" workbookViewId="0">
      <selection activeCell="A18" sqref="A18"/>
    </sheetView>
  </sheetViews>
  <sheetFormatPr defaultRowHeight="15" x14ac:dyDescent="0.2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showGridLines="0" view="pageBreakPreview" zoomScale="60" zoomScaleNormal="80" workbookViewId="0">
      <selection activeCell="F9" sqref="F9"/>
    </sheetView>
  </sheetViews>
  <sheetFormatPr defaultColWidth="8.85546875" defaultRowHeight="16.5" x14ac:dyDescent="0.3"/>
  <cols>
    <col min="1" max="1" width="2.7109375" style="588" customWidth="1"/>
    <col min="2" max="2" width="35.140625" style="588" bestFit="1" customWidth="1"/>
    <col min="3" max="11" width="12.7109375" style="588" customWidth="1"/>
    <col min="12" max="25" width="9.140625" customWidth="1"/>
    <col min="26" max="16384" width="8.85546875" style="588"/>
  </cols>
  <sheetData>
    <row r="1" spans="1:25" ht="21" thickBot="1" x14ac:dyDescent="0.35">
      <c r="A1" s="586" t="s">
        <v>976</v>
      </c>
      <c r="B1" s="587"/>
      <c r="C1" s="587"/>
      <c r="D1" s="587"/>
      <c r="E1" s="587"/>
      <c r="F1" s="587"/>
      <c r="G1" s="587"/>
      <c r="H1" s="587"/>
      <c r="I1" s="587"/>
      <c r="J1" s="587"/>
      <c r="K1" s="587"/>
      <c r="L1" s="588"/>
      <c r="M1" s="588"/>
      <c r="N1" s="588"/>
      <c r="O1" s="588"/>
      <c r="P1" s="588"/>
      <c r="Q1" s="588"/>
      <c r="R1" s="588"/>
      <c r="S1" s="588"/>
      <c r="T1" s="588"/>
      <c r="U1" s="588"/>
      <c r="V1" s="588"/>
      <c r="W1" s="588"/>
      <c r="X1" s="588"/>
      <c r="Y1" s="588"/>
    </row>
    <row r="2" spans="1:25" x14ac:dyDescent="0.3">
      <c r="A2" s="1"/>
      <c r="L2" s="588"/>
      <c r="M2" s="588"/>
      <c r="N2" s="588"/>
      <c r="O2" s="588"/>
      <c r="P2" s="588"/>
      <c r="Q2" s="588"/>
      <c r="R2" s="588"/>
      <c r="S2" s="588"/>
      <c r="T2" s="588"/>
      <c r="U2" s="588"/>
      <c r="V2" s="588"/>
      <c r="W2" s="588"/>
      <c r="X2" s="588"/>
      <c r="Y2" s="588"/>
    </row>
    <row r="3" spans="1:25" x14ac:dyDescent="0.3">
      <c r="A3" s="1"/>
      <c r="L3" s="588"/>
      <c r="M3" s="588"/>
      <c r="N3" s="588"/>
      <c r="O3" s="588"/>
      <c r="P3" s="588"/>
      <c r="Q3" s="588"/>
      <c r="R3" s="588"/>
      <c r="S3" s="588"/>
      <c r="T3" s="588"/>
      <c r="U3" s="588"/>
      <c r="V3" s="588"/>
      <c r="W3" s="588"/>
      <c r="X3" s="588"/>
      <c r="Y3" s="588"/>
    </row>
    <row r="4" spans="1:25" x14ac:dyDescent="0.3">
      <c r="A4" s="589" t="s">
        <v>473</v>
      </c>
      <c r="B4" s="590" t="s">
        <v>567</v>
      </c>
      <c r="C4" s="591"/>
      <c r="D4" s="591"/>
      <c r="E4" s="591"/>
      <c r="F4" s="591"/>
      <c r="G4" s="591"/>
      <c r="H4" s="591"/>
      <c r="I4" s="591"/>
      <c r="J4" s="591"/>
      <c r="K4" s="591"/>
      <c r="L4" s="588"/>
      <c r="M4" s="588"/>
      <c r="N4" s="588"/>
      <c r="O4" s="588"/>
      <c r="P4" s="588"/>
      <c r="Q4" s="588"/>
      <c r="R4" s="588"/>
      <c r="S4" s="588"/>
      <c r="T4" s="588"/>
      <c r="U4" s="588"/>
      <c r="V4" s="588"/>
      <c r="W4" s="588"/>
      <c r="X4" s="588"/>
      <c r="Y4" s="588"/>
    </row>
    <row r="5" spans="1:25" x14ac:dyDescent="0.3">
      <c r="A5" s="717"/>
      <c r="B5" s="718" t="s">
        <v>568</v>
      </c>
      <c r="C5" s="719"/>
      <c r="D5" s="719"/>
      <c r="E5" s="719"/>
      <c r="F5" s="719"/>
      <c r="G5" s="719"/>
      <c r="H5" s="719"/>
      <c r="I5" s="719"/>
      <c r="J5" s="719"/>
      <c r="K5" s="719"/>
      <c r="L5" s="588"/>
      <c r="M5" s="588"/>
      <c r="N5" s="588"/>
      <c r="O5" s="588"/>
      <c r="P5" s="588"/>
      <c r="Q5" s="588"/>
      <c r="R5" s="588"/>
      <c r="S5" s="588"/>
      <c r="T5" s="588"/>
      <c r="U5" s="588"/>
      <c r="V5" s="588"/>
      <c r="W5" s="588"/>
      <c r="X5" s="588"/>
      <c r="Y5" s="588"/>
    </row>
    <row r="6" spans="1:25" x14ac:dyDescent="0.3">
      <c r="A6" s="717"/>
      <c r="B6" s="752" t="s">
        <v>568</v>
      </c>
      <c r="C6" s="719"/>
      <c r="D6" s="719"/>
      <c r="E6" s="719"/>
      <c r="F6" s="719"/>
      <c r="G6" s="719"/>
      <c r="H6" s="719"/>
      <c r="I6" s="719"/>
      <c r="J6" s="719"/>
      <c r="K6" s="719"/>
      <c r="L6" s="588"/>
      <c r="M6" s="588"/>
      <c r="N6" s="588"/>
      <c r="O6" s="588"/>
      <c r="P6" s="588"/>
      <c r="Q6" s="588"/>
      <c r="R6" s="588"/>
      <c r="S6" s="588"/>
      <c r="T6" s="588"/>
      <c r="U6" s="588"/>
      <c r="V6" s="588"/>
      <c r="W6" s="588"/>
      <c r="X6" s="588"/>
      <c r="Y6" s="588"/>
    </row>
    <row r="7" spans="1:25" s="1" customFormat="1" ht="15" x14ac:dyDescent="0.3">
      <c r="B7" s="753" t="s">
        <v>569</v>
      </c>
      <c r="C7" s="754" t="s">
        <v>570</v>
      </c>
      <c r="D7" s="754"/>
      <c r="E7" s="754"/>
      <c r="F7" s="755" t="s">
        <v>571</v>
      </c>
      <c r="G7" s="721" t="s">
        <v>541</v>
      </c>
      <c r="H7" s="721"/>
      <c r="I7" s="721"/>
      <c r="J7" s="721"/>
      <c r="K7" s="721"/>
    </row>
    <row r="8" spans="1:25" s="1" customFormat="1" ht="15.75" thickBot="1" x14ac:dyDescent="0.35">
      <c r="C8" s="756">
        <v>40909</v>
      </c>
      <c r="D8" s="756">
        <v>41305</v>
      </c>
      <c r="E8" s="756">
        <v>41670</v>
      </c>
      <c r="F8" s="757">
        <v>42035</v>
      </c>
      <c r="G8" s="723">
        <v>42400</v>
      </c>
      <c r="H8" s="723">
        <v>42766</v>
      </c>
      <c r="I8" s="723">
        <v>43131</v>
      </c>
      <c r="J8" s="723">
        <v>43496</v>
      </c>
      <c r="K8" s="723">
        <v>43861</v>
      </c>
    </row>
    <row r="9" spans="1:25" s="1" customFormat="1" ht="13.5" x14ac:dyDescent="0.25">
      <c r="B9" s="695" t="s">
        <v>118</v>
      </c>
      <c r="C9" s="758">
        <f>(('IS Summary'!C8)/1000)</f>
        <v>20.894092000000001</v>
      </c>
      <c r="D9" s="758">
        <f>(('IS Summary'!D8)/1000)</f>
        <v>25.799011999999998</v>
      </c>
      <c r="E9" s="758">
        <f>(('IS Summary'!E8)/1000)</f>
        <v>35.229434999999995</v>
      </c>
      <c r="F9" s="758">
        <f ca="1">(('IS Summary'!F8)/1000)</f>
        <v>38</v>
      </c>
      <c r="G9" s="758">
        <f ca="1">(('IS Summary'!G8)/1000)</f>
        <v>41.04</v>
      </c>
      <c r="H9" s="758">
        <f ca="1">(('IS Summary'!H8)/1000)</f>
        <v>44.3232</v>
      </c>
      <c r="I9" s="758">
        <f ca="1">(('IS Summary'!I8)/1000)</f>
        <v>47.869056000000015</v>
      </c>
      <c r="J9" s="758">
        <f ca="1">(('IS Summary'!J8)/1000)</f>
        <v>51.698580480000018</v>
      </c>
      <c r="K9" s="758">
        <f ca="1">(('IS Summary'!K8)/1000)</f>
        <v>55.834466918400025</v>
      </c>
    </row>
    <row r="10" spans="1:25" s="1" customFormat="1" ht="13.5" x14ac:dyDescent="0.25">
      <c r="B10" s="695" t="s">
        <v>572</v>
      </c>
      <c r="C10" s="759">
        <f>(('IS Summary'!C12)/1000)</f>
        <v>8.5069280000000003</v>
      </c>
      <c r="D10" s="759">
        <f>(('IS Summary'!D12)/1000)</f>
        <v>9.978764</v>
      </c>
      <c r="E10" s="759">
        <f>(('IS Summary'!E12)/1000)</f>
        <v>13.916262</v>
      </c>
      <c r="F10" s="759">
        <f ca="1">(('IS Summary'!F12)/1000)</f>
        <v>15.866335456613561</v>
      </c>
      <c r="G10" s="759">
        <f ca="1">(('IS Summary'!G12)/1000)</f>
        <v>17.236800000000002</v>
      </c>
      <c r="H10" s="759">
        <f ca="1">(('IS Summary'!H12)/1000)</f>
        <v>18.615743999999999</v>
      </c>
      <c r="I10" s="759">
        <f ca="1">(('IS Summary'!I12)/1000)</f>
        <v>20.105003520000004</v>
      </c>
      <c r="J10" s="759">
        <f ca="1">(('IS Summary'!J12)/1000)</f>
        <v>21.713403801600013</v>
      </c>
      <c r="K10" s="759">
        <f ca="1">(('IS Summary'!K12)/1000)</f>
        <v>23.450476105728011</v>
      </c>
    </row>
    <row r="11" spans="1:25" s="1" customFormat="1" ht="13.5" x14ac:dyDescent="0.25">
      <c r="B11" s="695" t="s">
        <v>70</v>
      </c>
      <c r="C11" s="759">
        <f>(('IS Summary'!C18)/1000)</f>
        <v>2.7315169999999998</v>
      </c>
      <c r="D11" s="759">
        <f>(('IS Summary'!D18)/1000)</f>
        <v>3.208699999999999</v>
      </c>
      <c r="E11" s="759">
        <f>(('IS Summary'!E18)/1000)</f>
        <v>5.336403999999999</v>
      </c>
      <c r="F11" s="759">
        <f ca="1">(('IS Summary'!F18)/1000)</f>
        <v>6.0328920856135611</v>
      </c>
      <c r="G11" s="759">
        <f ca="1">(('IS Summary'!G18)/1000)</f>
        <v>6.3300662625000026</v>
      </c>
      <c r="H11" s="759">
        <f ca="1">(('IS Summary'!H18)/1000)</f>
        <v>7.1328935756249976</v>
      </c>
      <c r="I11" s="759">
        <f ca="1">(('IS Summary'!I18)/1000)</f>
        <v>8.021416654406254</v>
      </c>
      <c r="J11" s="759">
        <f ca="1">(('IS Summary'!J18)/1000)</f>
        <v>8.7456036151265728</v>
      </c>
      <c r="K11" s="759">
        <f ca="1">(('IS Summary'!K18)/1000)</f>
        <v>9.5318492141228983</v>
      </c>
    </row>
    <row r="12" spans="1:25" s="1" customFormat="1" x14ac:dyDescent="0.3">
      <c r="B12" s="695"/>
      <c r="C12" s="588"/>
      <c r="D12" s="588"/>
      <c r="E12" s="588"/>
      <c r="F12" s="760"/>
      <c r="G12" s="588"/>
      <c r="H12" s="588"/>
      <c r="I12" s="588"/>
      <c r="J12" s="588"/>
      <c r="K12" s="588"/>
    </row>
    <row r="13" spans="1:25" s="1" customFormat="1" ht="13.5" x14ac:dyDescent="0.25">
      <c r="B13" s="695" t="s">
        <v>573</v>
      </c>
      <c r="C13" s="761">
        <f>C11/C9</f>
        <v>0.13073154842048171</v>
      </c>
      <c r="D13" s="761">
        <f t="shared" ref="D13:K13" si="0">D11/D9</f>
        <v>0.12437297986450022</v>
      </c>
      <c r="E13" s="761">
        <f t="shared" si="0"/>
        <v>0.15147571909682911</v>
      </c>
      <c r="F13" s="761">
        <f t="shared" ca="1" si="0"/>
        <v>0.15876031804246213</v>
      </c>
      <c r="G13" s="761">
        <f t="shared" ca="1" si="0"/>
        <v>0.15424138066520474</v>
      </c>
      <c r="H13" s="761">
        <f t="shared" ca="1" si="0"/>
        <v>0.16092912009117116</v>
      </c>
      <c r="I13" s="761">
        <f t="shared" ca="1" si="0"/>
        <v>0.1675699778664165</v>
      </c>
      <c r="J13" s="761">
        <f t="shared" ca="1" si="0"/>
        <v>0.16916525625901613</v>
      </c>
      <c r="K13" s="761">
        <f t="shared" ca="1" si="0"/>
        <v>0.1707162213629323</v>
      </c>
    </row>
    <row r="14" spans="1:25" s="1" customFormat="1" x14ac:dyDescent="0.3">
      <c r="B14" s="695"/>
      <c r="C14" s="588"/>
      <c r="D14" s="588"/>
      <c r="E14" s="588"/>
      <c r="F14" s="588"/>
      <c r="G14" s="588"/>
      <c r="H14" s="588"/>
      <c r="I14" s="588"/>
      <c r="J14" s="588"/>
      <c r="K14" s="588"/>
    </row>
    <row r="15" spans="1:25" s="1" customFormat="1" x14ac:dyDescent="0.3">
      <c r="B15" s="695"/>
      <c r="C15" s="588"/>
      <c r="D15" s="588"/>
      <c r="E15" s="588"/>
      <c r="F15" s="588"/>
      <c r="G15" s="588"/>
      <c r="H15" s="588"/>
      <c r="I15" s="588"/>
      <c r="J15" s="588"/>
      <c r="K15" s="588"/>
    </row>
    <row r="16" spans="1:25" s="1" customFormat="1" x14ac:dyDescent="0.3">
      <c r="B16" s="695"/>
      <c r="C16" s="588"/>
      <c r="D16" s="588"/>
      <c r="E16" s="588"/>
      <c r="F16" s="588"/>
      <c r="G16" s="588"/>
      <c r="H16" s="588"/>
      <c r="I16" s="588"/>
      <c r="J16" s="588"/>
      <c r="K16" s="588"/>
    </row>
    <row r="17" spans="2:25" s="1" customFormat="1" x14ac:dyDescent="0.3">
      <c r="B17" s="695"/>
      <c r="C17" s="588"/>
      <c r="D17" s="588"/>
      <c r="E17" s="588"/>
      <c r="F17" s="588"/>
      <c r="G17" s="588"/>
      <c r="H17" s="588"/>
      <c r="I17" s="588"/>
      <c r="J17" s="588"/>
      <c r="K17" s="588"/>
    </row>
    <row r="18" spans="2:25" s="1" customFormat="1" x14ac:dyDescent="0.3">
      <c r="B18" s="695"/>
      <c r="C18" s="588"/>
      <c r="D18" s="588"/>
      <c r="E18" s="588"/>
      <c r="F18" s="588"/>
      <c r="G18" s="588"/>
      <c r="H18" s="588"/>
      <c r="I18" s="588"/>
      <c r="J18" s="588"/>
      <c r="K18" s="588"/>
    </row>
    <row r="19" spans="2:25" s="1" customFormat="1" x14ac:dyDescent="0.3">
      <c r="B19" s="695"/>
      <c r="C19" s="588"/>
      <c r="D19" s="588"/>
      <c r="E19" s="588"/>
      <c r="F19" s="588"/>
      <c r="G19" s="588"/>
      <c r="H19" s="588"/>
      <c r="I19" s="588"/>
      <c r="J19" s="588"/>
      <c r="K19" s="588"/>
    </row>
    <row r="20" spans="2:25" s="1" customFormat="1" x14ac:dyDescent="0.3">
      <c r="B20" s="588"/>
      <c r="C20" s="588"/>
      <c r="D20" s="588"/>
      <c r="E20" s="588"/>
      <c r="F20" s="588"/>
      <c r="G20" s="588"/>
      <c r="H20" s="588"/>
      <c r="I20" s="588"/>
      <c r="J20" s="588"/>
      <c r="K20" s="588"/>
    </row>
    <row r="21" spans="2:25" s="1" customFormat="1" x14ac:dyDescent="0.3">
      <c r="B21" s="588"/>
      <c r="C21" s="588"/>
      <c r="D21" s="588"/>
      <c r="E21" s="588"/>
      <c r="F21" s="588"/>
      <c r="G21" s="588"/>
      <c r="H21" s="588"/>
      <c r="I21" s="588"/>
      <c r="J21" s="588"/>
      <c r="K21" s="588"/>
    </row>
    <row r="22" spans="2:25" s="1" customFormat="1" x14ac:dyDescent="0.3">
      <c r="B22" s="588"/>
      <c r="C22" s="588"/>
      <c r="D22" s="588"/>
      <c r="E22" s="588"/>
      <c r="F22" s="588"/>
      <c r="G22" s="588"/>
      <c r="H22" s="588"/>
      <c r="I22" s="588"/>
      <c r="J22" s="588"/>
      <c r="K22" s="588"/>
    </row>
    <row r="23" spans="2:25" s="1" customFormat="1" x14ac:dyDescent="0.3">
      <c r="B23" s="588"/>
      <c r="C23" s="588"/>
      <c r="D23" s="588"/>
      <c r="E23" s="588"/>
      <c r="F23" s="588"/>
      <c r="G23" s="588"/>
      <c r="H23" s="588"/>
      <c r="I23" s="588"/>
      <c r="J23" s="588"/>
      <c r="K23" s="588"/>
    </row>
    <row r="24" spans="2:25" s="1" customFormat="1" x14ac:dyDescent="0.3">
      <c r="B24" s="588"/>
      <c r="C24" s="588"/>
      <c r="D24" s="588"/>
      <c r="E24" s="588"/>
      <c r="F24" s="588"/>
      <c r="G24" s="588"/>
      <c r="H24" s="588"/>
      <c r="I24" s="588"/>
      <c r="J24" s="588"/>
      <c r="K24" s="588"/>
    </row>
    <row r="25" spans="2:25" s="1" customFormat="1" x14ac:dyDescent="0.3">
      <c r="B25" s="588"/>
      <c r="C25" s="588"/>
      <c r="D25" s="588"/>
      <c r="E25" s="588"/>
      <c r="F25" s="588"/>
      <c r="G25" s="588"/>
      <c r="H25" s="588"/>
      <c r="I25" s="588"/>
      <c r="J25" s="588"/>
      <c r="K25" s="588"/>
    </row>
    <row r="26" spans="2:25" s="1" customFormat="1" x14ac:dyDescent="0.3">
      <c r="B26" s="588"/>
      <c r="C26" s="588"/>
      <c r="D26" s="588"/>
      <c r="E26" s="588"/>
      <c r="F26" s="588"/>
      <c r="G26" s="588"/>
      <c r="H26" s="588"/>
      <c r="I26" s="588"/>
      <c r="J26" s="588"/>
      <c r="K26" s="588"/>
    </row>
    <row r="27" spans="2:25" s="1" customFormat="1" x14ac:dyDescent="0.3">
      <c r="B27" s="588"/>
      <c r="C27" s="588"/>
      <c r="D27" s="588"/>
      <c r="E27" s="588"/>
      <c r="F27" s="588"/>
      <c r="G27" s="588"/>
      <c r="H27" s="588"/>
      <c r="I27" s="588"/>
      <c r="J27" s="588"/>
      <c r="K27" s="588"/>
    </row>
    <row r="28" spans="2:25" s="1" customFormat="1" x14ac:dyDescent="0.3">
      <c r="B28" s="588"/>
      <c r="C28" s="588"/>
      <c r="D28" s="588"/>
      <c r="E28" s="588"/>
      <c r="F28" s="588"/>
      <c r="G28" s="588"/>
      <c r="H28" s="588"/>
      <c r="I28" s="588"/>
      <c r="J28" s="588"/>
      <c r="K28" s="588"/>
    </row>
    <row r="29" spans="2:25" s="1" customFormat="1" x14ac:dyDescent="0.3">
      <c r="B29" s="588"/>
      <c r="C29" s="588"/>
      <c r="D29" s="588"/>
      <c r="E29" s="588"/>
      <c r="F29" s="588"/>
      <c r="G29" s="588"/>
      <c r="H29" s="588"/>
      <c r="I29" s="588"/>
      <c r="J29" s="588"/>
      <c r="K29" s="588"/>
    </row>
    <row r="30" spans="2:25" s="1" customFormat="1" x14ac:dyDescent="0.3">
      <c r="B30" s="588"/>
      <c r="C30" s="588"/>
      <c r="D30" s="588"/>
      <c r="E30" s="588"/>
      <c r="F30" s="588"/>
      <c r="G30" s="588"/>
      <c r="H30" s="588"/>
      <c r="I30" s="588"/>
      <c r="J30" s="588"/>
      <c r="K30" s="588"/>
    </row>
    <row r="31" spans="2:25" x14ac:dyDescent="0.3">
      <c r="L31" s="588"/>
      <c r="M31" s="588"/>
      <c r="N31" s="588"/>
      <c r="O31" s="588"/>
      <c r="P31" s="588"/>
      <c r="Q31" s="588"/>
      <c r="R31" s="588"/>
      <c r="S31" s="588"/>
      <c r="T31" s="588"/>
      <c r="U31" s="588"/>
      <c r="V31" s="588"/>
      <c r="W31" s="588"/>
      <c r="X31" s="588"/>
      <c r="Y31" s="588"/>
    </row>
  </sheetData>
  <pageMargins left="0.7" right="0.7" top="0.75" bottom="0.75" header="0.3" footer="0.3"/>
  <pageSetup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showGridLines="0" zoomScale="80" zoomScaleNormal="80" workbookViewId="0">
      <selection activeCell="J36" sqref="J36"/>
    </sheetView>
  </sheetViews>
  <sheetFormatPr defaultRowHeight="15" x14ac:dyDescent="0.25"/>
  <cols>
    <col min="1" max="1" width="2.7109375" customWidth="1"/>
    <col min="2" max="2" width="21.7109375" bestFit="1" customWidth="1"/>
    <col min="3" max="11" width="13.42578125" bestFit="1" customWidth="1"/>
    <col min="12" max="12" width="2.7109375" customWidth="1"/>
    <col min="13" max="13" width="8.7109375" customWidth="1"/>
    <col min="14" max="14" width="2.7109375" customWidth="1"/>
    <col min="15" max="15" width="8.7109375" customWidth="1"/>
  </cols>
  <sheetData>
    <row r="1" spans="1:15" ht="21" thickBot="1" x14ac:dyDescent="0.35">
      <c r="A1" s="586" t="s">
        <v>976</v>
      </c>
      <c r="B1" s="762"/>
      <c r="C1" s="762"/>
      <c r="D1" s="762"/>
      <c r="E1" s="762"/>
      <c r="F1" s="762"/>
      <c r="G1" s="762"/>
      <c r="H1" s="762"/>
      <c r="I1" s="762"/>
      <c r="J1" s="762"/>
      <c r="K1" s="762"/>
      <c r="L1" s="762"/>
      <c r="M1" s="762"/>
      <c r="N1" s="762"/>
      <c r="O1" s="762"/>
    </row>
    <row r="2" spans="1:15" x14ac:dyDescent="0.25">
      <c r="A2" s="1" t="s">
        <v>574</v>
      </c>
    </row>
    <row r="3" spans="1:15" x14ac:dyDescent="0.25">
      <c r="A3" s="1"/>
    </row>
    <row r="4" spans="1:15" ht="15.75" x14ac:dyDescent="0.3">
      <c r="A4" s="589" t="s">
        <v>473</v>
      </c>
      <c r="B4" s="823" t="s">
        <v>575</v>
      </c>
      <c r="C4" s="824"/>
      <c r="D4" s="824"/>
      <c r="E4" s="824"/>
      <c r="F4" s="824"/>
      <c r="G4" s="824"/>
      <c r="H4" s="824"/>
      <c r="I4" s="824"/>
      <c r="J4" s="824"/>
      <c r="K4" s="824"/>
      <c r="L4" s="824"/>
      <c r="M4" s="824"/>
      <c r="N4" s="824"/>
      <c r="O4" s="824"/>
    </row>
    <row r="5" spans="1:15" ht="15.75" x14ac:dyDescent="0.3">
      <c r="A5" s="589"/>
      <c r="B5" s="718"/>
      <c r="C5" s="719"/>
      <c r="D5" s="719"/>
      <c r="E5" s="719"/>
      <c r="F5" s="719"/>
      <c r="G5" s="719"/>
      <c r="H5" s="719"/>
      <c r="I5" s="719"/>
      <c r="J5" s="719"/>
      <c r="K5" s="719"/>
      <c r="L5" s="719"/>
      <c r="M5" s="719"/>
      <c r="N5" s="719"/>
      <c r="O5" s="719"/>
    </row>
    <row r="6" spans="1:15" s="1" customFormat="1" x14ac:dyDescent="0.3">
      <c r="B6" s="681"/>
      <c r="C6" s="754" t="s">
        <v>570</v>
      </c>
      <c r="D6" s="754"/>
      <c r="E6" s="720"/>
      <c r="F6" s="755" t="s">
        <v>571</v>
      </c>
      <c r="G6" s="721" t="s">
        <v>541</v>
      </c>
      <c r="H6" s="721"/>
      <c r="I6" s="721"/>
      <c r="J6" s="721"/>
      <c r="K6" s="721"/>
      <c r="M6" s="754" t="s">
        <v>576</v>
      </c>
      <c r="N6" s="754"/>
      <c r="O6" s="754"/>
    </row>
    <row r="7" spans="1:15" s="1" customFormat="1" ht="15.75" thickBot="1" x14ac:dyDescent="0.35">
      <c r="C7" s="756">
        <v>41274</v>
      </c>
      <c r="D7" s="756">
        <v>41639</v>
      </c>
      <c r="E7" s="756">
        <v>42004</v>
      </c>
      <c r="F7" s="757">
        <v>42369</v>
      </c>
      <c r="G7" s="723">
        <v>42735</v>
      </c>
      <c r="H7" s="723">
        <v>43100</v>
      </c>
      <c r="I7" s="723">
        <v>43465</v>
      </c>
      <c r="J7" s="723">
        <v>43830</v>
      </c>
      <c r="K7" s="723">
        <v>44196</v>
      </c>
      <c r="M7" s="708" t="str">
        <f>TEXT(C7,"'yy")&amp;" - "&amp;TEXT(F7,"'yy")</f>
        <v>'12 - '15</v>
      </c>
      <c r="O7" s="708" t="str">
        <f>TEXT(F7,"'yy")&amp;" - "&amp;TEXT(K7,"'yy")</f>
        <v>'15 - '20</v>
      </c>
    </row>
    <row r="8" spans="1:15" s="1" customFormat="1" x14ac:dyDescent="0.3">
      <c r="B8" s="695" t="s">
        <v>118</v>
      </c>
      <c r="C8" s="697">
        <f>'Summary Income Statement'!E19</f>
        <v>20894.092000000001</v>
      </c>
      <c r="D8" s="697">
        <f>'Summary Income Statement'!F19</f>
        <v>25799.011999999999</v>
      </c>
      <c r="E8" s="697">
        <f>'Summary Income Statement'!AG19</f>
        <v>35229.434999999998</v>
      </c>
      <c r="F8" s="763">
        <f ca="1">'Summary Income Statement'!AH19</f>
        <v>38000</v>
      </c>
      <c r="G8" s="764">
        <f ca="1">'Summary Income Statement'!AI19</f>
        <v>41040</v>
      </c>
      <c r="H8" s="764">
        <f ca="1">'Summary Income Statement'!AJ19</f>
        <v>44323.199999999997</v>
      </c>
      <c r="I8" s="764">
        <f ca="1">'Summary Income Statement'!AK19</f>
        <v>47869.056000000011</v>
      </c>
      <c r="J8" s="764">
        <f ca="1">'Summary Income Statement'!AL19</f>
        <v>51698.580480000019</v>
      </c>
      <c r="K8" s="764">
        <f ca="1">'Summary Income Statement'!AM19</f>
        <v>55834.466918400023</v>
      </c>
      <c r="M8" s="727">
        <f ca="1">+IF(C8=0,0,(F8/C8)^(1/(DAYS360(C$7,F$7)/360))-1)</f>
        <v>0.22063747167612369</v>
      </c>
      <c r="O8" s="727">
        <f ca="1">+IF(F8=0,0,(K8/F8)^(1/(DAYS360(F$7,K$7)/360))-1)</f>
        <v>8.0000000000000071E-2</v>
      </c>
    </row>
    <row r="9" spans="1:15" s="1" customFormat="1" x14ac:dyDescent="0.3">
      <c r="B9" s="725" t="s">
        <v>577</v>
      </c>
      <c r="C9" s="765" t="s">
        <v>578</v>
      </c>
      <c r="D9" s="766">
        <f t="shared" ref="D9:K9" si="0">IF(C8=0,0,D8/C8-1)</f>
        <v>0.2347515268909508</v>
      </c>
      <c r="E9" s="766">
        <f t="shared" si="0"/>
        <v>0.3655342692968242</v>
      </c>
      <c r="F9" s="767">
        <f t="shared" ca="1" si="0"/>
        <v>7.8643469587292625E-2</v>
      </c>
      <c r="G9" s="768">
        <f t="shared" ca="1" si="0"/>
        <v>8.0000000000000071E-2</v>
      </c>
      <c r="H9" s="768">
        <f t="shared" ca="1" si="0"/>
        <v>7.9999999999999849E-2</v>
      </c>
      <c r="I9" s="768">
        <f t="shared" ca="1" si="0"/>
        <v>8.0000000000000293E-2</v>
      </c>
      <c r="J9" s="768">
        <f t="shared" ca="1" si="0"/>
        <v>8.0000000000000071E-2</v>
      </c>
      <c r="K9" s="768">
        <f t="shared" ca="1" si="0"/>
        <v>8.0000000000000071E-2</v>
      </c>
      <c r="O9" s="695"/>
    </row>
    <row r="10" spans="1:15" s="1" customFormat="1" ht="13.5" x14ac:dyDescent="0.25">
      <c r="B10" s="695"/>
      <c r="E10" s="769"/>
      <c r="F10" s="770"/>
      <c r="G10" s="771"/>
      <c r="H10" s="771"/>
      <c r="I10" s="771"/>
      <c r="J10" s="771"/>
      <c r="K10" s="771"/>
      <c r="O10" s="695"/>
    </row>
    <row r="11" spans="1:15" s="1" customFormat="1" x14ac:dyDescent="0.3">
      <c r="B11" s="695" t="s">
        <v>201</v>
      </c>
      <c r="C11" s="688">
        <f>'Summary Income Statement'!E29</f>
        <v>12387.164000000001</v>
      </c>
      <c r="D11" s="688">
        <f>'Summary Income Statement'!F29</f>
        <v>15820.248</v>
      </c>
      <c r="E11" s="688">
        <f>'Summary Income Statement'!G29</f>
        <v>21313.172999999999</v>
      </c>
      <c r="F11" s="772">
        <f ca="1">'Summary Income Statement'!AH29</f>
        <v>22133.66454338644</v>
      </c>
      <c r="G11" s="773">
        <f ca="1">'Summary Income Statement'!AI29</f>
        <v>23803.199999999997</v>
      </c>
      <c r="H11" s="773">
        <f ca="1">'Summary Income Statement'!AJ29</f>
        <v>25707.455999999998</v>
      </c>
      <c r="I11" s="773">
        <f ca="1">'Summary Income Statement'!AK29</f>
        <v>27764.052480000006</v>
      </c>
      <c r="J11" s="773">
        <f ca="1">'Summary Income Statement'!AL29</f>
        <v>29985.176678400006</v>
      </c>
      <c r="K11" s="773">
        <f ca="1">'Summary Income Statement'!AM29</f>
        <v>32383.990812672011</v>
      </c>
      <c r="M11" s="774"/>
      <c r="N11" s="2"/>
      <c r="O11" s="774"/>
    </row>
    <row r="12" spans="1:15" s="1" customFormat="1" x14ac:dyDescent="0.3">
      <c r="B12" s="695" t="s">
        <v>572</v>
      </c>
      <c r="C12" s="775">
        <f>C8-C11</f>
        <v>8506.9279999999999</v>
      </c>
      <c r="D12" s="775">
        <f t="shared" ref="D12:K12" si="1">D8-D11</f>
        <v>9978.7639999999992</v>
      </c>
      <c r="E12" s="775">
        <f t="shared" si="1"/>
        <v>13916.261999999999</v>
      </c>
      <c r="F12" s="776">
        <f t="shared" ca="1" si="1"/>
        <v>15866.33545661356</v>
      </c>
      <c r="G12" s="775">
        <f t="shared" ca="1" si="1"/>
        <v>17236.800000000003</v>
      </c>
      <c r="H12" s="775">
        <f t="shared" ca="1" si="1"/>
        <v>18615.743999999999</v>
      </c>
      <c r="I12" s="775">
        <f t="shared" ca="1" si="1"/>
        <v>20105.003520000006</v>
      </c>
      <c r="J12" s="775">
        <f t="shared" ca="1" si="1"/>
        <v>21713.403801600012</v>
      </c>
      <c r="K12" s="775">
        <f t="shared" ca="1" si="1"/>
        <v>23450.476105728012</v>
      </c>
      <c r="M12" s="774"/>
      <c r="O12" s="774"/>
    </row>
    <row r="13" spans="1:15" s="1" customFormat="1" x14ac:dyDescent="0.3">
      <c r="B13" s="725" t="s">
        <v>579</v>
      </c>
      <c r="C13" s="766">
        <f>IF(C$8=0,0,C12/C$8)</f>
        <v>0.40714513940112829</v>
      </c>
      <c r="D13" s="766">
        <f t="shared" ref="D13:K13" si="2">IF(D$8=0,0,D12/D$8)</f>
        <v>0.38678861035453604</v>
      </c>
      <c r="E13" s="766">
        <f t="shared" si="2"/>
        <v>0.39501802966752092</v>
      </c>
      <c r="F13" s="767">
        <f t="shared" ca="1" si="2"/>
        <v>0.41753514359509369</v>
      </c>
      <c r="G13" s="768">
        <f t="shared" ca="1" si="2"/>
        <v>0.4200000000000001</v>
      </c>
      <c r="H13" s="768">
        <f t="shared" ca="1" si="2"/>
        <v>0.42</v>
      </c>
      <c r="I13" s="768">
        <f t="shared" ca="1" si="2"/>
        <v>0.42000000000000004</v>
      </c>
      <c r="J13" s="768">
        <f t="shared" ca="1" si="2"/>
        <v>0.4200000000000001</v>
      </c>
      <c r="K13" s="768">
        <f t="shared" ca="1" si="2"/>
        <v>0.42000000000000004</v>
      </c>
      <c r="M13" s="695"/>
      <c r="O13" s="695"/>
    </row>
    <row r="14" spans="1:15" s="1" customFormat="1" ht="13.5" x14ac:dyDescent="0.25">
      <c r="B14" s="695"/>
      <c r="E14" s="769"/>
      <c r="F14" s="770"/>
      <c r="G14" s="2"/>
      <c r="H14" s="2"/>
      <c r="I14" s="2"/>
      <c r="J14" s="2"/>
      <c r="K14" s="2"/>
      <c r="M14" s="695"/>
      <c r="O14" s="695"/>
    </row>
    <row r="15" spans="1:15" s="1" customFormat="1" x14ac:dyDescent="0.3">
      <c r="B15" s="695" t="s">
        <v>580</v>
      </c>
      <c r="C15" s="688">
        <f>SUM('Summary Income Statement'!E35:E37)</f>
        <v>5775.4110000000001</v>
      </c>
      <c r="D15" s="688">
        <f>SUM('Summary Income Statement'!F35:F37)</f>
        <v>6770.0640000000003</v>
      </c>
      <c r="E15" s="688">
        <f>SUM('Summary Income Statement'!G35:G37)</f>
        <v>8579.8580000000002</v>
      </c>
      <c r="F15" s="772">
        <f ca="1">SUM('Summary Income Statement'!AH35:AH37)</f>
        <v>9833.4433709999994</v>
      </c>
      <c r="G15" s="772">
        <f ca="1">SUM('Summary Income Statement'!AI35:AI37)</f>
        <v>10906.733737500001</v>
      </c>
      <c r="H15" s="772">
        <f ca="1">SUM('Summary Income Statement'!AJ35:AJ37)</f>
        <v>11482.850424375001</v>
      </c>
      <c r="I15" s="772">
        <f ca="1">SUM('Summary Income Statement'!AK35:AK37)</f>
        <v>12083.586865593752</v>
      </c>
      <c r="J15" s="772">
        <f ca="1">SUM('Summary Income Statement'!AL35:AL37)</f>
        <v>12967.80018647344</v>
      </c>
      <c r="K15" s="772">
        <f ca="1">SUM('Summary Income Statement'!AM35:AM37)</f>
        <v>13918.626891605114</v>
      </c>
      <c r="M15" s="727"/>
      <c r="O15" s="727"/>
    </row>
    <row r="16" spans="1:15" s="1" customFormat="1" x14ac:dyDescent="0.3">
      <c r="B16" s="725" t="s">
        <v>39</v>
      </c>
      <c r="C16" s="766">
        <f>IF(C$8=0,0,C15/C$8)</f>
        <v>0.27641359098064661</v>
      </c>
      <c r="D16" s="766">
        <f t="shared" ref="D16:K16" si="3">IF(D$8=0,0,D15/D$8)</f>
        <v>0.26241563049003586</v>
      </c>
      <c r="E16" s="766">
        <f t="shared" si="3"/>
        <v>0.24354231057069184</v>
      </c>
      <c r="F16" s="767">
        <f t="shared" ca="1" si="3"/>
        <v>0.25877482555263154</v>
      </c>
      <c r="G16" s="768">
        <f t="shared" ca="1" si="3"/>
        <v>0.26575861933479533</v>
      </c>
      <c r="H16" s="768">
        <f t="shared" ca="1" si="3"/>
        <v>0.25907087990882882</v>
      </c>
      <c r="I16" s="768">
        <f t="shared" ca="1" si="3"/>
        <v>0.25243002213358351</v>
      </c>
      <c r="J16" s="768">
        <f t="shared" ca="1" si="3"/>
        <v>0.25083474374098397</v>
      </c>
      <c r="K16" s="768">
        <f t="shared" ca="1" si="3"/>
        <v>0.24928377863706774</v>
      </c>
      <c r="M16" s="727"/>
      <c r="O16" s="727"/>
    </row>
    <row r="17" spans="2:15" s="1" customFormat="1" x14ac:dyDescent="0.3">
      <c r="B17" s="695"/>
      <c r="C17" s="777"/>
      <c r="D17" s="777"/>
      <c r="E17" s="778"/>
      <c r="F17" s="779"/>
      <c r="G17" s="780"/>
      <c r="H17" s="780"/>
      <c r="I17" s="780"/>
      <c r="J17" s="780"/>
      <c r="K17" s="780"/>
      <c r="M17" s="727"/>
      <c r="O17" s="727"/>
    </row>
    <row r="18" spans="2:15" s="1" customFormat="1" x14ac:dyDescent="0.3">
      <c r="B18" s="702" t="s">
        <v>70</v>
      </c>
      <c r="C18" s="781">
        <f>C12-C15</f>
        <v>2731.5169999999998</v>
      </c>
      <c r="D18" s="781">
        <f t="shared" ref="D18:K18" si="4">D12-D15</f>
        <v>3208.6999999999989</v>
      </c>
      <c r="E18" s="781">
        <f t="shared" si="4"/>
        <v>5336.4039999999986</v>
      </c>
      <c r="F18" s="782">
        <f t="shared" ca="1" si="4"/>
        <v>6032.892085613561</v>
      </c>
      <c r="G18" s="781">
        <f t="shared" ca="1" si="4"/>
        <v>6330.0662625000023</v>
      </c>
      <c r="H18" s="781">
        <f t="shared" ca="1" si="4"/>
        <v>7132.8935756249975</v>
      </c>
      <c r="I18" s="781">
        <f t="shared" ca="1" si="4"/>
        <v>8021.4166544062537</v>
      </c>
      <c r="J18" s="781">
        <f t="shared" ca="1" si="4"/>
        <v>8745.6036151265725</v>
      </c>
      <c r="K18" s="781">
        <f t="shared" ca="1" si="4"/>
        <v>9531.849214122898</v>
      </c>
      <c r="L18" s="783"/>
      <c r="M18" s="784">
        <f ca="1">+IF(C18=0,0,(F18/C18)^(1/(DAYS360(C$7,F$7)/360))-1)</f>
        <v>0.30228853262724042</v>
      </c>
      <c r="N18" s="784"/>
      <c r="O18" s="784">
        <f ca="1">+IF(F18=0,0,(K18/F18)^(1/(DAYS360(F$7,K$7)/360))-1)</f>
        <v>9.5797540510266677E-2</v>
      </c>
    </row>
    <row r="19" spans="2:15" s="1" customFormat="1" ht="13.5" x14ac:dyDescent="0.25">
      <c r="B19" s="785" t="s">
        <v>581</v>
      </c>
      <c r="C19" s="786">
        <f>IF(C$8=0,0,C18/C$8)</f>
        <v>0.13073154842048171</v>
      </c>
      <c r="D19" s="786">
        <f t="shared" ref="D19:K19" si="5">IF(D$8=0,0,D18/D$8)</f>
        <v>0.1243729798645002</v>
      </c>
      <c r="E19" s="786">
        <f t="shared" si="5"/>
        <v>0.15147571909682908</v>
      </c>
      <c r="F19" s="787">
        <f t="shared" ca="1" si="5"/>
        <v>0.15876031804246213</v>
      </c>
      <c r="G19" s="786">
        <f t="shared" ca="1" si="5"/>
        <v>0.15424138066520474</v>
      </c>
      <c r="H19" s="786">
        <f t="shared" ca="1" si="5"/>
        <v>0.16092912009117116</v>
      </c>
      <c r="I19" s="786">
        <f t="shared" ca="1" si="5"/>
        <v>0.1675699778664165</v>
      </c>
      <c r="J19" s="786">
        <f t="shared" ca="1" si="5"/>
        <v>0.16916525625901613</v>
      </c>
      <c r="K19" s="786">
        <f t="shared" ca="1" si="5"/>
        <v>0.1707162213629323</v>
      </c>
      <c r="L19" s="783"/>
      <c r="M19" s="786"/>
      <c r="N19" s="786"/>
      <c r="O19" s="786"/>
    </row>
    <row r="20" spans="2:15" s="1" customFormat="1" ht="14.25" thickBot="1" x14ac:dyDescent="0.3">
      <c r="B20" s="788" t="s">
        <v>577</v>
      </c>
      <c r="C20" s="789" t="s">
        <v>578</v>
      </c>
      <c r="D20" s="790">
        <f t="shared" ref="D20:K20" si="6">IF(C18=0,0,D18/C18-1)</f>
        <v>0.17469523345452331</v>
      </c>
      <c r="E20" s="790">
        <f t="shared" si="6"/>
        <v>0.66310468413999457</v>
      </c>
      <c r="F20" s="791">
        <f t="shared" ca="1" si="6"/>
        <v>0.13051637125179472</v>
      </c>
      <c r="G20" s="790">
        <f t="shared" ca="1" si="6"/>
        <v>4.9258990989595741E-2</v>
      </c>
      <c r="H20" s="790">
        <f t="shared" ca="1" si="6"/>
        <v>0.12682763178657885</v>
      </c>
      <c r="I20" s="790">
        <f t="shared" ca="1" si="6"/>
        <v>0.12456698944977629</v>
      </c>
      <c r="J20" s="790">
        <f t="shared" ca="1" si="6"/>
        <v>9.0281678651178865E-2</v>
      </c>
      <c r="K20" s="790">
        <f t="shared" ca="1" si="6"/>
        <v>8.9901810509273483E-2</v>
      </c>
      <c r="L20" s="783"/>
      <c r="M20" s="790"/>
      <c r="N20" s="790"/>
      <c r="O20" s="790"/>
    </row>
    <row r="21" spans="2:15" s="1" customFormat="1" ht="13.5" x14ac:dyDescent="0.25">
      <c r="E21" s="769"/>
      <c r="F21" s="770"/>
      <c r="G21" s="2"/>
      <c r="H21" s="2"/>
      <c r="I21" s="2"/>
      <c r="J21" s="2"/>
      <c r="K21" s="2"/>
    </row>
    <row r="22" spans="2:15" s="1" customFormat="1" ht="13.5" x14ac:dyDescent="0.25">
      <c r="B22" s="1" t="s">
        <v>17</v>
      </c>
      <c r="C22" s="713">
        <v>1568.3265900000001</v>
      </c>
      <c r="D22" s="713">
        <v>2722.2504300000005</v>
      </c>
      <c r="E22" s="713">
        <v>4054.3738300000005</v>
      </c>
      <c r="F22" s="713">
        <v>2500</v>
      </c>
      <c r="G22" s="764">
        <f ca="1">-SOCF!AE27</f>
        <v>1499.9999999999982</v>
      </c>
      <c r="H22" s="764">
        <f ca="1">-SOCF!AF27</f>
        <v>1500</v>
      </c>
      <c r="I22" s="764">
        <f ca="1">-SOCF!AG27</f>
        <v>1500</v>
      </c>
      <c r="J22" s="764">
        <f ca="1">-SOCF!AH27</f>
        <v>1500</v>
      </c>
      <c r="K22" s="764">
        <f ca="1">-SOCF!AI27</f>
        <v>1500</v>
      </c>
    </row>
    <row r="23" spans="2:15" s="1" customFormat="1" x14ac:dyDescent="0.3">
      <c r="B23" s="725" t="s">
        <v>39</v>
      </c>
      <c r="C23" s="766">
        <f>IF(C$8=0,0,C22/C$8)</f>
        <v>7.5060767895537173E-2</v>
      </c>
      <c r="D23" s="766">
        <f t="shared" ref="D23:K23" si="7">IF(D$8=0,0,D22/D$8)</f>
        <v>0.1055176233105361</v>
      </c>
      <c r="E23" s="766">
        <f t="shared" si="7"/>
        <v>0.11508483828934528</v>
      </c>
      <c r="F23" s="767">
        <f t="shared" ca="1" si="7"/>
        <v>6.5789473684210523E-2</v>
      </c>
      <c r="G23" s="768">
        <f t="shared" ca="1" si="7"/>
        <v>3.6549707602339138E-2</v>
      </c>
      <c r="H23" s="768">
        <f t="shared" ca="1" si="7"/>
        <v>3.3842321854017761E-2</v>
      </c>
      <c r="I23" s="768">
        <f t="shared" ca="1" si="7"/>
        <v>3.1335483198164586E-2</v>
      </c>
      <c r="J23" s="768">
        <f t="shared" ca="1" si="7"/>
        <v>2.9014336294596835E-2</v>
      </c>
      <c r="K23" s="768">
        <f t="shared" ca="1" si="7"/>
        <v>2.6865126198700771E-2</v>
      </c>
    </row>
    <row r="24" spans="2:15" s="1" customFormat="1" x14ac:dyDescent="0.3">
      <c r="B24" s="725"/>
      <c r="C24" s="766"/>
      <c r="D24" s="766"/>
      <c r="E24" s="792"/>
      <c r="F24" s="768"/>
      <c r="G24" s="793"/>
      <c r="H24" s="793"/>
      <c r="I24" s="793"/>
      <c r="J24" s="793"/>
      <c r="K24" s="79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279AA52034AC24182BF3CA47DB2FA02" ma:contentTypeVersion="1" ma:contentTypeDescription="Create a new document." ma:contentTypeScope="" ma:versionID="1978cd9e8c7c7a9148ec094c317495cc">
  <xsd:schema xmlns:xsd="http://www.w3.org/2001/XMLSchema" xmlns:xs="http://www.w3.org/2001/XMLSchema" xmlns:p="http://schemas.microsoft.com/office/2006/metadata/properties" xmlns:ns3="d0c2c2a5-3dbe-42a5-b8ff-7a58fdb7b9fb" targetNamespace="http://schemas.microsoft.com/office/2006/metadata/properties" ma:root="true" ma:fieldsID="7c40c8d3a8ccc5f7c0777ad9d763f7f0" ns3:_="">
    <xsd:import namespace="d0c2c2a5-3dbe-42a5-b8ff-7a58fdb7b9fb"/>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c2c2a5-3dbe-42a5-b8ff-7a58fdb7b9f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79A14F-868E-4DE5-BEE5-80539A82CD65}">
  <ds:schemaRefs>
    <ds:schemaRef ds:uri="http://schemas.microsoft.com/sharepoint/v3/contenttype/forms"/>
  </ds:schemaRefs>
</ds:datastoreItem>
</file>

<file path=customXml/itemProps2.xml><?xml version="1.0" encoding="utf-8"?>
<ds:datastoreItem xmlns:ds="http://schemas.openxmlformats.org/officeDocument/2006/customXml" ds:itemID="{22812BCB-F4DC-4376-8522-CD1054E655F5}">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d0c2c2a5-3dbe-42a5-b8ff-7a58fdb7b9fb"/>
    <ds:schemaRef ds:uri="http://www.w3.org/XML/1998/namespace"/>
    <ds:schemaRef ds:uri="http://purl.org/dc/dcmitype/"/>
  </ds:schemaRefs>
</ds:datastoreItem>
</file>

<file path=customXml/itemProps3.xml><?xml version="1.0" encoding="utf-8"?>
<ds:datastoreItem xmlns:ds="http://schemas.openxmlformats.org/officeDocument/2006/customXml" ds:itemID="{52B985DF-F4F5-43D8-A6BB-A4B540A3F5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c2c2a5-3dbe-42a5-b8ff-7a58fdb7b9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19</vt:i4>
      </vt:variant>
    </vt:vector>
  </HeadingPairs>
  <TitlesOfParts>
    <vt:vector size="51" baseType="lpstr">
      <vt:lpstr>Debt Equity Comparison</vt:lpstr>
      <vt:lpstr>Valuation &amp; Sources &amp; Uses</vt:lpstr>
      <vt:lpstr>Data Tables</vt:lpstr>
      <vt:lpstr>Proj Rev &amp; EBITDA Chart</vt:lpstr>
      <vt:lpstr>Economics</vt:lpstr>
      <vt:lpstr>Covenants</vt:lpstr>
      <vt:lpstr>Sheet6</vt:lpstr>
      <vt:lpstr>NWC Summary</vt:lpstr>
      <vt:lpstr>Sep15</vt:lpstr>
      <vt:lpstr>Summary Income Statement</vt:lpstr>
      <vt:lpstr>CL - Tables</vt:lpstr>
      <vt:lpstr>CL - Monthly Financials</vt:lpstr>
      <vt:lpstr>CL- R&amp;D</vt:lpstr>
      <vt:lpstr>CL - Aug15 LTM QE</vt:lpstr>
      <vt:lpstr>Summary Balance Sheet</vt:lpstr>
      <vt:lpstr>SOCF</vt:lpstr>
      <vt:lpstr>PPA</vt:lpstr>
      <vt:lpstr>BS Assumptions</vt:lpstr>
      <vt:lpstr>IS Assumptions</vt:lpstr>
      <vt:lpstr>Debt and Spec. Dist</vt:lpstr>
      <vt:lpstr>Taxes</vt:lpstr>
      <vt:lpstr>CapEx and Depreciation</vt:lpstr>
      <vt:lpstr>LBO Returns&gt;&gt;</vt:lpstr>
      <vt:lpstr>Returns Analysis - 5 Year</vt:lpstr>
      <vt:lpstr>Returns Analysis</vt:lpstr>
      <vt:lpstr>Equity Return</vt:lpstr>
      <vt:lpstr>Sources &amp; Uses</vt:lpstr>
      <vt:lpstr>DCF Outputs&gt;&gt;</vt:lpstr>
      <vt:lpstr>DCF Output</vt:lpstr>
      <vt:lpstr>Outputs&gt;&gt;</vt:lpstr>
      <vt:lpstr>Summary Charts</vt:lpstr>
      <vt:lpstr>IS Summary</vt:lpstr>
      <vt:lpstr>'BS Assumptions'!Print_Area</vt:lpstr>
      <vt:lpstr>'CapEx and Depreciation'!Print_Area</vt:lpstr>
      <vt:lpstr>Covenants!Print_Area</vt:lpstr>
      <vt:lpstr>'Data Tables'!Print_Area</vt:lpstr>
      <vt:lpstr>'Debt Equity Comparison'!Print_Area</vt:lpstr>
      <vt:lpstr>Economics!Print_Area</vt:lpstr>
      <vt:lpstr>'IS Assumptions'!Print_Area</vt:lpstr>
      <vt:lpstr>PPA!Print_Area</vt:lpstr>
      <vt:lpstr>Sheet6!Print_Area</vt:lpstr>
      <vt:lpstr>'Summary Balance Sheet'!Print_Area</vt:lpstr>
      <vt:lpstr>'Summary Income Statement'!Print_Area</vt:lpstr>
      <vt:lpstr>Taxes!Print_Area</vt:lpstr>
      <vt:lpstr>'Valuation &amp; Sources &amp; Uses'!Print_Area</vt:lpstr>
      <vt:lpstr>'BS Assumptions'!Print_Titles</vt:lpstr>
      <vt:lpstr>'IS Assumptions'!Print_Titles</vt:lpstr>
      <vt:lpstr>PPA!Print_Titles</vt:lpstr>
      <vt:lpstr>SOCF!Print_Titles</vt:lpstr>
      <vt:lpstr>'Summary Balance Sheet'!Print_Titles</vt:lpstr>
      <vt:lpstr>'Summary Income Statement'!Print_Titles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Foster</dc:creator>
  <cp:lastModifiedBy>Michael Foster</cp:lastModifiedBy>
  <cp:lastPrinted>2015-07-30T20:08:09Z</cp:lastPrinted>
  <dcterms:created xsi:type="dcterms:W3CDTF">2013-08-28T23:06:33Z</dcterms:created>
  <dcterms:modified xsi:type="dcterms:W3CDTF">2015-10-21T16:55:51Z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0x0101004279AA52034AC24182BF3CA47DB2FA02</vt:lpwstr>
  </property>
</Properties>
</file>