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U:\Shared\Deals Under Consideration\4. Closed\Gamma Engineering\5. Model\"/>
    </mc:Choice>
  </mc:AlternateContent>
  <bookViews>
    <workbookView xWindow="0" yWindow="0" windowWidth="28800" windowHeight="12450"/>
  </bookViews>
  <sheets>
    <sheet name="Cover" sheetId="1" r:id="rId1"/>
    <sheet name="Histroical Financials&gt;&gt;" sheetId="2" r:id="rId2"/>
    <sheet name="Balance Sheet" sheetId="3" r:id="rId3"/>
    <sheet name="Income Statement" sheetId="4" r:id="rId4"/>
    <sheet name="Financial Model&gt;&gt;" sheetId="5" r:id="rId5"/>
    <sheet name="Model" sheetId="6" r:id="rId6"/>
    <sheet name="LBO Returns&gt;&gt;" sheetId="7" r:id="rId7"/>
    <sheet name="Returns Analysis - 5 Year" sheetId="17" r:id="rId8"/>
    <sheet name="Sources &amp; Uses" sheetId="13" r:id="rId9"/>
    <sheet name="Outputs&gt;&gt;" sheetId="9" r:id="rId10"/>
    <sheet name="Returns Summary" sheetId="18" r:id="rId11"/>
    <sheet name="IS Summary" sheetId="10" r:id="rId12"/>
    <sheet name="BS Summary" sheetId="21" r:id="rId13"/>
    <sheet name="Compensation Adj" sheetId="22" r:id="rId14"/>
  </sheets>
  <definedNames>
    <definedName name="Circ">Model!$D$5</definedName>
    <definedName name="Deal_Type">Model!$R$9</definedName>
    <definedName name="Mid_Year">Model!$D$400</definedName>
    <definedName name="_xlnm.Print_Area" localSheetId="0">Cover!$B$2:$M$40</definedName>
    <definedName name="Tax_Rate">Model!$R$15</definedName>
  </definedNames>
  <calcPr calcId="162913" calcMode="autoNoTable" iterate="1" iterateCount="100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9" i="6" l="1"/>
  <c r="E16" i="10"/>
  <c r="E9" i="10"/>
  <c r="E12" i="10"/>
  <c r="E13" i="10"/>
  <c r="E19" i="10"/>
  <c r="E29" i="10"/>
  <c r="D16" i="10"/>
  <c r="D9" i="10"/>
  <c r="D12" i="10"/>
  <c r="D13" i="10"/>
  <c r="D19" i="10"/>
  <c r="D29" i="10"/>
  <c r="F132" i="6"/>
  <c r="F128" i="6"/>
  <c r="F129" i="6"/>
  <c r="F130" i="6"/>
  <c r="F134" i="6"/>
  <c r="F145" i="6"/>
  <c r="F146" i="6"/>
  <c r="F149" i="6"/>
  <c r="F162" i="6"/>
  <c r="G178" i="6"/>
  <c r="G95" i="6"/>
  <c r="F402" i="6"/>
  <c r="C23" i="21"/>
  <c r="C28" i="21"/>
  <c r="C31" i="21"/>
  <c r="C13" i="21"/>
  <c r="C19" i="21"/>
  <c r="C32" i="21"/>
  <c r="E29" i="22"/>
  <c r="A1" i="21"/>
  <c r="E25" i="10"/>
  <c r="E26" i="10"/>
  <c r="D25" i="10"/>
  <c r="D26" i="10"/>
  <c r="C9" i="10"/>
  <c r="C25" i="10"/>
  <c r="C26" i="10"/>
  <c r="D22" i="10"/>
  <c r="D23" i="10"/>
  <c r="C12" i="10"/>
  <c r="C13" i="10"/>
  <c r="C16" i="10"/>
  <c r="C19" i="10"/>
  <c r="C22" i="10"/>
  <c r="C23" i="10"/>
  <c r="E20" i="10"/>
  <c r="D20" i="10"/>
  <c r="C20" i="10"/>
  <c r="E17" i="10"/>
  <c r="D17" i="10"/>
  <c r="C17" i="10"/>
  <c r="E22" i="10"/>
  <c r="E14" i="10"/>
  <c r="D14" i="10"/>
  <c r="C14" i="10"/>
  <c r="E10" i="10"/>
  <c r="D10" i="10"/>
  <c r="D7" i="3"/>
  <c r="E7" i="3"/>
  <c r="E7" i="4"/>
  <c r="E7" i="10"/>
  <c r="E8" i="10"/>
  <c r="D7" i="4"/>
  <c r="D7" i="10"/>
  <c r="D8" i="10"/>
  <c r="C7" i="4"/>
  <c r="C7" i="10"/>
  <c r="C8" i="10"/>
  <c r="A1" i="10"/>
  <c r="C14" i="18"/>
  <c r="G15" i="18"/>
  <c r="A1" i="18"/>
  <c r="A1" i="13"/>
  <c r="G51" i="17"/>
  <c r="G50" i="17"/>
  <c r="G49" i="17"/>
  <c r="G48" i="17"/>
  <c r="G47" i="17"/>
  <c r="D18" i="17"/>
  <c r="J9" i="17"/>
  <c r="K9" i="17"/>
  <c r="L9" i="17"/>
  <c r="M9" i="17"/>
  <c r="C9" i="18"/>
  <c r="G9" i="18"/>
  <c r="I6" i="17"/>
  <c r="J6" i="17"/>
  <c r="K6" i="17"/>
  <c r="L6" i="17"/>
  <c r="M6" i="17"/>
  <c r="C7" i="18"/>
  <c r="G7" i="18"/>
  <c r="A1" i="17"/>
  <c r="D520" i="6"/>
  <c r="Q519" i="6"/>
  <c r="Q304" i="6"/>
  <c r="Q73" i="6"/>
  <c r="R519" i="6"/>
  <c r="R304" i="6"/>
  <c r="R73" i="6"/>
  <c r="K519" i="6"/>
  <c r="K304" i="6"/>
  <c r="K73" i="6"/>
  <c r="J519" i="6"/>
  <c r="J304" i="6"/>
  <c r="J73" i="6"/>
  <c r="I519" i="6"/>
  <c r="I304" i="6"/>
  <c r="I73" i="6"/>
  <c r="E519" i="6"/>
  <c r="D515" i="6"/>
  <c r="D510" i="6"/>
  <c r="R509" i="6"/>
  <c r="R394" i="6"/>
  <c r="R257" i="6"/>
  <c r="H414" i="6"/>
  <c r="D505" i="6"/>
  <c r="R504" i="6"/>
  <c r="R158" i="6"/>
  <c r="E502" i="6"/>
  <c r="E507" i="6"/>
  <c r="E512" i="6"/>
  <c r="E517" i="6"/>
  <c r="E501" i="6"/>
  <c r="E506" i="6"/>
  <c r="E511" i="6"/>
  <c r="E516" i="6"/>
  <c r="E500" i="6"/>
  <c r="E505" i="6"/>
  <c r="E510" i="6"/>
  <c r="E515" i="6"/>
  <c r="D500" i="6"/>
  <c r="P499" i="6"/>
  <c r="P156" i="6"/>
  <c r="D495" i="6"/>
  <c r="P494" i="6"/>
  <c r="P155" i="6"/>
  <c r="I461" i="6"/>
  <c r="J461" i="6"/>
  <c r="R455" i="6"/>
  <c r="Q455" i="6"/>
  <c r="P455" i="6"/>
  <c r="O455" i="6"/>
  <c r="N455" i="6"/>
  <c r="M455" i="6"/>
  <c r="L455" i="6"/>
  <c r="K455" i="6"/>
  <c r="J455" i="6"/>
  <c r="I455" i="6"/>
  <c r="I450" i="6"/>
  <c r="I491" i="6"/>
  <c r="AV442" i="6"/>
  <c r="AU442" i="6"/>
  <c r="AT442" i="6"/>
  <c r="AS442" i="6"/>
  <c r="AR442" i="6"/>
  <c r="AQ442" i="6"/>
  <c r="AP442" i="6"/>
  <c r="AO442" i="6"/>
  <c r="AN442" i="6"/>
  <c r="AM442" i="6"/>
  <c r="AL442" i="6"/>
  <c r="AK442" i="6"/>
  <c r="AJ442" i="6"/>
  <c r="AI442" i="6"/>
  <c r="AH442" i="6"/>
  <c r="AG442" i="6"/>
  <c r="AF442" i="6"/>
  <c r="AE442" i="6"/>
  <c r="AD442" i="6"/>
  <c r="AC442" i="6"/>
  <c r="AB442" i="6"/>
  <c r="AA442" i="6"/>
  <c r="Z442" i="6"/>
  <c r="Y442" i="6"/>
  <c r="X442" i="6"/>
  <c r="W442" i="6"/>
  <c r="V442" i="6"/>
  <c r="S442" i="6"/>
  <c r="R442" i="6"/>
  <c r="Q442" i="6"/>
  <c r="P442" i="6"/>
  <c r="O442" i="6"/>
  <c r="N442" i="6"/>
  <c r="M442" i="6"/>
  <c r="L442" i="6"/>
  <c r="K442" i="6"/>
  <c r="J442" i="6"/>
  <c r="I442" i="6"/>
  <c r="H426" i="6"/>
  <c r="G426" i="6"/>
  <c r="G405" i="6"/>
  <c r="G427" i="6"/>
  <c r="J401" i="6"/>
  <c r="J450" i="6"/>
  <c r="J491" i="6"/>
  <c r="J377" i="6"/>
  <c r="K377" i="6"/>
  <c r="L377" i="6"/>
  <c r="M377" i="6"/>
  <c r="N377" i="6"/>
  <c r="O377" i="6"/>
  <c r="P377" i="6"/>
  <c r="Q377" i="6"/>
  <c r="R377" i="6"/>
  <c r="R324" i="6"/>
  <c r="Q324" i="6"/>
  <c r="P324" i="6"/>
  <c r="O324" i="6"/>
  <c r="N324" i="6"/>
  <c r="M324" i="6"/>
  <c r="L324" i="6"/>
  <c r="K324" i="6"/>
  <c r="J324" i="6"/>
  <c r="I324" i="6"/>
  <c r="R315" i="6"/>
  <c r="Q315" i="6"/>
  <c r="P315" i="6"/>
  <c r="O315" i="6"/>
  <c r="N315" i="6"/>
  <c r="M315" i="6"/>
  <c r="L315" i="6"/>
  <c r="K315" i="6"/>
  <c r="J315" i="6"/>
  <c r="I315" i="6"/>
  <c r="R313" i="6"/>
  <c r="Q313" i="6"/>
  <c r="P313" i="6"/>
  <c r="O313" i="6"/>
  <c r="N313" i="6"/>
  <c r="M313" i="6"/>
  <c r="L313" i="6"/>
  <c r="K313" i="6"/>
  <c r="J313" i="6"/>
  <c r="I313" i="6"/>
  <c r="J312" i="6"/>
  <c r="J301" i="6"/>
  <c r="J284" i="6"/>
  <c r="K301" i="6"/>
  <c r="L301" i="6"/>
  <c r="I284" i="6"/>
  <c r="R282" i="6"/>
  <c r="Q282" i="6"/>
  <c r="P282" i="6"/>
  <c r="O282" i="6"/>
  <c r="N282" i="6"/>
  <c r="M282" i="6"/>
  <c r="L282" i="6"/>
  <c r="K282" i="6"/>
  <c r="J282" i="6"/>
  <c r="I282" i="6"/>
  <c r="R241" i="6"/>
  <c r="Q241" i="6"/>
  <c r="P241" i="6"/>
  <c r="O241" i="6"/>
  <c r="N241" i="6"/>
  <c r="M241" i="6"/>
  <c r="L241" i="6"/>
  <c r="K241" i="6"/>
  <c r="J241" i="6"/>
  <c r="I241" i="6"/>
  <c r="R240" i="6"/>
  <c r="Q240" i="6"/>
  <c r="P240" i="6"/>
  <c r="O240" i="6"/>
  <c r="N240" i="6"/>
  <c r="M240" i="6"/>
  <c r="L240" i="6"/>
  <c r="K240" i="6"/>
  <c r="J240" i="6"/>
  <c r="I240" i="6"/>
  <c r="H229" i="6"/>
  <c r="I229" i="6"/>
  <c r="J229" i="6"/>
  <c r="K229" i="6"/>
  <c r="L229" i="6"/>
  <c r="M229" i="6"/>
  <c r="N229" i="6"/>
  <c r="O229" i="6"/>
  <c r="P229" i="6"/>
  <c r="Q229" i="6"/>
  <c r="R229" i="6"/>
  <c r="G201" i="6"/>
  <c r="G202" i="6"/>
  <c r="F201" i="6"/>
  <c r="F202" i="6"/>
  <c r="G198" i="6"/>
  <c r="G115" i="6"/>
  <c r="J115" i="6"/>
  <c r="H198" i="6"/>
  <c r="G193" i="6"/>
  <c r="G195" i="6"/>
  <c r="F193" i="6"/>
  <c r="F195" i="6"/>
  <c r="G188" i="6"/>
  <c r="G217" i="6"/>
  <c r="F188" i="6"/>
  <c r="G187" i="6"/>
  <c r="G216" i="6"/>
  <c r="F187" i="6"/>
  <c r="G22" i="3"/>
  <c r="G181" i="6"/>
  <c r="E22" i="3"/>
  <c r="F181" i="6"/>
  <c r="F41" i="6"/>
  <c r="F178" i="6"/>
  <c r="G175" i="6"/>
  <c r="G215" i="6"/>
  <c r="F175" i="6"/>
  <c r="G174" i="6"/>
  <c r="G214" i="6"/>
  <c r="F174" i="6"/>
  <c r="G173" i="6"/>
  <c r="G213" i="6"/>
  <c r="F173" i="6"/>
  <c r="G172" i="6"/>
  <c r="G89" i="6"/>
  <c r="F36" i="6"/>
  <c r="F172" i="6"/>
  <c r="G146" i="6"/>
  <c r="F19" i="10"/>
  <c r="R142" i="6"/>
  <c r="Q142" i="6"/>
  <c r="P142" i="6"/>
  <c r="O142" i="6"/>
  <c r="N142" i="6"/>
  <c r="M142" i="6"/>
  <c r="L142" i="6"/>
  <c r="K142" i="6"/>
  <c r="J142" i="6"/>
  <c r="I142" i="6"/>
  <c r="G132" i="6"/>
  <c r="F12" i="10"/>
  <c r="G128" i="6"/>
  <c r="F161" i="6"/>
  <c r="F126" i="6"/>
  <c r="F168" i="6"/>
  <c r="G114" i="6"/>
  <c r="J114" i="6"/>
  <c r="H197" i="6"/>
  <c r="I197" i="6"/>
  <c r="J197" i="6"/>
  <c r="K197" i="6"/>
  <c r="L197" i="6"/>
  <c r="M197" i="6"/>
  <c r="N197" i="6"/>
  <c r="O197" i="6"/>
  <c r="P197" i="6"/>
  <c r="Q197" i="6"/>
  <c r="R197" i="6"/>
  <c r="G111" i="6"/>
  <c r="G109" i="6"/>
  <c r="G104" i="6"/>
  <c r="J104" i="6"/>
  <c r="G99" i="6"/>
  <c r="G98" i="6"/>
  <c r="J98" i="6"/>
  <c r="H181" i="6"/>
  <c r="G97" i="6"/>
  <c r="J97" i="6"/>
  <c r="H180" i="6"/>
  <c r="I180" i="6"/>
  <c r="J180" i="6"/>
  <c r="K180" i="6"/>
  <c r="L180" i="6"/>
  <c r="M180" i="6"/>
  <c r="N180" i="6"/>
  <c r="O180" i="6"/>
  <c r="P180" i="6"/>
  <c r="Q180" i="6"/>
  <c r="R180" i="6"/>
  <c r="G96" i="6"/>
  <c r="H55" i="6"/>
  <c r="I55" i="6"/>
  <c r="J55" i="6"/>
  <c r="K55" i="6"/>
  <c r="L55" i="6"/>
  <c r="M55" i="6"/>
  <c r="N55" i="6"/>
  <c r="O55" i="6"/>
  <c r="P55" i="6"/>
  <c r="Q55" i="6"/>
  <c r="R55" i="6"/>
  <c r="K50" i="6"/>
  <c r="I337" i="6"/>
  <c r="K49" i="6"/>
  <c r="K48" i="6"/>
  <c r="I370" i="6"/>
  <c r="J370" i="6"/>
  <c r="K370" i="6"/>
  <c r="L370" i="6"/>
  <c r="M370" i="6"/>
  <c r="N370" i="6"/>
  <c r="O370" i="6"/>
  <c r="P370" i="6"/>
  <c r="Q370" i="6"/>
  <c r="R370" i="6"/>
  <c r="K45" i="6"/>
  <c r="K44" i="6"/>
  <c r="K43" i="6"/>
  <c r="K42" i="6"/>
  <c r="K39" i="6"/>
  <c r="K38" i="6"/>
  <c r="K37" i="6"/>
  <c r="I348" i="6"/>
  <c r="J348" i="6"/>
  <c r="K348" i="6"/>
  <c r="L348" i="6"/>
  <c r="M348" i="6"/>
  <c r="N348" i="6"/>
  <c r="O348" i="6"/>
  <c r="P348" i="6"/>
  <c r="Q348" i="6"/>
  <c r="R348" i="6"/>
  <c r="F37" i="6"/>
  <c r="K34" i="6"/>
  <c r="K33" i="6"/>
  <c r="K32" i="6"/>
  <c r="I346" i="6"/>
  <c r="J346" i="6"/>
  <c r="K346" i="6"/>
  <c r="L346" i="6"/>
  <c r="M346" i="6"/>
  <c r="N346" i="6"/>
  <c r="O346" i="6"/>
  <c r="P346" i="6"/>
  <c r="Q346" i="6"/>
  <c r="R346" i="6"/>
  <c r="R29" i="6"/>
  <c r="D17" i="17"/>
  <c r="D20" i="17"/>
  <c r="P29" i="6"/>
  <c r="K29" i="6"/>
  <c r="F9" i="13"/>
  <c r="P28" i="6"/>
  <c r="K28" i="6"/>
  <c r="K27" i="6"/>
  <c r="K24" i="6"/>
  <c r="K23" i="6"/>
  <c r="K22" i="6"/>
  <c r="K21" i="6"/>
  <c r="K18" i="6"/>
  <c r="I322" i="6"/>
  <c r="K17" i="6"/>
  <c r="D25" i="6"/>
  <c r="K16" i="6"/>
  <c r="K15" i="6"/>
  <c r="D21" i="6"/>
  <c r="K14" i="6"/>
  <c r="D20" i="6"/>
  <c r="C8" i="13"/>
  <c r="K10" i="6"/>
  <c r="R22" i="6"/>
  <c r="A1" i="6"/>
  <c r="D12" i="4"/>
  <c r="D18" i="4"/>
  <c r="D23" i="4"/>
  <c r="D25" i="4"/>
  <c r="D30" i="4"/>
  <c r="D31" i="4"/>
  <c r="C12" i="4"/>
  <c r="C18" i="4"/>
  <c r="C23" i="4"/>
  <c r="C25" i="4"/>
  <c r="C30" i="4"/>
  <c r="C31" i="4"/>
  <c r="F23" i="4"/>
  <c r="E23" i="4"/>
  <c r="E12" i="4"/>
  <c r="E18" i="4"/>
  <c r="E19" i="4"/>
  <c r="D19" i="4"/>
  <c r="C19" i="4"/>
  <c r="E25" i="4"/>
  <c r="E30" i="4"/>
  <c r="E31" i="4"/>
  <c r="F16" i="4"/>
  <c r="E16" i="4"/>
  <c r="D16" i="4"/>
  <c r="C16" i="4"/>
  <c r="E13" i="4"/>
  <c r="D13" i="4"/>
  <c r="C13" i="4"/>
  <c r="F12" i="4"/>
  <c r="F18" i="4"/>
  <c r="F25" i="4"/>
  <c r="F30" i="4"/>
  <c r="F31" i="4"/>
  <c r="F7" i="4"/>
  <c r="C6" i="4"/>
  <c r="A1" i="4"/>
  <c r="E44" i="3"/>
  <c r="E51" i="3"/>
  <c r="D44" i="3"/>
  <c r="D51" i="3"/>
  <c r="C44" i="3"/>
  <c r="C51" i="3"/>
  <c r="E50" i="3"/>
  <c r="D50" i="3"/>
  <c r="C50" i="3"/>
  <c r="E43" i="3"/>
  <c r="E49" i="3"/>
  <c r="D22" i="3"/>
  <c r="D43" i="3"/>
  <c r="D49" i="3"/>
  <c r="C22" i="3"/>
  <c r="C43" i="3"/>
  <c r="C49" i="3"/>
  <c r="E48" i="3"/>
  <c r="D48" i="3"/>
  <c r="C48" i="3"/>
  <c r="E47" i="3"/>
  <c r="D47" i="3"/>
  <c r="C47" i="3"/>
  <c r="G44" i="3"/>
  <c r="G48" i="3"/>
  <c r="G43" i="3"/>
  <c r="G49" i="3"/>
  <c r="E13" i="3"/>
  <c r="E24" i="3"/>
  <c r="E29" i="3"/>
  <c r="E39" i="3"/>
  <c r="E40" i="3"/>
  <c r="D13" i="3"/>
  <c r="D24" i="3"/>
  <c r="D29" i="3"/>
  <c r="D39" i="3"/>
  <c r="D40" i="3"/>
  <c r="C13" i="3"/>
  <c r="C24" i="3"/>
  <c r="C29" i="3"/>
  <c r="C39" i="3"/>
  <c r="C40" i="3"/>
  <c r="G29" i="3"/>
  <c r="G39" i="3"/>
  <c r="G12" i="3"/>
  <c r="G13" i="3"/>
  <c r="G24" i="3"/>
  <c r="G17" i="3"/>
  <c r="G16" i="3"/>
  <c r="A1" i="3"/>
  <c r="B21" i="1"/>
  <c r="G50" i="3"/>
  <c r="G51" i="3"/>
  <c r="K461" i="6"/>
  <c r="J475" i="6"/>
  <c r="I475" i="6"/>
  <c r="N519" i="6"/>
  <c r="N304" i="6"/>
  <c r="N73" i="6"/>
  <c r="O519" i="6"/>
  <c r="O304" i="6"/>
  <c r="O73" i="6"/>
  <c r="G92" i="6"/>
  <c r="J92" i="6"/>
  <c r="H175" i="6"/>
  <c r="D12" i="21"/>
  <c r="G110" i="6"/>
  <c r="M301" i="6"/>
  <c r="E514" i="6"/>
  <c r="L519" i="6"/>
  <c r="L304" i="6"/>
  <c r="L73" i="6"/>
  <c r="P519" i="6"/>
  <c r="P304" i="6"/>
  <c r="P73" i="6"/>
  <c r="K312" i="6"/>
  <c r="L312" i="6"/>
  <c r="M312" i="6"/>
  <c r="N312" i="6"/>
  <c r="O312" i="6"/>
  <c r="P312" i="6"/>
  <c r="Q312" i="6"/>
  <c r="R312" i="6"/>
  <c r="K401" i="6"/>
  <c r="M519" i="6"/>
  <c r="M304" i="6"/>
  <c r="M73" i="6"/>
  <c r="F160" i="6"/>
  <c r="I198" i="6"/>
  <c r="J198" i="6"/>
  <c r="J238" i="6"/>
  <c r="G406" i="6"/>
  <c r="G428" i="6"/>
  <c r="F158" i="6"/>
  <c r="G91" i="6"/>
  <c r="J91" i="6"/>
  <c r="H174" i="6"/>
  <c r="D11" i="21"/>
  <c r="H110" i="6"/>
  <c r="F156" i="6"/>
  <c r="F189" i="6"/>
  <c r="F199" i="6"/>
  <c r="F203" i="6"/>
  <c r="M22" i="10"/>
  <c r="E23" i="10"/>
  <c r="G211" i="6"/>
  <c r="G223" i="6"/>
  <c r="I223" i="6"/>
  <c r="G47" i="3"/>
  <c r="F13" i="4"/>
  <c r="D17" i="21"/>
  <c r="I181" i="6"/>
  <c r="H187" i="6"/>
  <c r="G210" i="6"/>
  <c r="G227" i="6"/>
  <c r="J227" i="6"/>
  <c r="K227" i="6"/>
  <c r="L227" i="6"/>
  <c r="M227" i="6"/>
  <c r="N227" i="6"/>
  <c r="O227" i="6"/>
  <c r="P227" i="6"/>
  <c r="Q227" i="6"/>
  <c r="R227" i="6"/>
  <c r="F9" i="10"/>
  <c r="G155" i="6"/>
  <c r="G156" i="6"/>
  <c r="G161" i="6"/>
  <c r="G225" i="6"/>
  <c r="I225" i="6"/>
  <c r="J225" i="6"/>
  <c r="K225" i="6"/>
  <c r="L225" i="6"/>
  <c r="M225" i="6"/>
  <c r="N225" i="6"/>
  <c r="O225" i="6"/>
  <c r="P225" i="6"/>
  <c r="Q225" i="6"/>
  <c r="R225" i="6"/>
  <c r="G130" i="6"/>
  <c r="G157" i="6"/>
  <c r="F423" i="6"/>
  <c r="F418" i="6"/>
  <c r="I89" i="6"/>
  <c r="J89" i="6"/>
  <c r="H172" i="6"/>
  <c r="G126" i="6"/>
  <c r="F176" i="6"/>
  <c r="F183" i="6"/>
  <c r="F204" i="6"/>
  <c r="F47" i="6"/>
  <c r="H95" i="6"/>
  <c r="J95" i="6"/>
  <c r="G189" i="6"/>
  <c r="G199" i="6"/>
  <c r="G203" i="6"/>
  <c r="G105" i="6"/>
  <c r="I238" i="6"/>
  <c r="G160" i="6"/>
  <c r="G158" i="6"/>
  <c r="I494" i="6"/>
  <c r="I155" i="6"/>
  <c r="I128" i="6"/>
  <c r="M494" i="6"/>
  <c r="M155" i="6"/>
  <c r="I514" i="6"/>
  <c r="N494" i="6"/>
  <c r="N155" i="6"/>
  <c r="R494" i="6"/>
  <c r="R155" i="6"/>
  <c r="F16" i="10"/>
  <c r="F19" i="4"/>
  <c r="N499" i="6"/>
  <c r="N156" i="6"/>
  <c r="J494" i="6"/>
  <c r="J155" i="6"/>
  <c r="O494" i="6"/>
  <c r="O155" i="6"/>
  <c r="K494" i="6"/>
  <c r="K155" i="6"/>
  <c r="Q494" i="6"/>
  <c r="Q155" i="6"/>
  <c r="K504" i="6"/>
  <c r="K158" i="6"/>
  <c r="O504" i="6"/>
  <c r="O158" i="6"/>
  <c r="I499" i="6"/>
  <c r="I156" i="6"/>
  <c r="K509" i="6"/>
  <c r="K394" i="6"/>
  <c r="I25" i="10"/>
  <c r="O509" i="6"/>
  <c r="O394" i="6"/>
  <c r="O257" i="6"/>
  <c r="H411" i="6"/>
  <c r="H433" i="6"/>
  <c r="J499" i="6"/>
  <c r="J156" i="6"/>
  <c r="O499" i="6"/>
  <c r="O156" i="6"/>
  <c r="L509" i="6"/>
  <c r="L394" i="6"/>
  <c r="J25" i="10"/>
  <c r="K499" i="6"/>
  <c r="K156" i="6"/>
  <c r="Q499" i="6"/>
  <c r="Q156" i="6"/>
  <c r="E509" i="6"/>
  <c r="M499" i="6"/>
  <c r="M156" i="6"/>
  <c r="R499" i="6"/>
  <c r="R156" i="6"/>
  <c r="I509" i="6"/>
  <c r="I394" i="6"/>
  <c r="I65" i="6"/>
  <c r="P509" i="6"/>
  <c r="P394" i="6"/>
  <c r="P65" i="6"/>
  <c r="E504" i="6"/>
  <c r="L504" i="6"/>
  <c r="L158" i="6"/>
  <c r="P504" i="6"/>
  <c r="P158" i="6"/>
  <c r="M509" i="6"/>
  <c r="M394" i="6"/>
  <c r="K25" i="10"/>
  <c r="Q509" i="6"/>
  <c r="Q394" i="6"/>
  <c r="Q65" i="6"/>
  <c r="E494" i="6"/>
  <c r="R5" i="6"/>
  <c r="L494" i="6"/>
  <c r="L155" i="6"/>
  <c r="E499" i="6"/>
  <c r="L499" i="6"/>
  <c r="L156" i="6"/>
  <c r="I504" i="6"/>
  <c r="I158" i="6"/>
  <c r="M504" i="6"/>
  <c r="M158" i="6"/>
  <c r="Q504" i="6"/>
  <c r="Q158" i="6"/>
  <c r="J509" i="6"/>
  <c r="J394" i="6"/>
  <c r="H25" i="10"/>
  <c r="N509" i="6"/>
  <c r="N394" i="6"/>
  <c r="N65" i="6"/>
  <c r="J504" i="6"/>
  <c r="J158" i="6"/>
  <c r="N504" i="6"/>
  <c r="N158" i="6"/>
  <c r="G176" i="6"/>
  <c r="G183" i="6"/>
  <c r="G90" i="6"/>
  <c r="G118" i="6"/>
  <c r="G40" i="3"/>
  <c r="G219" i="6"/>
  <c r="G222" i="6"/>
  <c r="J222" i="6"/>
  <c r="K222" i="6"/>
  <c r="L222" i="6"/>
  <c r="M222" i="6"/>
  <c r="N222" i="6"/>
  <c r="O222" i="6"/>
  <c r="P222" i="6"/>
  <c r="Q222" i="6"/>
  <c r="R222" i="6"/>
  <c r="R65" i="6"/>
  <c r="F9" i="6"/>
  <c r="F8" i="6"/>
  <c r="F11" i="6"/>
  <c r="C9" i="13"/>
  <c r="I110" i="6"/>
  <c r="C12" i="13"/>
  <c r="F10" i="6"/>
  <c r="E9" i="13"/>
  <c r="I341" i="6"/>
  <c r="J341" i="6"/>
  <c r="K341" i="6"/>
  <c r="L341" i="6"/>
  <c r="M341" i="6"/>
  <c r="N341" i="6"/>
  <c r="O341" i="6"/>
  <c r="P341" i="6"/>
  <c r="Q341" i="6"/>
  <c r="R341" i="6"/>
  <c r="I109" i="6"/>
  <c r="J109" i="6"/>
  <c r="D22" i="6"/>
  <c r="I358" i="6"/>
  <c r="I268" i="6"/>
  <c r="E8" i="13"/>
  <c r="I340" i="6"/>
  <c r="I344" i="6"/>
  <c r="D26" i="6"/>
  <c r="I347" i="6"/>
  <c r="J347" i="6"/>
  <c r="K347" i="6"/>
  <c r="L347" i="6"/>
  <c r="M347" i="6"/>
  <c r="N347" i="6"/>
  <c r="O347" i="6"/>
  <c r="P347" i="6"/>
  <c r="Q347" i="6"/>
  <c r="R347" i="6"/>
  <c r="F314" i="6"/>
  <c r="F323" i="6"/>
  <c r="I349" i="6"/>
  <c r="J349" i="6"/>
  <c r="K349" i="6"/>
  <c r="L349" i="6"/>
  <c r="M349" i="6"/>
  <c r="N349" i="6"/>
  <c r="O349" i="6"/>
  <c r="P349" i="6"/>
  <c r="Q349" i="6"/>
  <c r="R349" i="6"/>
  <c r="J337" i="6"/>
  <c r="R259" i="6"/>
  <c r="H436" i="6"/>
  <c r="R436" i="6"/>
  <c r="R414" i="6"/>
  <c r="K475" i="6"/>
  <c r="L461" i="6"/>
  <c r="J110" i="6"/>
  <c r="H193" i="6"/>
  <c r="I300" i="6"/>
  <c r="G226" i="6"/>
  <c r="J226" i="6"/>
  <c r="K226" i="6"/>
  <c r="L226" i="6"/>
  <c r="M226" i="6"/>
  <c r="N226" i="6"/>
  <c r="O226" i="6"/>
  <c r="P226" i="6"/>
  <c r="Q226" i="6"/>
  <c r="R226" i="6"/>
  <c r="G134" i="6"/>
  <c r="G159" i="6"/>
  <c r="G112" i="6"/>
  <c r="F35" i="6"/>
  <c r="L401" i="6"/>
  <c r="K450" i="6"/>
  <c r="K491" i="6"/>
  <c r="G407" i="6"/>
  <c r="G429" i="6"/>
  <c r="K284" i="6"/>
  <c r="L284" i="6"/>
  <c r="K198" i="6"/>
  <c r="K238" i="6"/>
  <c r="M284" i="6"/>
  <c r="N301" i="6"/>
  <c r="G204" i="6"/>
  <c r="G224" i="6"/>
  <c r="G220" i="6"/>
  <c r="I132" i="6"/>
  <c r="G16" i="10"/>
  <c r="D9" i="21"/>
  <c r="I271" i="6"/>
  <c r="I366" i="6"/>
  <c r="I281" i="6"/>
  <c r="H62" i="6"/>
  <c r="I418" i="6"/>
  <c r="I133" i="6"/>
  <c r="I148" i="6"/>
  <c r="F157" i="6"/>
  <c r="P423" i="6"/>
  <c r="L423" i="6"/>
  <c r="O423" i="6"/>
  <c r="K423" i="6"/>
  <c r="R423" i="6"/>
  <c r="N423" i="6"/>
  <c r="J423" i="6"/>
  <c r="Q423" i="6"/>
  <c r="M423" i="6"/>
  <c r="I423" i="6"/>
  <c r="F20" i="10"/>
  <c r="F13" i="10"/>
  <c r="F10" i="10"/>
  <c r="D21" i="21"/>
  <c r="H178" i="6"/>
  <c r="F8" i="10"/>
  <c r="G54" i="6"/>
  <c r="G168" i="6"/>
  <c r="G208" i="6"/>
  <c r="E17" i="21"/>
  <c r="J181" i="6"/>
  <c r="J105" i="6"/>
  <c r="G106" i="6"/>
  <c r="L198" i="6"/>
  <c r="I161" i="6"/>
  <c r="I210" i="6"/>
  <c r="I215" i="6"/>
  <c r="I175" i="6"/>
  <c r="G9" i="10"/>
  <c r="G10" i="10"/>
  <c r="I129" i="6"/>
  <c r="G12" i="10"/>
  <c r="J128" i="6"/>
  <c r="J132" i="6"/>
  <c r="H16" i="10"/>
  <c r="K257" i="6"/>
  <c r="H407" i="6"/>
  <c r="G145" i="6"/>
  <c r="G138" i="6"/>
  <c r="F17" i="10"/>
  <c r="O259" i="6"/>
  <c r="K65" i="6"/>
  <c r="N257" i="6"/>
  <c r="H410" i="6"/>
  <c r="N410" i="6"/>
  <c r="O65" i="6"/>
  <c r="G25" i="10"/>
  <c r="I257" i="6"/>
  <c r="H405" i="6"/>
  <c r="H427" i="6"/>
  <c r="N427" i="6"/>
  <c r="L257" i="6"/>
  <c r="H408" i="6"/>
  <c r="L408" i="6"/>
  <c r="L65" i="6"/>
  <c r="F26" i="10"/>
  <c r="P257" i="6"/>
  <c r="H412" i="6"/>
  <c r="H434" i="6"/>
  <c r="Q434" i="6"/>
  <c r="J257" i="6"/>
  <c r="H406" i="6"/>
  <c r="H428" i="6"/>
  <c r="K428" i="6"/>
  <c r="Q257" i="6"/>
  <c r="H413" i="6"/>
  <c r="H435" i="6"/>
  <c r="R435" i="6"/>
  <c r="J65" i="6"/>
  <c r="M257" i="6"/>
  <c r="H409" i="6"/>
  <c r="H431" i="6"/>
  <c r="N431" i="6"/>
  <c r="M65" i="6"/>
  <c r="J90" i="6"/>
  <c r="G93" i="6"/>
  <c r="G100" i="6"/>
  <c r="G119" i="6"/>
  <c r="F34" i="6"/>
  <c r="H118" i="6"/>
  <c r="I8" i="13"/>
  <c r="H99" i="6"/>
  <c r="J99" i="6"/>
  <c r="H182" i="6"/>
  <c r="D18" i="21"/>
  <c r="I345" i="6"/>
  <c r="O411" i="6"/>
  <c r="P411" i="6"/>
  <c r="Q411" i="6"/>
  <c r="F13" i="6"/>
  <c r="F33" i="6"/>
  <c r="H192" i="6"/>
  <c r="O433" i="6"/>
  <c r="R433" i="6"/>
  <c r="Q433" i="6"/>
  <c r="P433" i="6"/>
  <c r="C13" i="13"/>
  <c r="I359" i="6"/>
  <c r="I323" i="6"/>
  <c r="I325" i="6"/>
  <c r="J340" i="6"/>
  <c r="J344" i="6"/>
  <c r="K337" i="6"/>
  <c r="J345" i="6"/>
  <c r="C10" i="13"/>
  <c r="I111" i="6"/>
  <c r="J111" i="6"/>
  <c r="H194" i="6"/>
  <c r="D23" i="6"/>
  <c r="F22" i="10"/>
  <c r="F23" i="10"/>
  <c r="F29" i="10"/>
  <c r="G152" i="6"/>
  <c r="R20" i="6"/>
  <c r="G149" i="6"/>
  <c r="G162" i="6"/>
  <c r="D26" i="21"/>
  <c r="L475" i="6"/>
  <c r="M461" i="6"/>
  <c r="G116" i="6"/>
  <c r="G120" i="6"/>
  <c r="G121" i="6"/>
  <c r="J418" i="6"/>
  <c r="J133" i="6"/>
  <c r="J148" i="6"/>
  <c r="N284" i="6"/>
  <c r="O301" i="6"/>
  <c r="L450" i="6"/>
  <c r="L491" i="6"/>
  <c r="G408" i="6"/>
  <c r="G430" i="6"/>
  <c r="M401" i="6"/>
  <c r="H188" i="6"/>
  <c r="J106" i="6"/>
  <c r="G85" i="6"/>
  <c r="J85" i="6"/>
  <c r="H54" i="6"/>
  <c r="F14" i="10"/>
  <c r="L238" i="6"/>
  <c r="M198" i="6"/>
  <c r="K181" i="6"/>
  <c r="F17" i="21"/>
  <c r="M9" i="10"/>
  <c r="M8" i="10"/>
  <c r="F138" i="6"/>
  <c r="F159" i="6"/>
  <c r="I392" i="6"/>
  <c r="D15" i="21"/>
  <c r="I402" i="6"/>
  <c r="J402" i="6"/>
  <c r="F422" i="6"/>
  <c r="I217" i="6"/>
  <c r="I188" i="6"/>
  <c r="I251" i="6"/>
  <c r="I213" i="6"/>
  <c r="I173" i="6"/>
  <c r="J210" i="6"/>
  <c r="J217" i="6"/>
  <c r="J188" i="6"/>
  <c r="F22" i="21"/>
  <c r="G26" i="10"/>
  <c r="G13" i="10"/>
  <c r="J129" i="6"/>
  <c r="J161" i="6"/>
  <c r="G17" i="10"/>
  <c r="K128" i="6"/>
  <c r="K132" i="6"/>
  <c r="I16" i="10"/>
  <c r="H9" i="10"/>
  <c r="H10" i="10"/>
  <c r="I130" i="6"/>
  <c r="I157" i="6"/>
  <c r="K259" i="6"/>
  <c r="I211" i="6"/>
  <c r="I214" i="6"/>
  <c r="I174" i="6"/>
  <c r="E11" i="21"/>
  <c r="M427" i="6"/>
  <c r="R427" i="6"/>
  <c r="G141" i="6"/>
  <c r="G163" i="6"/>
  <c r="O427" i="6"/>
  <c r="N259" i="6"/>
  <c r="P412" i="6"/>
  <c r="Q412" i="6"/>
  <c r="R412" i="6"/>
  <c r="O410" i="6"/>
  <c r="P410" i="6"/>
  <c r="Q410" i="6"/>
  <c r="H432" i="6"/>
  <c r="R432" i="6"/>
  <c r="P428" i="6"/>
  <c r="J406" i="6"/>
  <c r="K406" i="6"/>
  <c r="N428" i="6"/>
  <c r="J259" i="6"/>
  <c r="J428" i="6"/>
  <c r="R428" i="6"/>
  <c r="L428" i="6"/>
  <c r="O428" i="6"/>
  <c r="I405" i="6"/>
  <c r="Q427" i="6"/>
  <c r="L427" i="6"/>
  <c r="P427" i="6"/>
  <c r="J427" i="6"/>
  <c r="K427" i="6"/>
  <c r="I427" i="6"/>
  <c r="I437" i="6"/>
  <c r="I424" i="6"/>
  <c r="I259" i="6"/>
  <c r="Q428" i="6"/>
  <c r="M409" i="6"/>
  <c r="N409" i="6"/>
  <c r="O409" i="6"/>
  <c r="M431" i="6"/>
  <c r="P434" i="6"/>
  <c r="R431" i="6"/>
  <c r="R434" i="6"/>
  <c r="O431" i="6"/>
  <c r="P259" i="6"/>
  <c r="Q413" i="6"/>
  <c r="R413" i="6"/>
  <c r="Q435" i="6"/>
  <c r="L259" i="6"/>
  <c r="M428" i="6"/>
  <c r="M408" i="6"/>
  <c r="N408" i="6"/>
  <c r="Q259" i="6"/>
  <c r="H430" i="6"/>
  <c r="N430" i="6"/>
  <c r="Q431" i="6"/>
  <c r="P431" i="6"/>
  <c r="M259" i="6"/>
  <c r="J93" i="6"/>
  <c r="H173" i="6"/>
  <c r="F46" i="6"/>
  <c r="F48" i="6"/>
  <c r="F38" i="6"/>
  <c r="F42" i="6"/>
  <c r="I328" i="6"/>
  <c r="I329" i="6"/>
  <c r="I243" i="6"/>
  <c r="R411" i="6"/>
  <c r="H429" i="6"/>
  <c r="K407" i="6"/>
  <c r="L407" i="6"/>
  <c r="M407" i="6"/>
  <c r="F15" i="6"/>
  <c r="D27" i="6"/>
  <c r="I9" i="13"/>
  <c r="I15" i="13"/>
  <c r="D27" i="21"/>
  <c r="I311" i="6"/>
  <c r="E12" i="21"/>
  <c r="I249" i="6"/>
  <c r="J112" i="6"/>
  <c r="D25" i="21"/>
  <c r="I288" i="6"/>
  <c r="H195" i="6"/>
  <c r="H61" i="6"/>
  <c r="H60" i="6"/>
  <c r="L337" i="6"/>
  <c r="K345" i="6"/>
  <c r="K340" i="6"/>
  <c r="I302" i="6"/>
  <c r="I283" i="6"/>
  <c r="I13" i="17"/>
  <c r="J322" i="6"/>
  <c r="J130" i="6"/>
  <c r="J157" i="6"/>
  <c r="H12" i="10"/>
  <c r="H13" i="10"/>
  <c r="K7" i="13"/>
  <c r="D13" i="13"/>
  <c r="G14" i="10"/>
  <c r="F152" i="6"/>
  <c r="N461" i="6"/>
  <c r="M475" i="6"/>
  <c r="J437" i="6"/>
  <c r="J424" i="6"/>
  <c r="J116" i="6"/>
  <c r="K418" i="6"/>
  <c r="M450" i="6"/>
  <c r="M491" i="6"/>
  <c r="G409" i="6"/>
  <c r="G431" i="6"/>
  <c r="N401" i="6"/>
  <c r="P301" i="6"/>
  <c r="O284" i="6"/>
  <c r="K402" i="6"/>
  <c r="L402" i="6"/>
  <c r="I415" i="6"/>
  <c r="I146" i="6"/>
  <c r="D10" i="13"/>
  <c r="N198" i="6"/>
  <c r="M238" i="6"/>
  <c r="H168" i="6"/>
  <c r="H208" i="6"/>
  <c r="I54" i="6"/>
  <c r="O422" i="6"/>
  <c r="K422" i="6"/>
  <c r="R422" i="6"/>
  <c r="N422" i="6"/>
  <c r="J422" i="6"/>
  <c r="Q422" i="6"/>
  <c r="M422" i="6"/>
  <c r="I422" i="6"/>
  <c r="I457" i="6"/>
  <c r="L422" i="6"/>
  <c r="P422" i="6"/>
  <c r="F141" i="6"/>
  <c r="F163" i="6"/>
  <c r="G17" i="21"/>
  <c r="L181" i="6"/>
  <c r="D22" i="21"/>
  <c r="H189" i="6"/>
  <c r="D23" i="21"/>
  <c r="J213" i="6"/>
  <c r="J173" i="6"/>
  <c r="J247" i="6"/>
  <c r="E22" i="21"/>
  <c r="J251" i="6"/>
  <c r="J215" i="6"/>
  <c r="J175" i="6"/>
  <c r="F12" i="21"/>
  <c r="K161" i="6"/>
  <c r="K129" i="6"/>
  <c r="K133" i="6"/>
  <c r="I12" i="10"/>
  <c r="J211" i="6"/>
  <c r="J214" i="6"/>
  <c r="J174" i="6"/>
  <c r="J248" i="6"/>
  <c r="K210" i="6"/>
  <c r="K215" i="6"/>
  <c r="K175" i="6"/>
  <c r="G12" i="21"/>
  <c r="I216" i="6"/>
  <c r="I187" i="6"/>
  <c r="E21" i="21"/>
  <c r="I224" i="6"/>
  <c r="I9" i="10"/>
  <c r="L128" i="6"/>
  <c r="L132" i="6"/>
  <c r="J16" i="10"/>
  <c r="H17" i="10"/>
  <c r="I248" i="6"/>
  <c r="H26" i="10"/>
  <c r="I134" i="6"/>
  <c r="I159" i="6"/>
  <c r="L430" i="6"/>
  <c r="O432" i="6"/>
  <c r="D8" i="13"/>
  <c r="Q432" i="6"/>
  <c r="L11" i="6"/>
  <c r="K11" i="6"/>
  <c r="H64" i="6"/>
  <c r="H71" i="6"/>
  <c r="M11" i="6"/>
  <c r="N11" i="6"/>
  <c r="R21" i="6"/>
  <c r="E25" i="6"/>
  <c r="E21" i="6"/>
  <c r="E20" i="6"/>
  <c r="E26" i="6"/>
  <c r="E22" i="6"/>
  <c r="G143" i="6"/>
  <c r="G164" i="6"/>
  <c r="L406" i="6"/>
  <c r="M406" i="6"/>
  <c r="P432" i="6"/>
  <c r="N432" i="6"/>
  <c r="J405" i="6"/>
  <c r="J415" i="6"/>
  <c r="J146" i="6"/>
  <c r="P409" i="6"/>
  <c r="Q409" i="6"/>
  <c r="M430" i="6"/>
  <c r="Q430" i="6"/>
  <c r="R430" i="6"/>
  <c r="O408" i="6"/>
  <c r="P408" i="6"/>
  <c r="O430" i="6"/>
  <c r="P430" i="6"/>
  <c r="D10" i="21"/>
  <c r="H176" i="6"/>
  <c r="D13" i="21"/>
  <c r="F445" i="6"/>
  <c r="I445" i="6"/>
  <c r="I458" i="6"/>
  <c r="H96" i="6"/>
  <c r="J96" i="6"/>
  <c r="N407" i="6"/>
  <c r="O407" i="6"/>
  <c r="C14" i="13"/>
  <c r="H33" i="17"/>
  <c r="D28" i="6"/>
  <c r="I118" i="6"/>
  <c r="E27" i="6"/>
  <c r="M429" i="6"/>
  <c r="K429" i="6"/>
  <c r="K437" i="6"/>
  <c r="K424" i="6"/>
  <c r="P429" i="6"/>
  <c r="R429" i="6"/>
  <c r="L429" i="6"/>
  <c r="N429" i="6"/>
  <c r="Q429" i="6"/>
  <c r="O429" i="6"/>
  <c r="I330" i="6"/>
  <c r="L345" i="6"/>
  <c r="M337" i="6"/>
  <c r="H63" i="6"/>
  <c r="R410" i="6"/>
  <c r="J358" i="6"/>
  <c r="J268" i="6"/>
  <c r="J359" i="6"/>
  <c r="J323" i="6"/>
  <c r="J325" i="6"/>
  <c r="I264" i="6"/>
  <c r="I68" i="6"/>
  <c r="E10" i="21"/>
  <c r="I294" i="6"/>
  <c r="I247" i="6"/>
  <c r="D28" i="21"/>
  <c r="L340" i="6"/>
  <c r="L344" i="6"/>
  <c r="K344" i="6"/>
  <c r="J134" i="6"/>
  <c r="J159" i="6"/>
  <c r="D12" i="13"/>
  <c r="D9" i="13"/>
  <c r="H14" i="10"/>
  <c r="J160" i="6"/>
  <c r="H19" i="10"/>
  <c r="H29" i="10"/>
  <c r="I160" i="6"/>
  <c r="G19" i="10"/>
  <c r="G29" i="10"/>
  <c r="J457" i="6"/>
  <c r="N475" i="6"/>
  <c r="O461" i="6"/>
  <c r="I239" i="6"/>
  <c r="I456" i="6"/>
  <c r="F10" i="21"/>
  <c r="I393" i="6"/>
  <c r="I395" i="6"/>
  <c r="J392" i="6"/>
  <c r="H199" i="6"/>
  <c r="M402" i="6"/>
  <c r="N402" i="6"/>
  <c r="O402" i="6"/>
  <c r="K148" i="6"/>
  <c r="L418" i="6"/>
  <c r="Q301" i="6"/>
  <c r="P284" i="6"/>
  <c r="N450" i="6"/>
  <c r="N491" i="6"/>
  <c r="G410" i="6"/>
  <c r="G432" i="6"/>
  <c r="O401" i="6"/>
  <c r="H72" i="6"/>
  <c r="F143" i="6"/>
  <c r="F164" i="6"/>
  <c r="N238" i="6"/>
  <c r="O198" i="6"/>
  <c r="K457" i="6"/>
  <c r="H17" i="21"/>
  <c r="M181" i="6"/>
  <c r="G7" i="10"/>
  <c r="G8" i="10"/>
  <c r="I58" i="6"/>
  <c r="I126" i="6"/>
  <c r="I168" i="6"/>
  <c r="I208" i="6"/>
  <c r="I234" i="6"/>
  <c r="I278" i="6"/>
  <c r="I335" i="6"/>
  <c r="I382" i="6"/>
  <c r="I390" i="6"/>
  <c r="J54" i="6"/>
  <c r="J249" i="6"/>
  <c r="I17" i="10"/>
  <c r="J9" i="10"/>
  <c r="J10" i="10"/>
  <c r="L129" i="6"/>
  <c r="L133" i="6"/>
  <c r="J12" i="10"/>
  <c r="L210" i="6"/>
  <c r="L213" i="6"/>
  <c r="L173" i="6"/>
  <c r="K213" i="6"/>
  <c r="K173" i="6"/>
  <c r="K247" i="6"/>
  <c r="J239" i="6"/>
  <c r="I10" i="10"/>
  <c r="K249" i="6"/>
  <c r="K130" i="6"/>
  <c r="K157" i="6"/>
  <c r="K217" i="6"/>
  <c r="K188" i="6"/>
  <c r="K251" i="6"/>
  <c r="L161" i="6"/>
  <c r="J224" i="6"/>
  <c r="K211" i="6"/>
  <c r="K214" i="6"/>
  <c r="K174" i="6"/>
  <c r="K248" i="6"/>
  <c r="M128" i="6"/>
  <c r="M132" i="6"/>
  <c r="K16" i="10"/>
  <c r="J294" i="6"/>
  <c r="J216" i="6"/>
  <c r="J187" i="6"/>
  <c r="F21" i="21"/>
  <c r="I250" i="6"/>
  <c r="I252" i="6"/>
  <c r="F11" i="21"/>
  <c r="I189" i="6"/>
  <c r="E23" i="21"/>
  <c r="I13" i="10"/>
  <c r="I26" i="10"/>
  <c r="I219" i="6"/>
  <c r="I220" i="6"/>
  <c r="L437" i="6"/>
  <c r="L424" i="6"/>
  <c r="L457" i="6"/>
  <c r="E28" i="6"/>
  <c r="J393" i="6"/>
  <c r="J456" i="6"/>
  <c r="M437" i="6"/>
  <c r="M424" i="6"/>
  <c r="M457" i="6"/>
  <c r="I145" i="6"/>
  <c r="E23" i="6"/>
  <c r="N406" i="6"/>
  <c r="O406" i="6"/>
  <c r="P406" i="6"/>
  <c r="Q406" i="6"/>
  <c r="N437" i="6"/>
  <c r="N424" i="6"/>
  <c r="N457" i="6"/>
  <c r="R409" i="6"/>
  <c r="O437" i="6"/>
  <c r="O424" i="6"/>
  <c r="O457" i="6"/>
  <c r="Q437" i="6"/>
  <c r="Q424" i="6"/>
  <c r="Q457" i="6"/>
  <c r="K405" i="6"/>
  <c r="K415" i="6"/>
  <c r="K456" i="6"/>
  <c r="R437" i="6"/>
  <c r="R424" i="6"/>
  <c r="R457" i="6"/>
  <c r="P437" i="6"/>
  <c r="P424" i="6"/>
  <c r="P457" i="6"/>
  <c r="Q408" i="6"/>
  <c r="R408" i="6"/>
  <c r="J445" i="6"/>
  <c r="J458" i="6"/>
  <c r="H179" i="6"/>
  <c r="J100" i="6"/>
  <c r="P407" i="6"/>
  <c r="Q407" i="6"/>
  <c r="R407" i="6"/>
  <c r="J118" i="6"/>
  <c r="D30" i="6"/>
  <c r="H34" i="17"/>
  <c r="H35" i="17"/>
  <c r="H36" i="17"/>
  <c r="H37" i="17"/>
  <c r="H38" i="17"/>
  <c r="C18" i="18"/>
  <c r="G19" i="18"/>
  <c r="D14" i="13"/>
  <c r="C15" i="13"/>
  <c r="C16" i="13"/>
  <c r="N337" i="6"/>
  <c r="M345" i="6"/>
  <c r="J328" i="6"/>
  <c r="I182" i="6"/>
  <c r="E18" i="21"/>
  <c r="M340" i="6"/>
  <c r="M344" i="6"/>
  <c r="J13" i="17"/>
  <c r="K322" i="6"/>
  <c r="J145" i="6"/>
  <c r="H20" i="10"/>
  <c r="I14" i="10"/>
  <c r="G20" i="10"/>
  <c r="J149" i="6"/>
  <c r="I149" i="6"/>
  <c r="O475" i="6"/>
  <c r="P461" i="6"/>
  <c r="I178" i="6"/>
  <c r="E15" i="21"/>
  <c r="J395" i="6"/>
  <c r="K392" i="6"/>
  <c r="L148" i="6"/>
  <c r="M418" i="6"/>
  <c r="P401" i="6"/>
  <c r="O450" i="6"/>
  <c r="O491" i="6"/>
  <c r="G411" i="6"/>
  <c r="G433" i="6"/>
  <c r="Q284" i="6"/>
  <c r="R301" i="6"/>
  <c r="R284" i="6"/>
  <c r="O238" i="6"/>
  <c r="P198" i="6"/>
  <c r="H7" i="10"/>
  <c r="H8" i="10"/>
  <c r="F7" i="21"/>
  <c r="J58" i="6"/>
  <c r="J126" i="6"/>
  <c r="J168" i="6"/>
  <c r="J208" i="6"/>
  <c r="J234" i="6"/>
  <c r="J278" i="6"/>
  <c r="J335" i="6"/>
  <c r="J382" i="6"/>
  <c r="J390" i="6"/>
  <c r="K54" i="6"/>
  <c r="I17" i="21"/>
  <c r="N181" i="6"/>
  <c r="O181" i="6"/>
  <c r="P181" i="6"/>
  <c r="Q181" i="6"/>
  <c r="R181" i="6"/>
  <c r="P402" i="6"/>
  <c r="E7" i="21"/>
  <c r="J13" i="10"/>
  <c r="J17" i="10"/>
  <c r="S128" i="6"/>
  <c r="J26" i="10"/>
  <c r="M161" i="6"/>
  <c r="J219" i="6"/>
  <c r="J220" i="6"/>
  <c r="L130" i="6"/>
  <c r="L157" i="6"/>
  <c r="L217" i="6"/>
  <c r="L188" i="6"/>
  <c r="L251" i="6"/>
  <c r="L211" i="6"/>
  <c r="L216" i="6"/>
  <c r="L187" i="6"/>
  <c r="H21" i="21"/>
  <c r="L215" i="6"/>
  <c r="L175" i="6"/>
  <c r="H12" i="21"/>
  <c r="G10" i="21"/>
  <c r="L247" i="6"/>
  <c r="K9" i="10"/>
  <c r="K10" i="10"/>
  <c r="G22" i="21"/>
  <c r="M210" i="6"/>
  <c r="M213" i="6"/>
  <c r="M173" i="6"/>
  <c r="M247" i="6"/>
  <c r="M129" i="6"/>
  <c r="M133" i="6"/>
  <c r="K12" i="10"/>
  <c r="N128" i="6"/>
  <c r="K134" i="6"/>
  <c r="K159" i="6"/>
  <c r="G11" i="21"/>
  <c r="K224" i="6"/>
  <c r="K216" i="6"/>
  <c r="K187" i="6"/>
  <c r="G21" i="21"/>
  <c r="J250" i="6"/>
  <c r="J252" i="6"/>
  <c r="K294" i="6"/>
  <c r="J189" i="6"/>
  <c r="F23" i="21"/>
  <c r="E30" i="6"/>
  <c r="R406" i="6"/>
  <c r="K146" i="6"/>
  <c r="L405" i="6"/>
  <c r="K445" i="6"/>
  <c r="L445" i="6"/>
  <c r="I179" i="6"/>
  <c r="D16" i="21"/>
  <c r="H183" i="6"/>
  <c r="D19" i="21"/>
  <c r="H46" i="17"/>
  <c r="H47" i="17"/>
  <c r="H48" i="17"/>
  <c r="H49" i="17"/>
  <c r="H50" i="17"/>
  <c r="H51" i="17"/>
  <c r="H55" i="17"/>
  <c r="F27" i="6"/>
  <c r="F20" i="6"/>
  <c r="F22" i="6"/>
  <c r="F25" i="6"/>
  <c r="F26" i="6"/>
  <c r="F21" i="6"/>
  <c r="H201" i="6"/>
  <c r="J119" i="6"/>
  <c r="J120" i="6"/>
  <c r="J121" i="6"/>
  <c r="O337" i="6"/>
  <c r="N345" i="6"/>
  <c r="H10" i="21"/>
  <c r="K359" i="6"/>
  <c r="K323" i="6"/>
  <c r="K325" i="6"/>
  <c r="K358" i="6"/>
  <c r="K268" i="6"/>
  <c r="J329" i="6"/>
  <c r="J243" i="6"/>
  <c r="N340" i="6"/>
  <c r="N344" i="6"/>
  <c r="J14" i="10"/>
  <c r="K239" i="6"/>
  <c r="I19" i="10"/>
  <c r="I29" i="10"/>
  <c r="J151" i="6"/>
  <c r="H22" i="10"/>
  <c r="I151" i="6"/>
  <c r="G22" i="10"/>
  <c r="J162" i="6"/>
  <c r="I162" i="6"/>
  <c r="J178" i="6"/>
  <c r="F15" i="21"/>
  <c r="P475" i="6"/>
  <c r="Q461" i="6"/>
  <c r="M148" i="6"/>
  <c r="N418" i="6"/>
  <c r="P450" i="6"/>
  <c r="P491" i="6"/>
  <c r="G412" i="6"/>
  <c r="G434" i="6"/>
  <c r="Q401" i="6"/>
  <c r="N161" i="6"/>
  <c r="N132" i="6"/>
  <c r="I7" i="10"/>
  <c r="I8" i="10"/>
  <c r="G7" i="21"/>
  <c r="L54" i="6"/>
  <c r="K58" i="6"/>
  <c r="K126" i="6"/>
  <c r="K168" i="6"/>
  <c r="K208" i="6"/>
  <c r="K234" i="6"/>
  <c r="K278" i="6"/>
  <c r="K335" i="6"/>
  <c r="K382" i="6"/>
  <c r="K390" i="6"/>
  <c r="Q402" i="6"/>
  <c r="R402" i="6"/>
  <c r="P238" i="6"/>
  <c r="Q198" i="6"/>
  <c r="L134" i="6"/>
  <c r="L145" i="6"/>
  <c r="M217" i="6"/>
  <c r="M188" i="6"/>
  <c r="I22" i="21"/>
  <c r="N129" i="6"/>
  <c r="N211" i="6"/>
  <c r="N210" i="6"/>
  <c r="N213" i="6"/>
  <c r="N173" i="6"/>
  <c r="N247" i="6"/>
  <c r="M215" i="6"/>
  <c r="M175" i="6"/>
  <c r="I12" i="21"/>
  <c r="L214" i="6"/>
  <c r="L174" i="6"/>
  <c r="L248" i="6"/>
  <c r="H22" i="21"/>
  <c r="L189" i="6"/>
  <c r="H23" i="21"/>
  <c r="L249" i="6"/>
  <c r="K26" i="10"/>
  <c r="K17" i="10"/>
  <c r="K13" i="10"/>
  <c r="K393" i="6"/>
  <c r="K395" i="6"/>
  <c r="K178" i="6"/>
  <c r="G15" i="21"/>
  <c r="M211" i="6"/>
  <c r="M214" i="6"/>
  <c r="M174" i="6"/>
  <c r="I11" i="21"/>
  <c r="M130" i="6"/>
  <c r="M157" i="6"/>
  <c r="O128" i="6"/>
  <c r="O132" i="6"/>
  <c r="K145" i="6"/>
  <c r="K189" i="6"/>
  <c r="G23" i="21"/>
  <c r="L250" i="6"/>
  <c r="K219" i="6"/>
  <c r="K220" i="6"/>
  <c r="K250" i="6"/>
  <c r="K252" i="6"/>
  <c r="K458" i="6"/>
  <c r="K160" i="6"/>
  <c r="L415" i="6"/>
  <c r="M405" i="6"/>
  <c r="E16" i="21"/>
  <c r="J179" i="6"/>
  <c r="F28" i="6"/>
  <c r="D30" i="21"/>
  <c r="I384" i="6"/>
  <c r="H202" i="6"/>
  <c r="H203" i="6"/>
  <c r="H63" i="17"/>
  <c r="H68" i="17"/>
  <c r="H70" i="17"/>
  <c r="H59" i="17"/>
  <c r="H60" i="17"/>
  <c r="F23" i="6"/>
  <c r="L458" i="6"/>
  <c r="K13" i="17"/>
  <c r="L322" i="6"/>
  <c r="O340" i="6"/>
  <c r="J330" i="6"/>
  <c r="M445" i="6"/>
  <c r="M458" i="6"/>
  <c r="I10" i="21"/>
  <c r="P337" i="6"/>
  <c r="O345" i="6"/>
  <c r="I20" i="10"/>
  <c r="K14" i="10"/>
  <c r="J152" i="6"/>
  <c r="J140" i="6"/>
  <c r="I152" i="6"/>
  <c r="I140" i="6"/>
  <c r="K149" i="6"/>
  <c r="R461" i="6"/>
  <c r="R475" i="6"/>
  <c r="Q475" i="6"/>
  <c r="N133" i="6"/>
  <c r="N148" i="6"/>
  <c r="O418" i="6"/>
  <c r="Q450" i="6"/>
  <c r="Q491" i="6"/>
  <c r="G413" i="6"/>
  <c r="G435" i="6"/>
  <c r="R401" i="6"/>
  <c r="M251" i="6"/>
  <c r="L58" i="6"/>
  <c r="L126" i="6"/>
  <c r="L168" i="6"/>
  <c r="L208" i="6"/>
  <c r="L234" i="6"/>
  <c r="L278" i="6"/>
  <c r="L335" i="6"/>
  <c r="L382" i="6"/>
  <c r="L390" i="6"/>
  <c r="J7" i="10"/>
  <c r="J8" i="10"/>
  <c r="H7" i="21"/>
  <c r="M54" i="6"/>
  <c r="R198" i="6"/>
  <c r="R238" i="6"/>
  <c r="Q238" i="6"/>
  <c r="L219" i="6"/>
  <c r="L220" i="6"/>
  <c r="L159" i="6"/>
  <c r="L224" i="6"/>
  <c r="N215" i="6"/>
  <c r="N175" i="6"/>
  <c r="N249" i="6"/>
  <c r="L252" i="6"/>
  <c r="M249" i="6"/>
  <c r="O210" i="6"/>
  <c r="O215" i="6"/>
  <c r="O175" i="6"/>
  <c r="N217" i="6"/>
  <c r="N188" i="6"/>
  <c r="N251" i="6"/>
  <c r="N130" i="6"/>
  <c r="N214" i="6"/>
  <c r="N216" i="6"/>
  <c r="N187" i="6"/>
  <c r="L392" i="6"/>
  <c r="L294" i="6"/>
  <c r="H11" i="21"/>
  <c r="M216" i="6"/>
  <c r="M187" i="6"/>
  <c r="I21" i="21"/>
  <c r="M248" i="6"/>
  <c r="O161" i="6"/>
  <c r="O129" i="6"/>
  <c r="O211" i="6"/>
  <c r="O216" i="6"/>
  <c r="O187" i="6"/>
  <c r="P128" i="6"/>
  <c r="P132" i="6"/>
  <c r="M294" i="6"/>
  <c r="M224" i="6"/>
  <c r="M134" i="6"/>
  <c r="M145" i="6"/>
  <c r="M415" i="6"/>
  <c r="N405" i="6"/>
  <c r="L456" i="6"/>
  <c r="L146" i="6"/>
  <c r="F16" i="21"/>
  <c r="K179" i="6"/>
  <c r="H74" i="17"/>
  <c r="H72" i="17"/>
  <c r="H75" i="17"/>
  <c r="F30" i="6"/>
  <c r="D31" i="21"/>
  <c r="D32" i="21"/>
  <c r="H204" i="6"/>
  <c r="K328" i="6"/>
  <c r="J182" i="6"/>
  <c r="F18" i="21"/>
  <c r="N445" i="6"/>
  <c r="N458" i="6"/>
  <c r="P345" i="6"/>
  <c r="Q337" i="6"/>
  <c r="P340" i="6"/>
  <c r="O344" i="6"/>
  <c r="L359" i="6"/>
  <c r="L323" i="6"/>
  <c r="L325" i="6"/>
  <c r="L358" i="6"/>
  <c r="L268" i="6"/>
  <c r="L149" i="6"/>
  <c r="L151" i="6"/>
  <c r="J19" i="10"/>
  <c r="J29" i="10"/>
  <c r="K151" i="6"/>
  <c r="K140" i="6"/>
  <c r="I22" i="10"/>
  <c r="K162" i="6"/>
  <c r="J64" i="6"/>
  <c r="G23" i="10"/>
  <c r="H23" i="10"/>
  <c r="J10" i="17"/>
  <c r="I64" i="6"/>
  <c r="I10" i="17"/>
  <c r="O133" i="6"/>
  <c r="O148" i="6"/>
  <c r="P418" i="6"/>
  <c r="R450" i="6"/>
  <c r="R491" i="6"/>
  <c r="G414" i="6"/>
  <c r="G436" i="6"/>
  <c r="M58" i="6"/>
  <c r="M126" i="6"/>
  <c r="M168" i="6"/>
  <c r="M208" i="6"/>
  <c r="M234" i="6"/>
  <c r="M278" i="6"/>
  <c r="M335" i="6"/>
  <c r="M382" i="6"/>
  <c r="M390" i="6"/>
  <c r="K7" i="10"/>
  <c r="N54" i="6"/>
  <c r="O249" i="6"/>
  <c r="O250" i="6"/>
  <c r="O217" i="6"/>
  <c r="O188" i="6"/>
  <c r="O213" i="6"/>
  <c r="O173" i="6"/>
  <c r="O247" i="6"/>
  <c r="N250" i="6"/>
  <c r="N189" i="6"/>
  <c r="P129" i="6"/>
  <c r="P211" i="6"/>
  <c r="P216" i="6"/>
  <c r="P187" i="6"/>
  <c r="P250" i="6"/>
  <c r="N219" i="6"/>
  <c r="N220" i="6"/>
  <c r="N174" i="6"/>
  <c r="N224" i="6"/>
  <c r="N157" i="6"/>
  <c r="N134" i="6"/>
  <c r="M219" i="6"/>
  <c r="M220" i="6"/>
  <c r="M189" i="6"/>
  <c r="I23" i="21"/>
  <c r="M159" i="6"/>
  <c r="O130" i="6"/>
  <c r="O134" i="6"/>
  <c r="O159" i="6"/>
  <c r="O214" i="6"/>
  <c r="O174" i="6"/>
  <c r="M250" i="6"/>
  <c r="M252" i="6"/>
  <c r="P210" i="6"/>
  <c r="P215" i="6"/>
  <c r="P175" i="6"/>
  <c r="P249" i="6"/>
  <c r="P161" i="6"/>
  <c r="Q128" i="6"/>
  <c r="Q132" i="6"/>
  <c r="L393" i="6"/>
  <c r="L395" i="6"/>
  <c r="L239" i="6"/>
  <c r="J20" i="10"/>
  <c r="L160" i="6"/>
  <c r="O405" i="6"/>
  <c r="N415" i="6"/>
  <c r="M146" i="6"/>
  <c r="M456" i="6"/>
  <c r="G16" i="21"/>
  <c r="L179" i="6"/>
  <c r="O445" i="6"/>
  <c r="L13" i="17"/>
  <c r="M322" i="6"/>
  <c r="Q340" i="6"/>
  <c r="Q344" i="6"/>
  <c r="R337" i="6"/>
  <c r="Q345" i="6"/>
  <c r="P344" i="6"/>
  <c r="K329" i="6"/>
  <c r="K243" i="6"/>
  <c r="J22" i="10"/>
  <c r="L162" i="6"/>
  <c r="M149" i="6"/>
  <c r="K22" i="10"/>
  <c r="K19" i="10"/>
  <c r="K29" i="10"/>
  <c r="J11" i="17"/>
  <c r="I11" i="17"/>
  <c r="K152" i="6"/>
  <c r="I23" i="10"/>
  <c r="L152" i="6"/>
  <c r="L140" i="6"/>
  <c r="Q418" i="6"/>
  <c r="P133" i="6"/>
  <c r="P148" i="6"/>
  <c r="P130" i="6"/>
  <c r="P157" i="6"/>
  <c r="P214" i="6"/>
  <c r="P174" i="6"/>
  <c r="P248" i="6"/>
  <c r="K8" i="10"/>
  <c r="I7" i="21"/>
  <c r="O8" i="10"/>
  <c r="O9" i="10"/>
  <c r="O54" i="6"/>
  <c r="N58" i="6"/>
  <c r="N126" i="6"/>
  <c r="N168" i="6"/>
  <c r="N208" i="6"/>
  <c r="N234" i="6"/>
  <c r="N278" i="6"/>
  <c r="N335" i="6"/>
  <c r="N382" i="6"/>
  <c r="N390" i="6"/>
  <c r="O248" i="6"/>
  <c r="O251" i="6"/>
  <c r="O189" i="6"/>
  <c r="N248" i="6"/>
  <c r="N252" i="6"/>
  <c r="N294" i="6"/>
  <c r="N145" i="6"/>
  <c r="N159" i="6"/>
  <c r="O157" i="6"/>
  <c r="O294" i="6"/>
  <c r="O224" i="6"/>
  <c r="O219" i="6"/>
  <c r="O220" i="6"/>
  <c r="P213" i="6"/>
  <c r="P173" i="6"/>
  <c r="P247" i="6"/>
  <c r="O145" i="6"/>
  <c r="Q210" i="6"/>
  <c r="Q213" i="6"/>
  <c r="Q173" i="6"/>
  <c r="Q129" i="6"/>
  <c r="Q211" i="6"/>
  <c r="Q214" i="6"/>
  <c r="Q174" i="6"/>
  <c r="P217" i="6"/>
  <c r="P188" i="6"/>
  <c r="P251" i="6"/>
  <c r="R128" i="6"/>
  <c r="R132" i="6"/>
  <c r="Q161" i="6"/>
  <c r="M160" i="6"/>
  <c r="M393" i="6"/>
  <c r="M239" i="6"/>
  <c r="N456" i="6"/>
  <c r="N146" i="6"/>
  <c r="O415" i="6"/>
  <c r="P405" i="6"/>
  <c r="M392" i="6"/>
  <c r="L178" i="6"/>
  <c r="H15" i="21"/>
  <c r="H16" i="21"/>
  <c r="M179" i="6"/>
  <c r="O458" i="6"/>
  <c r="P445" i="6"/>
  <c r="K330" i="6"/>
  <c r="M358" i="6"/>
  <c r="M268" i="6"/>
  <c r="M359" i="6"/>
  <c r="M323" i="6"/>
  <c r="M325" i="6"/>
  <c r="R345" i="6"/>
  <c r="R340" i="6"/>
  <c r="K20" i="10"/>
  <c r="M151" i="6"/>
  <c r="M140" i="6"/>
  <c r="M162" i="6"/>
  <c r="S149" i="6"/>
  <c r="J23" i="10"/>
  <c r="L64" i="6"/>
  <c r="L10" i="17"/>
  <c r="K64" i="6"/>
  <c r="K10" i="17"/>
  <c r="K11" i="17"/>
  <c r="M152" i="6"/>
  <c r="M10" i="17"/>
  <c r="N149" i="6"/>
  <c r="N151" i="6"/>
  <c r="Q133" i="6"/>
  <c r="Q148" i="6"/>
  <c r="R418" i="6"/>
  <c r="R133" i="6"/>
  <c r="R148" i="6"/>
  <c r="P224" i="6"/>
  <c r="P134" i="6"/>
  <c r="P159" i="6"/>
  <c r="Q248" i="6"/>
  <c r="O58" i="6"/>
  <c r="O126" i="6"/>
  <c r="O168" i="6"/>
  <c r="O208" i="6"/>
  <c r="O234" i="6"/>
  <c r="O278" i="6"/>
  <c r="O335" i="6"/>
  <c r="O382" i="6"/>
  <c r="O390" i="6"/>
  <c r="P54" i="6"/>
  <c r="O252" i="6"/>
  <c r="Q216" i="6"/>
  <c r="Q187" i="6"/>
  <c r="Q250" i="6"/>
  <c r="Q130" i="6"/>
  <c r="Q134" i="6"/>
  <c r="Q159" i="6"/>
  <c r="Q217" i="6"/>
  <c r="Q188" i="6"/>
  <c r="P294" i="6"/>
  <c r="P189" i="6"/>
  <c r="Q224" i="6"/>
  <c r="Q215" i="6"/>
  <c r="Q175" i="6"/>
  <c r="Q249" i="6"/>
  <c r="R161" i="6"/>
  <c r="R210" i="6"/>
  <c r="R215" i="6"/>
  <c r="R175" i="6"/>
  <c r="P252" i="6"/>
  <c r="R129" i="6"/>
  <c r="R211" i="6"/>
  <c r="R216" i="6"/>
  <c r="R187" i="6"/>
  <c r="P219" i="6"/>
  <c r="P220" i="6"/>
  <c r="O456" i="6"/>
  <c r="O146" i="6"/>
  <c r="O149" i="6"/>
  <c r="O151" i="6"/>
  <c r="M395" i="6"/>
  <c r="Q405" i="6"/>
  <c r="Q415" i="6"/>
  <c r="P415" i="6"/>
  <c r="N160" i="6"/>
  <c r="N239" i="6"/>
  <c r="N393" i="6"/>
  <c r="I16" i="21"/>
  <c r="N179" i="6"/>
  <c r="O179" i="6"/>
  <c r="P179" i="6"/>
  <c r="Q179" i="6"/>
  <c r="R179" i="6"/>
  <c r="P458" i="6"/>
  <c r="Q445" i="6"/>
  <c r="M13" i="17"/>
  <c r="G14" i="18"/>
  <c r="N322" i="6"/>
  <c r="Q294" i="6"/>
  <c r="R344" i="6"/>
  <c r="L328" i="6"/>
  <c r="K182" i="6"/>
  <c r="G18" i="21"/>
  <c r="Q247" i="6"/>
  <c r="N162" i="6"/>
  <c r="O162" i="6"/>
  <c r="L11" i="17"/>
  <c r="M64" i="6"/>
  <c r="K23" i="10"/>
  <c r="P145" i="6"/>
  <c r="P58" i="6"/>
  <c r="P126" i="6"/>
  <c r="P168" i="6"/>
  <c r="P208" i="6"/>
  <c r="P234" i="6"/>
  <c r="P278" i="6"/>
  <c r="P335" i="6"/>
  <c r="P382" i="6"/>
  <c r="P390" i="6"/>
  <c r="Q54" i="6"/>
  <c r="R250" i="6"/>
  <c r="R213" i="6"/>
  <c r="R173" i="6"/>
  <c r="R247" i="6"/>
  <c r="Q157" i="6"/>
  <c r="Q189" i="6"/>
  <c r="Q145" i="6"/>
  <c r="Q251" i="6"/>
  <c r="Q252" i="6"/>
  <c r="Q219" i="6"/>
  <c r="Q220" i="6"/>
  <c r="R214" i="6"/>
  <c r="R174" i="6"/>
  <c r="R248" i="6"/>
  <c r="R130" i="6"/>
  <c r="R134" i="6"/>
  <c r="R159" i="6"/>
  <c r="R249" i="6"/>
  <c r="R217" i="6"/>
  <c r="R188" i="6"/>
  <c r="R251" i="6"/>
  <c r="Q456" i="6"/>
  <c r="Q146" i="6"/>
  <c r="M11" i="17"/>
  <c r="C8" i="18"/>
  <c r="R405" i="6"/>
  <c r="R415" i="6"/>
  <c r="O239" i="6"/>
  <c r="O393" i="6"/>
  <c r="O160" i="6"/>
  <c r="P146" i="6"/>
  <c r="P456" i="6"/>
  <c r="N392" i="6"/>
  <c r="N395" i="6"/>
  <c r="M178" i="6"/>
  <c r="I15" i="21"/>
  <c r="Q458" i="6"/>
  <c r="R445" i="6"/>
  <c r="R458" i="6"/>
  <c r="L329" i="6"/>
  <c r="L243" i="6"/>
  <c r="N358" i="6"/>
  <c r="N268" i="6"/>
  <c r="N359" i="6"/>
  <c r="N323" i="6"/>
  <c r="N325" i="6"/>
  <c r="O322" i="6"/>
  <c r="O22" i="10"/>
  <c r="N152" i="6"/>
  <c r="N140" i="6"/>
  <c r="O152" i="6"/>
  <c r="O140" i="6"/>
  <c r="Q149" i="6"/>
  <c r="Q151" i="6"/>
  <c r="P149" i="6"/>
  <c r="P151" i="6"/>
  <c r="Q58" i="6"/>
  <c r="Q126" i="6"/>
  <c r="Q168" i="6"/>
  <c r="Q208" i="6"/>
  <c r="Q234" i="6"/>
  <c r="Q278" i="6"/>
  <c r="Q335" i="6"/>
  <c r="Q382" i="6"/>
  <c r="Q390" i="6"/>
  <c r="R54" i="6"/>
  <c r="R58" i="6"/>
  <c r="R126" i="6"/>
  <c r="R168" i="6"/>
  <c r="R208" i="6"/>
  <c r="R234" i="6"/>
  <c r="R278" i="6"/>
  <c r="R335" i="6"/>
  <c r="R382" i="6"/>
  <c r="R390" i="6"/>
  <c r="R145" i="6"/>
  <c r="R219" i="6"/>
  <c r="R220" i="6"/>
  <c r="R224" i="6"/>
  <c r="R294" i="6"/>
  <c r="R157" i="6"/>
  <c r="R189" i="6"/>
  <c r="R252" i="6"/>
  <c r="R146" i="6"/>
  <c r="R456" i="6"/>
  <c r="P160" i="6"/>
  <c r="P393" i="6"/>
  <c r="P239" i="6"/>
  <c r="Q393" i="6"/>
  <c r="Q160" i="6"/>
  <c r="Q239" i="6"/>
  <c r="C10" i="18"/>
  <c r="C12" i="18"/>
  <c r="G8" i="18"/>
  <c r="G10" i="18"/>
  <c r="G12" i="18"/>
  <c r="O392" i="6"/>
  <c r="O395" i="6"/>
  <c r="N178" i="6"/>
  <c r="O359" i="6"/>
  <c r="O323" i="6"/>
  <c r="O325" i="6"/>
  <c r="P322" i="6"/>
  <c r="O358" i="6"/>
  <c r="O268" i="6"/>
  <c r="L330" i="6"/>
  <c r="P162" i="6"/>
  <c r="Q162" i="6"/>
  <c r="N64" i="6"/>
  <c r="O64" i="6"/>
  <c r="R149" i="6"/>
  <c r="R151" i="6"/>
  <c r="O178" i="6"/>
  <c r="P392" i="6"/>
  <c r="P395" i="6"/>
  <c r="R160" i="6"/>
  <c r="R239" i="6"/>
  <c r="R393" i="6"/>
  <c r="P359" i="6"/>
  <c r="P323" i="6"/>
  <c r="P325" i="6"/>
  <c r="Q322" i="6"/>
  <c r="P358" i="6"/>
  <c r="P268" i="6"/>
  <c r="M328" i="6"/>
  <c r="L182" i="6"/>
  <c r="H18" i="21"/>
  <c r="R162" i="6"/>
  <c r="Q152" i="6"/>
  <c r="Q140" i="6"/>
  <c r="P152" i="6"/>
  <c r="P140" i="6"/>
  <c r="Q392" i="6"/>
  <c r="Q395" i="6"/>
  <c r="P178" i="6"/>
  <c r="Q358" i="6"/>
  <c r="Q268" i="6"/>
  <c r="Q359" i="6"/>
  <c r="Q323" i="6"/>
  <c r="Q325" i="6"/>
  <c r="R322" i="6"/>
  <c r="M329" i="6"/>
  <c r="M243" i="6"/>
  <c r="Q64" i="6"/>
  <c r="P64" i="6"/>
  <c r="R152" i="6"/>
  <c r="R64" i="6"/>
  <c r="R140" i="6"/>
  <c r="R392" i="6"/>
  <c r="R395" i="6"/>
  <c r="R178" i="6"/>
  <c r="Q178" i="6"/>
  <c r="R358" i="6"/>
  <c r="R268" i="6"/>
  <c r="R359" i="6"/>
  <c r="R323" i="6"/>
  <c r="R325" i="6"/>
  <c r="M330" i="6"/>
  <c r="N328" i="6"/>
  <c r="M182" i="6"/>
  <c r="I18" i="21"/>
  <c r="N329" i="6"/>
  <c r="N243" i="6"/>
  <c r="N330" i="6"/>
  <c r="O328" i="6"/>
  <c r="N182" i="6"/>
  <c r="O329" i="6"/>
  <c r="O243" i="6"/>
  <c r="O330" i="6"/>
  <c r="P328" i="6"/>
  <c r="O182" i="6"/>
  <c r="P329" i="6"/>
  <c r="P243" i="6"/>
  <c r="P330" i="6"/>
  <c r="Q328" i="6"/>
  <c r="P182" i="6"/>
  <c r="Q329" i="6"/>
  <c r="Q243" i="6"/>
  <c r="Q330" i="6"/>
  <c r="R328" i="6"/>
  <c r="Q182" i="6"/>
  <c r="R329" i="6"/>
  <c r="R243" i="6"/>
  <c r="R330" i="6"/>
  <c r="R182" i="6"/>
  <c r="E9" i="21"/>
  <c r="F9" i="21"/>
  <c r="G9" i="21"/>
  <c r="H9" i="21"/>
  <c r="I9" i="21"/>
  <c r="E13" i="21"/>
  <c r="F13" i="21"/>
  <c r="G13" i="21"/>
  <c r="H13" i="21"/>
  <c r="I13" i="21"/>
  <c r="E19" i="21"/>
  <c r="F19" i="21"/>
  <c r="G19" i="21"/>
  <c r="H19" i="21"/>
  <c r="I19" i="21"/>
  <c r="E25" i="21"/>
  <c r="F25" i="21"/>
  <c r="G25" i="21"/>
  <c r="H25" i="21"/>
  <c r="I25" i="21"/>
  <c r="E26" i="21"/>
  <c r="F26" i="21"/>
  <c r="G26" i="21"/>
  <c r="H26" i="21"/>
  <c r="I26" i="21"/>
  <c r="E27" i="21"/>
  <c r="F27" i="21"/>
  <c r="G27" i="21"/>
  <c r="H27" i="21"/>
  <c r="I27" i="21"/>
  <c r="E28" i="21"/>
  <c r="F28" i="21"/>
  <c r="G28" i="21"/>
  <c r="H28" i="21"/>
  <c r="I28" i="21"/>
  <c r="E30" i="21"/>
  <c r="F30" i="21"/>
  <c r="G30" i="21"/>
  <c r="H30" i="21"/>
  <c r="I30" i="21"/>
  <c r="E31" i="21"/>
  <c r="F31" i="21"/>
  <c r="G31" i="21"/>
  <c r="H31" i="21"/>
  <c r="I31" i="21"/>
  <c r="E32" i="21"/>
  <c r="F32" i="21"/>
  <c r="G32" i="21"/>
  <c r="H32" i="21"/>
  <c r="I32" i="21"/>
  <c r="R25" i="6"/>
  <c r="I60" i="6"/>
  <c r="J60" i="6"/>
  <c r="K60" i="6"/>
  <c r="L60" i="6"/>
  <c r="M60" i="6"/>
  <c r="N60" i="6"/>
  <c r="O60" i="6"/>
  <c r="P60" i="6"/>
  <c r="Q60" i="6"/>
  <c r="R60" i="6"/>
  <c r="I61" i="6"/>
  <c r="J61" i="6"/>
  <c r="K61" i="6"/>
  <c r="L61" i="6"/>
  <c r="M61" i="6"/>
  <c r="N61" i="6"/>
  <c r="O61" i="6"/>
  <c r="P61" i="6"/>
  <c r="Q61" i="6"/>
  <c r="R61" i="6"/>
  <c r="I62" i="6"/>
  <c r="J62" i="6"/>
  <c r="K62" i="6"/>
  <c r="L62" i="6"/>
  <c r="M62" i="6"/>
  <c r="N62" i="6"/>
  <c r="O62" i="6"/>
  <c r="P62" i="6"/>
  <c r="Q62" i="6"/>
  <c r="R62" i="6"/>
  <c r="I63" i="6"/>
  <c r="J63" i="6"/>
  <c r="K63" i="6"/>
  <c r="L63" i="6"/>
  <c r="M63" i="6"/>
  <c r="N63" i="6"/>
  <c r="O63" i="6"/>
  <c r="P63" i="6"/>
  <c r="Q63" i="6"/>
  <c r="R63" i="6"/>
  <c r="I66" i="6"/>
  <c r="J66" i="6"/>
  <c r="K66" i="6"/>
  <c r="L66" i="6"/>
  <c r="M66" i="6"/>
  <c r="N66" i="6"/>
  <c r="O66" i="6"/>
  <c r="P66" i="6"/>
  <c r="Q66" i="6"/>
  <c r="R66" i="6"/>
  <c r="I67" i="6"/>
  <c r="J67" i="6"/>
  <c r="K67" i="6"/>
  <c r="L67" i="6"/>
  <c r="M67" i="6"/>
  <c r="N67" i="6"/>
  <c r="O67" i="6"/>
  <c r="P67" i="6"/>
  <c r="Q67" i="6"/>
  <c r="R67" i="6"/>
  <c r="J68" i="6"/>
  <c r="K68" i="6"/>
  <c r="L68" i="6"/>
  <c r="M68" i="6"/>
  <c r="N68" i="6"/>
  <c r="O68" i="6"/>
  <c r="P68" i="6"/>
  <c r="Q68" i="6"/>
  <c r="R68" i="6"/>
  <c r="I71" i="6"/>
  <c r="J71" i="6"/>
  <c r="K71" i="6"/>
  <c r="L71" i="6"/>
  <c r="M71" i="6"/>
  <c r="N71" i="6"/>
  <c r="O71" i="6"/>
  <c r="P71" i="6"/>
  <c r="Q71" i="6"/>
  <c r="R71" i="6"/>
  <c r="I72" i="6"/>
  <c r="J72" i="6"/>
  <c r="K72" i="6"/>
  <c r="L72" i="6"/>
  <c r="M72" i="6"/>
  <c r="N72" i="6"/>
  <c r="O72" i="6"/>
  <c r="P72" i="6"/>
  <c r="Q72" i="6"/>
  <c r="R72" i="6"/>
  <c r="I74" i="6"/>
  <c r="J74" i="6"/>
  <c r="K74" i="6"/>
  <c r="L74" i="6"/>
  <c r="M74" i="6"/>
  <c r="N74" i="6"/>
  <c r="O74" i="6"/>
  <c r="P74" i="6"/>
  <c r="Q74" i="6"/>
  <c r="R74" i="6"/>
  <c r="I75" i="6"/>
  <c r="J75" i="6"/>
  <c r="K75" i="6"/>
  <c r="L75" i="6"/>
  <c r="M75" i="6"/>
  <c r="N75" i="6"/>
  <c r="O75" i="6"/>
  <c r="P75" i="6"/>
  <c r="Q75" i="6"/>
  <c r="R75" i="6"/>
  <c r="I76" i="6"/>
  <c r="J76" i="6"/>
  <c r="K76" i="6"/>
  <c r="L76" i="6"/>
  <c r="M76" i="6"/>
  <c r="N76" i="6"/>
  <c r="O76" i="6"/>
  <c r="P76" i="6"/>
  <c r="Q76" i="6"/>
  <c r="R76" i="6"/>
  <c r="I77" i="6"/>
  <c r="J77" i="6"/>
  <c r="K77" i="6"/>
  <c r="L77" i="6"/>
  <c r="M77" i="6"/>
  <c r="N77" i="6"/>
  <c r="O77" i="6"/>
  <c r="P77" i="6"/>
  <c r="Q77" i="6"/>
  <c r="R77" i="6"/>
  <c r="I78" i="6"/>
  <c r="J78" i="6"/>
  <c r="K78" i="6"/>
  <c r="L78" i="6"/>
  <c r="M78" i="6"/>
  <c r="N78" i="6"/>
  <c r="O78" i="6"/>
  <c r="P78" i="6"/>
  <c r="Q78" i="6"/>
  <c r="R78" i="6"/>
  <c r="I79" i="6"/>
  <c r="J79" i="6"/>
  <c r="K79" i="6"/>
  <c r="L79" i="6"/>
  <c r="M79" i="6"/>
  <c r="N79" i="6"/>
  <c r="O79" i="6"/>
  <c r="P79" i="6"/>
  <c r="Q79" i="6"/>
  <c r="R79" i="6"/>
  <c r="I136" i="6"/>
  <c r="J136" i="6"/>
  <c r="K136" i="6"/>
  <c r="L136" i="6"/>
  <c r="M136" i="6"/>
  <c r="N136" i="6"/>
  <c r="O136" i="6"/>
  <c r="P136" i="6"/>
  <c r="Q136" i="6"/>
  <c r="R136" i="6"/>
  <c r="I137" i="6"/>
  <c r="J137" i="6"/>
  <c r="K137" i="6"/>
  <c r="L137" i="6"/>
  <c r="M137" i="6"/>
  <c r="N137" i="6"/>
  <c r="O137" i="6"/>
  <c r="P137" i="6"/>
  <c r="Q137" i="6"/>
  <c r="R137" i="6"/>
  <c r="I138" i="6"/>
  <c r="J138" i="6"/>
  <c r="K138" i="6"/>
  <c r="L138" i="6"/>
  <c r="M138" i="6"/>
  <c r="N138" i="6"/>
  <c r="O138" i="6"/>
  <c r="P138" i="6"/>
  <c r="Q138" i="6"/>
  <c r="R138" i="6"/>
  <c r="I141" i="6"/>
  <c r="J141" i="6"/>
  <c r="K141" i="6"/>
  <c r="L141" i="6"/>
  <c r="M141" i="6"/>
  <c r="N141" i="6"/>
  <c r="O141" i="6"/>
  <c r="P141" i="6"/>
  <c r="Q141" i="6"/>
  <c r="R141" i="6"/>
  <c r="I143" i="6"/>
  <c r="J143" i="6"/>
  <c r="K143" i="6"/>
  <c r="L143" i="6"/>
  <c r="M143" i="6"/>
  <c r="N143" i="6"/>
  <c r="O143" i="6"/>
  <c r="P143" i="6"/>
  <c r="Q143" i="6"/>
  <c r="R143" i="6"/>
  <c r="I163" i="6"/>
  <c r="J163" i="6"/>
  <c r="K163" i="6"/>
  <c r="L163" i="6"/>
  <c r="M163" i="6"/>
  <c r="N163" i="6"/>
  <c r="O163" i="6"/>
  <c r="P163" i="6"/>
  <c r="Q163" i="6"/>
  <c r="R163" i="6"/>
  <c r="I164" i="6"/>
  <c r="J164" i="6"/>
  <c r="K164" i="6"/>
  <c r="L164" i="6"/>
  <c r="M164" i="6"/>
  <c r="N164" i="6"/>
  <c r="O164" i="6"/>
  <c r="P164" i="6"/>
  <c r="Q164" i="6"/>
  <c r="R164" i="6"/>
  <c r="I172" i="6"/>
  <c r="J172" i="6"/>
  <c r="K172" i="6"/>
  <c r="L172" i="6"/>
  <c r="M172" i="6"/>
  <c r="N172" i="6"/>
  <c r="O172" i="6"/>
  <c r="P172" i="6"/>
  <c r="Q172" i="6"/>
  <c r="R172" i="6"/>
  <c r="I176" i="6"/>
  <c r="J176" i="6"/>
  <c r="K176" i="6"/>
  <c r="L176" i="6"/>
  <c r="M176" i="6"/>
  <c r="N176" i="6"/>
  <c r="O176" i="6"/>
  <c r="P176" i="6"/>
  <c r="Q176" i="6"/>
  <c r="R176" i="6"/>
  <c r="I183" i="6"/>
  <c r="J183" i="6"/>
  <c r="K183" i="6"/>
  <c r="L183" i="6"/>
  <c r="M183" i="6"/>
  <c r="N183" i="6"/>
  <c r="O183" i="6"/>
  <c r="P183" i="6"/>
  <c r="Q183" i="6"/>
  <c r="R183" i="6"/>
  <c r="I192" i="6"/>
  <c r="J192" i="6"/>
  <c r="K192" i="6"/>
  <c r="L192" i="6"/>
  <c r="M192" i="6"/>
  <c r="N192" i="6"/>
  <c r="O192" i="6"/>
  <c r="P192" i="6"/>
  <c r="Q192" i="6"/>
  <c r="R192" i="6"/>
  <c r="I193" i="6"/>
  <c r="J193" i="6"/>
  <c r="K193" i="6"/>
  <c r="L193" i="6"/>
  <c r="M193" i="6"/>
  <c r="N193" i="6"/>
  <c r="O193" i="6"/>
  <c r="P193" i="6"/>
  <c r="Q193" i="6"/>
  <c r="R193" i="6"/>
  <c r="I194" i="6"/>
  <c r="J194" i="6"/>
  <c r="K194" i="6"/>
  <c r="L194" i="6"/>
  <c r="M194" i="6"/>
  <c r="N194" i="6"/>
  <c r="O194" i="6"/>
  <c r="P194" i="6"/>
  <c r="Q194" i="6"/>
  <c r="R194" i="6"/>
  <c r="I195" i="6"/>
  <c r="J195" i="6"/>
  <c r="K195" i="6"/>
  <c r="L195" i="6"/>
  <c r="M195" i="6"/>
  <c r="N195" i="6"/>
  <c r="O195" i="6"/>
  <c r="P195" i="6"/>
  <c r="Q195" i="6"/>
  <c r="R195" i="6"/>
  <c r="I199" i="6"/>
  <c r="J199" i="6"/>
  <c r="K199" i="6"/>
  <c r="L199" i="6"/>
  <c r="M199" i="6"/>
  <c r="N199" i="6"/>
  <c r="O199" i="6"/>
  <c r="P199" i="6"/>
  <c r="Q199" i="6"/>
  <c r="R199" i="6"/>
  <c r="I201" i="6"/>
  <c r="J201" i="6"/>
  <c r="K201" i="6"/>
  <c r="L201" i="6"/>
  <c r="M201" i="6"/>
  <c r="N201" i="6"/>
  <c r="O201" i="6"/>
  <c r="P201" i="6"/>
  <c r="Q201" i="6"/>
  <c r="R201" i="6"/>
  <c r="I202" i="6"/>
  <c r="J202" i="6"/>
  <c r="K202" i="6"/>
  <c r="L202" i="6"/>
  <c r="M202" i="6"/>
  <c r="N202" i="6"/>
  <c r="O202" i="6"/>
  <c r="P202" i="6"/>
  <c r="Q202" i="6"/>
  <c r="R202" i="6"/>
  <c r="I203" i="6"/>
  <c r="J203" i="6"/>
  <c r="K203" i="6"/>
  <c r="L203" i="6"/>
  <c r="M203" i="6"/>
  <c r="N203" i="6"/>
  <c r="O203" i="6"/>
  <c r="P203" i="6"/>
  <c r="Q203" i="6"/>
  <c r="R203" i="6"/>
  <c r="I204" i="6"/>
  <c r="J204" i="6"/>
  <c r="K204" i="6"/>
  <c r="L204" i="6"/>
  <c r="M204" i="6"/>
  <c r="N204" i="6"/>
  <c r="O204" i="6"/>
  <c r="P204" i="6"/>
  <c r="Q204" i="6"/>
  <c r="R204" i="6"/>
  <c r="I237" i="6"/>
  <c r="J237" i="6"/>
  <c r="K237" i="6"/>
  <c r="L237" i="6"/>
  <c r="M237" i="6"/>
  <c r="N237" i="6"/>
  <c r="O237" i="6"/>
  <c r="P237" i="6"/>
  <c r="Q237" i="6"/>
  <c r="R237" i="6"/>
  <c r="I242" i="6"/>
  <c r="J242" i="6"/>
  <c r="K242" i="6"/>
  <c r="L242" i="6"/>
  <c r="M242" i="6"/>
  <c r="N242" i="6"/>
  <c r="O242" i="6"/>
  <c r="P242" i="6"/>
  <c r="Q242" i="6"/>
  <c r="R242" i="6"/>
  <c r="I244" i="6"/>
  <c r="J244" i="6"/>
  <c r="K244" i="6"/>
  <c r="L244" i="6"/>
  <c r="M244" i="6"/>
  <c r="N244" i="6"/>
  <c r="O244" i="6"/>
  <c r="P244" i="6"/>
  <c r="Q244" i="6"/>
  <c r="R244" i="6"/>
  <c r="I254" i="6"/>
  <c r="J254" i="6"/>
  <c r="K254" i="6"/>
  <c r="L254" i="6"/>
  <c r="M254" i="6"/>
  <c r="N254" i="6"/>
  <c r="O254" i="6"/>
  <c r="P254" i="6"/>
  <c r="Q254" i="6"/>
  <c r="R254" i="6"/>
  <c r="I261" i="6"/>
  <c r="J261" i="6"/>
  <c r="K261" i="6"/>
  <c r="L261" i="6"/>
  <c r="M261" i="6"/>
  <c r="N261" i="6"/>
  <c r="O261" i="6"/>
  <c r="P261" i="6"/>
  <c r="Q261" i="6"/>
  <c r="R261" i="6"/>
  <c r="J264" i="6"/>
  <c r="K264" i="6"/>
  <c r="L264" i="6"/>
  <c r="M264" i="6"/>
  <c r="N264" i="6"/>
  <c r="O264" i="6"/>
  <c r="P264" i="6"/>
  <c r="Q264" i="6"/>
  <c r="R264" i="6"/>
  <c r="I265" i="6"/>
  <c r="J265" i="6"/>
  <c r="K265" i="6"/>
  <c r="L265" i="6"/>
  <c r="M265" i="6"/>
  <c r="N265" i="6"/>
  <c r="O265" i="6"/>
  <c r="P265" i="6"/>
  <c r="Q265" i="6"/>
  <c r="R265" i="6"/>
  <c r="I266" i="6"/>
  <c r="J266" i="6"/>
  <c r="K266" i="6"/>
  <c r="L266" i="6"/>
  <c r="M266" i="6"/>
  <c r="N266" i="6"/>
  <c r="O266" i="6"/>
  <c r="P266" i="6"/>
  <c r="Q266" i="6"/>
  <c r="R266" i="6"/>
  <c r="I267" i="6"/>
  <c r="J267" i="6"/>
  <c r="K267" i="6"/>
  <c r="L267" i="6"/>
  <c r="M267" i="6"/>
  <c r="N267" i="6"/>
  <c r="O267" i="6"/>
  <c r="P267" i="6"/>
  <c r="Q267" i="6"/>
  <c r="R267" i="6"/>
  <c r="I269" i="6"/>
  <c r="J269" i="6"/>
  <c r="K269" i="6"/>
  <c r="L269" i="6"/>
  <c r="M269" i="6"/>
  <c r="N269" i="6"/>
  <c r="O269" i="6"/>
  <c r="P269" i="6"/>
  <c r="Q269" i="6"/>
  <c r="R269" i="6"/>
  <c r="J271" i="6"/>
  <c r="K271" i="6"/>
  <c r="L271" i="6"/>
  <c r="M271" i="6"/>
  <c r="N271" i="6"/>
  <c r="O271" i="6"/>
  <c r="P271" i="6"/>
  <c r="Q271" i="6"/>
  <c r="R271" i="6"/>
  <c r="I272" i="6"/>
  <c r="J272" i="6"/>
  <c r="K272" i="6"/>
  <c r="L272" i="6"/>
  <c r="M272" i="6"/>
  <c r="N272" i="6"/>
  <c r="O272" i="6"/>
  <c r="P272" i="6"/>
  <c r="Q272" i="6"/>
  <c r="R272" i="6"/>
  <c r="I273" i="6"/>
  <c r="J273" i="6"/>
  <c r="K273" i="6"/>
  <c r="L273" i="6"/>
  <c r="M273" i="6"/>
  <c r="N273" i="6"/>
  <c r="O273" i="6"/>
  <c r="P273" i="6"/>
  <c r="Q273" i="6"/>
  <c r="R273" i="6"/>
  <c r="I280" i="6"/>
  <c r="J280" i="6"/>
  <c r="K280" i="6"/>
  <c r="L280" i="6"/>
  <c r="M280" i="6"/>
  <c r="N280" i="6"/>
  <c r="O280" i="6"/>
  <c r="P280" i="6"/>
  <c r="Q280" i="6"/>
  <c r="R280" i="6"/>
  <c r="J281" i="6"/>
  <c r="K281" i="6"/>
  <c r="L281" i="6"/>
  <c r="M281" i="6"/>
  <c r="N281" i="6"/>
  <c r="O281" i="6"/>
  <c r="P281" i="6"/>
  <c r="Q281" i="6"/>
  <c r="R281" i="6"/>
  <c r="J283" i="6"/>
  <c r="K283" i="6"/>
  <c r="L283" i="6"/>
  <c r="M283" i="6"/>
  <c r="N283" i="6"/>
  <c r="O283" i="6"/>
  <c r="P283" i="6"/>
  <c r="Q283" i="6"/>
  <c r="R283" i="6"/>
  <c r="I285" i="6"/>
  <c r="J285" i="6"/>
  <c r="K285" i="6"/>
  <c r="L285" i="6"/>
  <c r="M285" i="6"/>
  <c r="N285" i="6"/>
  <c r="O285" i="6"/>
  <c r="P285" i="6"/>
  <c r="Q285" i="6"/>
  <c r="R285" i="6"/>
  <c r="J288" i="6"/>
  <c r="K288" i="6"/>
  <c r="L288" i="6"/>
  <c r="M288" i="6"/>
  <c r="N288" i="6"/>
  <c r="O288" i="6"/>
  <c r="P288" i="6"/>
  <c r="Q288" i="6"/>
  <c r="R288" i="6"/>
  <c r="I289" i="6"/>
  <c r="J289" i="6"/>
  <c r="K289" i="6"/>
  <c r="L289" i="6"/>
  <c r="M289" i="6"/>
  <c r="N289" i="6"/>
  <c r="O289" i="6"/>
  <c r="P289" i="6"/>
  <c r="Q289" i="6"/>
  <c r="R289" i="6"/>
  <c r="I290" i="6"/>
  <c r="J290" i="6"/>
  <c r="K290" i="6"/>
  <c r="L290" i="6"/>
  <c r="M290" i="6"/>
  <c r="N290" i="6"/>
  <c r="O290" i="6"/>
  <c r="P290" i="6"/>
  <c r="Q290" i="6"/>
  <c r="R290" i="6"/>
  <c r="I291" i="6"/>
  <c r="J291" i="6"/>
  <c r="K291" i="6"/>
  <c r="L291" i="6"/>
  <c r="M291" i="6"/>
  <c r="N291" i="6"/>
  <c r="O291" i="6"/>
  <c r="P291" i="6"/>
  <c r="Q291" i="6"/>
  <c r="R291" i="6"/>
  <c r="I292" i="6"/>
  <c r="J292" i="6"/>
  <c r="K292" i="6"/>
  <c r="L292" i="6"/>
  <c r="M292" i="6"/>
  <c r="N292" i="6"/>
  <c r="O292" i="6"/>
  <c r="P292" i="6"/>
  <c r="Q292" i="6"/>
  <c r="R292" i="6"/>
  <c r="I295" i="6"/>
  <c r="J295" i="6"/>
  <c r="K295" i="6"/>
  <c r="L295" i="6"/>
  <c r="M295" i="6"/>
  <c r="N295" i="6"/>
  <c r="O295" i="6"/>
  <c r="P295" i="6"/>
  <c r="Q295" i="6"/>
  <c r="R295" i="6"/>
  <c r="I297" i="6"/>
  <c r="J297" i="6"/>
  <c r="K297" i="6"/>
  <c r="L297" i="6"/>
  <c r="M297" i="6"/>
  <c r="N297" i="6"/>
  <c r="O297" i="6"/>
  <c r="P297" i="6"/>
  <c r="Q297" i="6"/>
  <c r="R297" i="6"/>
  <c r="J300" i="6"/>
  <c r="K300" i="6"/>
  <c r="L300" i="6"/>
  <c r="M300" i="6"/>
  <c r="N300" i="6"/>
  <c r="O300" i="6"/>
  <c r="P300" i="6"/>
  <c r="Q300" i="6"/>
  <c r="R300" i="6"/>
  <c r="J302" i="6"/>
  <c r="K302" i="6"/>
  <c r="L302" i="6"/>
  <c r="M302" i="6"/>
  <c r="N302" i="6"/>
  <c r="O302" i="6"/>
  <c r="P302" i="6"/>
  <c r="Q302" i="6"/>
  <c r="R302" i="6"/>
  <c r="I303" i="6"/>
  <c r="J303" i="6"/>
  <c r="K303" i="6"/>
  <c r="L303" i="6"/>
  <c r="M303" i="6"/>
  <c r="N303" i="6"/>
  <c r="O303" i="6"/>
  <c r="P303" i="6"/>
  <c r="Q303" i="6"/>
  <c r="R303" i="6"/>
  <c r="I305" i="6"/>
  <c r="J305" i="6"/>
  <c r="K305" i="6"/>
  <c r="L305" i="6"/>
  <c r="M305" i="6"/>
  <c r="N305" i="6"/>
  <c r="O305" i="6"/>
  <c r="P305" i="6"/>
  <c r="Q305" i="6"/>
  <c r="R305" i="6"/>
  <c r="I306" i="6"/>
  <c r="J306" i="6"/>
  <c r="K306" i="6"/>
  <c r="L306" i="6"/>
  <c r="M306" i="6"/>
  <c r="N306" i="6"/>
  <c r="O306" i="6"/>
  <c r="P306" i="6"/>
  <c r="Q306" i="6"/>
  <c r="R306" i="6"/>
  <c r="I308" i="6"/>
  <c r="J308" i="6"/>
  <c r="K308" i="6"/>
  <c r="L308" i="6"/>
  <c r="M308" i="6"/>
  <c r="N308" i="6"/>
  <c r="O308" i="6"/>
  <c r="P308" i="6"/>
  <c r="Q308" i="6"/>
  <c r="R308" i="6"/>
  <c r="J311" i="6"/>
  <c r="K311" i="6"/>
  <c r="L311" i="6"/>
  <c r="M311" i="6"/>
  <c r="N311" i="6"/>
  <c r="O311" i="6"/>
  <c r="P311" i="6"/>
  <c r="Q311" i="6"/>
  <c r="R311" i="6"/>
  <c r="I314" i="6"/>
  <c r="J314" i="6"/>
  <c r="K314" i="6"/>
  <c r="L314" i="6"/>
  <c r="M314" i="6"/>
  <c r="N314" i="6"/>
  <c r="O314" i="6"/>
  <c r="P314" i="6"/>
  <c r="Q314" i="6"/>
  <c r="R314" i="6"/>
  <c r="I316" i="6"/>
  <c r="J316" i="6"/>
  <c r="K316" i="6"/>
  <c r="L316" i="6"/>
  <c r="M316" i="6"/>
  <c r="N316" i="6"/>
  <c r="O316" i="6"/>
  <c r="P316" i="6"/>
  <c r="Q316" i="6"/>
  <c r="R316" i="6"/>
  <c r="I317" i="6"/>
  <c r="J317" i="6"/>
  <c r="K317" i="6"/>
  <c r="L317" i="6"/>
  <c r="M317" i="6"/>
  <c r="N317" i="6"/>
  <c r="O317" i="6"/>
  <c r="P317" i="6"/>
  <c r="Q317" i="6"/>
  <c r="R317" i="6"/>
  <c r="I319" i="6"/>
  <c r="J319" i="6"/>
  <c r="K319" i="6"/>
  <c r="L319" i="6"/>
  <c r="M319" i="6"/>
  <c r="N319" i="6"/>
  <c r="O319" i="6"/>
  <c r="P319" i="6"/>
  <c r="Q319" i="6"/>
  <c r="R319" i="6"/>
  <c r="I352" i="6"/>
  <c r="J352" i="6"/>
  <c r="K352" i="6"/>
  <c r="L352" i="6"/>
  <c r="M352" i="6"/>
  <c r="N352" i="6"/>
  <c r="O352" i="6"/>
  <c r="P352" i="6"/>
  <c r="Q352" i="6"/>
  <c r="R352" i="6"/>
  <c r="I353" i="6"/>
  <c r="J353" i="6"/>
  <c r="K353" i="6"/>
  <c r="L353" i="6"/>
  <c r="M353" i="6"/>
  <c r="N353" i="6"/>
  <c r="O353" i="6"/>
  <c r="P353" i="6"/>
  <c r="Q353" i="6"/>
  <c r="R353" i="6"/>
  <c r="I354" i="6"/>
  <c r="J354" i="6"/>
  <c r="K354" i="6"/>
  <c r="L354" i="6"/>
  <c r="M354" i="6"/>
  <c r="N354" i="6"/>
  <c r="O354" i="6"/>
  <c r="P354" i="6"/>
  <c r="Q354" i="6"/>
  <c r="R354" i="6"/>
  <c r="I356" i="6"/>
  <c r="J356" i="6"/>
  <c r="K356" i="6"/>
  <c r="L356" i="6"/>
  <c r="M356" i="6"/>
  <c r="N356" i="6"/>
  <c r="O356" i="6"/>
  <c r="P356" i="6"/>
  <c r="Q356" i="6"/>
  <c r="R356" i="6"/>
  <c r="I357" i="6"/>
  <c r="J357" i="6"/>
  <c r="K357" i="6"/>
  <c r="L357" i="6"/>
  <c r="M357" i="6"/>
  <c r="N357" i="6"/>
  <c r="O357" i="6"/>
  <c r="P357" i="6"/>
  <c r="Q357" i="6"/>
  <c r="R357" i="6"/>
  <c r="I360" i="6"/>
  <c r="J360" i="6"/>
  <c r="K360" i="6"/>
  <c r="L360" i="6"/>
  <c r="M360" i="6"/>
  <c r="N360" i="6"/>
  <c r="O360" i="6"/>
  <c r="P360" i="6"/>
  <c r="Q360" i="6"/>
  <c r="R360" i="6"/>
  <c r="I362" i="6"/>
  <c r="J362" i="6"/>
  <c r="K362" i="6"/>
  <c r="L362" i="6"/>
  <c r="M362" i="6"/>
  <c r="N362" i="6"/>
  <c r="O362" i="6"/>
  <c r="P362" i="6"/>
  <c r="Q362" i="6"/>
  <c r="R362" i="6"/>
  <c r="I363" i="6"/>
  <c r="J366" i="6"/>
  <c r="K366" i="6"/>
  <c r="L366" i="6"/>
  <c r="M366" i="6"/>
  <c r="N366" i="6"/>
  <c r="O366" i="6"/>
  <c r="P366" i="6"/>
  <c r="Q366" i="6"/>
  <c r="R366" i="6"/>
  <c r="I367" i="6"/>
  <c r="J367" i="6"/>
  <c r="K367" i="6"/>
  <c r="L367" i="6"/>
  <c r="M367" i="6"/>
  <c r="N367" i="6"/>
  <c r="O367" i="6"/>
  <c r="P367" i="6"/>
  <c r="Q367" i="6"/>
  <c r="R367" i="6"/>
  <c r="I368" i="6"/>
  <c r="J368" i="6"/>
  <c r="K368" i="6"/>
  <c r="L368" i="6"/>
  <c r="M368" i="6"/>
  <c r="N368" i="6"/>
  <c r="O368" i="6"/>
  <c r="P368" i="6"/>
  <c r="Q368" i="6"/>
  <c r="R368" i="6"/>
  <c r="I371" i="6"/>
  <c r="J371" i="6"/>
  <c r="K371" i="6"/>
  <c r="L371" i="6"/>
  <c r="M371" i="6"/>
  <c r="N371" i="6"/>
  <c r="O371" i="6"/>
  <c r="P371" i="6"/>
  <c r="Q371" i="6"/>
  <c r="R371" i="6"/>
  <c r="I376" i="6"/>
  <c r="J376" i="6"/>
  <c r="K376" i="6"/>
  <c r="L376" i="6"/>
  <c r="M376" i="6"/>
  <c r="N376" i="6"/>
  <c r="O376" i="6"/>
  <c r="P376" i="6"/>
  <c r="Q376" i="6"/>
  <c r="R376" i="6"/>
  <c r="I378" i="6"/>
  <c r="J378" i="6"/>
  <c r="K378" i="6"/>
  <c r="L378" i="6"/>
  <c r="M378" i="6"/>
  <c r="N378" i="6"/>
  <c r="O378" i="6"/>
  <c r="P378" i="6"/>
  <c r="Q378" i="6"/>
  <c r="R378" i="6"/>
  <c r="J384" i="6"/>
  <c r="K384" i="6"/>
  <c r="L384" i="6"/>
  <c r="M384" i="6"/>
  <c r="N384" i="6"/>
  <c r="O384" i="6"/>
  <c r="P384" i="6"/>
  <c r="Q384" i="6"/>
  <c r="R384" i="6"/>
  <c r="I385" i="6"/>
  <c r="J385" i="6"/>
  <c r="K385" i="6"/>
  <c r="L385" i="6"/>
  <c r="M385" i="6"/>
  <c r="N385" i="6"/>
  <c r="O385" i="6"/>
  <c r="P385" i="6"/>
  <c r="Q385" i="6"/>
  <c r="R385" i="6"/>
  <c r="I386" i="6"/>
  <c r="J386" i="6"/>
  <c r="K386" i="6"/>
  <c r="L386" i="6"/>
  <c r="M386" i="6"/>
  <c r="N386" i="6"/>
  <c r="O386" i="6"/>
  <c r="P386" i="6"/>
  <c r="Q386" i="6"/>
  <c r="R386" i="6"/>
  <c r="I387" i="6"/>
  <c r="J387" i="6"/>
  <c r="K387" i="6"/>
  <c r="L387" i="6"/>
  <c r="M387" i="6"/>
  <c r="N387" i="6"/>
  <c r="O387" i="6"/>
  <c r="P387" i="6"/>
  <c r="Q387" i="6"/>
  <c r="R387" i="6"/>
  <c r="I453" i="6"/>
  <c r="J453" i="6"/>
  <c r="K453" i="6"/>
  <c r="L453" i="6"/>
  <c r="M453" i="6"/>
  <c r="N453" i="6"/>
  <c r="O453" i="6"/>
  <c r="P453" i="6"/>
  <c r="Q453" i="6"/>
  <c r="R453" i="6"/>
  <c r="I459" i="6"/>
  <c r="J459" i="6"/>
  <c r="K459" i="6"/>
  <c r="L459" i="6"/>
  <c r="M459" i="6"/>
  <c r="N459" i="6"/>
  <c r="O459" i="6"/>
  <c r="P459" i="6"/>
  <c r="Q459" i="6"/>
  <c r="R459" i="6"/>
  <c r="I463" i="6"/>
  <c r="J463" i="6"/>
  <c r="K463" i="6"/>
  <c r="L463" i="6"/>
  <c r="M463" i="6"/>
  <c r="N463" i="6"/>
  <c r="O463" i="6"/>
  <c r="P463" i="6"/>
  <c r="Q463" i="6"/>
  <c r="R463" i="6"/>
  <c r="J466" i="6"/>
  <c r="K466" i="6"/>
  <c r="L466" i="6"/>
  <c r="M466" i="6"/>
  <c r="N466" i="6"/>
  <c r="O466" i="6"/>
  <c r="P466" i="6"/>
  <c r="Q466" i="6"/>
  <c r="R466" i="6"/>
  <c r="I467" i="6"/>
  <c r="J467" i="6"/>
  <c r="K467" i="6"/>
  <c r="L467" i="6"/>
  <c r="M467" i="6"/>
  <c r="N467" i="6"/>
  <c r="O467" i="6"/>
  <c r="P467" i="6"/>
  <c r="Q467" i="6"/>
  <c r="R467" i="6"/>
  <c r="I468" i="6"/>
  <c r="J468" i="6"/>
  <c r="K468" i="6"/>
  <c r="L468" i="6"/>
  <c r="M468" i="6"/>
  <c r="N468" i="6"/>
  <c r="O468" i="6"/>
  <c r="P468" i="6"/>
  <c r="Q468" i="6"/>
  <c r="R468" i="6"/>
  <c r="I469" i="6"/>
  <c r="J469" i="6"/>
  <c r="K469" i="6"/>
  <c r="L469" i="6"/>
  <c r="M469" i="6"/>
  <c r="N469" i="6"/>
  <c r="O469" i="6"/>
  <c r="P469" i="6"/>
  <c r="Q469" i="6"/>
  <c r="R469" i="6"/>
  <c r="I472" i="6"/>
  <c r="J472" i="6"/>
  <c r="K472" i="6"/>
  <c r="L472" i="6"/>
  <c r="M472" i="6"/>
  <c r="N472" i="6"/>
  <c r="O472" i="6"/>
  <c r="P472" i="6"/>
  <c r="Q472" i="6"/>
  <c r="R472" i="6"/>
  <c r="I473" i="6"/>
  <c r="J473" i="6"/>
  <c r="K473" i="6"/>
  <c r="L473" i="6"/>
  <c r="M473" i="6"/>
  <c r="N473" i="6"/>
  <c r="O473" i="6"/>
  <c r="P473" i="6"/>
  <c r="Q473" i="6"/>
  <c r="R473" i="6"/>
  <c r="I474" i="6"/>
  <c r="J474" i="6"/>
  <c r="K474" i="6"/>
  <c r="L474" i="6"/>
  <c r="M474" i="6"/>
  <c r="N474" i="6"/>
  <c r="O474" i="6"/>
  <c r="P474" i="6"/>
  <c r="Q474" i="6"/>
  <c r="R474" i="6"/>
  <c r="I476" i="6"/>
  <c r="J476" i="6"/>
  <c r="K476" i="6"/>
  <c r="L476" i="6"/>
  <c r="M476" i="6"/>
  <c r="N476" i="6"/>
  <c r="O476" i="6"/>
  <c r="P476" i="6"/>
  <c r="Q476" i="6"/>
  <c r="R476" i="6"/>
  <c r="I478" i="6"/>
  <c r="J478" i="6"/>
  <c r="K478" i="6"/>
  <c r="L478" i="6"/>
  <c r="M478" i="6"/>
  <c r="N478" i="6"/>
  <c r="O478" i="6"/>
  <c r="P478" i="6"/>
  <c r="Q478" i="6"/>
  <c r="R478" i="6"/>
  <c r="I479" i="6"/>
  <c r="J479" i="6"/>
  <c r="K479" i="6"/>
  <c r="L479" i="6"/>
  <c r="M479" i="6"/>
  <c r="N479" i="6"/>
  <c r="O479" i="6"/>
  <c r="P479" i="6"/>
  <c r="Q479" i="6"/>
  <c r="R479" i="6"/>
  <c r="J481" i="6"/>
  <c r="K481" i="6"/>
  <c r="L481" i="6"/>
  <c r="M481" i="6"/>
  <c r="N481" i="6"/>
  <c r="O481" i="6"/>
  <c r="P481" i="6"/>
  <c r="Q481" i="6"/>
  <c r="R481" i="6"/>
  <c r="I482" i="6"/>
  <c r="J482" i="6"/>
  <c r="K482" i="6"/>
  <c r="L482" i="6"/>
  <c r="M482" i="6"/>
  <c r="N482" i="6"/>
  <c r="O482" i="6"/>
  <c r="P482" i="6"/>
  <c r="Q482" i="6"/>
  <c r="R482" i="6"/>
  <c r="I483" i="6"/>
  <c r="J483" i="6"/>
  <c r="K483" i="6"/>
  <c r="L483" i="6"/>
  <c r="M483" i="6"/>
  <c r="N483" i="6"/>
  <c r="O483" i="6"/>
  <c r="P483" i="6"/>
  <c r="Q483" i="6"/>
  <c r="R483" i="6"/>
  <c r="I484" i="6"/>
  <c r="J484" i="6"/>
  <c r="K484" i="6"/>
  <c r="L484" i="6"/>
  <c r="M484" i="6"/>
  <c r="N484" i="6"/>
  <c r="O484" i="6"/>
  <c r="P484" i="6"/>
  <c r="Q484" i="6"/>
  <c r="R484" i="6"/>
  <c r="I12" i="17"/>
  <c r="J12" i="17"/>
  <c r="K12" i="17"/>
  <c r="L12" i="17"/>
  <c r="M12" i="17"/>
  <c r="I15" i="17"/>
  <c r="J15" i="17"/>
  <c r="K15" i="17"/>
  <c r="L15" i="17"/>
  <c r="M15" i="17"/>
  <c r="I17" i="17"/>
  <c r="J17" i="17"/>
  <c r="K17" i="17"/>
  <c r="L17" i="17"/>
  <c r="M17" i="17"/>
  <c r="I18" i="17"/>
  <c r="J18" i="17"/>
  <c r="K18" i="17"/>
  <c r="L18" i="17"/>
  <c r="M18" i="17"/>
  <c r="I19" i="17"/>
  <c r="J19" i="17"/>
  <c r="K19" i="17"/>
  <c r="L19" i="17"/>
  <c r="M19" i="17"/>
  <c r="I23" i="17"/>
  <c r="J23" i="17"/>
  <c r="K23" i="17"/>
  <c r="L23" i="17"/>
  <c r="M23" i="17"/>
  <c r="M24" i="17"/>
  <c r="M25" i="17"/>
  <c r="M29" i="17"/>
  <c r="M30" i="17"/>
  <c r="M32" i="17"/>
  <c r="I33" i="17"/>
  <c r="J33" i="17"/>
  <c r="K33" i="17"/>
  <c r="L33" i="17"/>
  <c r="M33" i="17"/>
  <c r="I34" i="17"/>
  <c r="I35" i="17"/>
  <c r="J35" i="17"/>
  <c r="I36" i="17"/>
  <c r="J36" i="17"/>
  <c r="K36" i="17"/>
  <c r="I37" i="17"/>
  <c r="J37" i="17"/>
  <c r="K37" i="17"/>
  <c r="L37" i="17"/>
  <c r="I38" i="17"/>
  <c r="J38" i="17"/>
  <c r="K38" i="17"/>
  <c r="L38" i="17"/>
  <c r="M38" i="17"/>
  <c r="M42" i="17"/>
  <c r="M43" i="17"/>
  <c r="I46" i="17"/>
  <c r="J46" i="17"/>
  <c r="K46" i="17"/>
  <c r="L46" i="17"/>
  <c r="M46" i="17"/>
  <c r="I47" i="17"/>
  <c r="I48" i="17"/>
  <c r="J48" i="17"/>
  <c r="I49" i="17"/>
  <c r="J49" i="17"/>
  <c r="K49" i="17"/>
  <c r="I50" i="17"/>
  <c r="J50" i="17"/>
  <c r="K50" i="17"/>
  <c r="L50" i="17"/>
  <c r="I51" i="17"/>
  <c r="J51" i="17"/>
  <c r="K51" i="17"/>
  <c r="L51" i="17"/>
  <c r="M51" i="17"/>
  <c r="I56" i="17"/>
  <c r="J56" i="17"/>
  <c r="K56" i="17"/>
  <c r="L56" i="17"/>
  <c r="M56" i="17"/>
  <c r="I57" i="17"/>
  <c r="J57" i="17"/>
  <c r="K57" i="17"/>
  <c r="L57" i="17"/>
  <c r="M57" i="17"/>
  <c r="M58" i="17"/>
  <c r="I59" i="17"/>
  <c r="J59" i="17"/>
  <c r="K59" i="17"/>
  <c r="L59" i="17"/>
  <c r="M59" i="17"/>
  <c r="I60" i="17"/>
  <c r="J60" i="17"/>
  <c r="K60" i="17"/>
  <c r="L60" i="17"/>
  <c r="M60" i="17"/>
  <c r="I65" i="17"/>
  <c r="J65" i="17"/>
  <c r="K65" i="17"/>
  <c r="L65" i="17"/>
  <c r="M65" i="17"/>
  <c r="I66" i="17"/>
  <c r="J66" i="17"/>
  <c r="K66" i="17"/>
  <c r="L66" i="17"/>
  <c r="M66" i="17"/>
  <c r="M67" i="17"/>
  <c r="I68" i="17"/>
  <c r="J68" i="17"/>
  <c r="K68" i="17"/>
  <c r="L68" i="17"/>
  <c r="M68" i="17"/>
  <c r="I70" i="17"/>
  <c r="J70" i="17"/>
  <c r="K70" i="17"/>
  <c r="L70" i="17"/>
  <c r="I72" i="17"/>
  <c r="J72" i="17"/>
  <c r="K72" i="17"/>
  <c r="L72" i="17"/>
  <c r="M72" i="17"/>
  <c r="I74" i="17"/>
  <c r="J74" i="17"/>
  <c r="K74" i="17"/>
  <c r="L74" i="17"/>
  <c r="M74" i="17"/>
  <c r="I75" i="17"/>
  <c r="J75" i="17"/>
  <c r="K75" i="17"/>
  <c r="L75" i="17"/>
  <c r="M75" i="17"/>
  <c r="C13" i="18"/>
  <c r="G13" i="18"/>
  <c r="C15" i="18"/>
  <c r="G16" i="18"/>
  <c r="C19" i="18"/>
  <c r="C20" i="18"/>
  <c r="G20" i="18"/>
  <c r="G21" i="18"/>
  <c r="C22" i="18"/>
  <c r="G22" i="18"/>
  <c r="C23" i="18"/>
  <c r="G24" i="18"/>
  <c r="G25" i="18"/>
</calcChain>
</file>

<file path=xl/comments1.xml><?xml version="1.0" encoding="utf-8"?>
<comments xmlns="http://schemas.openxmlformats.org/spreadsheetml/2006/main">
  <authors>
    <author>graham.gilbert</author>
    <author>Graham.Gilbert</author>
  </authors>
  <commentList>
    <comment ref="R9" authorId="0" shapeId="0">
      <text>
        <r>
          <rPr>
            <b/>
            <sz val="9"/>
            <color indexed="81"/>
            <rFont val="Tahoma"/>
            <family val="2"/>
          </rPr>
          <t>Ashland:</t>
        </r>
        <r>
          <rPr>
            <sz val="9"/>
            <color indexed="81"/>
            <rFont val="Tahoma"/>
            <family val="2"/>
          </rPr>
          <t xml:space="preserve">
Type "Asset" or "Stock." Asset Deal assumes Goodwill Amortization for Tax Purposes</t>
        </r>
      </text>
    </comment>
    <comment ref="R11" authorId="1" shapeId="0">
      <text>
        <r>
          <rPr>
            <b/>
            <sz val="9"/>
            <color indexed="81"/>
            <rFont val="Tahoma"/>
            <family val="2"/>
          </rPr>
          <t>Ashland:</t>
        </r>
        <r>
          <rPr>
            <sz val="9"/>
            <color indexed="81"/>
            <rFont val="Tahoma"/>
            <family val="2"/>
          </rPr>
          <t xml:space="preserve">
Case Trigger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Ashland:</t>
        </r>
        <r>
          <rPr>
            <sz val="9"/>
            <color indexed="81"/>
            <rFont val="Tahoma"/>
            <family val="2"/>
          </rPr>
          <t xml:space="preserve">
Type "C-Corp" or "Flow Thru"</t>
        </r>
      </text>
    </comment>
  </commentList>
</comments>
</file>

<file path=xl/sharedStrings.xml><?xml version="1.0" encoding="utf-8"?>
<sst xmlns="http://schemas.openxmlformats.org/spreadsheetml/2006/main" count="764" uniqueCount="501">
  <si>
    <t>Financial Model</t>
  </si>
  <si>
    <t>Historical Balance Sheet</t>
  </si>
  <si>
    <t>Balance Sheet - As Reported</t>
  </si>
  <si>
    <t>Dollars</t>
  </si>
  <si>
    <t>Current Assets</t>
  </si>
  <si>
    <t>Cash</t>
  </si>
  <si>
    <t>Accounts Receivable</t>
  </si>
  <si>
    <t>Total Current Assets</t>
  </si>
  <si>
    <t>Long-Term Assets</t>
  </si>
  <si>
    <t>Gross Fixed Assets</t>
  </si>
  <si>
    <t>Accumulated Depreciation</t>
  </si>
  <si>
    <t>Fixed Assets, net</t>
  </si>
  <si>
    <t>Other Assets</t>
  </si>
  <si>
    <t>Total Other Assets</t>
  </si>
  <si>
    <t>Total Assets</t>
  </si>
  <si>
    <t>Current Liabilities</t>
  </si>
  <si>
    <t>Accounts Payable</t>
  </si>
  <si>
    <t>Accrued and Other Current Liabilities</t>
  </si>
  <si>
    <t>Total Current Liabilities</t>
  </si>
  <si>
    <t>Long-Term Liabilities</t>
  </si>
  <si>
    <t>Notes Payable</t>
  </si>
  <si>
    <t>Shareholders' Equity</t>
  </si>
  <si>
    <t>Total Liabilities and Equity</t>
  </si>
  <si>
    <t>Balance Check</t>
  </si>
  <si>
    <t>Revenue</t>
  </si>
  <si>
    <t>COGS</t>
  </si>
  <si>
    <t>Working Capital Statistics</t>
  </si>
  <si>
    <t>Accounts Receivable Days</t>
  </si>
  <si>
    <t>Inventory Days</t>
  </si>
  <si>
    <t>Other Long-Term Assets % of Revenue</t>
  </si>
  <si>
    <t>Accounts Payable Days</t>
  </si>
  <si>
    <t>Accrued and Other Current Liabilities % of COGS</t>
  </si>
  <si>
    <t>Historical Income Statement</t>
  </si>
  <si>
    <t>P&amp;L - As Reported</t>
  </si>
  <si>
    <t>Total Cost of Goods Sold</t>
  </si>
  <si>
    <t>Gross Profit</t>
  </si>
  <si>
    <t>Gross Margin</t>
  </si>
  <si>
    <t>Other</t>
  </si>
  <si>
    <t>Depreciation</t>
  </si>
  <si>
    <t>Total Operating Expenses</t>
  </si>
  <si>
    <t>Operating Income</t>
  </si>
  <si>
    <t>Operating Income Margin</t>
  </si>
  <si>
    <t>Depreciation &amp; Amortization</t>
  </si>
  <si>
    <t>Total Depreciation &amp; Amortization</t>
  </si>
  <si>
    <t>EBITDA</t>
  </si>
  <si>
    <t>EBITDA Margin</t>
  </si>
  <si>
    <t>Interest Expense</t>
  </si>
  <si>
    <t>Other Income (Expenses)</t>
  </si>
  <si>
    <t>Total Other Income (Expenses)</t>
  </si>
  <si>
    <t>Net Income (Loss)</t>
  </si>
  <si>
    <t>Model Inputs</t>
  </si>
  <si>
    <t>v</t>
  </si>
  <si>
    <t>Uses &amp; Fees</t>
  </si>
  <si>
    <t>Revolver Commitment Fees</t>
  </si>
  <si>
    <t>Senior Term Fees</t>
  </si>
  <si>
    <t>Sub. Debt Fees</t>
  </si>
  <si>
    <t>Minimum Cash Requirement</t>
  </si>
  <si>
    <t>Total Uses</t>
  </si>
  <si>
    <t>Ashland Fees</t>
  </si>
  <si>
    <t>Transaction Cap. Table</t>
  </si>
  <si>
    <t>$</t>
  </si>
  <si>
    <t>xEBITDA</t>
  </si>
  <si>
    <t>% of Cap.</t>
  </si>
  <si>
    <t>Revolver</t>
  </si>
  <si>
    <t>Senior Term</t>
  </si>
  <si>
    <t>Sub. Debt</t>
  </si>
  <si>
    <t>Total Debt</t>
  </si>
  <si>
    <t>Total Equity</t>
  </si>
  <si>
    <t>Total Capitalization</t>
  </si>
  <si>
    <t>Ashland Equity</t>
  </si>
  <si>
    <t>Goodwill Calculation</t>
  </si>
  <si>
    <t>Plus: Existing Goodwill</t>
  </si>
  <si>
    <t>Borrowing Base</t>
  </si>
  <si>
    <t>Advance</t>
  </si>
  <si>
    <t>BBC</t>
  </si>
  <si>
    <t>Borrowing Base (Rounded)</t>
  </si>
  <si>
    <t>Pricing, Fees &amp; Terms</t>
  </si>
  <si>
    <t>Active</t>
  </si>
  <si>
    <t>Case I</t>
  </si>
  <si>
    <t>Case II</t>
  </si>
  <si>
    <t>Purchase / Exit Multiples</t>
  </si>
  <si>
    <t>Exit Multiple</t>
  </si>
  <si>
    <t>Debt &amp; Equity Inputs</t>
  </si>
  <si>
    <t>Revolver Spread</t>
  </si>
  <si>
    <t>Revolver Unused Fee</t>
  </si>
  <si>
    <t>Revolver Comm. Fees</t>
  </si>
  <si>
    <t>Sub. Debt Cash</t>
  </si>
  <si>
    <t>Sub. Debt PIK</t>
  </si>
  <si>
    <t>Sub. Debt Commitment Fee</t>
  </si>
  <si>
    <t>Interest Earned</t>
  </si>
  <si>
    <t>Financing Fees Amortization</t>
  </si>
  <si>
    <t>Intangibles</t>
  </si>
  <si>
    <t>New Goodwill</t>
  </si>
  <si>
    <t>Case III</t>
  </si>
  <si>
    <t>Deal Type</t>
  </si>
  <si>
    <t>Asset</t>
  </si>
  <si>
    <t>Triggers</t>
  </si>
  <si>
    <t>Enterprise &amp; Equity Value</t>
  </si>
  <si>
    <t>EBITDA at Close</t>
  </si>
  <si>
    <t>(x) Purchase Multiple</t>
  </si>
  <si>
    <t>Initial Purchase Price</t>
  </si>
  <si>
    <t>Balance Checks</t>
  </si>
  <si>
    <t>Balance Sheet --&gt;</t>
  </si>
  <si>
    <t>Summary Credit Statistics</t>
  </si>
  <si>
    <t>Fiscal Year Periods</t>
  </si>
  <si>
    <t>Duration Since Transaction</t>
  </si>
  <si>
    <t>Credit Statistics</t>
  </si>
  <si>
    <t>Senior Debt</t>
  </si>
  <si>
    <t>Cash &amp; Equivalents</t>
  </si>
  <si>
    <t>Net Debt</t>
  </si>
  <si>
    <t>Adjusted EBITDA</t>
  </si>
  <si>
    <t>Capex</t>
  </si>
  <si>
    <t>Cash Interest Expense</t>
  </si>
  <si>
    <t>Cash Taxes</t>
  </si>
  <si>
    <t>Mandatory Amortization</t>
  </si>
  <si>
    <t>Total Debt / EBITDA</t>
  </si>
  <si>
    <t>Net Debt / EBITDA</t>
  </si>
  <si>
    <t>Cumulative Senior Debt Paid Down</t>
  </si>
  <si>
    <t>Cumulative Total Debt Paid Down</t>
  </si>
  <si>
    <t>% Senior Debt Paydown</t>
  </si>
  <si>
    <t>EBITDA / Interest Expense</t>
  </si>
  <si>
    <t>(EBITDA-Capex) / Interest Expense</t>
  </si>
  <si>
    <t>Fixed Charge Ratio</t>
  </si>
  <si>
    <t>Transaction Balance Sheet</t>
  </si>
  <si>
    <t>Adjustments</t>
  </si>
  <si>
    <t>Debits</t>
  </si>
  <si>
    <t>Credits</t>
  </si>
  <si>
    <t>Assets</t>
  </si>
  <si>
    <t>Prepaids &amp; Other</t>
  </si>
  <si>
    <t>PP&amp;E</t>
  </si>
  <si>
    <t>Goodwill</t>
  </si>
  <si>
    <t>Deferred Financing Fees</t>
  </si>
  <si>
    <t>Liabilities &amp; Stockholders' Equity</t>
  </si>
  <si>
    <t>Account Payable</t>
  </si>
  <si>
    <t>Accrued Expenses &amp; Other</t>
  </si>
  <si>
    <t>Debt Schedule</t>
  </si>
  <si>
    <t>Mezzanine Debt</t>
  </si>
  <si>
    <t>Other Liabilities</t>
  </si>
  <si>
    <t>Deferred Income Taxes</t>
  </si>
  <si>
    <t>Total Liabilities</t>
  </si>
  <si>
    <t>Stockholders' Equity</t>
  </si>
  <si>
    <t>Total Stockholders' Equity &amp; Liabilities</t>
  </si>
  <si>
    <t>check</t>
  </si>
  <si>
    <t>Term Loan</t>
  </si>
  <si>
    <t>Term Loan Spread</t>
  </si>
  <si>
    <t>Term Loan Commitment Fee</t>
  </si>
  <si>
    <t>Term Loan Term</t>
  </si>
  <si>
    <t>Historical &amp; Projected Income Statement</t>
  </si>
  <si>
    <t>CAGR</t>
  </si>
  <si>
    <t>Depreciation on Stepped-Up Fixed Assets</t>
  </si>
  <si>
    <t>EBIT</t>
  </si>
  <si>
    <t>Interest (Income)</t>
  </si>
  <si>
    <t>Pre-Tax Income</t>
  </si>
  <si>
    <t>Current Taxes</t>
  </si>
  <si>
    <t>Deferred Taxes</t>
  </si>
  <si>
    <t>Net Income</t>
  </si>
  <si>
    <t>Amortization of Intangibles</t>
  </si>
  <si>
    <t>Growth Rates and Margin</t>
  </si>
  <si>
    <t>Revenue Growth Rate</t>
  </si>
  <si>
    <t>COGS Margin</t>
  </si>
  <si>
    <t>EBIT Margin</t>
  </si>
  <si>
    <t>Depreciation (% Revenue)</t>
  </si>
  <si>
    <t>Amortization of Intangibles (% Revenue)</t>
  </si>
  <si>
    <t>Tax Rate</t>
  </si>
  <si>
    <t>Net Income (% Revenue)</t>
  </si>
  <si>
    <t>Selling, General &amp; Administrative</t>
  </si>
  <si>
    <t>Selling, General &amp; Administrative (% Revenue)</t>
  </si>
  <si>
    <t>Historical &amp; Projected Balance Sheet</t>
  </si>
  <si>
    <t>Capitalized Financing Fees</t>
  </si>
  <si>
    <t>Balance Sheet Drivers</t>
  </si>
  <si>
    <t>Net Working Capital</t>
  </si>
  <si>
    <t>Net Working Capital (% Revenue)</t>
  </si>
  <si>
    <t>Days Receivable (per Revenue)</t>
  </si>
  <si>
    <t>Inventory Turns (COGS / EOP Inventory)</t>
  </si>
  <si>
    <t>Days Payable (per COGS)</t>
  </si>
  <si>
    <t>Accrued Expenses (as % of Revenue)</t>
  </si>
  <si>
    <t>Days/Year</t>
  </si>
  <si>
    <t>Prepaids &amp; Other (as % of Revenue)</t>
  </si>
  <si>
    <t>Historical &amp; Projected Statement of Cash Flows</t>
  </si>
  <si>
    <t>Cash Flows from Operating Activities</t>
  </si>
  <si>
    <t>PIK Accrual on Mezzanine Debt</t>
  </si>
  <si>
    <t>Amortization of Deferred Financing Fees</t>
  </si>
  <si>
    <t>FFO</t>
  </si>
  <si>
    <t>Cash Flows from Working Capital</t>
  </si>
  <si>
    <t>Net Cash Flows from Working Capital</t>
  </si>
  <si>
    <t>Cash Flow from Operations</t>
  </si>
  <si>
    <t>Cash Flow from Investing Activities</t>
  </si>
  <si>
    <t>Capital Expenditures</t>
  </si>
  <si>
    <t>Purchase of Intangibles</t>
  </si>
  <si>
    <t>Net Cash Flows from Investing Activities</t>
  </si>
  <si>
    <t>Cash Flow Available to Service Debt</t>
  </si>
  <si>
    <t>Cash Flows from Financing Activities</t>
  </si>
  <si>
    <t>Mandatory Debt Repayments</t>
  </si>
  <si>
    <t>Debt Borrowings / (Repayments)</t>
  </si>
  <si>
    <t>Net Cash Flows from Financing Activities</t>
  </si>
  <si>
    <t>Beginning Cash Balance</t>
  </si>
  <si>
    <t>Change in Cash Position</t>
  </si>
  <si>
    <t>Ending Cash Balance</t>
  </si>
  <si>
    <t>Beginning Balance</t>
  </si>
  <si>
    <t>Minimum Cash Balance</t>
  </si>
  <si>
    <t>Mandatory Repayments</t>
  </si>
  <si>
    <t>Additional Borrowings</t>
  </si>
  <si>
    <t>Cash Available to Service Debt</t>
  </si>
  <si>
    <t>Optional Repayments</t>
  </si>
  <si>
    <t>Sweep</t>
  </si>
  <si>
    <t>Ending Balance</t>
  </si>
  <si>
    <t>Average Balance</t>
  </si>
  <si>
    <t>Average Interest?</t>
  </si>
  <si>
    <t>Addl' Borrowings/(Repay)</t>
  </si>
  <si>
    <t>Amortization Per Year</t>
  </si>
  <si>
    <t>Optional Repayments?</t>
  </si>
  <si>
    <t>Amortize?</t>
  </si>
  <si>
    <t>PIK Accrual</t>
  </si>
  <si>
    <t>Cash Available post Term Loan to service Mezzanine Debt</t>
  </si>
  <si>
    <t>Interest Schedule</t>
  </si>
  <si>
    <t>Spreads Over LIBOR</t>
  </si>
  <si>
    <t>Interest Rates</t>
  </si>
  <si>
    <t>Mezzanine Debt (Cash Portion)</t>
  </si>
  <si>
    <t>Mezzanine Debt (PIK Portion)</t>
  </si>
  <si>
    <t>Interest Expenses</t>
  </si>
  <si>
    <t>Interest Income</t>
  </si>
  <si>
    <t>Average Cash Balance</t>
  </si>
  <si>
    <t>Interest Rate on Cash</t>
  </si>
  <si>
    <t>Shareholders' Equity and PP&amp;E Schedule</t>
  </si>
  <si>
    <t>Shareholders' Equity Schedule</t>
  </si>
  <si>
    <t>PP&amp;E Schedule</t>
  </si>
  <si>
    <t>Less: Depreciation</t>
  </si>
  <si>
    <t>Plus: Capex</t>
  </si>
  <si>
    <t>Mid Year Convention?</t>
  </si>
  <si>
    <t>Yes</t>
  </si>
  <si>
    <t>Depreciation from Existing PP&amp;E</t>
  </si>
  <si>
    <t>Begin. Balance ---&gt;</t>
  </si>
  <si>
    <t>Years --&gt;</t>
  </si>
  <si>
    <t>Year</t>
  </si>
  <si>
    <t>CapEx</t>
  </si>
  <si>
    <t>Total Depreciation from Existing PP&amp;E and CapEx</t>
  </si>
  <si>
    <t>Book</t>
  </si>
  <si>
    <t>Tax</t>
  </si>
  <si>
    <t>Goodwill Amortization</t>
  </si>
  <si>
    <t>Incremental Depr. from Write-up to FMV</t>
  </si>
  <si>
    <t>Incremental Amort. from Write-up to FMV</t>
  </si>
  <si>
    <t>Begin. Balance</t>
  </si>
  <si>
    <t>Depreciation &amp; Amortization Schedule</t>
  </si>
  <si>
    <t>Tax Schedule</t>
  </si>
  <si>
    <t>Cash Income Tax Schedule</t>
  </si>
  <si>
    <t>Book Pre-Tax Income</t>
  </si>
  <si>
    <t>Adjusted Taxable Income</t>
  </si>
  <si>
    <t>Net Adjusted Taxable Income</t>
  </si>
  <si>
    <t>Cash Tax Provision</t>
  </si>
  <si>
    <t>Cash Tax NOL Calculation</t>
  </si>
  <si>
    <t>Beginning of Period NOL Carryforward</t>
  </si>
  <si>
    <t>Additions</t>
  </si>
  <si>
    <t>Subtractions</t>
  </si>
  <si>
    <t>End of Period NOL Carryforward</t>
  </si>
  <si>
    <t>Drivers</t>
  </si>
  <si>
    <t>Revenue Growth</t>
  </si>
  <si>
    <t>Base Case</t>
  </si>
  <si>
    <t>COGS (% of Revenue)</t>
  </si>
  <si>
    <t>Capex (% of Rev.)</t>
  </si>
  <si>
    <t>SG&amp;A (% of Rev.)</t>
  </si>
  <si>
    <t>Prepaid Expenses &amp; Other</t>
  </si>
  <si>
    <t>Adjusted</t>
  </si>
  <si>
    <t>*Expensed at Closing</t>
  </si>
  <si>
    <t>Less: Existing Book Value</t>
  </si>
  <si>
    <t>Total Allocable Purchase Price</t>
  </si>
  <si>
    <t>Less: Write-up of PP&amp;E</t>
  </si>
  <si>
    <t>Allocation</t>
  </si>
  <si>
    <t>Less: Amortization</t>
  </si>
  <si>
    <t>LIBOR Floor</t>
  </si>
  <si>
    <t>Revolver Commitment</t>
  </si>
  <si>
    <t>Amortization of Disc. On Term Loan A</t>
  </si>
  <si>
    <t>Amortization of Disc. On Term Loan</t>
  </si>
  <si>
    <t>Less: Tax Amortization</t>
  </si>
  <si>
    <t>Plus: Book Amortization</t>
  </si>
  <si>
    <t>Plus:  Book Depreciation</t>
  </si>
  <si>
    <t>Estimated Statutory Tax Rate</t>
  </si>
  <si>
    <t>Book Tax Expense / (Benefit)</t>
  </si>
  <si>
    <t>Cash Tax Calculation</t>
  </si>
  <si>
    <t>Taxable Income</t>
  </si>
  <si>
    <t>Application of NOL</t>
  </si>
  <si>
    <t>Dividends and Distributions</t>
  </si>
  <si>
    <t>Tax Distributions</t>
  </si>
  <si>
    <t>Dividends / Special Distributions</t>
  </si>
  <si>
    <t>Beginning Taxes Due</t>
  </si>
  <si>
    <t>Additional Taxes Due</t>
  </si>
  <si>
    <t>Tax Payments/Distributions</t>
  </si>
  <si>
    <t>Ending Income Taxes Payable</t>
  </si>
  <si>
    <t>Flow-Thru</t>
  </si>
  <si>
    <t>Entity Type</t>
  </si>
  <si>
    <t>Lists</t>
  </si>
  <si>
    <t>Stock</t>
  </si>
  <si>
    <t>C-Corp</t>
  </si>
  <si>
    <t xml:space="preserve">Cash Available post Revolver to service Term Loan (in excess of required amortization) </t>
  </si>
  <si>
    <t>Cash Available to Pay Dividends / Special Distributions</t>
  </si>
  <si>
    <t>Payout Percentage</t>
  </si>
  <si>
    <t>Less: Tax Depreciation</t>
  </si>
  <si>
    <t>Table B1 - Page 105</t>
  </si>
  <si>
    <r>
      <t>MACRS Schedules (</t>
    </r>
    <r>
      <rPr>
        <b/>
        <i/>
        <sz val="10"/>
        <color theme="1"/>
        <rFont val="Book Antiqua"/>
        <family val="1"/>
      </rPr>
      <t>Half-year Convention</t>
    </r>
    <r>
      <rPr>
        <b/>
        <sz val="10"/>
        <color theme="1"/>
        <rFont val="Book Antiqua"/>
        <family val="1"/>
      </rPr>
      <t>)</t>
    </r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</si>
  <si>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</si>
  <si>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</si>
  <si>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</si>
  <si>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</si>
  <si>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</si>
  <si>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</si>
  <si>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</si>
  <si>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</si>
  <si>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</si>
  <si>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</si>
  <si>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</si>
  <si>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</si>
  <si>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</si>
  <si>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</si>
  <si>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</si>
  <si>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</si>
  <si>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</si>
  <si>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</si>
  <si>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</si>
  <si>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</si>
  <si>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</si>
  <si>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</si>
  <si>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</si>
  <si>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</si>
  <si>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</si>
  <si>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</si>
  <si>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</si>
  <si>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</si>
  <si>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</si>
  <si>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</si>
  <si>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</si>
  <si>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</si>
  <si>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</si>
  <si>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</si>
  <si>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</si>
  <si>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</si>
  <si>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</si>
  <si>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</si>
  <si>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Returns Analysis</t>
  </si>
  <si>
    <t>Implied Enterprise Value</t>
  </si>
  <si>
    <t>Less: Debt</t>
  </si>
  <si>
    <t>Plus: Cash &amp; Equivalents</t>
  </si>
  <si>
    <t>Carried Interest</t>
  </si>
  <si>
    <t>Other Distributions</t>
  </si>
  <si>
    <t>Cash Equity</t>
  </si>
  <si>
    <t>Terminal Value</t>
  </si>
  <si>
    <t>Investor Economics - To Ashland (GP)</t>
  </si>
  <si>
    <t>Carry Factor</t>
  </si>
  <si>
    <t>Required Return</t>
  </si>
  <si>
    <t>Cumulative LP Cashflow</t>
  </si>
  <si>
    <t>Carry Value</t>
  </si>
  <si>
    <t>Ashland Transaction Fees*</t>
  </si>
  <si>
    <t>Transaction Fees</t>
  </si>
  <si>
    <t>Income Statement Summary</t>
  </si>
  <si>
    <t>Historical Fiscal Year Ending</t>
  </si>
  <si>
    <t>Estimated</t>
  </si>
  <si>
    <t>CAGRs</t>
  </si>
  <si>
    <t>Growth Rate %</t>
  </si>
  <si>
    <t>Gross Margin %</t>
  </si>
  <si>
    <t>% of Revenue</t>
  </si>
  <si>
    <t>EBITDA Margin %</t>
  </si>
  <si>
    <t>Income Statement Output</t>
  </si>
  <si>
    <t>SG&amp;A</t>
  </si>
  <si>
    <t>Sources &amp; Uses</t>
  </si>
  <si>
    <t>Sources</t>
  </si>
  <si>
    <t>Uses</t>
  </si>
  <si>
    <t>Purchase Price</t>
  </si>
  <si>
    <t>Total Sources</t>
  </si>
  <si>
    <t>Initial Balance</t>
  </si>
  <si>
    <t>Dollar Amount</t>
  </si>
  <si>
    <t>Spread</t>
  </si>
  <si>
    <t>Maturity</t>
  </si>
  <si>
    <t>Multiple of</t>
  </si>
  <si>
    <t>Implied Equity Value</t>
  </si>
  <si>
    <t>Circ Breaker ----------------------&gt;</t>
  </si>
  <si>
    <t>Total LP Cashflow</t>
  </si>
  <si>
    <t>LP Cashflow before tax distributions</t>
  </si>
  <si>
    <t>Total GP Cashflow</t>
  </si>
  <si>
    <t>GP Cashflow before tax distributions</t>
  </si>
  <si>
    <t>Equity</t>
  </si>
  <si>
    <t>w/o Management Fee &amp; Carry</t>
  </si>
  <si>
    <t>IRR to GP</t>
  </si>
  <si>
    <t>Return on Money</t>
  </si>
  <si>
    <t>with Carry</t>
  </si>
  <si>
    <t>IRR to LP</t>
  </si>
  <si>
    <t>Carry</t>
  </si>
  <si>
    <t>GP Returns</t>
  </si>
  <si>
    <t>LP Returns</t>
  </si>
  <si>
    <t xml:space="preserve">Investor Economics </t>
  </si>
  <si>
    <t>Investor Economics - To Ashland (LP) w/ Distributions</t>
  </si>
  <si>
    <t>Inventory</t>
  </si>
  <si>
    <t>Deferred Income Tax</t>
  </si>
  <si>
    <t>Total Revenue</t>
  </si>
  <si>
    <t>Inventory Days (per COGS)</t>
  </si>
  <si>
    <t>Revolver Availability</t>
  </si>
  <si>
    <t>Availability Check</t>
  </si>
  <si>
    <t>Transaction</t>
  </si>
  <si>
    <t>$ in thousands</t>
  </si>
  <si>
    <t>FYE</t>
  </si>
  <si>
    <t>FY 2020E EBITDA</t>
  </si>
  <si>
    <t>x Exit Multiple</t>
  </si>
  <si>
    <t>Less: Total Debt</t>
  </si>
  <si>
    <t>Plus: Cash</t>
  </si>
  <si>
    <t>Initial Investment</t>
  </si>
  <si>
    <t>Internal Rate of Return (IRR)</t>
  </si>
  <si>
    <t>Cash-on-Cash Return</t>
  </si>
  <si>
    <t>Historical Year Ending 12/31</t>
  </si>
  <si>
    <t>Lender Equity</t>
  </si>
  <si>
    <t>Mgmt. Fee</t>
  </si>
  <si>
    <t>Less: Existing Debt</t>
  </si>
  <si>
    <t>Plus: Existing Cash</t>
  </si>
  <si>
    <t>Equity Value at Exit</t>
  </si>
  <si>
    <t>Returns to LP</t>
  </si>
  <si>
    <t>Sub Debt</t>
  </si>
  <si>
    <t>'16-'21</t>
  </si>
  <si>
    <t>Investor Economics (after fees and carry)</t>
  </si>
  <si>
    <t>Cash Consideration</t>
  </si>
  <si>
    <t>Total Transaction Expenses</t>
  </si>
  <si>
    <t>% Margin</t>
  </si>
  <si>
    <t>Mgmt Equity</t>
  </si>
  <si>
    <t>Mgmt Equity %</t>
  </si>
  <si>
    <t>Price/Financing Case</t>
  </si>
  <si>
    <t>Operating Case</t>
  </si>
  <si>
    <t>Ashland Entry Fees*</t>
  </si>
  <si>
    <t>at Close</t>
  </si>
  <si>
    <t>Amort Schedule</t>
  </si>
  <si>
    <t>Amortization Case</t>
  </si>
  <si>
    <t>Amortization Schedule</t>
  </si>
  <si>
    <t>Projected</t>
  </si>
  <si>
    <t>Blended Interest Rate</t>
  </si>
  <si>
    <t>Growth</t>
  </si>
  <si>
    <t>Cash Available post Mezzanine Debt to service Preferred Equity</t>
  </si>
  <si>
    <t>Preferred Equity</t>
  </si>
  <si>
    <t>Preferred</t>
  </si>
  <si>
    <t>Preferred Cash</t>
  </si>
  <si>
    <t>Preferred PIK</t>
  </si>
  <si>
    <t>Preferred (PIK Portion)</t>
  </si>
  <si>
    <t>Preferred (Cash Portion)</t>
  </si>
  <si>
    <t>Preferred Distribution</t>
  </si>
  <si>
    <t>Tax Distribution, Dividends &amp; Preferred</t>
  </si>
  <si>
    <t>Commitment Fee</t>
  </si>
  <si>
    <t>Less: Preferred</t>
  </si>
  <si>
    <t>Less: Preferred Equity</t>
  </si>
  <si>
    <t>Total Equity for Tax</t>
  </si>
  <si>
    <t>Lender Preferred</t>
  </si>
  <si>
    <t>Total Deductible Interest Expense</t>
  </si>
  <si>
    <t>No Growth</t>
  </si>
  <si>
    <t>Pro Forma EBITDA</t>
  </si>
  <si>
    <t>Balance Sheet Summary</t>
  </si>
  <si>
    <t>Prepaid Expenses</t>
  </si>
  <si>
    <t>Accrued Expenses</t>
  </si>
  <si>
    <t>Total Liabilities &amp; Shareholders' Equity</t>
  </si>
  <si>
    <t>TTM July</t>
  </si>
  <si>
    <t>2016E</t>
  </si>
  <si>
    <t>Officers’ Salary &amp; Bonuses</t>
  </si>
  <si>
    <t>General Manager</t>
  </si>
  <si>
    <t>Replacement Compensation:</t>
  </si>
  <si>
    <t>Employee Compensation Adjustment</t>
  </si>
  <si>
    <t>Total Employee Comp Adjustment</t>
  </si>
  <si>
    <t>Machine Programmer</t>
  </si>
  <si>
    <t>Quality Manager</t>
  </si>
  <si>
    <t>Deburr Operator</t>
  </si>
  <si>
    <t>Outside Sales Manager</t>
  </si>
  <si>
    <t>Machinist</t>
  </si>
  <si>
    <t>Quality Engineer</t>
  </si>
  <si>
    <t>Contracts Administrator</t>
  </si>
  <si>
    <t>Sheet Metal Mechanic</t>
  </si>
  <si>
    <t>Quality Inspector</t>
  </si>
  <si>
    <t>Machinist Apprentice</t>
  </si>
  <si>
    <t>McCreary, Wayne T</t>
  </si>
  <si>
    <t>Name</t>
  </si>
  <si>
    <t xml:space="preserve">Nguyen, Cuong </t>
  </si>
  <si>
    <t xml:space="preserve">Balistreri, Joseph </t>
  </si>
  <si>
    <t xml:space="preserve">De La Cerda, Pedro </t>
  </si>
  <si>
    <t xml:space="preserve">Feldstein, Tammy </t>
  </si>
  <si>
    <t xml:space="preserve">Beaucham, James </t>
  </si>
  <si>
    <t xml:space="preserve">Esquivel, Adrian </t>
  </si>
  <si>
    <t xml:space="preserve">Robinson, John </t>
  </si>
  <si>
    <t xml:space="preserve">Fajardo, Eduardo </t>
  </si>
  <si>
    <t xml:space="preserve">Esquivel, Arturo </t>
  </si>
  <si>
    <t xml:space="preserve">Watkins, David </t>
  </si>
  <si>
    <t xml:space="preserve">Holmquist, Robert </t>
  </si>
  <si>
    <t xml:space="preserve">Donaldson, Zachary </t>
  </si>
  <si>
    <t xml:space="preserve">Ayala, Joe </t>
  </si>
  <si>
    <t>Warehouse Specialist</t>
  </si>
  <si>
    <t xml:space="preserve">Almanza, Felix </t>
  </si>
  <si>
    <t>OSV Specialist</t>
  </si>
  <si>
    <t xml:space="preserve">Mendoza, Leonel </t>
  </si>
  <si>
    <t xml:space="preserve">Romero, Paulino </t>
  </si>
  <si>
    <t xml:space="preserve">Jackson, Sydnie </t>
  </si>
  <si>
    <t>Clerk</t>
  </si>
  <si>
    <t>Nathan &amp; Kelli</t>
  </si>
  <si>
    <t xml:space="preserve">Non Recurring </t>
  </si>
  <si>
    <t>10 Year</t>
  </si>
  <si>
    <t>12% Cash</t>
  </si>
  <si>
    <t>7 Year - Progressive</t>
  </si>
  <si>
    <t>12.5 Year</t>
  </si>
  <si>
    <t>Stonehendge Equity Ownership</t>
  </si>
  <si>
    <t>Stonehenge Equity</t>
  </si>
  <si>
    <t>Gamma Engineering</t>
  </si>
  <si>
    <t>Pre Transaction</t>
  </si>
  <si>
    <t>Balance Sheet</t>
  </si>
  <si>
    <t>Sponsor Management &amp; Board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</si>
</sst>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;#,##0.0_);@_)"/>
    <numFmt numFmtId="165" formatCode="yyyy&quot;A&quot;"/>
    <numFmt numFmtId="166" formatCode="yyyy&quot;E&quot;"/>
    <numFmt numFmtId="167" formatCode="_(* #,##0_);_(* \(#,##0\);_(* &quot;-&quot;??_);_(@_)"/>
    <numFmt numFmtId="168" formatCode="_(&quot;$&quot;* #,##0_);_(&quot;$&quot;* \(#,##0\);_(&quot;$&quot;* &quot;-&quot;??_);_(@_)"/>
    <numFmt numFmtId="169" formatCode="0.0"/>
    <numFmt numFmtId="170" formatCode="0.0%"/>
    <numFmt numFmtId="171" formatCode="0.0%_);\(0.0%\)"/>
    <numFmt numFmtId="172" formatCode="#,##0.0_);\(#,##0.0\)"/>
    <numFmt numFmtId="173" formatCode="0.0\x_);\(0.0\x\)"/>
    <numFmt numFmtId="174" formatCode="0.00\x_);\(0.00\x\)"/>
    <numFmt numFmtId="175" formatCode="0.00%_);\(0.00%\)"/>
    <numFmt numFmtId="176" formatCode="0.0\ &quot;Years&quot;"/>
    <numFmt numFmtId="177" formatCode="0&quot;A&quot;"/>
    <numFmt numFmtId="178" formatCode="0&quot;PF&quot;"/>
    <numFmt numFmtId="179" formatCode="0&quot;E&quot;"/>
    <numFmt numFmtId="180" formatCode="0.0%;\(0.0%\)"/>
    <numFmt numFmtId="181" formatCode="_(* #,##0.0_);_(* \(#,##0.0\);_(* &quot;-&quot;?_);_(@_)"/>
    <numFmt numFmtId="182" formatCode="0.0%_);\(0.0%\);0.0%_);@_)"/>
    <numFmt numFmtId="183" formatCode="0.0\x;\(0.0\x\)"/>
    <numFmt numFmtId="184" formatCode="&quot;Yes&quot;;&quot;No&quot;;&quot;No&quot;;&quot;No&quot;"/>
    <numFmt numFmtId="185" formatCode="0.00%;\(0.00%\)"/>
    <numFmt numFmtId="186" formatCode="_(&quot;$&quot;* #,##0.0_);_(&quot;$&quot;* \(#,##0.0\);_(&quot;$&quot;* &quot;-&quot;?_);_(@_)"/>
    <numFmt numFmtId="187" formatCode="mm/yyyy"/>
    <numFmt numFmtId="188" formatCode="_(* #,##0_);_(* \(#,##0\);_(* &quot;-&quot;?_);_(@_)"/>
    <numFmt numFmtId="189" formatCode="#,##0_);\(#,##0\);#,##0_);@_)"/>
    <numFmt numFmtId="190" formatCode="yyyy&quot;PF&quot;"/>
    <numFmt numFmtId="191" formatCode="0.0\x_);\(0.0\x\);0.0\x_);@_)"/>
    <numFmt numFmtId="192" formatCode="##&quot; Year Property&quot;"/>
    <numFmt numFmtId="193" formatCode="##&quot; Year&quot;"/>
    <numFmt numFmtId="194" formatCode="0.00\x_);\(0.00\x\);0.00\x_);@_)"/>
    <numFmt numFmtId="195" formatCode="0.0\x"/>
    <numFmt numFmtId="196" formatCode="mmm\.\ yyyy"/>
    <numFmt numFmtId="197" formatCode="_(* #,##0.000_);_(* \(#,##0.000\);_(* &quot;-&quot;??_);_(@_)"/>
    <numFmt numFmtId="198" formatCode="_(* #,##0,_);_(* \(#,##0,\);_(* &quot;-&quot;_)"/>
    <numFmt numFmtId="199" formatCode="_(&quot;$&quot;* #,##0.000_);_(&quot;$&quot;* \(#,##0.000\);_(&quot;$&quot;* &quot;-&quot;??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ook Antiqua"/>
      <family val="1"/>
    </font>
    <font>
      <sz val="10"/>
      <name val="Book Antiqua"/>
      <family val="1"/>
    </font>
    <font>
      <b/>
      <sz val="36"/>
      <color indexed="8"/>
      <name val="Book Antiqua"/>
      <family val="1"/>
    </font>
    <font>
      <b/>
      <sz val="18"/>
      <name val="Book Antiqua"/>
      <family val="1"/>
    </font>
    <font>
      <sz val="16"/>
      <name val="Book Antiqua"/>
      <family val="1"/>
    </font>
    <font>
      <b/>
      <sz val="16"/>
      <name val="Book Antiqua"/>
      <family val="1"/>
    </font>
    <font>
      <b/>
      <sz val="10"/>
      <name val="Book Antiqua"/>
      <family val="1"/>
    </font>
    <font>
      <sz val="11"/>
      <color theme="1"/>
      <name val="Book Antiqua"/>
      <family val="1"/>
    </font>
    <font>
      <b/>
      <sz val="16"/>
      <color theme="1"/>
      <name val="Book Antiqua"/>
      <family val="1"/>
    </font>
    <font>
      <b/>
      <sz val="10"/>
      <color theme="0"/>
      <name val="Book Antiqua"/>
      <family val="1"/>
    </font>
    <font>
      <i/>
      <sz val="10"/>
      <color rgb="FFFF0000"/>
      <name val="Book Antiqua"/>
      <family val="1"/>
    </font>
    <font>
      <i/>
      <sz val="10"/>
      <color theme="1"/>
      <name val="Book Antiqua"/>
      <family val="1"/>
    </font>
    <font>
      <b/>
      <sz val="10"/>
      <color rgb="FF0000FF"/>
      <name val="Book Antiqua"/>
      <family val="1"/>
    </font>
    <font>
      <b/>
      <sz val="10"/>
      <color theme="1"/>
      <name val="Book Antiqua"/>
      <family val="1"/>
    </font>
    <font>
      <i/>
      <u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rgb="FF0000FF"/>
      <name val="Book Antiqua"/>
      <family val="1"/>
    </font>
    <font>
      <sz val="10"/>
      <color rgb="FF00B050"/>
      <name val="Book Antiqua"/>
      <family val="1"/>
    </font>
    <font>
      <b/>
      <u/>
      <sz val="10"/>
      <color theme="1"/>
      <name val="Book Antiqua"/>
      <family val="1"/>
    </font>
    <font>
      <b/>
      <sz val="10"/>
      <color rgb="FF00B050"/>
      <name val="Book Antiqua"/>
      <family val="1"/>
    </font>
    <font>
      <b/>
      <sz val="10"/>
      <color rgb="FFFF0000"/>
      <name val="Book Antiqua"/>
      <family val="1"/>
    </font>
    <font>
      <b/>
      <i/>
      <sz val="10"/>
      <color theme="1"/>
      <name val="Book Antiqua"/>
      <family val="1"/>
    </font>
    <font>
      <sz val="10"/>
      <color theme="0"/>
      <name val="Book Antiqua"/>
      <family val="1"/>
    </font>
    <font>
      <sz val="10"/>
      <name val="Wingdings"/>
      <charset val="2"/>
    </font>
    <font>
      <u/>
      <sz val="10"/>
      <color theme="1"/>
      <name val="Book Antiqua"/>
      <family val="1"/>
    </font>
    <font>
      <sz val="10"/>
      <color rgb="FFFF0000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9"/>
      <name val="Book Antiqua"/>
      <family val="1"/>
    </font>
    <font>
      <b/>
      <sz val="10"/>
      <color indexed="8"/>
      <name val="Book Antiqua"/>
      <family val="1"/>
    </font>
    <font>
      <i/>
      <sz val="10"/>
      <color indexed="10"/>
      <name val="Book Antiqua"/>
      <family val="1"/>
    </font>
    <font>
      <i/>
      <sz val="10"/>
      <color indexed="12"/>
      <name val="Book Antiqua"/>
      <family val="1"/>
    </font>
    <font>
      <sz val="10"/>
      <color indexed="18"/>
      <name val="Frutiger 45 Light"/>
      <family val="2"/>
    </font>
    <font>
      <sz val="10"/>
      <color indexed="18"/>
      <name val="Book Antiqua"/>
      <family val="1"/>
    </font>
    <font>
      <sz val="10"/>
      <color indexed="58"/>
      <name val="Book Antiqua"/>
      <family val="1"/>
    </font>
    <font>
      <sz val="10"/>
      <color indexed="10"/>
      <name val="Book Antiqua"/>
      <family val="1"/>
    </font>
    <font>
      <sz val="10"/>
      <color indexed="12"/>
      <name val="Book Antiqua"/>
      <family val="1"/>
    </font>
    <font>
      <b/>
      <i/>
      <sz val="10"/>
      <name val="Book Antiqua"/>
      <family val="1"/>
    </font>
    <font>
      <b/>
      <sz val="10"/>
      <color indexed="18"/>
      <name val="Book Antiqua"/>
      <family val="1"/>
    </font>
    <font>
      <u/>
      <sz val="11"/>
      <color theme="10"/>
      <name val="Calibri"/>
      <family val="2"/>
      <scheme val="minor"/>
    </font>
    <font>
      <sz val="10"/>
      <color theme="1"/>
      <name val="Constantia"/>
      <family val="1"/>
    </font>
    <font>
      <u/>
      <sz val="10"/>
      <color theme="10"/>
      <name val="Book Antiqua"/>
      <family val="1"/>
    </font>
    <font>
      <sz val="10"/>
      <color rgb="FF0070C0"/>
      <name val="Constantia"/>
      <family val="1"/>
    </font>
    <font>
      <i/>
      <sz val="10"/>
      <name val="Book Antiqua"/>
      <family val="1"/>
    </font>
    <font>
      <b/>
      <i/>
      <u/>
      <sz val="10"/>
      <color theme="1"/>
      <name val="Book Antiqua"/>
      <family val="1"/>
    </font>
    <font>
      <b/>
      <sz val="7"/>
      <name val="Arial"/>
      <family val="2"/>
    </font>
    <font>
      <sz val="11"/>
      <color rgb="FF00B050"/>
      <name val="Book Antiqua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i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6F0FF"/>
        <bgColor indexed="64"/>
      </patternFill>
    </fill>
    <fill>
      <patternFill patternType="solid">
        <fgColor rgb="FF28343C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medium">
        <color auto="1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indexed="28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42" fillId="0" borderId="0" applyNumberFormat="0" applyFill="0" applyBorder="0" applyAlignment="0" applyProtection="0"/>
    <xf numFmtId="0" fontId="48" fillId="0" borderId="17" applyNumberFormat="0" applyFont="0" applyFill="0" applyAlignment="0" applyProtection="0">
      <alignment horizontal="centerContinuous"/>
    </xf>
  </cellStyleXfs>
  <cellXfs count="535">
    <xf numFmtId="0" fontId="0" fillId="0" borderId="0" xfId="0"/>
    <xf numFmtId="0" fontId="3" fillId="0" borderId="0" xfId="3" applyFont="1"/>
    <xf numFmtId="0" fontId="4" fillId="0" borderId="0" xfId="3" applyFont="1"/>
    <xf numFmtId="0" fontId="5" fillId="0" borderId="0" xfId="3" applyFont="1" applyFill="1" applyAlignment="1">
      <alignment horizontal="centerContinuous"/>
    </xf>
    <xf numFmtId="0" fontId="6" fillId="0" borderId="0" xfId="3" applyFont="1" applyAlignment="1">
      <alignment horizontal="centerContinuous"/>
    </xf>
    <xf numFmtId="0" fontId="7" fillId="0" borderId="0" xfId="3" applyFont="1" applyAlignment="1">
      <alignment horizontal="centerContinuous"/>
    </xf>
    <xf numFmtId="14" fontId="6" fillId="0" borderId="0" xfId="3" applyNumberFormat="1" applyFont="1" applyAlignment="1">
      <alignment horizontal="centerContinuous"/>
    </xf>
    <xf numFmtId="0" fontId="4" fillId="0" borderId="0" xfId="3" applyFont="1" applyAlignment="1">
      <alignment horizontal="centerContinuous"/>
    </xf>
    <xf numFmtId="0" fontId="8" fillId="0" borderId="0" xfId="3" applyFont="1" applyAlignment="1">
      <alignment horizontal="centerContinuous"/>
    </xf>
    <xf numFmtId="0" fontId="4" fillId="0" borderId="0" xfId="3" applyFont="1" applyBorder="1"/>
    <xf numFmtId="0" fontId="9" fillId="0" borderId="0" xfId="3" applyFont="1" applyBorder="1" applyAlignment="1">
      <alignment horizontal="center"/>
    </xf>
    <xf numFmtId="164" fontId="4" fillId="0" borderId="0" xfId="3" applyNumberFormat="1" applyFont="1" applyBorder="1"/>
    <xf numFmtId="0" fontId="9" fillId="0" borderId="0" xfId="3" applyFont="1" applyBorder="1"/>
    <xf numFmtId="0" fontId="4" fillId="0" borderId="0" xfId="3" applyFont="1" applyFill="1" applyBorder="1"/>
    <xf numFmtId="0" fontId="4" fillId="0" borderId="0" xfId="3" applyFont="1" applyFill="1"/>
    <xf numFmtId="0" fontId="10" fillId="0" borderId="0" xfId="0" applyFont="1"/>
    <xf numFmtId="0" fontId="10" fillId="0" borderId="1" xfId="0" applyFont="1" applyBorder="1"/>
    <xf numFmtId="0" fontId="11" fillId="0" borderId="1" xfId="0" applyFont="1" applyBorder="1"/>
    <xf numFmtId="0" fontId="13" fillId="0" borderId="0" xfId="0" applyFont="1"/>
    <xf numFmtId="0" fontId="12" fillId="2" borderId="0" xfId="0" applyFont="1" applyFill="1" applyAlignment="1">
      <alignment horizontal="centerContinuous"/>
    </xf>
    <xf numFmtId="0" fontId="14" fillId="0" borderId="0" xfId="0" applyFont="1"/>
    <xf numFmtId="165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7" fillId="0" borderId="0" xfId="0" applyFont="1"/>
    <xf numFmtId="41" fontId="18" fillId="0" borderId="0" xfId="0" applyNumberFormat="1" applyFont="1"/>
    <xf numFmtId="0" fontId="18" fillId="0" borderId="0" xfId="0" applyFont="1"/>
    <xf numFmtId="167" fontId="19" fillId="0" borderId="0" xfId="0" applyNumberFormat="1" applyFont="1"/>
    <xf numFmtId="168" fontId="19" fillId="0" borderId="0" xfId="0" applyNumberFormat="1" applyFont="1"/>
    <xf numFmtId="49" fontId="18" fillId="0" borderId="0" xfId="0" applyNumberFormat="1" applyFont="1"/>
    <xf numFmtId="41" fontId="18" fillId="0" borderId="2" xfId="0" applyNumberFormat="1" applyFont="1" applyBorder="1"/>
    <xf numFmtId="41" fontId="18" fillId="0" borderId="0" xfId="0" applyNumberFormat="1" applyFont="1" applyBorder="1"/>
    <xf numFmtId="167" fontId="19" fillId="0" borderId="3" xfId="0" applyNumberFormat="1" applyFont="1" applyBorder="1"/>
    <xf numFmtId="0" fontId="16" fillId="0" borderId="4" xfId="0" applyFont="1" applyBorder="1"/>
    <xf numFmtId="41" fontId="16" fillId="0" borderId="4" xfId="0" applyNumberFormat="1" applyFont="1" applyBorder="1"/>
    <xf numFmtId="41" fontId="19" fillId="0" borderId="0" xfId="0" applyNumberFormat="1" applyFont="1"/>
    <xf numFmtId="168" fontId="16" fillId="0" borderId="4" xfId="1" applyNumberFormat="1" applyFont="1" applyBorder="1"/>
    <xf numFmtId="0" fontId="13" fillId="0" borderId="0" xfId="0" applyFont="1" applyAlignment="1">
      <alignment horizontal="left" indent="1"/>
    </xf>
    <xf numFmtId="41" fontId="13" fillId="0" borderId="0" xfId="0" applyNumberFormat="1" applyFont="1"/>
    <xf numFmtId="41" fontId="20" fillId="0" borderId="0" xfId="0" applyNumberFormat="1" applyFont="1"/>
    <xf numFmtId="0" fontId="21" fillId="0" borderId="0" xfId="0" applyFont="1"/>
    <xf numFmtId="169" fontId="18" fillId="0" borderId="0" xfId="0" applyNumberFormat="1" applyFont="1"/>
    <xf numFmtId="170" fontId="18" fillId="0" borderId="0" xfId="2" applyNumberFormat="1" applyFont="1"/>
    <xf numFmtId="0" fontId="12" fillId="3" borderId="0" xfId="0" applyFont="1" applyFill="1"/>
    <xf numFmtId="0" fontId="10" fillId="0" borderId="0" xfId="0" applyFont="1" applyBorder="1"/>
    <xf numFmtId="0" fontId="18" fillId="0" borderId="1" xfId="0" applyFont="1" applyBorder="1"/>
    <xf numFmtId="165" fontId="22" fillId="0" borderId="1" xfId="0" applyNumberFormat="1" applyFont="1" applyBorder="1" applyAlignment="1">
      <alignment horizontal="center"/>
    </xf>
    <xf numFmtId="0" fontId="18" fillId="0" borderId="0" xfId="0" applyFont="1" applyBorder="1"/>
    <xf numFmtId="0" fontId="16" fillId="0" borderId="0" xfId="0" applyFont="1"/>
    <xf numFmtId="167" fontId="18" fillId="0" borderId="0" xfId="0" applyNumberFormat="1" applyFont="1"/>
    <xf numFmtId="41" fontId="16" fillId="0" borderId="2" xfId="0" applyNumberFormat="1" applyFont="1" applyBorder="1"/>
    <xf numFmtId="0" fontId="16" fillId="0" borderId="2" xfId="0" applyFont="1" applyBorder="1"/>
    <xf numFmtId="0" fontId="24" fillId="0" borderId="1" xfId="0" applyFont="1" applyBorder="1" applyAlignment="1">
      <alignment horizontal="left" indent="1"/>
    </xf>
    <xf numFmtId="171" fontId="24" fillId="0" borderId="1" xfId="0" applyNumberFormat="1" applyFont="1" applyBorder="1"/>
    <xf numFmtId="0" fontId="18" fillId="0" borderId="3" xfId="0" applyFont="1" applyBorder="1"/>
    <xf numFmtId="0" fontId="25" fillId="3" borderId="0" xfId="0" applyFont="1" applyFill="1"/>
    <xf numFmtId="0" fontId="26" fillId="0" borderId="0" xfId="3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4" xfId="0" applyFont="1" applyBorder="1"/>
    <xf numFmtId="41" fontId="18" fillId="0" borderId="4" xfId="0" applyNumberFormat="1" applyFont="1" applyBorder="1"/>
    <xf numFmtId="172" fontId="18" fillId="0" borderId="0" xfId="0" applyNumberFormat="1" applyFont="1"/>
    <xf numFmtId="171" fontId="18" fillId="0" borderId="0" xfId="0" applyNumberFormat="1" applyFont="1"/>
    <xf numFmtId="41" fontId="18" fillId="0" borderId="3" xfId="0" applyNumberFormat="1" applyFont="1" applyBorder="1"/>
    <xf numFmtId="171" fontId="18" fillId="0" borderId="3" xfId="0" applyNumberFormat="1" applyFont="1" applyBorder="1"/>
    <xf numFmtId="171" fontId="19" fillId="0" borderId="0" xfId="0" applyNumberFormat="1" applyFont="1"/>
    <xf numFmtId="0" fontId="18" fillId="0" borderId="0" xfId="0" applyFont="1" applyAlignment="1">
      <alignment horizontal="right"/>
    </xf>
    <xf numFmtId="174" fontId="18" fillId="0" borderId="0" xfId="0" applyNumberFormat="1" applyFont="1"/>
    <xf numFmtId="0" fontId="21" fillId="0" borderId="0" xfId="0" applyFont="1" applyAlignment="1">
      <alignment horizontal="center"/>
    </xf>
    <xf numFmtId="0" fontId="27" fillId="0" borderId="0" xfId="0" applyFont="1"/>
    <xf numFmtId="175" fontId="18" fillId="0" borderId="0" xfId="0" applyNumberFormat="1" applyFont="1"/>
    <xf numFmtId="175" fontId="19" fillId="0" borderId="0" xfId="0" applyNumberFormat="1" applyFont="1"/>
    <xf numFmtId="176" fontId="18" fillId="0" borderId="0" xfId="0" applyNumberFormat="1" applyFont="1"/>
    <xf numFmtId="176" fontId="19" fillId="0" borderId="0" xfId="0" applyNumberFormat="1" applyFont="1"/>
    <xf numFmtId="0" fontId="4" fillId="0" borderId="0" xfId="0" applyFont="1"/>
    <xf numFmtId="41" fontId="4" fillId="0" borderId="4" xfId="0" applyNumberFormat="1" applyFont="1" applyBorder="1"/>
    <xf numFmtId="0" fontId="18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28" fillId="0" borderId="0" xfId="0" applyFont="1"/>
    <xf numFmtId="180" fontId="18" fillId="0" borderId="0" xfId="0" applyNumberFormat="1" applyFont="1"/>
    <xf numFmtId="172" fontId="3" fillId="0" borderId="0" xfId="3" applyNumberFormat="1" applyFont="1" applyBorder="1"/>
    <xf numFmtId="172" fontId="3" fillId="0" borderId="6" xfId="3" applyNumberFormat="1" applyFont="1" applyBorder="1"/>
    <xf numFmtId="172" fontId="4" fillId="0" borderId="0" xfId="3" applyNumberFormat="1" applyFont="1" applyBorder="1"/>
    <xf numFmtId="0" fontId="9" fillId="0" borderId="2" xfId="3" applyFont="1" applyBorder="1" applyAlignment="1">
      <alignment horizontal="left"/>
    </xf>
    <xf numFmtId="0" fontId="9" fillId="0" borderId="0" xfId="3" applyFont="1" applyBorder="1" applyAlignment="1">
      <alignment horizontal="left"/>
    </xf>
    <xf numFmtId="0" fontId="4" fillId="0" borderId="2" xfId="3" applyFont="1" applyBorder="1" applyAlignment="1">
      <alignment horizontal="left"/>
    </xf>
    <xf numFmtId="172" fontId="3" fillId="0" borderId="2" xfId="3" applyNumberFormat="1" applyFont="1" applyBorder="1"/>
    <xf numFmtId="0" fontId="9" fillId="0" borderId="2" xfId="3" applyFont="1" applyBorder="1"/>
    <xf numFmtId="0" fontId="33" fillId="0" borderId="2" xfId="3" applyFont="1" applyBorder="1"/>
    <xf numFmtId="0" fontId="34" fillId="0" borderId="2" xfId="3" applyFont="1" applyBorder="1"/>
    <xf numFmtId="181" fontId="33" fillId="0" borderId="2" xfId="3" applyNumberFormat="1" applyFont="1" applyBorder="1"/>
    <xf numFmtId="0" fontId="3" fillId="0" borderId="0" xfId="3" applyFont="1" applyBorder="1"/>
    <xf numFmtId="0" fontId="18" fillId="0" borderId="0" xfId="3" applyFont="1" applyBorder="1"/>
    <xf numFmtId="0" fontId="18" fillId="0" borderId="2" xfId="3" applyFont="1" applyBorder="1"/>
    <xf numFmtId="0" fontId="18" fillId="0" borderId="2" xfId="3" applyFont="1" applyBorder="1" applyAlignment="1">
      <alignment horizontal="left"/>
    </xf>
    <xf numFmtId="0" fontId="18" fillId="0" borderId="0" xfId="3" applyFont="1" applyBorder="1" applyAlignment="1">
      <alignment horizontal="left" indent="1"/>
    </xf>
    <xf numFmtId="0" fontId="18" fillId="0" borderId="6" xfId="3" applyFont="1" applyBorder="1"/>
    <xf numFmtId="172" fontId="18" fillId="0" borderId="0" xfId="3" applyNumberFormat="1" applyFont="1" applyBorder="1"/>
    <xf numFmtId="172" fontId="18" fillId="0" borderId="2" xfId="3" applyNumberFormat="1" applyFont="1" applyBorder="1"/>
    <xf numFmtId="0" fontId="18" fillId="0" borderId="6" xfId="3" applyFont="1" applyBorder="1" applyAlignment="1">
      <alignment horizontal="left"/>
    </xf>
    <xf numFmtId="0" fontId="18" fillId="0" borderId="7" xfId="3" applyFont="1" applyBorder="1"/>
    <xf numFmtId="0" fontId="4" fillId="0" borderId="0" xfId="3" applyFont="1" applyBorder="1" applyAlignment="1"/>
    <xf numFmtId="0" fontId="9" fillId="0" borderId="0" xfId="3" applyFont="1" applyBorder="1" applyAlignment="1">
      <alignment horizontal="centerContinuous"/>
    </xf>
    <xf numFmtId="0" fontId="9" fillId="0" borderId="0" xfId="3" quotePrefix="1" applyFont="1" applyAlignment="1">
      <alignment horizontal="center"/>
    </xf>
    <xf numFmtId="164" fontId="36" fillId="0" borderId="0" xfId="3" applyNumberFormat="1" applyFont="1" applyBorder="1"/>
    <xf numFmtId="164" fontId="3" fillId="0" borderId="0" xfId="3" applyNumberFormat="1" applyFont="1" applyBorder="1"/>
    <xf numFmtId="180" fontId="32" fillId="0" borderId="0" xfId="3" applyNumberFormat="1" applyFont="1"/>
    <xf numFmtId="0" fontId="9" fillId="0" borderId="6" xfId="3" applyFont="1" applyBorder="1" applyAlignment="1">
      <alignment horizontal="left" indent="1"/>
    </xf>
    <xf numFmtId="0" fontId="9" fillId="0" borderId="6" xfId="3" applyFont="1" applyBorder="1"/>
    <xf numFmtId="180" fontId="3" fillId="0" borderId="0" xfId="3" applyNumberFormat="1" applyFont="1"/>
    <xf numFmtId="172" fontId="9" fillId="0" borderId="6" xfId="3" applyNumberFormat="1" applyFont="1" applyBorder="1"/>
    <xf numFmtId="164" fontId="3" fillId="0" borderId="6" xfId="3" applyNumberFormat="1" applyFont="1" applyBorder="1"/>
    <xf numFmtId="0" fontId="9" fillId="0" borderId="10" xfId="3" applyFont="1" applyBorder="1"/>
    <xf numFmtId="0" fontId="9" fillId="0" borderId="3" xfId="3" applyFont="1" applyBorder="1"/>
    <xf numFmtId="182" fontId="32" fillId="0" borderId="0" xfId="3" applyNumberFormat="1" applyFont="1" applyBorder="1" applyAlignment="1">
      <alignment horizontal="right"/>
    </xf>
    <xf numFmtId="182" fontId="9" fillId="0" borderId="0" xfId="3" applyNumberFormat="1" applyFont="1" applyBorder="1"/>
    <xf numFmtId="182" fontId="3" fillId="0" borderId="0" xfId="3" applyNumberFormat="1" applyFont="1" applyBorder="1" applyAlignment="1">
      <alignment horizontal="right"/>
    </xf>
    <xf numFmtId="182" fontId="3" fillId="0" borderId="0" xfId="3" applyNumberFormat="1" applyFont="1" applyBorder="1"/>
    <xf numFmtId="182" fontId="37" fillId="0" borderId="0" xfId="3" applyNumberFormat="1" applyFont="1" applyBorder="1"/>
    <xf numFmtId="182" fontId="32" fillId="0" borderId="0" xfId="3" applyNumberFormat="1" applyFont="1" applyBorder="1"/>
    <xf numFmtId="182" fontId="3" fillId="0" borderId="3" xfId="3" applyNumberFormat="1" applyFont="1" applyBorder="1"/>
    <xf numFmtId="164" fontId="18" fillId="0" borderId="0" xfId="3" applyNumberFormat="1" applyFont="1" applyBorder="1"/>
    <xf numFmtId="0" fontId="18" fillId="0" borderId="0" xfId="3" applyFont="1" applyFill="1" applyBorder="1"/>
    <xf numFmtId="0" fontId="18" fillId="0" borderId="6" xfId="3" applyFont="1" applyBorder="1" applyAlignment="1">
      <alignment horizontal="left" indent="1"/>
    </xf>
    <xf numFmtId="0" fontId="18" fillId="0" borderId="3" xfId="3" applyFont="1" applyBorder="1"/>
    <xf numFmtId="0" fontId="28" fillId="0" borderId="0" xfId="0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Font="1" applyFill="1"/>
    <xf numFmtId="172" fontId="36" fillId="0" borderId="0" xfId="3" applyNumberFormat="1" applyFont="1" applyBorder="1"/>
    <xf numFmtId="179" fontId="31" fillId="0" borderId="0" xfId="3" applyNumberFormat="1" applyFont="1" applyFill="1" applyBorder="1" applyAlignment="1">
      <alignment horizontal="center"/>
    </xf>
    <xf numFmtId="172" fontId="38" fillId="0" borderId="0" xfId="3" applyNumberFormat="1" applyFont="1" applyBorder="1"/>
    <xf numFmtId="0" fontId="3" fillId="0" borderId="6" xfId="3" applyFont="1" applyBorder="1"/>
    <xf numFmtId="0" fontId="3" fillId="0" borderId="11" xfId="3" applyFont="1" applyBorder="1"/>
    <xf numFmtId="180" fontId="4" fillId="0" borderId="11" xfId="3" applyNumberFormat="1" applyFont="1" applyBorder="1"/>
    <xf numFmtId="180" fontId="3" fillId="0" borderId="11" xfId="3" applyNumberFormat="1" applyFont="1" applyBorder="1"/>
    <xf numFmtId="180" fontId="3" fillId="0" borderId="0" xfId="3" applyNumberFormat="1" applyFont="1" applyBorder="1"/>
    <xf numFmtId="0" fontId="3" fillId="0" borderId="3" xfId="3" applyFont="1" applyBorder="1"/>
    <xf numFmtId="0" fontId="18" fillId="0" borderId="11" xfId="3" applyFont="1" applyBorder="1"/>
    <xf numFmtId="183" fontId="18" fillId="0" borderId="0" xfId="3" applyNumberFormat="1" applyFont="1" applyBorder="1"/>
    <xf numFmtId="172" fontId="37" fillId="0" borderId="0" xfId="3" applyNumberFormat="1" applyFont="1" applyBorder="1"/>
    <xf numFmtId="0" fontId="18" fillId="0" borderId="2" xfId="3" applyFont="1" applyFill="1" applyBorder="1"/>
    <xf numFmtId="0" fontId="18" fillId="0" borderId="3" xfId="3" applyFont="1" applyFill="1" applyBorder="1"/>
    <xf numFmtId="0" fontId="32" fillId="0" borderId="0" xfId="3" applyFont="1" applyBorder="1"/>
    <xf numFmtId="180" fontId="36" fillId="0" borderId="0" xfId="3" applyNumberFormat="1" applyFont="1" applyBorder="1" applyAlignment="1">
      <alignment horizontal="center"/>
    </xf>
    <xf numFmtId="184" fontId="36" fillId="0" borderId="0" xfId="3" applyNumberFormat="1" applyFont="1" applyBorder="1" applyAlignment="1">
      <alignment horizontal="center"/>
    </xf>
    <xf numFmtId="0" fontId="3" fillId="0" borderId="0" xfId="3" applyFont="1" applyFill="1" applyBorder="1"/>
    <xf numFmtId="0" fontId="36" fillId="0" borderId="0" xfId="3" applyFont="1" applyBorder="1" applyAlignment="1">
      <alignment horizontal="center"/>
    </xf>
    <xf numFmtId="0" fontId="36" fillId="0" borderId="2" xfId="3" applyFont="1" applyBorder="1"/>
    <xf numFmtId="184" fontId="39" fillId="0" borderId="3" xfId="3" applyNumberFormat="1" applyFont="1" applyBorder="1" applyAlignment="1">
      <alignment horizontal="center"/>
    </xf>
    <xf numFmtId="0" fontId="18" fillId="0" borderId="2" xfId="3" applyFont="1" applyBorder="1" applyAlignment="1">
      <alignment horizontal="left" indent="1"/>
    </xf>
    <xf numFmtId="179" fontId="32" fillId="0" borderId="2" xfId="3" applyNumberFormat="1" applyFont="1" applyBorder="1" applyAlignment="1">
      <alignment horizontal="center"/>
    </xf>
    <xf numFmtId="185" fontId="36" fillId="0" borderId="0" xfId="3" applyNumberFormat="1" applyFont="1" applyBorder="1"/>
    <xf numFmtId="185" fontId="32" fillId="0" borderId="0" xfId="3" applyNumberFormat="1" applyFont="1" applyBorder="1" applyAlignment="1">
      <alignment horizontal="center"/>
    </xf>
    <xf numFmtId="185" fontId="37" fillId="0" borderId="0" xfId="3" applyNumberFormat="1" applyFont="1" applyBorder="1"/>
    <xf numFmtId="185" fontId="4" fillId="0" borderId="0" xfId="3" applyNumberFormat="1" applyFont="1" applyBorder="1"/>
    <xf numFmtId="179" fontId="32" fillId="0" borderId="0" xfId="3" applyNumberFormat="1" applyFont="1" applyBorder="1" applyAlignment="1">
      <alignment horizontal="center"/>
    </xf>
    <xf numFmtId="0" fontId="3" fillId="0" borderId="2" xfId="3" applyFont="1" applyBorder="1"/>
    <xf numFmtId="0" fontId="3" fillId="0" borderId="6" xfId="3" applyFont="1" applyFill="1" applyBorder="1"/>
    <xf numFmtId="180" fontId="37" fillId="0" borderId="0" xfId="3" applyNumberFormat="1" applyFont="1" applyBorder="1"/>
    <xf numFmtId="0" fontId="3" fillId="0" borderId="3" xfId="3" applyFont="1" applyFill="1" applyBorder="1"/>
    <xf numFmtId="180" fontId="18" fillId="0" borderId="0" xfId="3" applyNumberFormat="1" applyFont="1" applyBorder="1"/>
    <xf numFmtId="0" fontId="4" fillId="0" borderId="6" xfId="3" applyFont="1" applyBorder="1"/>
    <xf numFmtId="164" fontId="18" fillId="0" borderId="6" xfId="3" applyNumberFormat="1" applyFont="1" applyBorder="1"/>
    <xf numFmtId="186" fontId="18" fillId="0" borderId="0" xfId="0" applyNumberFormat="1" applyFont="1"/>
    <xf numFmtId="0" fontId="18" fillId="0" borderId="0" xfId="0" applyFont="1" applyFill="1"/>
    <xf numFmtId="0" fontId="14" fillId="0" borderId="0" xfId="0" applyFont="1" applyAlignment="1">
      <alignment horizontal="right"/>
    </xf>
    <xf numFmtId="0" fontId="16" fillId="0" borderId="3" xfId="0" applyFont="1" applyBorder="1" applyAlignment="1">
      <alignment horizontal="center"/>
    </xf>
    <xf numFmtId="187" fontId="18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Continuous"/>
    </xf>
    <xf numFmtId="0" fontId="12" fillId="0" borderId="0" xfId="0" applyFont="1" applyFill="1" applyAlignment="1">
      <alignment horizontal="centerContinuous"/>
    </xf>
    <xf numFmtId="181" fontId="19" fillId="0" borderId="0" xfId="0" applyNumberFormat="1" applyFont="1" applyFill="1"/>
    <xf numFmtId="0" fontId="40" fillId="0" borderId="0" xfId="3" applyFont="1" applyBorder="1"/>
    <xf numFmtId="0" fontId="36" fillId="0" borderId="0" xfId="3" applyFont="1" applyBorder="1"/>
    <xf numFmtId="0" fontId="9" fillId="0" borderId="0" xfId="3" applyFont="1" applyFill="1" applyBorder="1"/>
    <xf numFmtId="0" fontId="40" fillId="0" borderId="0" xfId="3" applyFont="1" applyFill="1" applyBorder="1"/>
    <xf numFmtId="164" fontId="18" fillId="0" borderId="3" xfId="3" applyNumberFormat="1" applyFont="1" applyBorder="1"/>
    <xf numFmtId="182" fontId="18" fillId="0" borderId="3" xfId="3" applyNumberFormat="1" applyFont="1" applyBorder="1"/>
    <xf numFmtId="172" fontId="18" fillId="0" borderId="3" xfId="3" applyNumberFormat="1" applyFont="1" applyBorder="1"/>
    <xf numFmtId="0" fontId="3" fillId="0" borderId="8" xfId="3" applyFont="1" applyBorder="1"/>
    <xf numFmtId="180" fontId="3" fillId="0" borderId="7" xfId="3" applyNumberFormat="1" applyFont="1" applyBorder="1"/>
    <xf numFmtId="0" fontId="3" fillId="0" borderId="9" xfId="3" applyFont="1" applyBorder="1" applyAlignment="1">
      <alignment horizontal="center"/>
    </xf>
    <xf numFmtId="180" fontId="36" fillId="0" borderId="0" xfId="3" applyNumberFormat="1" applyFont="1" applyBorder="1"/>
    <xf numFmtId="179" fontId="32" fillId="0" borderId="3" xfId="3" applyNumberFormat="1" applyFont="1" applyBorder="1" applyAlignment="1">
      <alignment horizontal="center"/>
    </xf>
    <xf numFmtId="0" fontId="18" fillId="0" borderId="5" xfId="3" applyFont="1" applyBorder="1"/>
    <xf numFmtId="0" fontId="18" fillId="0" borderId="8" xfId="3" applyFont="1" applyBorder="1"/>
    <xf numFmtId="0" fontId="35" fillId="4" borderId="5" xfId="3" applyFont="1" applyFill="1" applyBorder="1" applyAlignment="1">
      <alignment horizontal="center"/>
    </xf>
    <xf numFmtId="180" fontId="19" fillId="0" borderId="0" xfId="3" applyNumberFormat="1" applyFont="1" applyBorder="1"/>
    <xf numFmtId="0" fontId="41" fillId="4" borderId="5" xfId="3" applyFont="1" applyFill="1" applyBorder="1" applyAlignment="1">
      <alignment horizontal="center"/>
    </xf>
    <xf numFmtId="170" fontId="15" fillId="4" borderId="5" xfId="2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9" fillId="0" borderId="0" xfId="3" applyFont="1" applyFill="1" applyBorder="1" applyAlignment="1">
      <alignment horizontal="center"/>
    </xf>
    <xf numFmtId="177" fontId="9" fillId="0" borderId="1" xfId="3" applyNumberFormat="1" applyFont="1" applyFill="1" applyBorder="1" applyAlignment="1">
      <alignment horizontal="center"/>
    </xf>
    <xf numFmtId="0" fontId="9" fillId="0" borderId="1" xfId="3" applyFont="1" applyBorder="1" applyAlignment="1">
      <alignment horizontal="center"/>
    </xf>
    <xf numFmtId="0" fontId="4" fillId="0" borderId="1" xfId="3" applyFont="1" applyBorder="1"/>
    <xf numFmtId="0" fontId="18" fillId="0" borderId="1" xfId="3" applyFont="1" applyBorder="1"/>
    <xf numFmtId="0" fontId="3" fillId="0" borderId="1" xfId="3" applyFont="1" applyBorder="1"/>
    <xf numFmtId="0" fontId="9" fillId="0" borderId="3" xfId="3" applyFont="1" applyFill="1" applyBorder="1" applyAlignment="1">
      <alignment horizontal="centerContinuous"/>
    </xf>
    <xf numFmtId="0" fontId="4" fillId="0" borderId="3" xfId="3" applyFont="1" applyFill="1" applyBorder="1" applyAlignment="1">
      <alignment horizontal="centerContinuous"/>
    </xf>
    <xf numFmtId="0" fontId="4" fillId="0" borderId="1" xfId="3" applyFont="1" applyFill="1" applyBorder="1"/>
    <xf numFmtId="0" fontId="32" fillId="0" borderId="1" xfId="3" applyFont="1" applyBorder="1"/>
    <xf numFmtId="41" fontId="19" fillId="5" borderId="0" xfId="0" applyNumberFormat="1" applyFont="1" applyFill="1"/>
    <xf numFmtId="41" fontId="4" fillId="0" borderId="0" xfId="0" applyNumberFormat="1" applyFont="1"/>
    <xf numFmtId="171" fontId="16" fillId="0" borderId="4" xfId="0" applyNumberFormat="1" applyFont="1" applyBorder="1"/>
    <xf numFmtId="178" fontId="15" fillId="0" borderId="1" xfId="3" applyNumberFormat="1" applyFont="1" applyFill="1" applyBorder="1" applyAlignment="1">
      <alignment horizontal="center"/>
    </xf>
    <xf numFmtId="0" fontId="28" fillId="0" borderId="0" xfId="0" applyFont="1" applyAlignment="1">
      <alignment horizontal="right"/>
    </xf>
    <xf numFmtId="37" fontId="19" fillId="0" borderId="0" xfId="3" applyNumberFormat="1" applyFont="1" applyBorder="1"/>
    <xf numFmtId="41" fontId="20" fillId="0" borderId="0" xfId="3" applyNumberFormat="1" applyFont="1" applyBorder="1"/>
    <xf numFmtId="41" fontId="3" fillId="0" borderId="6" xfId="3" applyNumberFormat="1" applyFont="1" applyBorder="1"/>
    <xf numFmtId="41" fontId="18" fillId="0" borderId="0" xfId="3" applyNumberFormat="1" applyFont="1" applyBorder="1"/>
    <xf numFmtId="41" fontId="19" fillId="0" borderId="0" xfId="3" applyNumberFormat="1" applyFont="1" applyBorder="1"/>
    <xf numFmtId="41" fontId="32" fillId="0" borderId="2" xfId="3" applyNumberFormat="1" applyFont="1" applyBorder="1"/>
    <xf numFmtId="188" fontId="36" fillId="0" borderId="0" xfId="3" applyNumberFormat="1" applyFont="1" applyBorder="1"/>
    <xf numFmtId="188" fontId="3" fillId="0" borderId="6" xfId="3" applyNumberFormat="1" applyFont="1" applyBorder="1"/>
    <xf numFmtId="188" fontId="18" fillId="0" borderId="0" xfId="3" applyNumberFormat="1" applyFont="1" applyBorder="1"/>
    <xf numFmtId="188" fontId="3" fillId="0" borderId="2" xfId="3" applyNumberFormat="1" applyFont="1" applyBorder="1"/>
    <xf numFmtId="188" fontId="20" fillId="0" borderId="0" xfId="3" applyNumberFormat="1" applyFont="1" applyBorder="1"/>
    <xf numFmtId="37" fontId="3" fillId="0" borderId="7" xfId="3" applyNumberFormat="1" applyFont="1" applyBorder="1"/>
    <xf numFmtId="37" fontId="32" fillId="0" borderId="7" xfId="3" applyNumberFormat="1" applyFont="1" applyBorder="1"/>
    <xf numFmtId="41" fontId="32" fillId="0" borderId="6" xfId="3" applyNumberFormat="1" applyFont="1" applyBorder="1"/>
    <xf numFmtId="41" fontId="4" fillId="0" borderId="0" xfId="3" applyNumberFormat="1" applyFont="1" applyBorder="1"/>
    <xf numFmtId="41" fontId="32" fillId="0" borderId="10" xfId="3" applyNumberFormat="1" applyFont="1" applyBorder="1"/>
    <xf numFmtId="41" fontId="3" fillId="0" borderId="0" xfId="3" applyNumberFormat="1" applyFont="1" applyBorder="1"/>
    <xf numFmtId="41" fontId="32" fillId="0" borderId="0" xfId="3" applyNumberFormat="1" applyFont="1" applyBorder="1"/>
    <xf numFmtId="41" fontId="18" fillId="0" borderId="2" xfId="3" applyNumberFormat="1" applyFont="1" applyBorder="1"/>
    <xf numFmtId="41" fontId="3" fillId="0" borderId="2" xfId="3" applyNumberFormat="1" applyFont="1" applyBorder="1"/>
    <xf numFmtId="41" fontId="3" fillId="0" borderId="7" xfId="3" applyNumberFormat="1" applyFont="1" applyBorder="1"/>
    <xf numFmtId="182" fontId="4" fillId="0" borderId="0" xfId="3" applyNumberFormat="1" applyFont="1" applyBorder="1"/>
    <xf numFmtId="167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80" fontId="19" fillId="0" borderId="0" xfId="0" applyNumberFormat="1" applyFont="1" applyBorder="1" applyAlignment="1">
      <alignment horizontal="center"/>
    </xf>
    <xf numFmtId="41" fontId="32" fillId="0" borderId="7" xfId="3" applyNumberFormat="1" applyFont="1" applyBorder="1"/>
    <xf numFmtId="41" fontId="38" fillId="0" borderId="0" xfId="3" applyNumberFormat="1" applyFont="1" applyBorder="1"/>
    <xf numFmtId="41" fontId="4" fillId="0" borderId="6" xfId="3" applyNumberFormat="1" applyFont="1" applyBorder="1"/>
    <xf numFmtId="37" fontId="3" fillId="0" borderId="0" xfId="3" applyNumberFormat="1" applyFont="1" applyBorder="1"/>
    <xf numFmtId="0" fontId="16" fillId="0" borderId="0" xfId="3" applyFont="1" applyBorder="1"/>
    <xf numFmtId="184" fontId="36" fillId="0" borderId="3" xfId="3" applyNumberFormat="1" applyFont="1" applyBorder="1" applyAlignment="1">
      <alignment horizontal="center"/>
    </xf>
    <xf numFmtId="172" fontId="3" fillId="0" borderId="3" xfId="3" applyNumberFormat="1" applyFont="1" applyBorder="1"/>
    <xf numFmtId="166" fontId="9" fillId="0" borderId="1" xfId="3" applyNumberFormat="1" applyFont="1" applyFill="1" applyBorder="1" applyAlignment="1">
      <alignment horizontal="center"/>
    </xf>
    <xf numFmtId="165" fontId="9" fillId="0" borderId="1" xfId="3" applyNumberFormat="1" applyFont="1" applyFill="1" applyBorder="1" applyAlignment="1">
      <alignment horizontal="center"/>
    </xf>
    <xf numFmtId="190" fontId="9" fillId="0" borderId="1" xfId="3" applyNumberFormat="1" applyFont="1" applyFill="1" applyBorder="1" applyAlignment="1">
      <alignment horizontal="center"/>
    </xf>
    <xf numFmtId="165" fontId="22" fillId="0" borderId="1" xfId="3" applyNumberFormat="1" applyFont="1" applyFill="1" applyBorder="1" applyAlignment="1">
      <alignment horizontal="center"/>
    </xf>
    <xf numFmtId="0" fontId="15" fillId="4" borderId="5" xfId="3" applyFont="1" applyFill="1" applyBorder="1" applyAlignment="1">
      <alignment horizontal="center"/>
    </xf>
    <xf numFmtId="41" fontId="37" fillId="0" borderId="0" xfId="3" applyNumberFormat="1" applyFont="1" applyBorder="1"/>
    <xf numFmtId="176" fontId="18" fillId="0" borderId="0" xfId="0" applyNumberFormat="1" applyFont="1" applyAlignment="1">
      <alignment horizontal="center"/>
    </xf>
    <xf numFmtId="180" fontId="19" fillId="0" borderId="0" xfId="3" applyNumberFormat="1" applyFont="1" applyBorder="1" applyAlignment="1">
      <alignment horizontal="center"/>
    </xf>
    <xf numFmtId="184" fontId="19" fillId="0" borderId="0" xfId="3" applyNumberFormat="1" applyFont="1" applyBorder="1" applyAlignment="1">
      <alignment horizontal="center"/>
    </xf>
    <xf numFmtId="41" fontId="3" fillId="0" borderId="3" xfId="3" applyNumberFormat="1" applyFont="1" applyBorder="1"/>
    <xf numFmtId="41" fontId="4" fillId="0" borderId="2" xfId="3" applyNumberFormat="1" applyFont="1" applyBorder="1"/>
    <xf numFmtId="167" fontId="19" fillId="0" borderId="0" xfId="4" applyNumberFormat="1" applyFont="1"/>
    <xf numFmtId="37" fontId="3" fillId="0" borderId="6" xfId="3" applyNumberFormat="1" applyFont="1" applyBorder="1"/>
    <xf numFmtId="182" fontId="4" fillId="0" borderId="0" xfId="3" applyNumberFormat="1" applyFont="1" applyFill="1" applyBorder="1" applyAlignment="1">
      <alignment horizontal="right"/>
    </xf>
    <xf numFmtId="191" fontId="4" fillId="0" borderId="0" xfId="3" applyNumberFormat="1" applyFont="1" applyBorder="1" applyAlignment="1">
      <alignment horizontal="right"/>
    </xf>
    <xf numFmtId="189" fontId="4" fillId="0" borderId="0" xfId="3" applyNumberFormat="1" applyFont="1" applyFill="1" applyBorder="1" applyAlignment="1"/>
    <xf numFmtId="37" fontId="18" fillId="0" borderId="0" xfId="3" applyNumberFormat="1" applyFont="1" applyBorder="1"/>
    <xf numFmtId="41" fontId="18" fillId="0" borderId="0" xfId="3" applyNumberFormat="1" applyFont="1"/>
    <xf numFmtId="41" fontId="3" fillId="0" borderId="0" xfId="3" applyNumberFormat="1" applyFont="1" applyFill="1" applyBorder="1"/>
    <xf numFmtId="167" fontId="18" fillId="0" borderId="0" xfId="4" applyNumberFormat="1" applyFont="1" applyBorder="1"/>
    <xf numFmtId="167" fontId="18" fillId="0" borderId="3" xfId="4" applyNumberFormat="1" applyFont="1" applyBorder="1"/>
    <xf numFmtId="188" fontId="19" fillId="0" borderId="0" xfId="0" applyNumberFormat="1" applyFont="1" applyFill="1"/>
    <xf numFmtId="9" fontId="18" fillId="0" borderId="3" xfId="2" applyFont="1" applyBorder="1"/>
    <xf numFmtId="0" fontId="16" fillId="0" borderId="0" xfId="0" applyFont="1" applyAlignment="1">
      <alignment horizontal="left"/>
    </xf>
    <xf numFmtId="9" fontId="4" fillId="0" borderId="0" xfId="2" applyFont="1" applyFill="1"/>
    <xf numFmtId="9" fontId="19" fillId="0" borderId="3" xfId="2" applyFont="1" applyBorder="1"/>
    <xf numFmtId="0" fontId="44" fillId="0" borderId="0" xfId="6" applyFont="1"/>
    <xf numFmtId="167" fontId="43" fillId="0" borderId="0" xfId="4" applyNumberFormat="1" applyFont="1"/>
    <xf numFmtId="170" fontId="45" fillId="0" borderId="0" xfId="2" applyNumberFormat="1" applyFont="1"/>
    <xf numFmtId="167" fontId="45" fillId="0" borderId="0" xfId="4" applyNumberFormat="1" applyFont="1"/>
    <xf numFmtId="10" fontId="45" fillId="0" borderId="0" xfId="2" applyNumberFormat="1" applyFont="1"/>
    <xf numFmtId="0" fontId="18" fillId="0" borderId="0" xfId="0" applyFont="1" applyAlignment="1">
      <alignment horizontal="left" vertical="top"/>
    </xf>
    <xf numFmtId="192" fontId="18" fillId="0" borderId="0" xfId="0" applyNumberFormat="1" applyFont="1" applyAlignment="1">
      <alignment horizontal="left" vertical="top"/>
    </xf>
    <xf numFmtId="192" fontId="18" fillId="0" borderId="0" xfId="0" applyNumberFormat="1" applyFont="1" applyAlignment="1">
      <alignment horizontal="centerContinuous" vertical="top"/>
    </xf>
    <xf numFmtId="193" fontId="18" fillId="0" borderId="0" xfId="0" applyNumberFormat="1" applyFont="1" applyAlignment="1">
      <alignment horizontal="left" vertical="top"/>
    </xf>
    <xf numFmtId="167" fontId="18" fillId="0" borderId="0" xfId="4" applyNumberFormat="1" applyFont="1"/>
    <xf numFmtId="37" fontId="4" fillId="0" borderId="0" xfId="3" applyNumberFormat="1" applyFont="1" applyBorder="1"/>
    <xf numFmtId="9" fontId="20" fillId="0" borderId="0" xfId="2" applyFont="1" applyFill="1"/>
    <xf numFmtId="185" fontId="20" fillId="0" borderId="0" xfId="3" applyNumberFormat="1" applyFont="1" applyBorder="1"/>
    <xf numFmtId="183" fontId="37" fillId="0" borderId="0" xfId="3" applyNumberFormat="1" applyFont="1" applyBorder="1"/>
    <xf numFmtId="191" fontId="37" fillId="0" borderId="0" xfId="3" applyNumberFormat="1" applyFont="1" applyBorder="1"/>
    <xf numFmtId="172" fontId="38" fillId="0" borderId="3" xfId="3" applyNumberFormat="1" applyFont="1" applyBorder="1"/>
    <xf numFmtId="41" fontId="20" fillId="0" borderId="3" xfId="3" applyNumberFormat="1" applyFont="1" applyBorder="1"/>
    <xf numFmtId="0" fontId="9" fillId="0" borderId="7" xfId="3" applyFont="1" applyFill="1" applyBorder="1"/>
    <xf numFmtId="0" fontId="9" fillId="0" borderId="7" xfId="3" applyFont="1" applyBorder="1"/>
    <xf numFmtId="172" fontId="9" fillId="0" borderId="7" xfId="3" applyNumberFormat="1" applyFont="1" applyBorder="1"/>
    <xf numFmtId="41" fontId="9" fillId="0" borderId="7" xfId="3" applyNumberFormat="1" applyFont="1" applyBorder="1"/>
    <xf numFmtId="0" fontId="9" fillId="0" borderId="3" xfId="3" applyFont="1" applyFill="1" applyBorder="1"/>
    <xf numFmtId="194" fontId="4" fillId="0" borderId="0" xfId="3" applyNumberFormat="1" applyFont="1" applyBorder="1"/>
    <xf numFmtId="43" fontId="18" fillId="0" borderId="0" xfId="4" applyNumberFormat="1" applyFont="1"/>
    <xf numFmtId="9" fontId="18" fillId="0" borderId="0" xfId="2" applyFont="1" applyBorder="1"/>
    <xf numFmtId="0" fontId="16" fillId="0" borderId="0" xfId="3" applyFont="1" applyFill="1" applyBorder="1"/>
    <xf numFmtId="172" fontId="9" fillId="0" borderId="3" xfId="3" applyNumberFormat="1" applyFont="1" applyBorder="1"/>
    <xf numFmtId="167" fontId="9" fillId="0" borderId="3" xfId="4" applyNumberFormat="1" applyFont="1" applyBorder="1"/>
    <xf numFmtId="172" fontId="20" fillId="0" borderId="0" xfId="3" applyNumberFormat="1" applyFont="1" applyBorder="1"/>
    <xf numFmtId="180" fontId="20" fillId="0" borderId="0" xfId="3" applyNumberFormat="1" applyFont="1" applyBorder="1"/>
    <xf numFmtId="180" fontId="32" fillId="0" borderId="0" xfId="3" applyNumberFormat="1" applyFont="1" applyFill="1"/>
    <xf numFmtId="0" fontId="0" fillId="0" borderId="1" xfId="0" applyBorder="1"/>
    <xf numFmtId="0" fontId="12" fillId="2" borderId="0" xfId="0" applyFont="1" applyFill="1" applyBorder="1" applyAlignment="1">
      <alignment horizontal="centerContinuous"/>
    </xf>
    <xf numFmtId="0" fontId="16" fillId="0" borderId="1" xfId="0" applyFont="1" applyBorder="1" applyAlignment="1">
      <alignment horizontal="center"/>
    </xf>
    <xf numFmtId="0" fontId="12" fillId="2" borderId="13" xfId="0" applyFont="1" applyFill="1" applyBorder="1" applyAlignment="1">
      <alignment horizontal="centerContinuous"/>
    </xf>
    <xf numFmtId="166" fontId="9" fillId="0" borderId="1" xfId="0" applyNumberFormat="1" applyFont="1" applyBorder="1" applyAlignment="1">
      <alignment horizontal="center"/>
    </xf>
    <xf numFmtId="42" fontId="4" fillId="0" borderId="0" xfId="0" applyNumberFormat="1" applyFont="1"/>
    <xf numFmtId="42" fontId="4" fillId="0" borderId="0" xfId="0" applyNumberFormat="1" applyFont="1" applyBorder="1"/>
    <xf numFmtId="41" fontId="4" fillId="0" borderId="0" xfId="0" applyNumberFormat="1" applyFont="1" applyBorder="1"/>
    <xf numFmtId="196" fontId="9" fillId="0" borderId="0" xfId="0" applyNumberFormat="1" applyFont="1" applyFill="1" applyBorder="1" applyAlignment="1">
      <alignment horizontal="center"/>
    </xf>
    <xf numFmtId="0" fontId="47" fillId="0" borderId="0" xfId="0" applyFont="1"/>
    <xf numFmtId="42" fontId="16" fillId="0" borderId="4" xfId="0" applyNumberFormat="1" applyFont="1" applyBorder="1"/>
    <xf numFmtId="42" fontId="28" fillId="0" borderId="0" xfId="0" applyNumberFormat="1" applyFont="1"/>
    <xf numFmtId="167" fontId="4" fillId="0" borderId="0" xfId="4" applyNumberFormat="1" applyFont="1"/>
    <xf numFmtId="0" fontId="16" fillId="0" borderId="0" xfId="0" applyFont="1" applyBorder="1" applyAlignment="1">
      <alignment horizontal="center"/>
    </xf>
    <xf numFmtId="170" fontId="18" fillId="0" borderId="0" xfId="2" applyNumberFormat="1" applyFont="1" applyAlignment="1">
      <alignment horizontal="center"/>
    </xf>
    <xf numFmtId="195" fontId="18" fillId="0" borderId="0" xfId="0" applyNumberFormat="1" applyFont="1" applyAlignment="1">
      <alignment horizontal="center"/>
    </xf>
    <xf numFmtId="37" fontId="19" fillId="0" borderId="0" xfId="0" applyNumberFormat="1" applyFont="1"/>
    <xf numFmtId="190" fontId="15" fillId="0" borderId="1" xfId="3" applyNumberFormat="1" applyFont="1" applyFill="1" applyBorder="1" applyAlignment="1">
      <alignment horizontal="center"/>
    </xf>
    <xf numFmtId="172" fontId="9" fillId="0" borderId="0" xfId="3" applyNumberFormat="1" applyFont="1" applyBorder="1"/>
    <xf numFmtId="167" fontId="9" fillId="0" borderId="0" xfId="4" applyNumberFormat="1" applyFont="1" applyBorder="1"/>
    <xf numFmtId="0" fontId="9" fillId="0" borderId="2" xfId="3" applyFont="1" applyFill="1" applyBorder="1"/>
    <xf numFmtId="172" fontId="9" fillId="0" borderId="2" xfId="3" applyNumberFormat="1" applyFont="1" applyBorder="1"/>
    <xf numFmtId="37" fontId="9" fillId="0" borderId="2" xfId="3" applyNumberFormat="1" applyFont="1" applyBorder="1"/>
    <xf numFmtId="0" fontId="16" fillId="0" borderId="3" xfId="3" applyFont="1" applyFill="1" applyBorder="1"/>
    <xf numFmtId="0" fontId="16" fillId="0" borderId="2" xfId="0" applyFont="1" applyFill="1" applyBorder="1"/>
    <xf numFmtId="41" fontId="16" fillId="0" borderId="2" xfId="0" applyNumberFormat="1" applyFont="1" applyFill="1" applyBorder="1"/>
    <xf numFmtId="0" fontId="24" fillId="0" borderId="1" xfId="0" applyFont="1" applyFill="1" applyBorder="1"/>
    <xf numFmtId="171" fontId="24" fillId="0" borderId="1" xfId="0" applyNumberFormat="1" applyFont="1" applyFill="1" applyBorder="1"/>
    <xf numFmtId="0" fontId="24" fillId="0" borderId="1" xfId="0" applyFont="1" applyFill="1" applyBorder="1" applyAlignment="1">
      <alignment horizontal="left" indent="1"/>
    </xf>
    <xf numFmtId="0" fontId="9" fillId="0" borderId="0" xfId="3" applyFont="1" applyFill="1" applyBorder="1" applyAlignment="1">
      <alignment horizontal="centerContinuous"/>
    </xf>
    <xf numFmtId="0" fontId="4" fillId="0" borderId="0" xfId="3" applyFont="1" applyFill="1" applyBorder="1" applyAlignment="1">
      <alignment horizontal="centerContinuous"/>
    </xf>
    <xf numFmtId="165" fontId="9" fillId="0" borderId="0" xfId="3" applyNumberFormat="1" applyFont="1" applyFill="1" applyBorder="1" applyAlignment="1">
      <alignment horizontal="center"/>
    </xf>
    <xf numFmtId="177" fontId="9" fillId="0" borderId="0" xfId="3" applyNumberFormat="1" applyFont="1" applyFill="1" applyBorder="1" applyAlignment="1">
      <alignment horizontal="center"/>
    </xf>
    <xf numFmtId="190" fontId="9" fillId="0" borderId="0" xfId="3" applyNumberFormat="1" applyFont="1" applyFill="1" applyBorder="1" applyAlignment="1">
      <alignment horizontal="center"/>
    </xf>
    <xf numFmtId="172" fontId="18" fillId="0" borderId="0" xfId="0" applyNumberFormat="1" applyFont="1" applyBorder="1"/>
    <xf numFmtId="180" fontId="18" fillId="0" borderId="0" xfId="0" applyNumberFormat="1" applyFont="1" applyBorder="1"/>
    <xf numFmtId="181" fontId="33" fillId="0" borderId="0" xfId="3" applyNumberFormat="1" applyFont="1" applyBorder="1"/>
    <xf numFmtId="0" fontId="12" fillId="8" borderId="0" xfId="0" applyFont="1" applyFill="1"/>
    <xf numFmtId="0" fontId="23" fillId="8" borderId="0" xfId="0" applyFont="1" applyFill="1" applyAlignment="1"/>
    <xf numFmtId="0" fontId="25" fillId="8" borderId="0" xfId="0" applyFont="1" applyFill="1"/>
    <xf numFmtId="167" fontId="18" fillId="0" borderId="0" xfId="3" applyNumberFormat="1" applyFont="1" applyBorder="1"/>
    <xf numFmtId="0" fontId="18" fillId="0" borderId="7" xfId="3" applyFont="1" applyFill="1" applyBorder="1"/>
    <xf numFmtId="167" fontId="18" fillId="0" borderId="7" xfId="3" applyNumberFormat="1" applyFont="1" applyBorder="1"/>
    <xf numFmtId="170" fontId="18" fillId="0" borderId="0" xfId="2" applyNumberFormat="1" applyFont="1" applyBorder="1"/>
    <xf numFmtId="195" fontId="18" fillId="0" borderId="3" xfId="3" applyNumberFormat="1" applyFont="1" applyBorder="1"/>
    <xf numFmtId="0" fontId="18" fillId="0" borderId="18" xfId="3" applyFont="1" applyBorder="1"/>
    <xf numFmtId="167" fontId="18" fillId="0" borderId="0" xfId="3" applyNumberFormat="1" applyFont="1" applyFill="1" applyBorder="1"/>
    <xf numFmtId="0" fontId="18" fillId="0" borderId="19" xfId="3" applyFont="1" applyBorder="1"/>
    <xf numFmtId="167" fontId="18" fillId="0" borderId="3" xfId="3" applyNumberFormat="1" applyFont="1" applyBorder="1"/>
    <xf numFmtId="166" fontId="18" fillId="0" borderId="2" xfId="3" applyNumberFormat="1" applyFont="1" applyBorder="1" applyAlignment="1">
      <alignment horizontal="center"/>
    </xf>
    <xf numFmtId="166" fontId="18" fillId="0" borderId="0" xfId="3" applyNumberFormat="1" applyFont="1" applyBorder="1" applyAlignment="1">
      <alignment horizontal="center"/>
    </xf>
    <xf numFmtId="197" fontId="18" fillId="0" borderId="0" xfId="0" applyNumberFormat="1" applyFont="1"/>
    <xf numFmtId="41" fontId="4" fillId="0" borderId="3" xfId="3" applyNumberFormat="1" applyFont="1" applyBorder="1"/>
    <xf numFmtId="43" fontId="18" fillId="0" borderId="0" xfId="4" applyNumberFormat="1" applyFont="1" applyBorder="1"/>
    <xf numFmtId="170" fontId="25" fillId="8" borderId="0" xfId="2" applyNumberFormat="1" applyFont="1" applyFill="1" applyBorder="1"/>
    <xf numFmtId="42" fontId="49" fillId="0" borderId="0" xfId="0" applyNumberFormat="1" applyFont="1"/>
    <xf numFmtId="167" fontId="4" fillId="0" borderId="0" xfId="0" applyNumberFormat="1" applyFont="1"/>
    <xf numFmtId="171" fontId="14" fillId="0" borderId="0" xfId="0" applyNumberFormat="1" applyFont="1" applyFill="1" applyBorder="1"/>
    <xf numFmtId="0" fontId="18" fillId="0" borderId="0" xfId="3" applyFont="1" applyBorder="1" applyAlignment="1">
      <alignment horizontal="left"/>
    </xf>
    <xf numFmtId="167" fontId="4" fillId="0" borderId="0" xfId="3" applyNumberFormat="1" applyFont="1" applyBorder="1"/>
    <xf numFmtId="41" fontId="9" fillId="0" borderId="0" xfId="3" applyNumberFormat="1" applyFont="1" applyBorder="1"/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170" fontId="18" fillId="0" borderId="20" xfId="2" applyNumberFormat="1" applyFont="1" applyBorder="1" applyAlignment="1">
      <alignment horizontal="center"/>
    </xf>
    <xf numFmtId="0" fontId="13" fillId="0" borderId="0" xfId="3" applyFont="1" applyFill="1" applyBorder="1"/>
    <xf numFmtId="0" fontId="13" fillId="0" borderId="0" xfId="3" applyFont="1" applyBorder="1"/>
    <xf numFmtId="41" fontId="13" fillId="0" borderId="0" xfId="3" applyNumberFormat="1" applyFont="1" applyBorder="1" applyAlignment="1">
      <alignment horizontal="right"/>
    </xf>
    <xf numFmtId="43" fontId="18" fillId="0" borderId="0" xfId="0" applyNumberFormat="1" applyFont="1"/>
    <xf numFmtId="0" fontId="10" fillId="0" borderId="0" xfId="0" applyFont="1" applyFill="1" applyBorder="1"/>
    <xf numFmtId="0" fontId="12" fillId="0" borderId="0" xfId="0" applyFont="1" applyFill="1" applyBorder="1"/>
    <xf numFmtId="167" fontId="18" fillId="0" borderId="0" xfId="0" applyNumberFormat="1" applyFont="1" applyFill="1" applyBorder="1"/>
    <xf numFmtId="0" fontId="25" fillId="2" borderId="0" xfId="0" applyFont="1" applyFill="1" applyBorder="1" applyAlignment="1">
      <alignment horizontal="center"/>
    </xf>
    <xf numFmtId="39" fontId="18" fillId="0" borderId="0" xfId="0" applyNumberFormat="1" applyFont="1" applyBorder="1"/>
    <xf numFmtId="39" fontId="18" fillId="0" borderId="0" xfId="0" applyNumberFormat="1" applyFont="1"/>
    <xf numFmtId="0" fontId="12" fillId="8" borderId="0" xfId="0" applyFont="1" applyFill="1" applyAlignment="1">
      <alignment horizontal="center"/>
    </xf>
    <xf numFmtId="0" fontId="46" fillId="0" borderId="0" xfId="0" applyFont="1" applyAlignment="1">
      <alignment horizontal="left"/>
    </xf>
    <xf numFmtId="174" fontId="4" fillId="0" borderId="0" xfId="0" applyNumberFormat="1" applyFont="1"/>
    <xf numFmtId="171" fontId="12" fillId="8" borderId="2" xfId="0" applyNumberFormat="1" applyFont="1" applyFill="1" applyBorder="1"/>
    <xf numFmtId="173" fontId="12" fillId="8" borderId="1" xfId="0" applyNumberFormat="1" applyFont="1" applyFill="1" applyBorder="1"/>
    <xf numFmtId="0" fontId="12" fillId="8" borderId="0" xfId="0" applyFont="1" applyFill="1" applyAlignment="1">
      <alignment horizontal="centerContinuous"/>
    </xf>
    <xf numFmtId="167" fontId="4" fillId="0" borderId="2" xfId="4" applyNumberFormat="1" applyFont="1" applyBorder="1"/>
    <xf numFmtId="168" fontId="4" fillId="0" borderId="0" xfId="1" applyNumberFormat="1" applyFont="1"/>
    <xf numFmtId="167" fontId="9" fillId="0" borderId="4" xfId="4" applyNumberFormat="1" applyFont="1" applyBorder="1"/>
    <xf numFmtId="181" fontId="18" fillId="0" borderId="0" xfId="0" applyNumberFormat="1" applyFont="1"/>
    <xf numFmtId="0" fontId="4" fillId="0" borderId="0" xfId="0" applyFont="1" applyBorder="1"/>
    <xf numFmtId="0" fontId="47" fillId="0" borderId="0" xfId="0" applyFont="1" applyBorder="1"/>
    <xf numFmtId="167" fontId="4" fillId="0" borderId="0" xfId="4" applyNumberFormat="1" applyFont="1" applyBorder="1"/>
    <xf numFmtId="167" fontId="10" fillId="0" borderId="0" xfId="4" applyNumberFormat="1" applyFont="1"/>
    <xf numFmtId="10" fontId="10" fillId="0" borderId="0" xfId="2" applyNumberFormat="1" applyFont="1"/>
    <xf numFmtId="167" fontId="4" fillId="0" borderId="0" xfId="0" applyNumberFormat="1" applyFont="1" applyBorder="1"/>
    <xf numFmtId="167" fontId="28" fillId="0" borderId="0" xfId="0" applyNumberFormat="1" applyFont="1"/>
    <xf numFmtId="8" fontId="18" fillId="0" borderId="0" xfId="0" applyNumberFormat="1" applyFont="1"/>
    <xf numFmtId="10" fontId="18" fillId="0" borderId="0" xfId="0" applyNumberFormat="1" applyFont="1"/>
    <xf numFmtId="168" fontId="19" fillId="0" borderId="0" xfId="1" applyNumberFormat="1" applyFont="1"/>
    <xf numFmtId="41" fontId="9" fillId="0" borderId="2" xfId="0" applyNumberFormat="1" applyFont="1" applyFill="1" applyBorder="1"/>
    <xf numFmtId="41" fontId="9" fillId="0" borderId="4" xfId="0" applyNumberFormat="1" applyFont="1" applyBorder="1"/>
    <xf numFmtId="41" fontId="4" fillId="0" borderId="0" xfId="0" applyNumberFormat="1" applyFont="1" applyFill="1"/>
    <xf numFmtId="37" fontId="18" fillId="0" borderId="0" xfId="0" applyNumberFormat="1" applyFont="1"/>
    <xf numFmtId="197" fontId="18" fillId="0" borderId="0" xfId="0" applyNumberFormat="1" applyFont="1" applyFill="1" applyBorder="1"/>
    <xf numFmtId="41" fontId="19" fillId="0" borderId="2" xfId="0" applyNumberFormat="1" applyFont="1" applyBorder="1"/>
    <xf numFmtId="167" fontId="19" fillId="0" borderId="0" xfId="0" applyNumberFormat="1" applyFont="1" applyFill="1"/>
    <xf numFmtId="0" fontId="16" fillId="0" borderId="0" xfId="0" applyFont="1" applyBorder="1" applyAlignment="1">
      <alignment horizontal="center"/>
    </xf>
    <xf numFmtId="3" fontId="18" fillId="0" borderId="0" xfId="0" applyNumberFormat="1" applyFont="1"/>
    <xf numFmtId="41" fontId="19" fillId="0" borderId="0" xfId="0" applyNumberFormat="1" applyFont="1" applyFill="1"/>
    <xf numFmtId="0" fontId="19" fillId="0" borderId="0" xfId="3" applyFont="1" applyBorder="1"/>
    <xf numFmtId="42" fontId="16" fillId="0" borderId="0" xfId="0" applyNumberFormat="1" applyFont="1" applyBorder="1"/>
    <xf numFmtId="43" fontId="18" fillId="0" borderId="0" xfId="0" applyNumberFormat="1" applyFont="1" applyFill="1" applyBorder="1"/>
    <xf numFmtId="173" fontId="4" fillId="0" borderId="0" xfId="0" applyNumberFormat="1" applyFont="1"/>
    <xf numFmtId="167" fontId="3" fillId="0" borderId="7" xfId="4" applyNumberFormat="1" applyFont="1" applyBorder="1"/>
    <xf numFmtId="167" fontId="19" fillId="0" borderId="0" xfId="4" applyNumberFormat="1" applyFont="1" applyBorder="1"/>
    <xf numFmtId="9" fontId="19" fillId="0" borderId="0" xfId="2" applyNumberFormat="1" applyFont="1" applyBorder="1"/>
    <xf numFmtId="9" fontId="3" fillId="0" borderId="7" xfId="2" applyNumberFormat="1" applyFont="1" applyBorder="1"/>
    <xf numFmtId="170" fontId="20" fillId="0" borderId="20" xfId="2" applyNumberFormat="1" applyFont="1" applyBorder="1" applyAlignment="1">
      <alignment horizontal="center"/>
    </xf>
    <xf numFmtId="41" fontId="18" fillId="0" borderId="0" xfId="0" applyNumberFormat="1" applyFont="1" applyFill="1" applyBorder="1"/>
    <xf numFmtId="168" fontId="18" fillId="0" borderId="0" xfId="3" applyNumberFormat="1" applyFont="1" applyBorder="1"/>
    <xf numFmtId="170" fontId="18" fillId="0" borderId="3" xfId="2" applyNumberFormat="1" applyFont="1" applyBorder="1"/>
    <xf numFmtId="43" fontId="10" fillId="0" borderId="0" xfId="0" applyNumberFormat="1" applyFont="1"/>
    <xf numFmtId="194" fontId="4" fillId="0" borderId="0" xfId="3" applyNumberFormat="1" applyFont="1" applyBorder="1" applyAlignment="1">
      <alignment horizontal="right"/>
    </xf>
    <xf numFmtId="2" fontId="18" fillId="0" borderId="0" xfId="0" applyNumberFormat="1" applyFont="1"/>
    <xf numFmtId="2" fontId="19" fillId="0" borderId="0" xfId="0" applyNumberFormat="1" applyFont="1"/>
    <xf numFmtId="194" fontId="19" fillId="0" borderId="0" xfId="3" applyNumberFormat="1" applyFont="1" applyBorder="1"/>
    <xf numFmtId="172" fontId="3" fillId="0" borderId="0" xfId="3" applyNumberFormat="1" applyFont="1" applyBorder="1" applyAlignment="1">
      <alignment horizontal="right"/>
    </xf>
    <xf numFmtId="176" fontId="4" fillId="0" borderId="0" xfId="0" applyNumberFormat="1" applyFont="1" applyAlignment="1">
      <alignment horizontal="center"/>
    </xf>
    <xf numFmtId="174" fontId="18" fillId="0" borderId="3" xfId="0" applyNumberFormat="1" applyFont="1" applyBorder="1"/>
    <xf numFmtId="174" fontId="16" fillId="0" borderId="4" xfId="0" applyNumberFormat="1" applyFont="1" applyBorder="1"/>
    <xf numFmtId="9" fontId="18" fillId="0" borderId="0" xfId="2" applyFont="1"/>
    <xf numFmtId="0" fontId="4" fillId="0" borderId="0" xfId="3" applyNumberFormat="1" applyFont="1" applyBorder="1" applyAlignment="1">
      <alignment horizontal="center"/>
    </xf>
    <xf numFmtId="0" fontId="16" fillId="0" borderId="1" xfId="3" applyFont="1" applyBorder="1" applyAlignment="1">
      <alignment horizontal="center"/>
    </xf>
    <xf numFmtId="170" fontId="19" fillId="0" borderId="0" xfId="2" applyNumberFormat="1" applyFont="1" applyBorder="1"/>
    <xf numFmtId="170" fontId="4" fillId="0" borderId="0" xfId="2" applyNumberFormat="1" applyFont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25" fillId="2" borderId="1" xfId="0" applyFont="1" applyFill="1" applyBorder="1"/>
    <xf numFmtId="165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right"/>
    </xf>
    <xf numFmtId="168" fontId="18" fillId="0" borderId="0" xfId="1" applyNumberFormat="1" applyFont="1"/>
    <xf numFmtId="170" fontId="3" fillId="0" borderId="0" xfId="2" applyNumberFormat="1" applyFont="1" applyBorder="1"/>
    <xf numFmtId="10" fontId="3" fillId="0" borderId="0" xfId="2" applyNumberFormat="1" applyFont="1" applyBorder="1"/>
    <xf numFmtId="43" fontId="18" fillId="0" borderId="0" xfId="3" applyNumberFormat="1" applyFont="1" applyBorder="1"/>
    <xf numFmtId="168" fontId="18" fillId="0" borderId="0" xfId="0" applyNumberFormat="1" applyFont="1"/>
    <xf numFmtId="166" fontId="22" fillId="0" borderId="1" xfId="0" applyNumberFormat="1" applyFont="1" applyBorder="1" applyAlignment="1">
      <alignment horizontal="center"/>
    </xf>
    <xf numFmtId="166" fontId="12" fillId="2" borderId="0" xfId="0" applyNumberFormat="1" applyFont="1" applyFill="1" applyBorder="1" applyAlignment="1">
      <alignment horizontal="right"/>
    </xf>
    <xf numFmtId="9" fontId="19" fillId="0" borderId="0" xfId="2" applyFont="1" applyBorder="1"/>
    <xf numFmtId="166" fontId="9" fillId="0" borderId="1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5" fillId="9" borderId="0" xfId="3" applyFont="1" applyFill="1" applyBorder="1" applyAlignment="1">
      <alignment horizontal="center"/>
    </xf>
    <xf numFmtId="37" fontId="19" fillId="0" borderId="0" xfId="1" applyNumberFormat="1" applyFont="1"/>
    <xf numFmtId="172" fontId="19" fillId="0" borderId="0" xfId="3" applyNumberFormat="1" applyFont="1" applyBorder="1"/>
    <xf numFmtId="180" fontId="20" fillId="0" borderId="0" xfId="3" applyNumberFormat="1" applyFont="1" applyBorder="1" applyAlignment="1">
      <alignment horizontal="center"/>
    </xf>
    <xf numFmtId="0" fontId="20" fillId="0" borderId="0" xfId="0" applyFont="1" applyBorder="1"/>
    <xf numFmtId="0" fontId="28" fillId="0" borderId="0" xfId="0" applyFont="1" applyBorder="1"/>
    <xf numFmtId="0" fontId="9" fillId="0" borderId="4" xfId="0" applyFont="1" applyBorder="1"/>
    <xf numFmtId="190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41" fontId="50" fillId="0" borderId="0" xfId="0" applyNumberFormat="1" applyFont="1"/>
    <xf numFmtId="0" fontId="51" fillId="0" borderId="0" xfId="0" applyFont="1"/>
    <xf numFmtId="0" fontId="51" fillId="0" borderId="3" xfId="0" applyFont="1" applyBorder="1" applyAlignment="1">
      <alignment horizontal="center"/>
    </xf>
    <xf numFmtId="198" fontId="0" fillId="0" borderId="0" xfId="0" applyNumberFormat="1"/>
    <xf numFmtId="43" fontId="0" fillId="0" borderId="0" xfId="0" applyNumberFormat="1"/>
    <xf numFmtId="167" fontId="0" fillId="0" borderId="0" xfId="4" applyNumberFormat="1" applyFont="1"/>
    <xf numFmtId="0" fontId="0" fillId="0" borderId="0" xfId="0" applyAlignment="1">
      <alignment horizontal="left" indent="1"/>
    </xf>
    <xf numFmtId="0" fontId="51" fillId="0" borderId="0" xfId="0" applyFont="1" applyAlignment="1">
      <alignment horizontal="left" indent="1"/>
    </xf>
    <xf numFmtId="167" fontId="0" fillId="0" borderId="3" xfId="4" applyNumberFormat="1" applyFont="1" applyBorder="1"/>
    <xf numFmtId="168" fontId="51" fillId="0" borderId="0" xfId="1" applyNumberFormat="1" applyFont="1"/>
    <xf numFmtId="0" fontId="52" fillId="0" borderId="1" xfId="0" applyFont="1" applyBorder="1"/>
    <xf numFmtId="0" fontId="0" fillId="0" borderId="1" xfId="0" applyFont="1" applyBorder="1"/>
    <xf numFmtId="0" fontId="0" fillId="0" borderId="0" xfId="0" applyFont="1"/>
    <xf numFmtId="0" fontId="53" fillId="0" borderId="0" xfId="0" applyFont="1"/>
    <xf numFmtId="0" fontId="54" fillId="0" borderId="0" xfId="3" applyFont="1" applyBorder="1" applyAlignment="1">
      <alignment horizontal="center"/>
    </xf>
    <xf numFmtId="0" fontId="55" fillId="8" borderId="0" xfId="0" applyFont="1" applyFill="1"/>
    <xf numFmtId="0" fontId="56" fillId="8" borderId="0" xfId="0" applyFont="1" applyFill="1"/>
    <xf numFmtId="0" fontId="55" fillId="0" borderId="0" xfId="0" applyFont="1" applyFill="1"/>
    <xf numFmtId="0" fontId="56" fillId="0" borderId="0" xfId="0" applyFont="1" applyFill="1"/>
    <xf numFmtId="0" fontId="57" fillId="0" borderId="0" xfId="0" applyFont="1"/>
    <xf numFmtId="0" fontId="55" fillId="2" borderId="13" xfId="0" applyFont="1" applyFill="1" applyBorder="1" applyAlignment="1">
      <alignment horizontal="centerContinuous"/>
    </xf>
    <xf numFmtId="0" fontId="55" fillId="0" borderId="0" xfId="0" applyFont="1" applyFill="1" applyBorder="1" applyAlignment="1"/>
    <xf numFmtId="0" fontId="55" fillId="2" borderId="0" xfId="0" applyFont="1" applyFill="1" applyBorder="1" applyAlignment="1">
      <alignment horizontal="centerContinuous"/>
    </xf>
    <xf numFmtId="165" fontId="58" fillId="0" borderId="1" xfId="0" applyNumberFormat="1" applyFont="1" applyBorder="1" applyAlignment="1">
      <alignment horizontal="center"/>
    </xf>
    <xf numFmtId="166" fontId="58" fillId="0" borderId="14" xfId="0" applyNumberFormat="1" applyFont="1" applyBorder="1" applyAlignment="1">
      <alignment horizontal="center"/>
    </xf>
    <xf numFmtId="166" fontId="58" fillId="0" borderId="1" xfId="0" applyNumberFormat="1" applyFont="1" applyBorder="1" applyAlignment="1">
      <alignment horizontal="center"/>
    </xf>
    <xf numFmtId="166" fontId="58" fillId="0" borderId="0" xfId="0" applyNumberFormat="1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54" fillId="0" borderId="0" xfId="0" applyFont="1"/>
    <xf numFmtId="42" fontId="54" fillId="0" borderId="0" xfId="0" applyNumberFormat="1" applyFont="1"/>
    <xf numFmtId="42" fontId="54" fillId="0" borderId="22" xfId="0" applyNumberFormat="1" applyFont="1" applyBorder="1"/>
    <xf numFmtId="42" fontId="54" fillId="0" borderId="0" xfId="0" applyNumberFormat="1" applyFont="1" applyFill="1" applyBorder="1"/>
    <xf numFmtId="171" fontId="60" fillId="0" borderId="0" xfId="0" applyNumberFormat="1" applyFont="1"/>
    <xf numFmtId="0" fontId="60" fillId="0" borderId="0" xfId="0" applyFont="1" applyAlignment="1">
      <alignment horizontal="left" indent="1"/>
    </xf>
    <xf numFmtId="171" fontId="60" fillId="0" borderId="0" xfId="0" applyNumberFormat="1" applyFont="1" applyFill="1" applyBorder="1" applyAlignment="1">
      <alignment horizontal="right"/>
    </xf>
    <xf numFmtId="171" fontId="61" fillId="0" borderId="0" xfId="0" applyNumberFormat="1" applyFont="1"/>
    <xf numFmtId="171" fontId="61" fillId="0" borderId="23" xfId="0" applyNumberFormat="1" applyFont="1" applyBorder="1"/>
    <xf numFmtId="171" fontId="61" fillId="0" borderId="0" xfId="0" applyNumberFormat="1" applyFont="1" applyFill="1" applyBorder="1"/>
    <xf numFmtId="0" fontId="53" fillId="0" borderId="0" xfId="0" applyFont="1" applyBorder="1"/>
    <xf numFmtId="0" fontId="53" fillId="0" borderId="23" xfId="0" applyFont="1" applyBorder="1"/>
    <xf numFmtId="0" fontId="53" fillId="0" borderId="0" xfId="0" applyFont="1" applyFill="1"/>
    <xf numFmtId="0" fontId="53" fillId="0" borderId="0" xfId="0" applyFont="1" applyFill="1" applyBorder="1"/>
    <xf numFmtId="41" fontId="54" fillId="0" borderId="0" xfId="0" applyNumberFormat="1" applyFont="1"/>
    <xf numFmtId="41" fontId="54" fillId="0" borderId="23" xfId="0" applyNumberFormat="1" applyFont="1" applyBorder="1"/>
    <xf numFmtId="41" fontId="54" fillId="0" borderId="0" xfId="0" applyNumberFormat="1" applyFont="1" applyFill="1" applyBorder="1"/>
    <xf numFmtId="171" fontId="60" fillId="0" borderId="0" xfId="0" applyNumberFormat="1" applyFont="1" applyBorder="1"/>
    <xf numFmtId="167" fontId="53" fillId="0" borderId="2" xfId="4" applyNumberFormat="1" applyFont="1" applyBorder="1"/>
    <xf numFmtId="167" fontId="53" fillId="0" borderId="24" xfId="4" applyNumberFormat="1" applyFont="1" applyBorder="1"/>
    <xf numFmtId="167" fontId="53" fillId="0" borderId="2" xfId="4" applyNumberFormat="1" applyFont="1" applyFill="1" applyBorder="1"/>
    <xf numFmtId="167" fontId="53" fillId="0" borderId="0" xfId="4" applyNumberFormat="1" applyFont="1" applyFill="1" applyBorder="1"/>
    <xf numFmtId="41" fontId="62" fillId="0" borderId="0" xfId="0" applyNumberFormat="1" applyFont="1"/>
    <xf numFmtId="41" fontId="62" fillId="0" borderId="0" xfId="0" applyNumberFormat="1" applyFont="1" applyBorder="1"/>
    <xf numFmtId="41" fontId="62" fillId="0" borderId="23" xfId="0" applyNumberFormat="1" applyFont="1" applyBorder="1"/>
    <xf numFmtId="41" fontId="62" fillId="0" borderId="0" xfId="0" applyNumberFormat="1" applyFont="1" applyFill="1" applyBorder="1"/>
    <xf numFmtId="0" fontId="62" fillId="0" borderId="0" xfId="0" applyFont="1"/>
    <xf numFmtId="41" fontId="62" fillId="0" borderId="25" xfId="0" applyNumberFormat="1" applyFont="1" applyBorder="1"/>
    <xf numFmtId="0" fontId="58" fillId="7" borderId="2" xfId="0" applyFont="1" applyFill="1" applyBorder="1"/>
    <xf numFmtId="42" fontId="58" fillId="7" borderId="2" xfId="0" applyNumberFormat="1" applyFont="1" applyFill="1" applyBorder="1"/>
    <xf numFmtId="42" fontId="58" fillId="7" borderId="15" xfId="0" applyNumberFormat="1" applyFont="1" applyFill="1" applyBorder="1"/>
    <xf numFmtId="42" fontId="58" fillId="0" borderId="0" xfId="0" applyNumberFormat="1" applyFont="1" applyFill="1" applyBorder="1"/>
    <xf numFmtId="171" fontId="63" fillId="7" borderId="2" xfId="0" applyNumberFormat="1" applyFont="1" applyFill="1" applyBorder="1"/>
    <xf numFmtId="0" fontId="63" fillId="7" borderId="3" xfId="0" applyFont="1" applyFill="1" applyBorder="1" applyAlignment="1">
      <alignment horizontal="left" indent="1"/>
    </xf>
    <xf numFmtId="171" fontId="63" fillId="7" borderId="3" xfId="0" applyNumberFormat="1" applyFont="1" applyFill="1" applyBorder="1"/>
    <xf numFmtId="171" fontId="63" fillId="7" borderId="16" xfId="0" applyNumberFormat="1" applyFont="1" applyFill="1" applyBorder="1"/>
    <xf numFmtId="171" fontId="63" fillId="0" borderId="0" xfId="0" applyNumberFormat="1" applyFont="1" applyFill="1" applyBorder="1"/>
    <xf numFmtId="171" fontId="63" fillId="7" borderId="0" xfId="0" applyNumberFormat="1" applyFont="1" applyFill="1" applyBorder="1"/>
    <xf numFmtId="167" fontId="54" fillId="0" borderId="0" xfId="4" applyNumberFormat="1" applyFont="1"/>
    <xf numFmtId="42" fontId="54" fillId="0" borderId="0" xfId="0" applyNumberFormat="1" applyFont="1" applyBorder="1"/>
    <xf numFmtId="171" fontId="61" fillId="0" borderId="0" xfId="0" applyNumberFormat="1" applyFont="1" applyBorder="1"/>
    <xf numFmtId="171" fontId="61" fillId="0" borderId="12" xfId="0" applyNumberFormat="1" applyFont="1" applyBorder="1"/>
    <xf numFmtId="171" fontId="61" fillId="0" borderId="0" xfId="0" applyNumberFormat="1" applyFont="1" applyFill="1"/>
    <xf numFmtId="170" fontId="19" fillId="0" borderId="0" xfId="2" applyNumberFormat="1" applyFont="1"/>
    <xf numFmtId="170" fontId="20" fillId="0" borderId="0" xfId="2" applyNumberFormat="1" applyFont="1" applyBorder="1" applyAlignment="1">
      <alignment horizontal="center"/>
    </xf>
    <xf numFmtId="199" fontId="18" fillId="0" borderId="0" xfId="0" applyNumberFormat="1" applyFont="1"/>
    <xf numFmtId="0" fontId="9" fillId="0" borderId="14" xfId="0" applyNumberFormat="1" applyFont="1" applyBorder="1" applyAlignment="1">
      <alignment horizontal="center"/>
    </xf>
    <xf numFmtId="37" fontId="18" fillId="0" borderId="0" xfId="0" applyNumberFormat="1" applyFont="1" applyBorder="1"/>
    <xf numFmtId="37" fontId="9" fillId="0" borderId="4" xfId="0" applyNumberFormat="1" applyFont="1" applyBorder="1"/>
    <xf numFmtId="167" fontId="16" fillId="0" borderId="4" xfId="0" applyNumberFormat="1" applyFont="1" applyBorder="1"/>
    <xf numFmtId="41" fontId="9" fillId="0" borderId="10" xfId="3" applyNumberFormat="1" applyFont="1" applyBorder="1"/>
    <xf numFmtId="41" fontId="0" fillId="0" borderId="0" xfId="0" applyNumberFormat="1" applyFont="1"/>
    <xf numFmtId="0" fontId="16" fillId="0" borderId="0" xfId="0" applyFont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55" fillId="6" borderId="21" xfId="0" applyFont="1" applyFill="1" applyBorder="1" applyAlignment="1">
      <alignment horizontal="center"/>
    </xf>
    <xf numFmtId="0" fontId="55" fillId="6" borderId="0" xfId="0" applyFont="1" applyFill="1" applyBorder="1" applyAlignment="1">
      <alignment horizontal="center"/>
    </xf>
    <xf numFmtId="0" fontId="55" fillId="2" borderId="0" xfId="0" applyFont="1" applyFill="1" applyBorder="1" applyAlignment="1">
      <alignment horizontal="center"/>
    </xf>
    <xf numFmtId="0" fontId="55" fillId="2" borderId="12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53" fillId="0" borderId="2" xfId="0" applyFont="1" applyBorder="1"/>
  </cellXfs>
  <cellStyles count="8">
    <cellStyle name="=C:\WINNT35\SYSTEM32\COMMAND.COM" xfId="3"/>
    <cellStyle name="Border Thin" xfId="7"/>
    <cellStyle name="Comma" xfId="4" builtinId="3"/>
    <cellStyle name="Currency" xfId="1" builtinId="4"/>
    <cellStyle name="Hyperlink" xfId="6" builtinId="8"/>
    <cellStyle name="Normal" xfId="0" builtinId="0"/>
    <cellStyle name="Normal 3" xfId="5"/>
    <cellStyle name="Percent" xfId="2" builtinId="5"/>
  </cellStyles>
  <dxfs count="0"/>
  <tableStyles count="0" defaultTableStyle="TableStyleMedium2" defaultPivotStyle="PivotStyleLight16"/>
  <colors>
    <mruColors>
      <color rgb="FF0000FF"/>
      <color rgb="FF28343C"/>
      <color rgb="FFE6F0FF"/>
      <color rgb="FFE6F0FA"/>
      <color rgb="FFECF1FE"/>
      <color rgb="FFE1E5F9"/>
      <color rgb="FFCC3300"/>
      <color rgb="FF7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rs.gov/pub/irs-pdf/p946.pdf" TargetMode="Externa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view="pageBreakPreview" zoomScale="80" zoomScaleNormal="100" zoomScaleSheetLayoutView="80" workbookViewId="0"/>
  </sheetViews>
  <sheetFormatPr defaultColWidth="9.140625" defaultRowHeight="13.5"/>
  <cols>
    <col min="1" max="1" width="12.7109375" style="2" customWidth="1"/>
    <col min="2" max="2" width="31.85546875" style="2" customWidth="1"/>
    <col min="3" max="3" width="10.5703125" style="2" bestFit="1" customWidth="1"/>
    <col min="4" max="13" width="11.28515625" style="2" customWidth="1"/>
    <col min="14" max="256" width="9.140625" style="2"/>
    <col min="257" max="257" width="12.7109375" style="2" customWidth="1"/>
    <col min="258" max="258" width="31.85546875" style="2" customWidth="1"/>
    <col min="259" max="259" width="10.5703125" style="2" bestFit="1" customWidth="1"/>
    <col min="260" max="269" width="11.28515625" style="2" customWidth="1"/>
    <col min="270" max="512" width="9.140625" style="2"/>
    <col min="513" max="513" width="12.7109375" style="2" customWidth="1"/>
    <col min="514" max="514" width="31.85546875" style="2" customWidth="1"/>
    <col min="515" max="515" width="10.5703125" style="2" bestFit="1" customWidth="1"/>
    <col min="516" max="525" width="11.28515625" style="2" customWidth="1"/>
    <col min="526" max="768" width="9.140625" style="2"/>
    <col min="769" max="769" width="12.7109375" style="2" customWidth="1"/>
    <col min="770" max="770" width="31.85546875" style="2" customWidth="1"/>
    <col min="771" max="771" width="10.5703125" style="2" bestFit="1" customWidth="1"/>
    <col min="772" max="781" width="11.28515625" style="2" customWidth="1"/>
    <col min="782" max="1024" width="9.140625" style="2"/>
    <col min="1025" max="1025" width="12.7109375" style="2" customWidth="1"/>
    <col min="1026" max="1026" width="31.85546875" style="2" customWidth="1"/>
    <col min="1027" max="1027" width="10.5703125" style="2" bestFit="1" customWidth="1"/>
    <col min="1028" max="1037" width="11.28515625" style="2" customWidth="1"/>
    <col min="1038" max="1280" width="9.140625" style="2"/>
    <col min="1281" max="1281" width="12.7109375" style="2" customWidth="1"/>
    <col min="1282" max="1282" width="31.85546875" style="2" customWidth="1"/>
    <col min="1283" max="1283" width="10.5703125" style="2" bestFit="1" customWidth="1"/>
    <col min="1284" max="1293" width="11.28515625" style="2" customWidth="1"/>
    <col min="1294" max="1536" width="9.140625" style="2"/>
    <col min="1537" max="1537" width="12.7109375" style="2" customWidth="1"/>
    <col min="1538" max="1538" width="31.85546875" style="2" customWidth="1"/>
    <col min="1539" max="1539" width="10.5703125" style="2" bestFit="1" customWidth="1"/>
    <col min="1540" max="1549" width="11.28515625" style="2" customWidth="1"/>
    <col min="1550" max="1792" width="9.140625" style="2"/>
    <col min="1793" max="1793" width="12.7109375" style="2" customWidth="1"/>
    <col min="1794" max="1794" width="31.85546875" style="2" customWidth="1"/>
    <col min="1795" max="1795" width="10.5703125" style="2" bestFit="1" customWidth="1"/>
    <col min="1796" max="1805" width="11.28515625" style="2" customWidth="1"/>
    <col min="1806" max="2048" width="9.140625" style="2"/>
    <col min="2049" max="2049" width="12.7109375" style="2" customWidth="1"/>
    <col min="2050" max="2050" width="31.85546875" style="2" customWidth="1"/>
    <col min="2051" max="2051" width="10.5703125" style="2" bestFit="1" customWidth="1"/>
    <col min="2052" max="2061" width="11.28515625" style="2" customWidth="1"/>
    <col min="2062" max="2304" width="9.140625" style="2"/>
    <col min="2305" max="2305" width="12.7109375" style="2" customWidth="1"/>
    <col min="2306" max="2306" width="31.85546875" style="2" customWidth="1"/>
    <col min="2307" max="2307" width="10.5703125" style="2" bestFit="1" customWidth="1"/>
    <col min="2308" max="2317" width="11.28515625" style="2" customWidth="1"/>
    <col min="2318" max="2560" width="9.140625" style="2"/>
    <col min="2561" max="2561" width="12.7109375" style="2" customWidth="1"/>
    <col min="2562" max="2562" width="31.85546875" style="2" customWidth="1"/>
    <col min="2563" max="2563" width="10.5703125" style="2" bestFit="1" customWidth="1"/>
    <col min="2564" max="2573" width="11.28515625" style="2" customWidth="1"/>
    <col min="2574" max="2816" width="9.140625" style="2"/>
    <col min="2817" max="2817" width="12.7109375" style="2" customWidth="1"/>
    <col min="2818" max="2818" width="31.85546875" style="2" customWidth="1"/>
    <col min="2819" max="2819" width="10.5703125" style="2" bestFit="1" customWidth="1"/>
    <col min="2820" max="2829" width="11.28515625" style="2" customWidth="1"/>
    <col min="2830" max="3072" width="9.140625" style="2"/>
    <col min="3073" max="3073" width="12.7109375" style="2" customWidth="1"/>
    <col min="3074" max="3074" width="31.85546875" style="2" customWidth="1"/>
    <col min="3075" max="3075" width="10.5703125" style="2" bestFit="1" customWidth="1"/>
    <col min="3076" max="3085" width="11.28515625" style="2" customWidth="1"/>
    <col min="3086" max="3328" width="9.140625" style="2"/>
    <col min="3329" max="3329" width="12.7109375" style="2" customWidth="1"/>
    <col min="3330" max="3330" width="31.85546875" style="2" customWidth="1"/>
    <col min="3331" max="3331" width="10.5703125" style="2" bestFit="1" customWidth="1"/>
    <col min="3332" max="3341" width="11.28515625" style="2" customWidth="1"/>
    <col min="3342" max="3584" width="9.140625" style="2"/>
    <col min="3585" max="3585" width="12.7109375" style="2" customWidth="1"/>
    <col min="3586" max="3586" width="31.85546875" style="2" customWidth="1"/>
    <col min="3587" max="3587" width="10.5703125" style="2" bestFit="1" customWidth="1"/>
    <col min="3588" max="3597" width="11.28515625" style="2" customWidth="1"/>
    <col min="3598" max="3840" width="9.140625" style="2"/>
    <col min="3841" max="3841" width="12.7109375" style="2" customWidth="1"/>
    <col min="3842" max="3842" width="31.85546875" style="2" customWidth="1"/>
    <col min="3843" max="3843" width="10.5703125" style="2" bestFit="1" customWidth="1"/>
    <col min="3844" max="3853" width="11.28515625" style="2" customWidth="1"/>
    <col min="3854" max="4096" width="9.140625" style="2"/>
    <col min="4097" max="4097" width="12.7109375" style="2" customWidth="1"/>
    <col min="4098" max="4098" width="31.85546875" style="2" customWidth="1"/>
    <col min="4099" max="4099" width="10.5703125" style="2" bestFit="1" customWidth="1"/>
    <col min="4100" max="4109" width="11.28515625" style="2" customWidth="1"/>
    <col min="4110" max="4352" width="9.140625" style="2"/>
    <col min="4353" max="4353" width="12.7109375" style="2" customWidth="1"/>
    <col min="4354" max="4354" width="31.85546875" style="2" customWidth="1"/>
    <col min="4355" max="4355" width="10.5703125" style="2" bestFit="1" customWidth="1"/>
    <col min="4356" max="4365" width="11.28515625" style="2" customWidth="1"/>
    <col min="4366" max="4608" width="9.140625" style="2"/>
    <col min="4609" max="4609" width="12.7109375" style="2" customWidth="1"/>
    <col min="4610" max="4610" width="31.85546875" style="2" customWidth="1"/>
    <col min="4611" max="4611" width="10.5703125" style="2" bestFit="1" customWidth="1"/>
    <col min="4612" max="4621" width="11.28515625" style="2" customWidth="1"/>
    <col min="4622" max="4864" width="9.140625" style="2"/>
    <col min="4865" max="4865" width="12.7109375" style="2" customWidth="1"/>
    <col min="4866" max="4866" width="31.85546875" style="2" customWidth="1"/>
    <col min="4867" max="4867" width="10.5703125" style="2" bestFit="1" customWidth="1"/>
    <col min="4868" max="4877" width="11.28515625" style="2" customWidth="1"/>
    <col min="4878" max="5120" width="9.140625" style="2"/>
    <col min="5121" max="5121" width="12.7109375" style="2" customWidth="1"/>
    <col min="5122" max="5122" width="31.85546875" style="2" customWidth="1"/>
    <col min="5123" max="5123" width="10.5703125" style="2" bestFit="1" customWidth="1"/>
    <col min="5124" max="5133" width="11.28515625" style="2" customWidth="1"/>
    <col min="5134" max="5376" width="9.140625" style="2"/>
    <col min="5377" max="5377" width="12.7109375" style="2" customWidth="1"/>
    <col min="5378" max="5378" width="31.85546875" style="2" customWidth="1"/>
    <col min="5379" max="5379" width="10.5703125" style="2" bestFit="1" customWidth="1"/>
    <col min="5380" max="5389" width="11.28515625" style="2" customWidth="1"/>
    <col min="5390" max="5632" width="9.140625" style="2"/>
    <col min="5633" max="5633" width="12.7109375" style="2" customWidth="1"/>
    <col min="5634" max="5634" width="31.85546875" style="2" customWidth="1"/>
    <col min="5635" max="5635" width="10.5703125" style="2" bestFit="1" customWidth="1"/>
    <col min="5636" max="5645" width="11.28515625" style="2" customWidth="1"/>
    <col min="5646" max="5888" width="9.140625" style="2"/>
    <col min="5889" max="5889" width="12.7109375" style="2" customWidth="1"/>
    <col min="5890" max="5890" width="31.85546875" style="2" customWidth="1"/>
    <col min="5891" max="5891" width="10.5703125" style="2" bestFit="1" customWidth="1"/>
    <col min="5892" max="5901" width="11.28515625" style="2" customWidth="1"/>
    <col min="5902" max="6144" width="9.140625" style="2"/>
    <col min="6145" max="6145" width="12.7109375" style="2" customWidth="1"/>
    <col min="6146" max="6146" width="31.85546875" style="2" customWidth="1"/>
    <col min="6147" max="6147" width="10.5703125" style="2" bestFit="1" customWidth="1"/>
    <col min="6148" max="6157" width="11.28515625" style="2" customWidth="1"/>
    <col min="6158" max="6400" width="9.140625" style="2"/>
    <col min="6401" max="6401" width="12.7109375" style="2" customWidth="1"/>
    <col min="6402" max="6402" width="31.85546875" style="2" customWidth="1"/>
    <col min="6403" max="6403" width="10.5703125" style="2" bestFit="1" customWidth="1"/>
    <col min="6404" max="6413" width="11.28515625" style="2" customWidth="1"/>
    <col min="6414" max="6656" width="9.140625" style="2"/>
    <col min="6657" max="6657" width="12.7109375" style="2" customWidth="1"/>
    <col min="6658" max="6658" width="31.85546875" style="2" customWidth="1"/>
    <col min="6659" max="6659" width="10.5703125" style="2" bestFit="1" customWidth="1"/>
    <col min="6660" max="6669" width="11.28515625" style="2" customWidth="1"/>
    <col min="6670" max="6912" width="9.140625" style="2"/>
    <col min="6913" max="6913" width="12.7109375" style="2" customWidth="1"/>
    <col min="6914" max="6914" width="31.85546875" style="2" customWidth="1"/>
    <col min="6915" max="6915" width="10.5703125" style="2" bestFit="1" customWidth="1"/>
    <col min="6916" max="6925" width="11.28515625" style="2" customWidth="1"/>
    <col min="6926" max="7168" width="9.140625" style="2"/>
    <col min="7169" max="7169" width="12.7109375" style="2" customWidth="1"/>
    <col min="7170" max="7170" width="31.85546875" style="2" customWidth="1"/>
    <col min="7171" max="7171" width="10.5703125" style="2" bestFit="1" customWidth="1"/>
    <col min="7172" max="7181" width="11.28515625" style="2" customWidth="1"/>
    <col min="7182" max="7424" width="9.140625" style="2"/>
    <col min="7425" max="7425" width="12.7109375" style="2" customWidth="1"/>
    <col min="7426" max="7426" width="31.85546875" style="2" customWidth="1"/>
    <col min="7427" max="7427" width="10.5703125" style="2" bestFit="1" customWidth="1"/>
    <col min="7428" max="7437" width="11.28515625" style="2" customWidth="1"/>
    <col min="7438" max="7680" width="9.140625" style="2"/>
    <col min="7681" max="7681" width="12.7109375" style="2" customWidth="1"/>
    <col min="7682" max="7682" width="31.85546875" style="2" customWidth="1"/>
    <col min="7683" max="7683" width="10.5703125" style="2" bestFit="1" customWidth="1"/>
    <col min="7684" max="7693" width="11.28515625" style="2" customWidth="1"/>
    <col min="7694" max="7936" width="9.140625" style="2"/>
    <col min="7937" max="7937" width="12.7109375" style="2" customWidth="1"/>
    <col min="7938" max="7938" width="31.85546875" style="2" customWidth="1"/>
    <col min="7939" max="7939" width="10.5703125" style="2" bestFit="1" customWidth="1"/>
    <col min="7940" max="7949" width="11.28515625" style="2" customWidth="1"/>
    <col min="7950" max="8192" width="9.140625" style="2"/>
    <col min="8193" max="8193" width="12.7109375" style="2" customWidth="1"/>
    <col min="8194" max="8194" width="31.85546875" style="2" customWidth="1"/>
    <col min="8195" max="8195" width="10.5703125" style="2" bestFit="1" customWidth="1"/>
    <col min="8196" max="8205" width="11.28515625" style="2" customWidth="1"/>
    <col min="8206" max="8448" width="9.140625" style="2"/>
    <col min="8449" max="8449" width="12.7109375" style="2" customWidth="1"/>
    <col min="8450" max="8450" width="31.85546875" style="2" customWidth="1"/>
    <col min="8451" max="8451" width="10.5703125" style="2" bestFit="1" customWidth="1"/>
    <col min="8452" max="8461" width="11.28515625" style="2" customWidth="1"/>
    <col min="8462" max="8704" width="9.140625" style="2"/>
    <col min="8705" max="8705" width="12.7109375" style="2" customWidth="1"/>
    <col min="8706" max="8706" width="31.85546875" style="2" customWidth="1"/>
    <col min="8707" max="8707" width="10.5703125" style="2" bestFit="1" customWidth="1"/>
    <col min="8708" max="8717" width="11.28515625" style="2" customWidth="1"/>
    <col min="8718" max="8960" width="9.140625" style="2"/>
    <col min="8961" max="8961" width="12.7109375" style="2" customWidth="1"/>
    <col min="8962" max="8962" width="31.85546875" style="2" customWidth="1"/>
    <col min="8963" max="8963" width="10.5703125" style="2" bestFit="1" customWidth="1"/>
    <col min="8964" max="8973" width="11.28515625" style="2" customWidth="1"/>
    <col min="8974" max="9216" width="9.140625" style="2"/>
    <col min="9217" max="9217" width="12.7109375" style="2" customWidth="1"/>
    <col min="9218" max="9218" width="31.85546875" style="2" customWidth="1"/>
    <col min="9219" max="9219" width="10.5703125" style="2" bestFit="1" customWidth="1"/>
    <col min="9220" max="9229" width="11.28515625" style="2" customWidth="1"/>
    <col min="9230" max="9472" width="9.140625" style="2"/>
    <col min="9473" max="9473" width="12.7109375" style="2" customWidth="1"/>
    <col min="9474" max="9474" width="31.85546875" style="2" customWidth="1"/>
    <col min="9475" max="9475" width="10.5703125" style="2" bestFit="1" customWidth="1"/>
    <col min="9476" max="9485" width="11.28515625" style="2" customWidth="1"/>
    <col min="9486" max="9728" width="9.140625" style="2"/>
    <col min="9729" max="9729" width="12.7109375" style="2" customWidth="1"/>
    <col min="9730" max="9730" width="31.85546875" style="2" customWidth="1"/>
    <col min="9731" max="9731" width="10.5703125" style="2" bestFit="1" customWidth="1"/>
    <col min="9732" max="9741" width="11.28515625" style="2" customWidth="1"/>
    <col min="9742" max="9984" width="9.140625" style="2"/>
    <col min="9985" max="9985" width="12.7109375" style="2" customWidth="1"/>
    <col min="9986" max="9986" width="31.85546875" style="2" customWidth="1"/>
    <col min="9987" max="9987" width="10.5703125" style="2" bestFit="1" customWidth="1"/>
    <col min="9988" max="9997" width="11.28515625" style="2" customWidth="1"/>
    <col min="9998" max="10240" width="9.140625" style="2"/>
    <col min="10241" max="10241" width="12.7109375" style="2" customWidth="1"/>
    <col min="10242" max="10242" width="31.85546875" style="2" customWidth="1"/>
    <col min="10243" max="10243" width="10.5703125" style="2" bestFit="1" customWidth="1"/>
    <col min="10244" max="10253" width="11.28515625" style="2" customWidth="1"/>
    <col min="10254" max="10496" width="9.140625" style="2"/>
    <col min="10497" max="10497" width="12.7109375" style="2" customWidth="1"/>
    <col min="10498" max="10498" width="31.85546875" style="2" customWidth="1"/>
    <col min="10499" max="10499" width="10.5703125" style="2" bestFit="1" customWidth="1"/>
    <col min="10500" max="10509" width="11.28515625" style="2" customWidth="1"/>
    <col min="10510" max="10752" width="9.140625" style="2"/>
    <col min="10753" max="10753" width="12.7109375" style="2" customWidth="1"/>
    <col min="10754" max="10754" width="31.85546875" style="2" customWidth="1"/>
    <col min="10755" max="10755" width="10.5703125" style="2" bestFit="1" customWidth="1"/>
    <col min="10756" max="10765" width="11.28515625" style="2" customWidth="1"/>
    <col min="10766" max="11008" width="9.140625" style="2"/>
    <col min="11009" max="11009" width="12.7109375" style="2" customWidth="1"/>
    <col min="11010" max="11010" width="31.85546875" style="2" customWidth="1"/>
    <col min="11011" max="11011" width="10.5703125" style="2" bestFit="1" customWidth="1"/>
    <col min="11012" max="11021" width="11.28515625" style="2" customWidth="1"/>
    <col min="11022" max="11264" width="9.140625" style="2"/>
    <col min="11265" max="11265" width="12.7109375" style="2" customWidth="1"/>
    <col min="11266" max="11266" width="31.85546875" style="2" customWidth="1"/>
    <col min="11267" max="11267" width="10.5703125" style="2" bestFit="1" customWidth="1"/>
    <col min="11268" max="11277" width="11.28515625" style="2" customWidth="1"/>
    <col min="11278" max="11520" width="9.140625" style="2"/>
    <col min="11521" max="11521" width="12.7109375" style="2" customWidth="1"/>
    <col min="11522" max="11522" width="31.85546875" style="2" customWidth="1"/>
    <col min="11523" max="11523" width="10.5703125" style="2" bestFit="1" customWidth="1"/>
    <col min="11524" max="11533" width="11.28515625" style="2" customWidth="1"/>
    <col min="11534" max="11776" width="9.140625" style="2"/>
    <col min="11777" max="11777" width="12.7109375" style="2" customWidth="1"/>
    <col min="11778" max="11778" width="31.85546875" style="2" customWidth="1"/>
    <col min="11779" max="11779" width="10.5703125" style="2" bestFit="1" customWidth="1"/>
    <col min="11780" max="11789" width="11.28515625" style="2" customWidth="1"/>
    <col min="11790" max="12032" width="9.140625" style="2"/>
    <col min="12033" max="12033" width="12.7109375" style="2" customWidth="1"/>
    <col min="12034" max="12034" width="31.85546875" style="2" customWidth="1"/>
    <col min="12035" max="12035" width="10.5703125" style="2" bestFit="1" customWidth="1"/>
    <col min="12036" max="12045" width="11.28515625" style="2" customWidth="1"/>
    <col min="12046" max="12288" width="9.140625" style="2"/>
    <col min="12289" max="12289" width="12.7109375" style="2" customWidth="1"/>
    <col min="12290" max="12290" width="31.85546875" style="2" customWidth="1"/>
    <col min="12291" max="12291" width="10.5703125" style="2" bestFit="1" customWidth="1"/>
    <col min="12292" max="12301" width="11.28515625" style="2" customWidth="1"/>
    <col min="12302" max="12544" width="9.140625" style="2"/>
    <col min="12545" max="12545" width="12.7109375" style="2" customWidth="1"/>
    <col min="12546" max="12546" width="31.85546875" style="2" customWidth="1"/>
    <col min="12547" max="12547" width="10.5703125" style="2" bestFit="1" customWidth="1"/>
    <col min="12548" max="12557" width="11.28515625" style="2" customWidth="1"/>
    <col min="12558" max="12800" width="9.140625" style="2"/>
    <col min="12801" max="12801" width="12.7109375" style="2" customWidth="1"/>
    <col min="12802" max="12802" width="31.85546875" style="2" customWidth="1"/>
    <col min="12803" max="12803" width="10.5703125" style="2" bestFit="1" customWidth="1"/>
    <col min="12804" max="12813" width="11.28515625" style="2" customWidth="1"/>
    <col min="12814" max="13056" width="9.140625" style="2"/>
    <col min="13057" max="13057" width="12.7109375" style="2" customWidth="1"/>
    <col min="13058" max="13058" width="31.85546875" style="2" customWidth="1"/>
    <col min="13059" max="13059" width="10.5703125" style="2" bestFit="1" customWidth="1"/>
    <col min="13060" max="13069" width="11.28515625" style="2" customWidth="1"/>
    <col min="13070" max="13312" width="9.140625" style="2"/>
    <col min="13313" max="13313" width="12.7109375" style="2" customWidth="1"/>
    <col min="13314" max="13314" width="31.85546875" style="2" customWidth="1"/>
    <col min="13315" max="13315" width="10.5703125" style="2" bestFit="1" customWidth="1"/>
    <col min="13316" max="13325" width="11.28515625" style="2" customWidth="1"/>
    <col min="13326" max="13568" width="9.140625" style="2"/>
    <col min="13569" max="13569" width="12.7109375" style="2" customWidth="1"/>
    <col min="13570" max="13570" width="31.85546875" style="2" customWidth="1"/>
    <col min="13571" max="13571" width="10.5703125" style="2" bestFit="1" customWidth="1"/>
    <col min="13572" max="13581" width="11.28515625" style="2" customWidth="1"/>
    <col min="13582" max="13824" width="9.140625" style="2"/>
    <col min="13825" max="13825" width="12.7109375" style="2" customWidth="1"/>
    <col min="13826" max="13826" width="31.85546875" style="2" customWidth="1"/>
    <col min="13827" max="13827" width="10.5703125" style="2" bestFit="1" customWidth="1"/>
    <col min="13828" max="13837" width="11.28515625" style="2" customWidth="1"/>
    <col min="13838" max="14080" width="9.140625" style="2"/>
    <col min="14081" max="14081" width="12.7109375" style="2" customWidth="1"/>
    <col min="14082" max="14082" width="31.85546875" style="2" customWidth="1"/>
    <col min="14083" max="14083" width="10.5703125" style="2" bestFit="1" customWidth="1"/>
    <col min="14084" max="14093" width="11.28515625" style="2" customWidth="1"/>
    <col min="14094" max="14336" width="9.140625" style="2"/>
    <col min="14337" max="14337" width="12.7109375" style="2" customWidth="1"/>
    <col min="14338" max="14338" width="31.85546875" style="2" customWidth="1"/>
    <col min="14339" max="14339" width="10.5703125" style="2" bestFit="1" customWidth="1"/>
    <col min="14340" max="14349" width="11.28515625" style="2" customWidth="1"/>
    <col min="14350" max="14592" width="9.140625" style="2"/>
    <col min="14593" max="14593" width="12.7109375" style="2" customWidth="1"/>
    <col min="14594" max="14594" width="31.85546875" style="2" customWidth="1"/>
    <col min="14595" max="14595" width="10.5703125" style="2" bestFit="1" customWidth="1"/>
    <col min="14596" max="14605" width="11.28515625" style="2" customWidth="1"/>
    <col min="14606" max="14848" width="9.140625" style="2"/>
    <col min="14849" max="14849" width="12.7109375" style="2" customWidth="1"/>
    <col min="14850" max="14850" width="31.85546875" style="2" customWidth="1"/>
    <col min="14851" max="14851" width="10.5703125" style="2" bestFit="1" customWidth="1"/>
    <col min="14852" max="14861" width="11.28515625" style="2" customWidth="1"/>
    <col min="14862" max="15104" width="9.140625" style="2"/>
    <col min="15105" max="15105" width="12.7109375" style="2" customWidth="1"/>
    <col min="15106" max="15106" width="31.85546875" style="2" customWidth="1"/>
    <col min="15107" max="15107" width="10.5703125" style="2" bestFit="1" customWidth="1"/>
    <col min="15108" max="15117" width="11.28515625" style="2" customWidth="1"/>
    <col min="15118" max="15360" width="9.140625" style="2"/>
    <col min="15361" max="15361" width="12.7109375" style="2" customWidth="1"/>
    <col min="15362" max="15362" width="31.85546875" style="2" customWidth="1"/>
    <col min="15363" max="15363" width="10.5703125" style="2" bestFit="1" customWidth="1"/>
    <col min="15364" max="15373" width="11.28515625" style="2" customWidth="1"/>
    <col min="15374" max="15616" width="9.140625" style="2"/>
    <col min="15617" max="15617" width="12.7109375" style="2" customWidth="1"/>
    <col min="15618" max="15618" width="31.85546875" style="2" customWidth="1"/>
    <col min="15619" max="15619" width="10.5703125" style="2" bestFit="1" customWidth="1"/>
    <col min="15620" max="15629" width="11.28515625" style="2" customWidth="1"/>
    <col min="15630" max="15872" width="9.140625" style="2"/>
    <col min="15873" max="15873" width="12.7109375" style="2" customWidth="1"/>
    <col min="15874" max="15874" width="31.85546875" style="2" customWidth="1"/>
    <col min="15875" max="15875" width="10.5703125" style="2" bestFit="1" customWidth="1"/>
    <col min="15876" max="15885" width="11.28515625" style="2" customWidth="1"/>
    <col min="15886" max="16128" width="9.140625" style="2"/>
    <col min="16129" max="16129" width="12.7109375" style="2" customWidth="1"/>
    <col min="16130" max="16130" width="31.85546875" style="2" customWidth="1"/>
    <col min="16131" max="16131" width="10.5703125" style="2" bestFit="1" customWidth="1"/>
    <col min="16132" max="16141" width="11.28515625" style="2" customWidth="1"/>
    <col min="16142" max="16384" width="9.140625" style="2"/>
  </cols>
  <sheetData>
    <row r="1" spans="1:1">
      <c r="A1" s="1"/>
    </row>
    <row r="17" spans="2:13" ht="45.75">
      <c r="B17" s="3" t="s">
        <v>497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9" spans="2:13" ht="23.25">
      <c r="B19" s="4" t="s">
        <v>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1" spans="2:13" ht="23.25">
      <c r="B21" s="6">
        <f ca="1">TODAY()</f>
        <v>43119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3" spans="2:13" ht="20.25"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44" spans="2:13" ht="15"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</row>
    <row r="45" spans="2:1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2:13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2:1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13">
      <c r="B49" s="9"/>
      <c r="C49" s="9"/>
      <c r="D49" s="9"/>
      <c r="E49" s="11"/>
      <c r="F49" s="9"/>
      <c r="G49" s="9"/>
      <c r="H49" s="9"/>
      <c r="I49" s="9"/>
      <c r="J49" s="9"/>
      <c r="K49" s="9"/>
      <c r="L49" s="9"/>
      <c r="M49" s="9"/>
    </row>
    <row r="50" spans="2:1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2:13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2:13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2:13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2:13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2:13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2:13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2:13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2:13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2:13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2:13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2:13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2:13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2:13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2:13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2:13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2:13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2:13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2:13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2:13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2:13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2:13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2:13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2:13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2:13" ht="5.0999999999999996" customHeight="1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2:13" ht="1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2:13" ht="1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2:13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2:14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2:14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2:14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2:14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4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2:14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2:14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2:14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2:14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2:14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2:14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4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4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4">
      <c r="B94" s="9"/>
      <c r="C94" s="9"/>
      <c r="D94" s="9"/>
      <c r="E94" s="13"/>
      <c r="F94" s="13"/>
      <c r="G94" s="13"/>
      <c r="H94" s="13"/>
      <c r="I94" s="13"/>
      <c r="J94" s="13"/>
      <c r="K94" s="13"/>
      <c r="L94" s="13"/>
      <c r="M94" s="13"/>
      <c r="N94" s="14"/>
    </row>
    <row r="95" spans="2:14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2:14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13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2:13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2:13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</sheetData>
  <pageMargins left="0.7" right="0.7" top="0.75" bottom="0.75" header="0.3" footer="0.3"/>
  <pageSetup scale="50" orientation="landscape" r:id="rId1"/>
  <colBreaks count="1" manualBreakCount="1">
    <brk id="14" max="72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343C"/>
  </sheetPr>
  <dimension ref="A1"/>
  <sheetViews>
    <sheetView zoomScale="80" zoomScaleNormal="80"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zoomScale="80" zoomScaleNormal="80" workbookViewId="0"/>
  </sheetViews>
  <sheetFormatPr defaultColWidth="8.85546875" defaultRowHeight="16.5"/>
  <cols>
    <col min="1" max="1" width="2.7109375" style="15" customWidth="1"/>
    <col min="2" max="2" width="30.5703125" style="15" customWidth="1"/>
    <col min="3" max="3" width="15.7109375" style="15" customWidth="1"/>
    <col min="4" max="4" width="10.5703125" style="15" customWidth="1"/>
    <col min="5" max="5" width="3.7109375" style="15" bestFit="1" customWidth="1"/>
    <col min="6" max="6" width="29.42578125" style="15" bestFit="1" customWidth="1"/>
    <col min="7" max="7" width="15.7109375" style="15" customWidth="1"/>
    <col min="8" max="13" width="10.5703125" style="15" customWidth="1"/>
    <col min="14" max="16384" width="8.85546875" style="15"/>
  </cols>
  <sheetData>
    <row r="1" spans="1:7" ht="21" thickBot="1">
      <c r="A1" s="17" t="str">
        <f>Cover!$B$17</f>
        <v>Gamma Engineering</v>
      </c>
      <c r="B1" s="16"/>
      <c r="C1" s="16"/>
      <c r="D1" s="16"/>
      <c r="E1" s="16"/>
      <c r="F1" s="16"/>
      <c r="G1" s="16"/>
    </row>
    <row r="2" spans="1:7">
      <c r="A2" s="25" t="s">
        <v>336</v>
      </c>
    </row>
    <row r="4" spans="1:7">
      <c r="A4" s="55" t="s">
        <v>51</v>
      </c>
      <c r="B4" s="527" t="s">
        <v>410</v>
      </c>
      <c r="C4" s="527"/>
      <c r="E4" s="55" t="s">
        <v>51</v>
      </c>
      <c r="F4" s="527" t="s">
        <v>410</v>
      </c>
      <c r="G4" s="527"/>
    </row>
    <row r="5" spans="1:7" s="25" customFormat="1" ht="13.5">
      <c r="B5" s="120"/>
      <c r="C5" s="90"/>
      <c r="F5" s="120"/>
      <c r="G5" s="90"/>
    </row>
    <row r="6" spans="1:7" s="25" customFormat="1" ht="14.25" customHeight="1">
      <c r="B6" s="368" t="s">
        <v>395</v>
      </c>
      <c r="C6" s="372" t="s">
        <v>396</v>
      </c>
      <c r="F6" s="368" t="s">
        <v>395</v>
      </c>
      <c r="G6" s="372" t="s">
        <v>396</v>
      </c>
    </row>
    <row r="7" spans="1:7" ht="17.25" thickBot="1">
      <c r="B7" s="25"/>
      <c r="C7" s="236">
        <f>'Returns Analysis - 5 Year'!M6</f>
        <v>44561</v>
      </c>
      <c r="F7" s="25"/>
      <c r="G7" s="236">
        <f>C7</f>
        <v>44561</v>
      </c>
    </row>
    <row r="8" spans="1:7" ht="18" customHeight="1">
      <c r="B8" s="25" t="s">
        <v>397</v>
      </c>
      <c r="C8" s="298">
        <f ca="1">'Returns Analysis - 5 Year'!M10</f>
        <v>4951.7900000000009</v>
      </c>
      <c r="F8" s="25" t="s">
        <v>397</v>
      </c>
      <c r="G8" s="298">
        <f ca="1">C8</f>
        <v>4951.7900000000009</v>
      </c>
    </row>
    <row r="9" spans="1:7" ht="18" customHeight="1">
      <c r="B9" s="25" t="s">
        <v>398</v>
      </c>
      <c r="C9" s="400">
        <f>'Returns Analysis - 5 Year'!M9</f>
        <v>6.5</v>
      </c>
      <c r="F9" s="25" t="s">
        <v>398</v>
      </c>
      <c r="G9" s="400">
        <f>C9</f>
        <v>6.5</v>
      </c>
    </row>
    <row r="10" spans="1:7" ht="18" customHeight="1">
      <c r="B10" s="25" t="s">
        <v>337</v>
      </c>
      <c r="C10" s="373">
        <f ca="1">C8*C9</f>
        <v>32186.635000000006</v>
      </c>
      <c r="F10" s="25" t="s">
        <v>337</v>
      </c>
      <c r="G10" s="373">
        <f ca="1">G8*G9</f>
        <v>32186.635000000006</v>
      </c>
    </row>
    <row r="11" spans="1:7" ht="18" customHeight="1">
      <c r="B11" s="25"/>
      <c r="C11" s="72"/>
      <c r="F11" s="25"/>
      <c r="G11" s="72"/>
    </row>
    <row r="12" spans="1:7" ht="18" customHeight="1">
      <c r="B12" s="25" t="s">
        <v>337</v>
      </c>
      <c r="C12" s="305">
        <f ca="1">C10</f>
        <v>32186.635000000006</v>
      </c>
      <c r="F12" s="25" t="s">
        <v>337</v>
      </c>
      <c r="G12" s="305">
        <f ca="1">G10</f>
        <v>32186.635000000006</v>
      </c>
    </row>
    <row r="13" spans="1:7" ht="18" customHeight="1">
      <c r="B13" s="25" t="s">
        <v>399</v>
      </c>
      <c r="C13" s="349">
        <f ca="1">'Returns Analysis - 5 Year'!M12</f>
        <v>-11051.746022058984</v>
      </c>
      <c r="F13" s="25" t="s">
        <v>399</v>
      </c>
      <c r="G13" s="349">
        <f ca="1">C13</f>
        <v>-11051.746022058984</v>
      </c>
    </row>
    <row r="14" spans="1:7" ht="18" customHeight="1">
      <c r="B14" s="25" t="s">
        <v>400</v>
      </c>
      <c r="C14" s="349">
        <f>'Returns Analysis - 5 Year'!M14</f>
        <v>0</v>
      </c>
      <c r="F14" s="25" t="s">
        <v>440</v>
      </c>
      <c r="G14" s="24">
        <f ca="1">'Returns Analysis - 5 Year'!M13</f>
        <v>-10705.804620799998</v>
      </c>
    </row>
    <row r="15" spans="1:7" ht="18" customHeight="1" thickBot="1">
      <c r="B15" s="32" t="s">
        <v>371</v>
      </c>
      <c r="C15" s="375">
        <f ca="1">SUM(C12:C14)</f>
        <v>21134.888977941024</v>
      </c>
      <c r="F15" s="25" t="s">
        <v>400</v>
      </c>
      <c r="G15" s="349">
        <f>C14</f>
        <v>0</v>
      </c>
    </row>
    <row r="16" spans="1:7" ht="18" customHeight="1" thickBot="1">
      <c r="B16" s="25"/>
      <c r="C16" s="72"/>
      <c r="F16" s="32" t="s">
        <v>371</v>
      </c>
      <c r="G16" s="375">
        <f ca="1">SUM(G12:G15)</f>
        <v>10429.084357141026</v>
      </c>
    </row>
    <row r="17" spans="2:8" ht="18" customHeight="1">
      <c r="B17" s="302" t="s">
        <v>385</v>
      </c>
      <c r="C17" s="72"/>
      <c r="F17" s="25"/>
      <c r="G17" s="72"/>
    </row>
    <row r="18" spans="2:8" ht="18" customHeight="1">
      <c r="B18" s="25" t="s">
        <v>401</v>
      </c>
      <c r="C18" s="305">
        <f ca="1">-'Returns Analysis - 5 Year'!H33</f>
        <v>7100</v>
      </c>
      <c r="F18" s="302" t="s">
        <v>385</v>
      </c>
      <c r="G18" s="72"/>
    </row>
    <row r="19" spans="2:8" ht="18" customHeight="1">
      <c r="B19" s="25" t="s">
        <v>340</v>
      </c>
      <c r="C19" s="199">
        <f ca="1">'Returns Analysis - 5 Year'!M32</f>
        <v>-858.32947146936408</v>
      </c>
      <c r="D19" s="409"/>
      <c r="F19" s="25" t="s">
        <v>401</v>
      </c>
      <c r="G19" s="305">
        <f ca="1">C18</f>
        <v>7100</v>
      </c>
    </row>
    <row r="20" spans="2:8" ht="18" customHeight="1">
      <c r="B20" s="25" t="s">
        <v>409</v>
      </c>
      <c r="C20" s="374">
        <f ca="1">'Returns Analysis - 5 Year'!M15+C19</f>
        <v>9570.7548856716621</v>
      </c>
      <c r="F20" s="25" t="s">
        <v>340</v>
      </c>
      <c r="G20" s="199">
        <f ca="1">C19</f>
        <v>-858.32947146936408</v>
      </c>
      <c r="H20" s="409"/>
    </row>
    <row r="21" spans="2:8" ht="18" customHeight="1">
      <c r="B21" s="25"/>
      <c r="C21" s="25"/>
      <c r="F21" s="25" t="s">
        <v>281</v>
      </c>
      <c r="G21" s="24">
        <f ca="1">SUM('Returns Analysis - 5 Year'!I56:M56)</f>
        <v>1171.2377849105624</v>
      </c>
    </row>
    <row r="22" spans="2:8" ht="18" customHeight="1">
      <c r="B22" s="330" t="s">
        <v>402</v>
      </c>
      <c r="C22" s="370">
        <f ca="1">+IFERROR(RATE(5,0,-C18,C20),0)</f>
        <v>6.1542946595503634E-2</v>
      </c>
      <c r="F22" s="25" t="s">
        <v>409</v>
      </c>
      <c r="G22" s="374">
        <f ca="1">C20</f>
        <v>9570.7548856716621</v>
      </c>
    </row>
    <row r="23" spans="2:8" ht="18" customHeight="1" thickBot="1">
      <c r="B23" s="330" t="s">
        <v>403</v>
      </c>
      <c r="C23" s="371">
        <f ca="1">+IF(C18=0,0,C20/C18)</f>
        <v>1.3479936458692481</v>
      </c>
      <c r="F23" s="25"/>
      <c r="G23" s="25"/>
    </row>
    <row r="24" spans="2:8" ht="18" customHeight="1">
      <c r="F24" s="330" t="s">
        <v>402</v>
      </c>
      <c r="G24" s="370">
        <f ca="1">'Returns Analysis - 5 Year'!M42</f>
        <v>8.6628869175910964E-2</v>
      </c>
    </row>
    <row r="25" spans="2:8" ht="17.25" thickBot="1">
      <c r="F25" s="330" t="s">
        <v>403</v>
      </c>
      <c r="G25" s="371">
        <f ca="1">'Returns Analysis - 5 Year'!M43</f>
        <v>1.4835658994193601</v>
      </c>
    </row>
  </sheetData>
  <mergeCells count="2">
    <mergeCell ref="B4:C4"/>
    <mergeCell ref="F4:G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80" zoomScaleNormal="80" workbookViewId="0">
      <selection activeCell="B6" sqref="B6:K26"/>
    </sheetView>
  </sheetViews>
  <sheetFormatPr defaultColWidth="8.85546875" defaultRowHeight="15" outlineLevelRow="1" outlineLevelCol="1"/>
  <cols>
    <col min="1" max="1" width="2.7109375" style="458" customWidth="1"/>
    <col min="2" max="2" width="21.7109375" style="458" bestFit="1" customWidth="1"/>
    <col min="3" max="3" width="13.5703125" style="458" hidden="1" customWidth="1" outlineLevel="1"/>
    <col min="4" max="4" width="13.5703125" style="458" customWidth="1" collapsed="1"/>
    <col min="5" max="11" width="13.5703125" style="458" customWidth="1"/>
    <col min="12" max="12" width="1.7109375" style="458" customWidth="1"/>
    <col min="13" max="13" width="8.7109375" style="458" customWidth="1"/>
    <col min="14" max="14" width="2.7109375" style="458" customWidth="1"/>
    <col min="15" max="15" width="8.7109375" style="458" customWidth="1"/>
    <col min="16" max="16384" width="8.85546875" style="458"/>
  </cols>
  <sheetData>
    <row r="1" spans="1:15" ht="21.75" thickBot="1">
      <c r="A1" s="456" t="str">
        <f>Cover!$B$17</f>
        <v>Gamma Engineering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</row>
    <row r="2" spans="1:15">
      <c r="A2" s="459" t="s">
        <v>351</v>
      </c>
    </row>
    <row r="3" spans="1:15">
      <c r="A3" s="459"/>
    </row>
    <row r="4" spans="1:15">
      <c r="A4" s="460"/>
      <c r="B4" s="461" t="s">
        <v>359</v>
      </c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</row>
    <row r="5" spans="1:15">
      <c r="A5" s="460"/>
      <c r="B5" s="463"/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</row>
    <row r="6" spans="1:15" s="459" customFormat="1" ht="12.75">
      <c r="B6" s="465"/>
      <c r="C6" s="530" t="s">
        <v>352</v>
      </c>
      <c r="D6" s="530"/>
      <c r="E6" s="531"/>
      <c r="F6" s="466" t="s">
        <v>353</v>
      </c>
      <c r="G6" s="528" t="s">
        <v>426</v>
      </c>
      <c r="H6" s="529"/>
      <c r="I6" s="529"/>
      <c r="J6" s="529"/>
      <c r="K6" s="529"/>
      <c r="L6" s="467"/>
      <c r="M6" s="468" t="s">
        <v>354</v>
      </c>
      <c r="N6" s="468"/>
      <c r="O6" s="468"/>
    </row>
    <row r="7" spans="1:15" s="459" customFormat="1" ht="13.5" hidden="1" outlineLevel="1" thickBot="1">
      <c r="B7" s="465"/>
      <c r="C7" s="469">
        <f>'Income Statement'!C7</f>
        <v>41639</v>
      </c>
      <c r="D7" s="469">
        <f>'Income Statement'!D7</f>
        <v>42004</v>
      </c>
      <c r="E7" s="469">
        <f>'Income Statement'!E7</f>
        <v>42369</v>
      </c>
      <c r="F7" s="470" t="s">
        <v>422</v>
      </c>
      <c r="G7" s="471">
        <f>Model!I54</f>
        <v>43100</v>
      </c>
      <c r="H7" s="471">
        <f>Model!J54</f>
        <v>43465</v>
      </c>
      <c r="I7" s="471">
        <f>Model!K54</f>
        <v>43830</v>
      </c>
      <c r="J7" s="471">
        <f>Model!L54</f>
        <v>44196</v>
      </c>
      <c r="K7" s="471">
        <f>Model!M54</f>
        <v>44561</v>
      </c>
      <c r="L7" s="472"/>
    </row>
    <row r="8" spans="1:15" s="459" customFormat="1" ht="13.5" collapsed="1" thickBot="1">
      <c r="C8" s="469">
        <f>C7</f>
        <v>41639</v>
      </c>
      <c r="D8" s="469">
        <f>D7</f>
        <v>42004</v>
      </c>
      <c r="E8" s="469">
        <f>E7</f>
        <v>42369</v>
      </c>
      <c r="F8" s="470">
        <f>Model!G126</f>
        <v>42735</v>
      </c>
      <c r="G8" s="471">
        <f>G7</f>
        <v>43100</v>
      </c>
      <c r="H8" s="471">
        <f>H7</f>
        <v>43465</v>
      </c>
      <c r="I8" s="471">
        <f>I7</f>
        <v>43830</v>
      </c>
      <c r="J8" s="471">
        <f>J7</f>
        <v>44196</v>
      </c>
      <c r="K8" s="471">
        <f>K7</f>
        <v>44561</v>
      </c>
      <c r="L8" s="472"/>
      <c r="M8" s="473" t="str">
        <f>TEXT(C8,"'yy")&amp;" - "&amp;TEXT(F8,"'yy")</f>
        <v>'13 - '16</v>
      </c>
      <c r="O8" s="473" t="str">
        <f>TEXT(G8,"'yy")&amp;" - "&amp;TEXT(K7,"'yy")</f>
        <v>'17 - '21</v>
      </c>
    </row>
    <row r="9" spans="1:15" s="459" customFormat="1" ht="12.75">
      <c r="B9" s="474" t="s">
        <v>24</v>
      </c>
      <c r="C9" s="475">
        <f>'Income Statement'!C8</f>
        <v>21420.467830000001</v>
      </c>
      <c r="D9" s="475">
        <f>'Income Statement'!D8</f>
        <v>21448.95235</v>
      </c>
      <c r="E9" s="475">
        <f>'Income Statement'!E8</f>
        <v>20754.72047</v>
      </c>
      <c r="F9" s="476">
        <f>Model!G128</f>
        <v>19350</v>
      </c>
      <c r="G9" s="477">
        <f ca="1">Model!I128</f>
        <v>19350</v>
      </c>
      <c r="H9" s="477">
        <f ca="1">Model!J128</f>
        <v>19350</v>
      </c>
      <c r="I9" s="477">
        <f ca="1">Model!K128</f>
        <v>19350</v>
      </c>
      <c r="J9" s="477">
        <f ca="1">Model!L128</f>
        <v>19350</v>
      </c>
      <c r="K9" s="477">
        <f ca="1">Model!M128</f>
        <v>19350</v>
      </c>
      <c r="L9" s="477"/>
      <c r="M9" s="478">
        <f>+IF(C9=0,0,(F9/C9)^(1/(DAYS360(C$8,F$8)/360))-1)</f>
        <v>-3.3317167657678115E-2</v>
      </c>
      <c r="O9" s="478">
        <f ca="1">+IF(G9=0,0,(K9/G9)^(1/(DAYS360(G$7,K$7)/360))-1)</f>
        <v>0</v>
      </c>
    </row>
    <row r="10" spans="1:15" s="459" customFormat="1" ht="12.75">
      <c r="B10" s="479" t="s">
        <v>355</v>
      </c>
      <c r="C10" s="480"/>
      <c r="D10" s="481">
        <f t="shared" ref="D10:K10" si="0">IF(C9=0,0,D9/C9-1)</f>
        <v>1.3297804803360513E-3</v>
      </c>
      <c r="E10" s="481">
        <f t="shared" si="0"/>
        <v>-3.236670344880499E-2</v>
      </c>
      <c r="F10" s="482">
        <f t="shared" si="0"/>
        <v>-6.7681974904478248E-2</v>
      </c>
      <c r="G10" s="483">
        <f t="shared" ca="1" si="0"/>
        <v>0</v>
      </c>
      <c r="H10" s="483">
        <f t="shared" ca="1" si="0"/>
        <v>0</v>
      </c>
      <c r="I10" s="483">
        <f t="shared" ca="1" si="0"/>
        <v>0</v>
      </c>
      <c r="J10" s="483">
        <f t="shared" ca="1" si="0"/>
        <v>0</v>
      </c>
      <c r="K10" s="483">
        <f t="shared" ca="1" si="0"/>
        <v>0</v>
      </c>
      <c r="L10" s="483"/>
      <c r="O10" s="474"/>
    </row>
    <row r="11" spans="1:15" s="459" customFormat="1" ht="12.75">
      <c r="B11" s="474"/>
      <c r="E11" s="484"/>
      <c r="F11" s="485"/>
      <c r="G11" s="486"/>
      <c r="H11" s="486"/>
      <c r="I11" s="486"/>
      <c r="J11" s="486"/>
      <c r="K11" s="486"/>
      <c r="L11" s="487"/>
      <c r="O11" s="474"/>
    </row>
    <row r="12" spans="1:15" s="459" customFormat="1" ht="12.75">
      <c r="B12" s="474" t="s">
        <v>25</v>
      </c>
      <c r="C12" s="488">
        <f>'Income Statement'!C10</f>
        <v>13586.67253</v>
      </c>
      <c r="D12" s="488">
        <f>'Income Statement'!D10</f>
        <v>14795.00763</v>
      </c>
      <c r="E12" s="488">
        <f>'Income Statement'!E10</f>
        <v>13628.33063</v>
      </c>
      <c r="F12" s="489">
        <f>Model!G129</f>
        <v>12600</v>
      </c>
      <c r="G12" s="490">
        <f ca="1">Model!I129+Model!I133</f>
        <v>12907.5</v>
      </c>
      <c r="H12" s="490">
        <f ca="1">Model!J129+Model!J133</f>
        <v>12955.875</v>
      </c>
      <c r="I12" s="490">
        <f ca="1">Model!K129+Model!K133</f>
        <v>13004.25</v>
      </c>
      <c r="J12" s="490">
        <f ca="1">Model!L129+Model!L133</f>
        <v>13035.21</v>
      </c>
      <c r="K12" s="490">
        <f ca="1">Model!M129+Model!M133</f>
        <v>13035.21</v>
      </c>
      <c r="L12" s="490"/>
      <c r="M12" s="491"/>
      <c r="N12" s="484"/>
      <c r="O12" s="491"/>
    </row>
    <row r="13" spans="1:15" s="459" customFormat="1" ht="12.75">
      <c r="B13" s="474" t="s">
        <v>35</v>
      </c>
      <c r="C13" s="492">
        <f t="shared" ref="C13:K13" si="1">C9-C12</f>
        <v>7833.7953000000016</v>
      </c>
      <c r="D13" s="492">
        <f t="shared" si="1"/>
        <v>6653.9447199999995</v>
      </c>
      <c r="E13" s="492">
        <f t="shared" si="1"/>
        <v>7126.3898399999998</v>
      </c>
      <c r="F13" s="493">
        <f t="shared" si="1"/>
        <v>6750</v>
      </c>
      <c r="G13" s="494">
        <f t="shared" ca="1" si="1"/>
        <v>6442.5</v>
      </c>
      <c r="H13" s="494">
        <f t="shared" ca="1" si="1"/>
        <v>6394.125</v>
      </c>
      <c r="I13" s="494">
        <f t="shared" ca="1" si="1"/>
        <v>6345.75</v>
      </c>
      <c r="J13" s="494">
        <f t="shared" ca="1" si="1"/>
        <v>6314.7900000000009</v>
      </c>
      <c r="K13" s="494">
        <f t="shared" ca="1" si="1"/>
        <v>6314.7900000000009</v>
      </c>
      <c r="L13" s="495"/>
      <c r="M13" s="491"/>
      <c r="O13" s="491"/>
    </row>
    <row r="14" spans="1:15" s="459" customFormat="1" ht="12.75">
      <c r="B14" s="479" t="s">
        <v>356</v>
      </c>
      <c r="C14" s="481">
        <f t="shared" ref="C14:K14" si="2">IF(C$9=0,0,C13/C$9)</f>
        <v>0.36571541584299755</v>
      </c>
      <c r="D14" s="481">
        <f t="shared" si="2"/>
        <v>0.31022236477671133</v>
      </c>
      <c r="E14" s="481">
        <f t="shared" si="2"/>
        <v>0.34336236184442331</v>
      </c>
      <c r="F14" s="482">
        <f t="shared" si="2"/>
        <v>0.34883720930232559</v>
      </c>
      <c r="G14" s="483">
        <f t="shared" ca="1" si="2"/>
        <v>0.33294573643410852</v>
      </c>
      <c r="H14" s="483">
        <f t="shared" ca="1" si="2"/>
        <v>0.33044573643410852</v>
      </c>
      <c r="I14" s="483">
        <f t="shared" ca="1" si="2"/>
        <v>0.32794573643410851</v>
      </c>
      <c r="J14" s="483">
        <f t="shared" ca="1" si="2"/>
        <v>0.32634573643410858</v>
      </c>
      <c r="K14" s="483">
        <f t="shared" ca="1" si="2"/>
        <v>0.32634573643410858</v>
      </c>
      <c r="L14" s="483"/>
      <c r="M14" s="474"/>
      <c r="O14" s="474"/>
    </row>
    <row r="15" spans="1:15" s="459" customFormat="1" ht="12.75">
      <c r="B15" s="474"/>
      <c r="E15" s="484"/>
      <c r="F15" s="485"/>
      <c r="G15" s="487"/>
      <c r="H15" s="487"/>
      <c r="I15" s="487"/>
      <c r="J15" s="487"/>
      <c r="K15" s="487"/>
      <c r="L15" s="487"/>
      <c r="M15" s="474"/>
      <c r="O15" s="474"/>
    </row>
    <row r="16" spans="1:15" s="459" customFormat="1" ht="12.75">
      <c r="B16" s="474" t="s">
        <v>360</v>
      </c>
      <c r="C16" s="488">
        <f>'Income Statement'!C15</f>
        <v>1399.6280699999988</v>
      </c>
      <c r="D16" s="488">
        <f>'Income Statement'!D15</f>
        <v>2972</v>
      </c>
      <c r="E16" s="488">
        <f>'Income Statement'!E15</f>
        <v>3381</v>
      </c>
      <c r="F16" s="489">
        <f>Model!G132</f>
        <v>2500</v>
      </c>
      <c r="G16" s="490">
        <f ca="1">Model!I132</f>
        <v>2515.5</v>
      </c>
      <c r="H16" s="490">
        <f ca="1">Model!J132</f>
        <v>2515.5</v>
      </c>
      <c r="I16" s="490">
        <f ca="1">Model!K132</f>
        <v>2515.5</v>
      </c>
      <c r="J16" s="490">
        <f ca="1">Model!L132</f>
        <v>2515.5</v>
      </c>
      <c r="K16" s="490">
        <f ca="1">Model!M132</f>
        <v>2515.5</v>
      </c>
      <c r="L16" s="490"/>
      <c r="M16" s="478"/>
      <c r="O16" s="478"/>
    </row>
    <row r="17" spans="2:15" s="459" customFormat="1" ht="12.75">
      <c r="B17" s="479" t="s">
        <v>357</v>
      </c>
      <c r="C17" s="481">
        <f t="shared" ref="C17:K17" si="3">IF(C$9=0,0,C16/C$9)</f>
        <v>6.5340686352320376E-2</v>
      </c>
      <c r="D17" s="481">
        <f t="shared" si="3"/>
        <v>0.13856154610740232</v>
      </c>
      <c r="E17" s="481">
        <f t="shared" si="3"/>
        <v>0.16290269988878342</v>
      </c>
      <c r="F17" s="482">
        <f t="shared" si="3"/>
        <v>0.12919896640826872</v>
      </c>
      <c r="G17" s="483">
        <f t="shared" ca="1" si="3"/>
        <v>0.13</v>
      </c>
      <c r="H17" s="483">
        <f t="shared" ca="1" si="3"/>
        <v>0.13</v>
      </c>
      <c r="I17" s="483">
        <f t="shared" ca="1" si="3"/>
        <v>0.13</v>
      </c>
      <c r="J17" s="483">
        <f t="shared" ca="1" si="3"/>
        <v>0.13</v>
      </c>
      <c r="K17" s="483">
        <f t="shared" ca="1" si="3"/>
        <v>0.13</v>
      </c>
      <c r="L17" s="483"/>
      <c r="M17" s="478"/>
      <c r="O17" s="478"/>
    </row>
    <row r="18" spans="2:15" s="459" customFormat="1" ht="12.75">
      <c r="B18" s="474"/>
      <c r="C18" s="496"/>
      <c r="D18" s="496"/>
      <c r="E18" s="497"/>
      <c r="F18" s="498"/>
      <c r="G18" s="499"/>
      <c r="H18" s="499"/>
      <c r="I18" s="499"/>
      <c r="J18" s="499"/>
      <c r="K18" s="499"/>
      <c r="L18" s="499"/>
      <c r="M18" s="478"/>
      <c r="O18" s="478"/>
    </row>
    <row r="19" spans="2:15" s="459" customFormat="1" ht="12.75">
      <c r="B19" s="474" t="s">
        <v>38</v>
      </c>
      <c r="C19" s="488">
        <f>'Income Statement'!C28</f>
        <v>2030.5830000000001</v>
      </c>
      <c r="D19" s="488">
        <f>'Income Statement'!D28</f>
        <v>1540.136</v>
      </c>
      <c r="E19" s="488">
        <f>'Income Statement'!E28</f>
        <v>1131.779</v>
      </c>
      <c r="F19" s="489">
        <f>Model!G146</f>
        <v>625</v>
      </c>
      <c r="G19" s="490">
        <f ca="1">Model!I146+Model!I148</f>
        <v>1015</v>
      </c>
      <c r="H19" s="490">
        <f ca="1">Model!J146+Model!J148</f>
        <v>1065</v>
      </c>
      <c r="I19" s="490">
        <f ca="1">Model!K146+Model!K148</f>
        <v>1102.5</v>
      </c>
      <c r="J19" s="490">
        <f ca="1">Model!L146+Model!L148</f>
        <v>1127.5</v>
      </c>
      <c r="K19" s="490">
        <f ca="1">Model!M146+Model!M148</f>
        <v>1152.5</v>
      </c>
      <c r="L19" s="490"/>
      <c r="M19" s="478"/>
      <c r="O19" s="478"/>
    </row>
    <row r="20" spans="2:15" s="459" customFormat="1" ht="12.75">
      <c r="B20" s="479" t="s">
        <v>357</v>
      </c>
      <c r="C20" s="481">
        <f t="shared" ref="C20:K20" si="4">IF(C$9=0,0,C19/C$9)</f>
        <v>9.4796388954498378E-2</v>
      </c>
      <c r="D20" s="481">
        <f t="shared" si="4"/>
        <v>7.1804719170817682E-2</v>
      </c>
      <c r="E20" s="481">
        <f t="shared" si="4"/>
        <v>5.4531160833311866E-2</v>
      </c>
      <c r="F20" s="482">
        <f t="shared" si="4"/>
        <v>3.2299741602067181E-2</v>
      </c>
      <c r="G20" s="483">
        <f t="shared" ca="1" si="4"/>
        <v>5.2454780361757103E-2</v>
      </c>
      <c r="H20" s="483">
        <f t="shared" ca="1" si="4"/>
        <v>5.503875968992248E-2</v>
      </c>
      <c r="I20" s="483">
        <f t="shared" ca="1" si="4"/>
        <v>5.6976744186046514E-2</v>
      </c>
      <c r="J20" s="483">
        <f t="shared" ca="1" si="4"/>
        <v>5.8268733850129199E-2</v>
      </c>
      <c r="K20" s="483">
        <f t="shared" ca="1" si="4"/>
        <v>5.9560723514211884E-2</v>
      </c>
      <c r="L20" s="483"/>
      <c r="M20" s="481"/>
      <c r="O20" s="481"/>
    </row>
    <row r="21" spans="2:15" s="459" customFormat="1" ht="12.75">
      <c r="B21" s="500"/>
      <c r="C21" s="496"/>
      <c r="D21" s="496"/>
      <c r="E21" s="497"/>
      <c r="F21" s="501"/>
      <c r="G21" s="499"/>
      <c r="H21" s="499"/>
      <c r="I21" s="499"/>
      <c r="J21" s="499"/>
      <c r="K21" s="499"/>
      <c r="L21" s="499"/>
      <c r="M21" s="481"/>
      <c r="O21" s="481"/>
    </row>
    <row r="22" spans="2:15" s="459" customFormat="1" ht="12.75">
      <c r="B22" s="502" t="s">
        <v>445</v>
      </c>
      <c r="C22" s="503">
        <f>C13-C16+C19</f>
        <v>8464.7502300000033</v>
      </c>
      <c r="D22" s="503">
        <f>D13-D16+D19</f>
        <v>5222.0807199999999</v>
      </c>
      <c r="E22" s="503">
        <f>E13-E16+E19</f>
        <v>4877.1688400000003</v>
      </c>
      <c r="F22" s="504">
        <f>F13-F16+F19</f>
        <v>4875</v>
      </c>
      <c r="G22" s="503">
        <f ca="1">Model!I149</f>
        <v>4942</v>
      </c>
      <c r="H22" s="503">
        <f ca="1">Model!J149</f>
        <v>4943.625</v>
      </c>
      <c r="I22" s="503">
        <f ca="1">Model!K149</f>
        <v>4932.75</v>
      </c>
      <c r="J22" s="503">
        <f ca="1">Model!L149</f>
        <v>4926.7900000000009</v>
      </c>
      <c r="K22" s="503">
        <f ca="1">Model!M149</f>
        <v>4951.7900000000009</v>
      </c>
      <c r="L22" s="505"/>
      <c r="M22" s="506">
        <f>+IF(C22=0,0,(E22/C22)^(1/(DAYS360(C$7,E$7)/360))-1)</f>
        <v>-0.240938750024838</v>
      </c>
      <c r="N22" s="506"/>
      <c r="O22" s="506">
        <f ca="1">+IF(G22=0,0,(K22/G22)^(1/(DAYS360(G$7,K$7)/360))-1)</f>
        <v>4.9487736352604728E-4</v>
      </c>
    </row>
    <row r="23" spans="2:15" s="459" customFormat="1" ht="12.75">
      <c r="B23" s="507" t="s">
        <v>358</v>
      </c>
      <c r="C23" s="508">
        <f t="shared" ref="C23:K23" si="5">IF(C$9=0,0,C22/C$9)</f>
        <v>0.39517111844517555</v>
      </c>
      <c r="D23" s="508">
        <f t="shared" si="5"/>
        <v>0.24346553784012673</v>
      </c>
      <c r="E23" s="508">
        <f t="shared" si="5"/>
        <v>0.23499082278895178</v>
      </c>
      <c r="F23" s="509">
        <f t="shared" si="5"/>
        <v>0.25193798449612403</v>
      </c>
      <c r="G23" s="508">
        <f t="shared" ca="1" si="5"/>
        <v>0.25540051679586562</v>
      </c>
      <c r="H23" s="508">
        <f t="shared" ca="1" si="5"/>
        <v>0.25548449612403101</v>
      </c>
      <c r="I23" s="508">
        <f t="shared" ca="1" si="5"/>
        <v>0.25492248062015505</v>
      </c>
      <c r="J23" s="508">
        <f t="shared" ca="1" si="5"/>
        <v>0.25461447028423778</v>
      </c>
      <c r="K23" s="508">
        <f t="shared" ca="1" si="5"/>
        <v>0.25590645994832045</v>
      </c>
      <c r="L23" s="510"/>
      <c r="M23" s="511"/>
      <c r="N23" s="511"/>
      <c r="O23" s="511"/>
    </row>
    <row r="24" spans="2:15" s="459" customFormat="1" ht="12.75">
      <c r="E24" s="484"/>
      <c r="F24" s="534"/>
      <c r="G24" s="484"/>
      <c r="H24" s="484"/>
      <c r="I24" s="484"/>
      <c r="J24" s="484"/>
      <c r="K24" s="484"/>
      <c r="L24" s="487"/>
    </row>
    <row r="25" spans="2:15" s="459" customFormat="1" ht="12.75">
      <c r="B25" s="459" t="s">
        <v>187</v>
      </c>
      <c r="C25" s="512">
        <f>'Income Statement'!C34</f>
        <v>1708</v>
      </c>
      <c r="D25" s="512">
        <f>'Income Statement'!D34</f>
        <v>2082</v>
      </c>
      <c r="E25" s="512">
        <f>'Income Statement'!E34</f>
        <v>987</v>
      </c>
      <c r="F25" s="513">
        <v>500</v>
      </c>
      <c r="G25" s="513">
        <f ca="1">Model!I394</f>
        <v>500</v>
      </c>
      <c r="H25" s="513">
        <f ca="1">Model!J394</f>
        <v>500</v>
      </c>
      <c r="I25" s="513">
        <f ca="1">Model!K394</f>
        <v>250</v>
      </c>
      <c r="J25" s="513">
        <f ca="1">Model!L394</f>
        <v>250</v>
      </c>
      <c r="K25" s="513">
        <f ca="1">Model!M394</f>
        <v>250</v>
      </c>
      <c r="L25" s="477"/>
    </row>
    <row r="26" spans="2:15" s="459" customFormat="1" ht="12.75">
      <c r="B26" s="479" t="s">
        <v>357</v>
      </c>
      <c r="C26" s="481">
        <f t="shared" ref="C26:K26" si="6">IF(C$9=0,0,C25/C$9)</f>
        <v>7.9736820575314199E-2</v>
      </c>
      <c r="D26" s="481">
        <f t="shared" si="6"/>
        <v>9.7067677993139839E-2</v>
      </c>
      <c r="E26" s="481">
        <f t="shared" si="6"/>
        <v>4.7555446551383981E-2</v>
      </c>
      <c r="F26" s="514">
        <f t="shared" si="6"/>
        <v>2.5839793281653745E-2</v>
      </c>
      <c r="G26" s="514">
        <f t="shared" ca="1" si="6"/>
        <v>2.5839793281653745E-2</v>
      </c>
      <c r="H26" s="514">
        <f t="shared" ca="1" si="6"/>
        <v>2.5839793281653745E-2</v>
      </c>
      <c r="I26" s="514">
        <f t="shared" ca="1" si="6"/>
        <v>1.2919896640826873E-2</v>
      </c>
      <c r="J26" s="514">
        <f t="shared" ca="1" si="6"/>
        <v>1.2919896640826873E-2</v>
      </c>
      <c r="K26" s="514">
        <f t="shared" ca="1" si="6"/>
        <v>1.2919896640826873E-2</v>
      </c>
      <c r="L26" s="483"/>
    </row>
    <row r="27" spans="2:15" s="459" customFormat="1" ht="12.75">
      <c r="B27" s="479"/>
      <c r="C27" s="481"/>
      <c r="D27" s="481"/>
      <c r="E27" s="515"/>
      <c r="F27" s="514"/>
      <c r="G27" s="516"/>
      <c r="H27" s="516"/>
      <c r="I27" s="516"/>
      <c r="J27" s="516"/>
      <c r="K27" s="516"/>
    </row>
    <row r="29" spans="2:15">
      <c r="D29" s="525">
        <f>D13-D16+D19</f>
        <v>5222.0807199999999</v>
      </c>
      <c r="E29" s="525">
        <f t="shared" ref="E29:K29" si="7">E13-E16+E19</f>
        <v>4877.1688400000003</v>
      </c>
      <c r="F29" s="525">
        <f t="shared" si="7"/>
        <v>4875</v>
      </c>
      <c r="G29" s="525">
        <f t="shared" ca="1" si="7"/>
        <v>4942</v>
      </c>
      <c r="H29" s="525">
        <f t="shared" ca="1" si="7"/>
        <v>4943.625</v>
      </c>
      <c r="I29" s="525">
        <f t="shared" ca="1" si="7"/>
        <v>4932.75</v>
      </c>
      <c r="J29" s="525">
        <f t="shared" ca="1" si="7"/>
        <v>4926.7900000000009</v>
      </c>
      <c r="K29" s="525">
        <f t="shared" ca="1" si="7"/>
        <v>4951.7900000000009</v>
      </c>
    </row>
  </sheetData>
  <mergeCells count="2">
    <mergeCell ref="G6:K6"/>
    <mergeCell ref="C6:E6"/>
  </mergeCells>
  <pageMargins left="0.7" right="0.7" top="0.75" bottom="0.75" header="0.3" footer="0.3"/>
  <pageSetup orientation="portrait" r:id="rId1"/>
  <ignoredErrors>
    <ignoredError sqref="F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topLeftCell="A4" zoomScale="80" zoomScaleNormal="80" workbookViewId="0">
      <selection activeCell="C6" sqref="C6"/>
    </sheetView>
  </sheetViews>
  <sheetFormatPr defaultRowHeight="15" outlineLevelRow="1"/>
  <cols>
    <col min="1" max="1" width="2.85546875" customWidth="1"/>
    <col min="2" max="2" width="34.85546875" bestFit="1" customWidth="1"/>
    <col min="3" max="3" width="15.42578125" customWidth="1"/>
    <col min="4" max="9" width="12.5703125" customWidth="1"/>
  </cols>
  <sheetData>
    <row r="1" spans="1:9" ht="21" thickBot="1">
      <c r="A1" s="17" t="str">
        <f>Cover!$B$17</f>
        <v>Gamma Engineering</v>
      </c>
      <c r="B1" s="293"/>
      <c r="C1" s="293"/>
      <c r="D1" s="293"/>
      <c r="E1" s="293"/>
      <c r="F1" s="293"/>
      <c r="G1" s="293"/>
      <c r="H1" s="293"/>
      <c r="I1" s="293"/>
    </row>
    <row r="2" spans="1:9">
      <c r="A2" s="25" t="s">
        <v>446</v>
      </c>
    </row>
    <row r="4" spans="1:9" ht="15.75">
      <c r="A4" s="55" t="s">
        <v>51</v>
      </c>
      <c r="B4" s="330" t="s">
        <v>499</v>
      </c>
      <c r="C4" s="330"/>
      <c r="D4" s="332"/>
      <c r="E4" s="332"/>
      <c r="F4" s="332"/>
      <c r="G4" s="332"/>
      <c r="H4" s="332"/>
      <c r="I4" s="332"/>
    </row>
    <row r="6" spans="1:9" ht="15.75">
      <c r="B6" s="25"/>
      <c r="C6" s="25" t="s">
        <v>498</v>
      </c>
      <c r="D6" s="296" t="s">
        <v>394</v>
      </c>
      <c r="E6" s="532" t="s">
        <v>426</v>
      </c>
      <c r="F6" s="533"/>
      <c r="G6" s="533"/>
      <c r="H6" s="533"/>
      <c r="I6" s="533"/>
    </row>
    <row r="7" spans="1:9" ht="16.5" thickBot="1">
      <c r="B7" s="25"/>
      <c r="C7" s="520">
        <v>2017</v>
      </c>
      <c r="D7" s="520">
        <v>2017</v>
      </c>
      <c r="E7" s="297">
        <f>+'IS Summary'!G8</f>
        <v>43100</v>
      </c>
      <c r="F7" s="297">
        <f>+'IS Summary'!H8</f>
        <v>43465</v>
      </c>
      <c r="G7" s="297">
        <f>+'IS Summary'!I8</f>
        <v>43830</v>
      </c>
      <c r="H7" s="297">
        <f>+'IS Summary'!J8</f>
        <v>44196</v>
      </c>
      <c r="I7" s="297">
        <f>+'IS Summary'!K8</f>
        <v>44561</v>
      </c>
    </row>
    <row r="8" spans="1:9" ht="5.0999999999999996" customHeight="1">
      <c r="B8" s="25"/>
      <c r="C8" s="25"/>
      <c r="D8" s="444"/>
      <c r="E8" s="445"/>
      <c r="F8" s="445"/>
      <c r="G8" s="445"/>
      <c r="H8" s="445"/>
      <c r="I8" s="445"/>
    </row>
    <row r="9" spans="1:9">
      <c r="B9" s="46" t="s">
        <v>5</v>
      </c>
      <c r="C9" s="24">
        <v>2474.1350000000002</v>
      </c>
      <c r="D9" s="24">
        <f>+Model!H172</f>
        <v>0</v>
      </c>
      <c r="E9" s="24">
        <f ca="1">+Model!I172</f>
        <v>0</v>
      </c>
      <c r="F9" s="24">
        <f ca="1">+Model!J172</f>
        <v>0</v>
      </c>
      <c r="G9" s="24">
        <f ca="1">+Model!K172</f>
        <v>0</v>
      </c>
      <c r="H9" s="24">
        <f ca="1">+Model!L172</f>
        <v>0</v>
      </c>
      <c r="I9" s="24">
        <f ca="1">+Model!M172</f>
        <v>0</v>
      </c>
    </row>
    <row r="10" spans="1:9">
      <c r="B10" s="46" t="s">
        <v>6</v>
      </c>
      <c r="C10" s="24">
        <v>2989.6660000000002</v>
      </c>
      <c r="D10" s="24">
        <f>+Model!H173</f>
        <v>2750</v>
      </c>
      <c r="E10" s="24">
        <f ca="1">+Model!I173</f>
        <v>2650.6849315068494</v>
      </c>
      <c r="F10" s="24">
        <f ca="1">+Model!J173</f>
        <v>2650.6849315068494</v>
      </c>
      <c r="G10" s="24">
        <f ca="1">+Model!K173</f>
        <v>2650.6849315068494</v>
      </c>
      <c r="H10" s="24">
        <f ca="1">+Model!L173</f>
        <v>2650.6849315068494</v>
      </c>
      <c r="I10" s="24">
        <f ca="1">+Model!M173</f>
        <v>2650.6849315068494</v>
      </c>
    </row>
    <row r="11" spans="1:9">
      <c r="B11" s="377" t="s">
        <v>388</v>
      </c>
      <c r="C11" s="61">
        <v>2750</v>
      </c>
      <c r="D11" s="61">
        <f>+Model!H174</f>
        <v>2750</v>
      </c>
      <c r="E11" s="61">
        <f ca="1">+Model!I174</f>
        <v>2745.0892857142858</v>
      </c>
      <c r="F11" s="61">
        <f ca="1">+Model!J174</f>
        <v>2594.3578767123286</v>
      </c>
      <c r="G11" s="61">
        <f ca="1">+Model!K174</f>
        <v>2430.678082191781</v>
      </c>
      <c r="H11" s="61">
        <f ca="1">+Model!L174</f>
        <v>2262.5716438356162</v>
      </c>
      <c r="I11" s="61">
        <f ca="1">+Model!M174</f>
        <v>2262.5716438356162</v>
      </c>
    </row>
    <row r="12" spans="1:9" hidden="1" outlineLevel="1">
      <c r="B12" s="377" t="s">
        <v>447</v>
      </c>
      <c r="C12" s="61">
        <v>0</v>
      </c>
      <c r="D12" s="61">
        <f>+Model!H175</f>
        <v>0</v>
      </c>
      <c r="E12" s="61">
        <f ca="1">+Model!I175</f>
        <v>0</v>
      </c>
      <c r="F12" s="61">
        <f ca="1">+Model!J175</f>
        <v>0</v>
      </c>
      <c r="G12" s="61">
        <f ca="1">+Model!K175</f>
        <v>0</v>
      </c>
      <c r="H12" s="61">
        <f ca="1">+Model!L175</f>
        <v>0</v>
      </c>
      <c r="I12" s="61">
        <f ca="1">+Model!M175</f>
        <v>0</v>
      </c>
    </row>
    <row r="13" spans="1:9" collapsed="1">
      <c r="B13" s="377" t="s">
        <v>7</v>
      </c>
      <c r="C13" s="24">
        <f>SUM(C9:C12)</f>
        <v>8213.8009999999995</v>
      </c>
      <c r="D13" s="24">
        <f>+Model!H176</f>
        <v>5500</v>
      </c>
      <c r="E13" s="24">
        <f ca="1">+Model!I176</f>
        <v>5395.7742172211347</v>
      </c>
      <c r="F13" s="24">
        <f ca="1">+Model!J176</f>
        <v>5245.0428082191775</v>
      </c>
      <c r="G13" s="24">
        <f ca="1">+Model!K176</f>
        <v>5081.3630136986303</v>
      </c>
      <c r="H13" s="24">
        <f ca="1">+Model!L176</f>
        <v>4913.256575342466</v>
      </c>
      <c r="I13" s="24">
        <f ca="1">+Model!M176</f>
        <v>4913.256575342466</v>
      </c>
    </row>
    <row r="14" spans="1:9">
      <c r="B14" s="377"/>
      <c r="C14" s="25"/>
      <c r="D14" s="25"/>
      <c r="E14" s="25"/>
      <c r="F14" s="25"/>
      <c r="G14" s="25"/>
      <c r="H14" s="25"/>
      <c r="I14" s="25"/>
    </row>
    <row r="15" spans="1:9">
      <c r="B15" s="377" t="s">
        <v>129</v>
      </c>
      <c r="C15" s="24">
        <v>3323.0619999999999</v>
      </c>
      <c r="D15" s="24">
        <f>+Model!H178</f>
        <v>6600</v>
      </c>
      <c r="E15" s="24">
        <f ca="1">+Model!I178</f>
        <v>6415</v>
      </c>
      <c r="F15" s="24">
        <f ca="1">+Model!J178</f>
        <v>6180</v>
      </c>
      <c r="G15" s="24">
        <f ca="1">+Model!K178</f>
        <v>5657.5</v>
      </c>
      <c r="H15" s="24">
        <f ca="1">+Model!L178</f>
        <v>5110</v>
      </c>
      <c r="I15" s="24">
        <f ca="1">+Model!M178</f>
        <v>4537.5</v>
      </c>
    </row>
    <row r="16" spans="1:9">
      <c r="B16" s="377" t="s">
        <v>130</v>
      </c>
      <c r="C16" s="24">
        <v>0</v>
      </c>
      <c r="D16" s="24">
        <f ca="1">+Model!H179</f>
        <v>21740</v>
      </c>
      <c r="E16" s="24">
        <f ca="1">+Model!I179</f>
        <v>21740</v>
      </c>
      <c r="F16" s="24">
        <f ca="1">+Model!J179</f>
        <v>21740</v>
      </c>
      <c r="G16" s="24">
        <f ca="1">+Model!K179</f>
        <v>21740</v>
      </c>
      <c r="H16" s="24">
        <f ca="1">+Model!L179</f>
        <v>21740</v>
      </c>
      <c r="I16" s="24">
        <f ca="1">+Model!M179</f>
        <v>21740</v>
      </c>
    </row>
    <row r="17" spans="2:9">
      <c r="B17" s="377" t="s">
        <v>12</v>
      </c>
      <c r="C17" s="24">
        <v>5.05</v>
      </c>
      <c r="D17" s="24">
        <f>+Model!H181</f>
        <v>105</v>
      </c>
      <c r="E17" s="24">
        <f>+Model!I181</f>
        <v>105</v>
      </c>
      <c r="F17" s="24">
        <f>+Model!J181</f>
        <v>105</v>
      </c>
      <c r="G17" s="24">
        <f>+Model!K181</f>
        <v>105</v>
      </c>
      <c r="H17" s="24">
        <f>+Model!L181</f>
        <v>105</v>
      </c>
      <c r="I17" s="24">
        <f>+Model!M181</f>
        <v>105</v>
      </c>
    </row>
    <row r="18" spans="2:9">
      <c r="B18" s="377" t="s">
        <v>168</v>
      </c>
      <c r="C18" s="24">
        <v>0</v>
      </c>
      <c r="D18" s="24">
        <f ca="1">+Model!H182</f>
        <v>475</v>
      </c>
      <c r="E18" s="24">
        <f ca="1">+Model!I182</f>
        <v>380</v>
      </c>
      <c r="F18" s="24">
        <f ca="1">+Model!J182</f>
        <v>285</v>
      </c>
      <c r="G18" s="24">
        <f ca="1">+Model!K182</f>
        <v>190</v>
      </c>
      <c r="H18" s="24">
        <f ca="1">+Model!L182</f>
        <v>95</v>
      </c>
      <c r="I18" s="24">
        <f ca="1">+Model!M182</f>
        <v>0</v>
      </c>
    </row>
    <row r="19" spans="2:9" ht="16.5" thickBot="1">
      <c r="B19" s="443" t="s">
        <v>14</v>
      </c>
      <c r="C19" s="523">
        <f>C13+SUM(C15:C18)</f>
        <v>11541.913</v>
      </c>
      <c r="D19" s="33">
        <f ca="1">+Model!H183</f>
        <v>34420</v>
      </c>
      <c r="E19" s="33">
        <f ca="1">+Model!I183</f>
        <v>34035.774217221136</v>
      </c>
      <c r="F19" s="33">
        <f ca="1">+Model!J183</f>
        <v>33555.042808219179</v>
      </c>
      <c r="G19" s="33">
        <f ca="1">+Model!K183</f>
        <v>32773.863013698632</v>
      </c>
      <c r="H19" s="33">
        <f ca="1">+Model!L183</f>
        <v>31963.256575342464</v>
      </c>
      <c r="I19" s="33">
        <f ca="1">+Model!M183</f>
        <v>31295.756575342464</v>
      </c>
    </row>
    <row r="20" spans="2:9">
      <c r="B20" s="441"/>
      <c r="C20" s="441"/>
      <c r="D20" s="25"/>
      <c r="E20" s="25"/>
      <c r="F20" s="25"/>
      <c r="G20" s="25"/>
      <c r="H20" s="25"/>
      <c r="I20" s="25"/>
    </row>
    <row r="21" spans="2:9">
      <c r="B21" s="46" t="s">
        <v>16</v>
      </c>
      <c r="C21" s="521">
        <v>350</v>
      </c>
      <c r="D21" s="24">
        <f>+Model!H187</f>
        <v>300</v>
      </c>
      <c r="E21" s="24">
        <f ca="1">+Model!I187</f>
        <v>344.58904109589042</v>
      </c>
      <c r="F21" s="24">
        <f ca="1">+Model!J187</f>
        <v>345.91438356164383</v>
      </c>
      <c r="G21" s="24">
        <f ca="1">+Model!K187</f>
        <v>347.23972602739724</v>
      </c>
      <c r="H21" s="24">
        <f ca="1">+Model!L187</f>
        <v>348.0879452054794</v>
      </c>
      <c r="I21" s="24">
        <f ca="1">+Model!M187</f>
        <v>348.0879452054794</v>
      </c>
    </row>
    <row r="22" spans="2:9">
      <c r="B22" s="46" t="s">
        <v>448</v>
      </c>
      <c r="C22" s="61">
        <v>2.4</v>
      </c>
      <c r="D22" s="61">
        <f>+Model!H188</f>
        <v>20</v>
      </c>
      <c r="E22" s="61">
        <f ca="1">+Model!I188</f>
        <v>96.75</v>
      </c>
      <c r="F22" s="61">
        <f ca="1">+Model!J188</f>
        <v>96.75</v>
      </c>
      <c r="G22" s="61">
        <f ca="1">+Model!K188</f>
        <v>96.75</v>
      </c>
      <c r="H22" s="61">
        <f ca="1">+Model!L188</f>
        <v>96.75</v>
      </c>
      <c r="I22" s="61">
        <f ca="1">+Model!M188</f>
        <v>96.75</v>
      </c>
    </row>
    <row r="23" spans="2:9">
      <c r="B23" s="377" t="s">
        <v>18</v>
      </c>
      <c r="C23" s="24">
        <f>SUM(C21:C22)</f>
        <v>352.4</v>
      </c>
      <c r="D23" s="24">
        <f>+Model!H189</f>
        <v>320</v>
      </c>
      <c r="E23" s="24">
        <f ca="1">+Model!I189</f>
        <v>441.33904109589042</v>
      </c>
      <c r="F23" s="24">
        <f ca="1">+Model!J189</f>
        <v>442.66438356164383</v>
      </c>
      <c r="G23" s="24">
        <f ca="1">+Model!K189</f>
        <v>443.98972602739724</v>
      </c>
      <c r="H23" s="24">
        <f ca="1">+Model!L189</f>
        <v>444.8379452054794</v>
      </c>
      <c r="I23" s="24">
        <f ca="1">+Model!M189</f>
        <v>444.8379452054794</v>
      </c>
    </row>
    <row r="24" spans="2:9">
      <c r="B24" s="377"/>
      <c r="C24" s="377"/>
      <c r="D24" s="25"/>
      <c r="E24" s="25"/>
      <c r="F24" s="25"/>
      <c r="G24" s="25"/>
      <c r="H24" s="25"/>
      <c r="I24" s="25"/>
    </row>
    <row r="25" spans="2:9">
      <c r="B25" s="377" t="s">
        <v>63</v>
      </c>
      <c r="C25" s="24">
        <v>0</v>
      </c>
      <c r="D25" s="24">
        <f ca="1">+Model!H192</f>
        <v>1000</v>
      </c>
      <c r="E25" s="24">
        <f ca="1">+Model!I192</f>
        <v>213.97561327569179</v>
      </c>
      <c r="F25" s="24">
        <f ca="1">+Model!J192</f>
        <v>0</v>
      </c>
      <c r="G25" s="24">
        <f ca="1">+Model!K192</f>
        <v>0</v>
      </c>
      <c r="H25" s="24">
        <f ca="1">+Model!L192</f>
        <v>0</v>
      </c>
      <c r="I25" s="24">
        <f ca="1">+Model!M192</f>
        <v>0</v>
      </c>
    </row>
    <row r="26" spans="2:9">
      <c r="B26" s="377" t="s">
        <v>64</v>
      </c>
      <c r="C26" s="24">
        <v>0</v>
      </c>
      <c r="D26" s="24">
        <f ca="1">+Model!H193</f>
        <v>8000</v>
      </c>
      <c r="E26" s="24">
        <f ca="1">+Model!I193</f>
        <v>6573.975613275692</v>
      </c>
      <c r="F26" s="24">
        <f ca="1">+Model!J193</f>
        <v>4426.9252327949753</v>
      </c>
      <c r="G26" s="24">
        <f ca="1">+Model!K193</f>
        <v>1809.1430028532513</v>
      </c>
      <c r="H26" s="24">
        <f ca="1">+Model!L193</f>
        <v>0</v>
      </c>
      <c r="I26" s="24">
        <f ca="1">+Model!M193</f>
        <v>0</v>
      </c>
    </row>
    <row r="27" spans="2:9">
      <c r="B27" s="377" t="s">
        <v>65</v>
      </c>
      <c r="C27" s="61">
        <v>0</v>
      </c>
      <c r="D27" s="61">
        <f ca="1">+Model!H194</f>
        <v>10000</v>
      </c>
      <c r="E27" s="61">
        <f ca="1">+Model!I194</f>
        <v>10202.020202020201</v>
      </c>
      <c r="F27" s="61">
        <f ca="1">+Model!J194</f>
        <v>10408.121620242831</v>
      </c>
      <c r="G27" s="61">
        <f ca="1">+Model!K194</f>
        <v>10618.386703480061</v>
      </c>
      <c r="H27" s="61">
        <f ca="1">+Model!L194</f>
        <v>10832.899566176628</v>
      </c>
      <c r="I27" s="61">
        <f ca="1">+Model!M194</f>
        <v>11051.746022058984</v>
      </c>
    </row>
    <row r="28" spans="2:9">
      <c r="B28" s="377" t="s">
        <v>66</v>
      </c>
      <c r="C28" s="24">
        <f>SUM(C25:C27)</f>
        <v>0</v>
      </c>
      <c r="D28" s="24">
        <f ca="1">+Model!H195</f>
        <v>19000</v>
      </c>
      <c r="E28" s="24">
        <f ca="1">+Model!I195</f>
        <v>16989.971428571585</v>
      </c>
      <c r="F28" s="24">
        <f ca="1">+Model!J195</f>
        <v>14835.046853037806</v>
      </c>
      <c r="G28" s="24">
        <f ca="1">+Model!K195</f>
        <v>12427.529706333313</v>
      </c>
      <c r="H28" s="24">
        <f ca="1">+Model!L195</f>
        <v>10832.899566176628</v>
      </c>
      <c r="I28" s="24">
        <f ca="1">+Model!M195</f>
        <v>11051.746022058984</v>
      </c>
    </row>
    <row r="29" spans="2:9">
      <c r="B29" s="377"/>
      <c r="C29" s="377"/>
      <c r="D29" s="25"/>
      <c r="E29" s="25"/>
      <c r="F29" s="25"/>
      <c r="G29" s="25"/>
      <c r="H29" s="25"/>
      <c r="I29" s="25"/>
    </row>
    <row r="30" spans="2:9">
      <c r="B30" s="377" t="s">
        <v>21</v>
      </c>
      <c r="C30" s="24">
        <v>11189.513000000001</v>
      </c>
      <c r="D30" s="24">
        <f ca="1">+Model!H201</f>
        <v>15100</v>
      </c>
      <c r="E30" s="24">
        <f ca="1">+Model!I201</f>
        <v>16604.463747553662</v>
      </c>
      <c r="F30" s="24">
        <f ca="1">+Model!J201</f>
        <v>18277.331571619728</v>
      </c>
      <c r="G30" s="24">
        <f ca="1">+Model!K201</f>
        <v>19902.343581337922</v>
      </c>
      <c r="H30" s="24">
        <f ca="1">+Model!L201</f>
        <v>20685.519063960361</v>
      </c>
      <c r="I30" s="24">
        <f ca="1">+Model!M201</f>
        <v>19799.172608078006</v>
      </c>
    </row>
    <row r="31" spans="2:9" ht="16.5" thickBot="1">
      <c r="B31" s="443" t="s">
        <v>449</v>
      </c>
      <c r="C31" s="522">
        <f>C23+C28+C30</f>
        <v>11541.913</v>
      </c>
      <c r="D31" s="33">
        <f ca="1">+Model!H203</f>
        <v>34420</v>
      </c>
      <c r="E31" s="33">
        <f ca="1">+Model!I203</f>
        <v>34035.774217221136</v>
      </c>
      <c r="F31" s="33">
        <f ca="1">+Model!J203</f>
        <v>33555.042808219179</v>
      </c>
      <c r="G31" s="33">
        <f ca="1">+Model!K203</f>
        <v>32773.863013698632</v>
      </c>
      <c r="H31" s="33">
        <f ca="1">+Model!L203</f>
        <v>31963.256575342468</v>
      </c>
      <c r="I31" s="33">
        <f ca="1">+Model!M203</f>
        <v>31295.756575342471</v>
      </c>
    </row>
    <row r="32" spans="2:9">
      <c r="B32" s="442" t="s">
        <v>23</v>
      </c>
      <c r="C32" s="446">
        <f t="shared" ref="C32:I32" si="0">+C19-C31</f>
        <v>0</v>
      </c>
      <c r="D32" s="446">
        <f t="shared" ca="1" si="0"/>
        <v>0</v>
      </c>
      <c r="E32" s="446">
        <f t="shared" ca="1" si="0"/>
        <v>0</v>
      </c>
      <c r="F32" s="446">
        <f t="shared" ca="1" si="0"/>
        <v>0</v>
      </c>
      <c r="G32" s="446">
        <f t="shared" ca="1" si="0"/>
        <v>0</v>
      </c>
      <c r="H32" s="446">
        <f t="shared" ca="1" si="0"/>
        <v>0</v>
      </c>
      <c r="I32" s="446">
        <f t="shared" ca="1" si="0"/>
        <v>0</v>
      </c>
    </row>
    <row r="33" spans="2:3">
      <c r="B33" s="76"/>
      <c r="C33" s="76"/>
    </row>
  </sheetData>
  <mergeCells count="1">
    <mergeCell ref="E6:I6"/>
  </mergeCells>
  <pageMargins left="0.7" right="0.7" top="0.75" bottom="0.75" header="0.3" footer="0.3"/>
  <pageSetup scale="96" fitToHeight="0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0" zoomScaleNormal="80" workbookViewId="0"/>
  </sheetViews>
  <sheetFormatPr defaultRowHeight="15"/>
  <cols>
    <col min="2" max="2" width="16.28515625" bestFit="1" customWidth="1"/>
    <col min="3" max="3" width="2.42578125" customWidth="1"/>
    <col min="4" max="4" width="34.140625" customWidth="1"/>
    <col min="5" max="9" width="10.5703125" customWidth="1"/>
    <col min="10" max="10" width="19.5703125" bestFit="1" customWidth="1"/>
    <col min="11" max="11" width="10.7109375" bestFit="1" customWidth="1"/>
  </cols>
  <sheetData>
    <row r="2" spans="2:11">
      <c r="E2" s="448" t="s">
        <v>450</v>
      </c>
      <c r="F2" s="448" t="s">
        <v>451</v>
      </c>
    </row>
    <row r="3" spans="2:11">
      <c r="B3" s="447" t="s">
        <v>468</v>
      </c>
      <c r="C3" s="447"/>
      <c r="D3" s="447" t="s">
        <v>455</v>
      </c>
    </row>
    <row r="4" spans="2:11">
      <c r="B4" t="s">
        <v>489</v>
      </c>
      <c r="D4" t="s">
        <v>452</v>
      </c>
      <c r="E4" s="451">
        <v>2903602</v>
      </c>
      <c r="F4" s="449"/>
      <c r="K4" s="451"/>
    </row>
    <row r="5" spans="2:11">
      <c r="B5" t="s">
        <v>479</v>
      </c>
      <c r="D5" t="s">
        <v>460</v>
      </c>
      <c r="E5" s="451">
        <v>145324.06</v>
      </c>
      <c r="F5" s="449"/>
    </row>
    <row r="6" spans="2:11">
      <c r="B6" t="s">
        <v>478</v>
      </c>
      <c r="D6" t="s">
        <v>458</v>
      </c>
      <c r="E6" s="451">
        <v>115000</v>
      </c>
      <c r="F6" s="449"/>
    </row>
    <row r="7" spans="2:11">
      <c r="B7" t="s">
        <v>467</v>
      </c>
      <c r="D7" t="s">
        <v>457</v>
      </c>
      <c r="E7" s="451">
        <v>103466.28</v>
      </c>
      <c r="F7" s="449"/>
    </row>
    <row r="8" spans="2:11">
      <c r="B8" t="s">
        <v>477</v>
      </c>
      <c r="D8" t="s">
        <v>461</v>
      </c>
      <c r="E8" s="451">
        <v>53417.53</v>
      </c>
      <c r="F8" s="449"/>
    </row>
    <row r="9" spans="2:11">
      <c r="B9" t="s">
        <v>480</v>
      </c>
      <c r="D9" t="s">
        <v>461</v>
      </c>
      <c r="E9" s="451">
        <v>51223.89</v>
      </c>
      <c r="F9" s="449"/>
    </row>
    <row r="10" spans="2:11">
      <c r="B10" t="s">
        <v>476</v>
      </c>
      <c r="D10" t="s">
        <v>461</v>
      </c>
      <c r="E10" s="451">
        <v>50954.74</v>
      </c>
      <c r="F10" s="449"/>
    </row>
    <row r="11" spans="2:11">
      <c r="B11" t="s">
        <v>475</v>
      </c>
      <c r="D11" t="s">
        <v>461</v>
      </c>
      <c r="E11" s="451">
        <v>49234.61</v>
      </c>
      <c r="F11" s="449"/>
    </row>
    <row r="12" spans="2:11">
      <c r="B12" t="s">
        <v>474</v>
      </c>
      <c r="D12" t="s">
        <v>461</v>
      </c>
      <c r="E12" s="451">
        <v>47685.83</v>
      </c>
    </row>
    <row r="13" spans="2:11">
      <c r="B13" t="s">
        <v>473</v>
      </c>
      <c r="D13" t="s">
        <v>462</v>
      </c>
      <c r="E13" s="451">
        <v>45580.08</v>
      </c>
    </row>
    <row r="14" spans="2:11">
      <c r="B14" t="s">
        <v>472</v>
      </c>
      <c r="D14" t="s">
        <v>463</v>
      </c>
      <c r="E14" s="451">
        <v>42772.3</v>
      </c>
    </row>
    <row r="15" spans="2:11">
      <c r="B15" t="s">
        <v>471</v>
      </c>
      <c r="D15" t="s">
        <v>464</v>
      </c>
      <c r="E15" s="451">
        <v>41173.22</v>
      </c>
    </row>
    <row r="16" spans="2:11">
      <c r="B16" t="s">
        <v>481</v>
      </c>
      <c r="D16" t="s">
        <v>464</v>
      </c>
      <c r="E16" s="451">
        <v>37319.129999999997</v>
      </c>
    </row>
    <row r="17" spans="2:5">
      <c r="B17" t="s">
        <v>470</v>
      </c>
      <c r="D17" t="s">
        <v>465</v>
      </c>
      <c r="E17" s="451">
        <v>37058.980000000003</v>
      </c>
    </row>
    <row r="18" spans="2:5">
      <c r="B18" t="s">
        <v>483</v>
      </c>
      <c r="D18" t="s">
        <v>482</v>
      </c>
      <c r="E18" s="451">
        <v>35946.019999999997</v>
      </c>
    </row>
    <row r="19" spans="2:5">
      <c r="B19" t="s">
        <v>485</v>
      </c>
      <c r="D19" t="s">
        <v>484</v>
      </c>
      <c r="E19" s="451">
        <v>34688.1</v>
      </c>
    </row>
    <row r="20" spans="2:5">
      <c r="B20" t="s">
        <v>486</v>
      </c>
      <c r="D20" t="s">
        <v>459</v>
      </c>
      <c r="E20" s="451">
        <v>34166.269999999997</v>
      </c>
    </row>
    <row r="21" spans="2:5">
      <c r="B21" t="s">
        <v>469</v>
      </c>
      <c r="D21" t="s">
        <v>466</v>
      </c>
      <c r="E21" s="451">
        <v>29788.53</v>
      </c>
    </row>
    <row r="22" spans="2:5">
      <c r="B22" t="s">
        <v>487</v>
      </c>
      <c r="D22" t="s">
        <v>488</v>
      </c>
      <c r="E22" s="451">
        <v>3289.46</v>
      </c>
    </row>
    <row r="23" spans="2:5">
      <c r="E23" s="450"/>
    </row>
    <row r="24" spans="2:5">
      <c r="D24" s="447" t="s">
        <v>454</v>
      </c>
      <c r="E24" s="451"/>
    </row>
    <row r="25" spans="2:5">
      <c r="D25" s="452" t="s">
        <v>453</v>
      </c>
      <c r="E25" s="451">
        <v>-140000</v>
      </c>
    </row>
    <row r="27" spans="2:5">
      <c r="D27" s="452"/>
      <c r="E27" s="451"/>
    </row>
    <row r="28" spans="2:5">
      <c r="D28" s="452"/>
      <c r="E28" s="454"/>
    </row>
    <row r="29" spans="2:5">
      <c r="D29" s="453" t="s">
        <v>456</v>
      </c>
      <c r="E29" s="455">
        <f>SUM(E4:E28)</f>
        <v>3721691.03</v>
      </c>
    </row>
    <row r="32" spans="2:5">
      <c r="D32" s="447" t="s">
        <v>490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343C"/>
  </sheetPr>
  <dimension ref="A1"/>
  <sheetViews>
    <sheetView zoomScale="80" zoomScaleNormal="80" workbookViewId="0"/>
  </sheetViews>
  <sheetFormatPr defaultColWidth="8.85546875" defaultRowHeight="16.5"/>
  <cols>
    <col min="1" max="16384" width="8.85546875" style="1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0" zoomScaleNormal="80" workbookViewId="0"/>
  </sheetViews>
  <sheetFormatPr defaultColWidth="8.85546875" defaultRowHeight="13.5"/>
  <cols>
    <col min="1" max="1" width="1.7109375" style="25" customWidth="1"/>
    <col min="2" max="2" width="45.7109375" style="25" customWidth="1"/>
    <col min="3" max="5" width="12.7109375" style="25" customWidth="1"/>
    <col min="6" max="6" width="1.5703125" style="74" customWidth="1"/>
    <col min="7" max="7" width="12.5703125" style="46" customWidth="1"/>
    <col min="8" max="8" width="8.85546875" style="46"/>
    <col min="9" max="16384" width="8.85546875" style="25"/>
  </cols>
  <sheetData>
    <row r="1" spans="1:14" s="15" customFormat="1" ht="21" thickBot="1">
      <c r="A1" s="17" t="str">
        <f>Cover!$B$17</f>
        <v>Gamma Engineering</v>
      </c>
      <c r="B1" s="16"/>
      <c r="C1" s="16"/>
      <c r="D1" s="16"/>
      <c r="E1" s="16"/>
      <c r="F1" s="361"/>
      <c r="G1" s="16"/>
      <c r="H1" s="43"/>
    </row>
    <row r="2" spans="1:14">
      <c r="A2" s="25" t="s">
        <v>1</v>
      </c>
      <c r="G2" s="25"/>
    </row>
    <row r="3" spans="1:14">
      <c r="G3" s="25"/>
    </row>
    <row r="4" spans="1:14">
      <c r="G4" s="25"/>
    </row>
    <row r="5" spans="1:14" ht="15">
      <c r="B5" s="330" t="s">
        <v>2</v>
      </c>
      <c r="C5" s="330"/>
      <c r="D5" s="330"/>
      <c r="E5" s="330"/>
      <c r="F5" s="362"/>
      <c r="G5" s="367" t="s">
        <v>394</v>
      </c>
    </row>
    <row r="6" spans="1:14" ht="15">
      <c r="B6" s="18" t="s">
        <v>3</v>
      </c>
      <c r="C6" s="19" t="s">
        <v>404</v>
      </c>
      <c r="D6" s="19"/>
      <c r="E6" s="19"/>
      <c r="G6" s="364"/>
    </row>
    <row r="7" spans="1:14" ht="15.75" thickBot="1">
      <c r="B7" s="20"/>
      <c r="C7" s="21">
        <v>41639</v>
      </c>
      <c r="D7" s="22">
        <f>EOMONTH(C7,12)</f>
        <v>42004</v>
      </c>
      <c r="E7" s="22">
        <f>EOMONTH(D7,12)</f>
        <v>42369</v>
      </c>
      <c r="G7" s="164">
        <v>2016</v>
      </c>
    </row>
    <row r="8" spans="1:14" ht="15">
      <c r="B8" s="23" t="s">
        <v>4</v>
      </c>
      <c r="C8" s="24"/>
      <c r="D8" s="24"/>
    </row>
    <row r="9" spans="1:14">
      <c r="B9" s="25" t="s">
        <v>5</v>
      </c>
      <c r="C9" s="386">
        <v>0</v>
      </c>
      <c r="D9" s="386">
        <v>0</v>
      </c>
      <c r="E9" s="386">
        <v>0</v>
      </c>
      <c r="G9" s="27">
        <v>0</v>
      </c>
      <c r="H9" s="365"/>
      <c r="I9" s="366"/>
      <c r="J9" s="395"/>
      <c r="L9" s="395"/>
      <c r="N9" s="395"/>
    </row>
    <row r="10" spans="1:14">
      <c r="B10" s="28" t="s">
        <v>6</v>
      </c>
      <c r="C10" s="26">
        <v>2677</v>
      </c>
      <c r="D10" s="26">
        <v>2750</v>
      </c>
      <c r="E10" s="26">
        <v>3000</v>
      </c>
      <c r="G10" s="26">
        <v>2750</v>
      </c>
      <c r="H10" s="225"/>
    </row>
    <row r="11" spans="1:14">
      <c r="B11" s="28" t="s">
        <v>388</v>
      </c>
      <c r="C11" s="26">
        <v>2500</v>
      </c>
      <c r="D11" s="26">
        <v>3000</v>
      </c>
      <c r="E11" s="26">
        <v>2750</v>
      </c>
      <c r="G11" s="26">
        <v>2750</v>
      </c>
    </row>
    <row r="12" spans="1:14">
      <c r="B12" s="28" t="s">
        <v>260</v>
      </c>
      <c r="C12" s="26">
        <v>0</v>
      </c>
      <c r="D12" s="26">
        <v>0</v>
      </c>
      <c r="E12" s="26">
        <v>0</v>
      </c>
      <c r="G12" s="26">
        <f>E12</f>
        <v>0</v>
      </c>
    </row>
    <row r="13" spans="1:14">
      <c r="B13" s="25" t="s">
        <v>7</v>
      </c>
      <c r="C13" s="29">
        <f>SUM(C9:C12)</f>
        <v>5177</v>
      </c>
      <c r="D13" s="29">
        <f>SUM(D9:D12)</f>
        <v>5750</v>
      </c>
      <c r="E13" s="29">
        <f>SUM(E9:E12)</f>
        <v>5750</v>
      </c>
      <c r="G13" s="29">
        <f>SUM(G9:G12)</f>
        <v>5500</v>
      </c>
    </row>
    <row r="14" spans="1:14">
      <c r="C14" s="24"/>
      <c r="D14" s="24"/>
      <c r="E14" s="24"/>
    </row>
    <row r="15" spans="1:14" ht="15">
      <c r="B15" s="23" t="s">
        <v>8</v>
      </c>
      <c r="C15" s="24"/>
      <c r="D15" s="24"/>
      <c r="E15" s="24"/>
    </row>
    <row r="16" spans="1:14">
      <c r="B16" s="25" t="s">
        <v>9</v>
      </c>
      <c r="C16" s="26">
        <v>0</v>
      </c>
      <c r="D16" s="26">
        <v>0</v>
      </c>
      <c r="E16" s="383"/>
      <c r="G16" s="26">
        <f>E16</f>
        <v>0</v>
      </c>
    </row>
    <row r="17" spans="2:7">
      <c r="B17" s="25" t="s">
        <v>10</v>
      </c>
      <c r="C17" s="26">
        <v>0</v>
      </c>
      <c r="D17" s="26">
        <v>0</v>
      </c>
      <c r="E17" s="383"/>
      <c r="G17" s="26">
        <f>E17</f>
        <v>0</v>
      </c>
    </row>
    <row r="18" spans="2:7">
      <c r="B18" s="25" t="s">
        <v>11</v>
      </c>
      <c r="C18" s="392">
        <v>4596</v>
      </c>
      <c r="D18" s="392">
        <v>4198</v>
      </c>
      <c r="E18" s="392">
        <v>3624</v>
      </c>
      <c r="G18" s="392">
        <v>3300</v>
      </c>
    </row>
    <row r="19" spans="2:7">
      <c r="C19" s="30"/>
      <c r="D19" s="30"/>
      <c r="E19" s="30"/>
    </row>
    <row r="20" spans="2:7" ht="15">
      <c r="B20" s="23" t="s">
        <v>12</v>
      </c>
      <c r="C20" s="30"/>
      <c r="D20" s="30"/>
      <c r="E20" s="30"/>
    </row>
    <row r="21" spans="2:7">
      <c r="B21" s="25" t="s">
        <v>12</v>
      </c>
      <c r="C21" s="31">
        <v>105</v>
      </c>
      <c r="D21" s="31">
        <v>105</v>
      </c>
      <c r="E21" s="31">
        <v>105</v>
      </c>
      <c r="G21" s="31">
        <v>105</v>
      </c>
    </row>
    <row r="22" spans="2:7">
      <c r="B22" s="25" t="s">
        <v>13</v>
      </c>
      <c r="C22" s="30">
        <f>SUM(C21:C21)</f>
        <v>105</v>
      </c>
      <c r="D22" s="30">
        <f>SUM(D21:D21)</f>
        <v>105</v>
      </c>
      <c r="E22" s="30">
        <f>SUM(E21:E21)</f>
        <v>105</v>
      </c>
      <c r="G22" s="30">
        <f>SUM(G21)</f>
        <v>105</v>
      </c>
    </row>
    <row r="23" spans="2:7">
      <c r="C23" s="30"/>
      <c r="D23" s="30"/>
      <c r="E23" s="30"/>
      <c r="G23" s="30"/>
    </row>
    <row r="24" spans="2:7" ht="15.75" thickBot="1">
      <c r="B24" s="32" t="s">
        <v>14</v>
      </c>
      <c r="C24" s="33">
        <f>C13+C18+C22</f>
        <v>9878</v>
      </c>
      <c r="D24" s="33">
        <f>D13+D18+D22</f>
        <v>10053</v>
      </c>
      <c r="E24" s="33">
        <f>E13+E18+E22</f>
        <v>9479</v>
      </c>
      <c r="G24" s="33">
        <f>G13+G18+G22</f>
        <v>8905</v>
      </c>
    </row>
    <row r="25" spans="2:7">
      <c r="C25" s="24"/>
      <c r="D25" s="24"/>
      <c r="E25" s="24"/>
    </row>
    <row r="26" spans="2:7" ht="15">
      <c r="B26" s="23" t="s">
        <v>15</v>
      </c>
      <c r="C26" s="24"/>
      <c r="D26" s="24"/>
      <c r="E26" s="24"/>
    </row>
    <row r="27" spans="2:7">
      <c r="B27" s="25" t="s">
        <v>16</v>
      </c>
      <c r="C27" s="27">
        <v>215</v>
      </c>
      <c r="D27" s="27">
        <v>704</v>
      </c>
      <c r="E27" s="27">
        <v>362</v>
      </c>
      <c r="G27" s="27">
        <v>300</v>
      </c>
    </row>
    <row r="28" spans="2:7">
      <c r="B28" s="28" t="s">
        <v>17</v>
      </c>
      <c r="C28" s="26">
        <v>82</v>
      </c>
      <c r="D28" s="26">
        <v>88</v>
      </c>
      <c r="E28" s="26">
        <v>21</v>
      </c>
      <c r="G28" s="26">
        <v>20</v>
      </c>
    </row>
    <row r="29" spans="2:7">
      <c r="B29" s="25" t="s">
        <v>18</v>
      </c>
      <c r="C29" s="29">
        <f>SUM(C27:C28)</f>
        <v>297</v>
      </c>
      <c r="D29" s="29">
        <f>SUM(D27:D28)</f>
        <v>792</v>
      </c>
      <c r="E29" s="29">
        <f>SUM(E27:E28)</f>
        <v>383</v>
      </c>
      <c r="G29" s="29">
        <f>SUM(G27:G28)</f>
        <v>320</v>
      </c>
    </row>
    <row r="30" spans="2:7">
      <c r="C30" s="24"/>
      <c r="D30" s="24"/>
      <c r="E30" s="24"/>
    </row>
    <row r="31" spans="2:7" ht="15">
      <c r="B31" s="23" t="s">
        <v>19</v>
      </c>
      <c r="C31" s="24"/>
      <c r="D31" s="24"/>
      <c r="E31" s="24"/>
    </row>
    <row r="32" spans="2:7">
      <c r="B32" s="25" t="s">
        <v>20</v>
      </c>
      <c r="C32" s="26">
        <v>0</v>
      </c>
      <c r="D32" s="26">
        <v>0</v>
      </c>
      <c r="E32" s="26">
        <v>0</v>
      </c>
      <c r="G32" s="26">
        <v>0</v>
      </c>
    </row>
    <row r="33" spans="2:7">
      <c r="C33" s="26"/>
      <c r="D33" s="26"/>
      <c r="E33" s="26"/>
      <c r="G33" s="26"/>
    </row>
    <row r="34" spans="2:7" ht="15">
      <c r="B34" s="23" t="s">
        <v>137</v>
      </c>
      <c r="C34" s="26"/>
      <c r="D34" s="26"/>
      <c r="E34" s="26"/>
      <c r="G34" s="26"/>
    </row>
    <row r="35" spans="2:7">
      <c r="B35" s="25" t="s">
        <v>389</v>
      </c>
      <c r="C35" s="26">
        <v>0</v>
      </c>
      <c r="D35" s="26">
        <v>0</v>
      </c>
      <c r="E35" s="26">
        <v>0</v>
      </c>
      <c r="G35" s="26">
        <v>0</v>
      </c>
    </row>
    <row r="36" spans="2:7">
      <c r="C36" s="24"/>
      <c r="D36" s="24"/>
      <c r="E36" s="24"/>
      <c r="G36" s="24"/>
    </row>
    <row r="37" spans="2:7">
      <c r="B37" s="25" t="s">
        <v>21</v>
      </c>
      <c r="C37" s="26">
        <v>9581</v>
      </c>
      <c r="D37" s="34">
        <v>9261</v>
      </c>
      <c r="E37" s="34">
        <v>9096</v>
      </c>
      <c r="F37" s="363"/>
      <c r="G37" s="34">
        <v>8585</v>
      </c>
    </row>
    <row r="38" spans="2:7">
      <c r="C38" s="24"/>
      <c r="D38" s="24"/>
      <c r="E38" s="24"/>
      <c r="G38" s="24"/>
    </row>
    <row r="39" spans="2:7" ht="15.75" thickBot="1">
      <c r="B39" s="32" t="s">
        <v>22</v>
      </c>
      <c r="C39" s="35">
        <f>C29+C32+C37</f>
        <v>9878</v>
      </c>
      <c r="D39" s="35">
        <f>D29+D32+D37</f>
        <v>10053</v>
      </c>
      <c r="E39" s="35">
        <f>E29+E32+E35+E37</f>
        <v>9479</v>
      </c>
      <c r="G39" s="35">
        <f>G29+G32+G35+G37</f>
        <v>8905</v>
      </c>
    </row>
    <row r="40" spans="2:7" ht="15">
      <c r="B40" s="36" t="s">
        <v>23</v>
      </c>
      <c r="C40" s="37">
        <f>+C24-C39</f>
        <v>0</v>
      </c>
      <c r="D40" s="37">
        <f>+D24-D39</f>
        <v>0</v>
      </c>
      <c r="E40" s="37">
        <f>+E24-E39</f>
        <v>0</v>
      </c>
      <c r="G40" s="37">
        <f>+G24-G39</f>
        <v>0</v>
      </c>
    </row>
    <row r="41" spans="2:7">
      <c r="C41" s="24"/>
      <c r="D41" s="24"/>
      <c r="E41" s="24"/>
    </row>
    <row r="42" spans="2:7">
      <c r="C42" s="24"/>
      <c r="D42" s="24"/>
      <c r="E42" s="24"/>
    </row>
    <row r="43" spans="2:7">
      <c r="B43" s="25" t="s">
        <v>24</v>
      </c>
      <c r="C43" s="38">
        <f>'Income Statement'!C8</f>
        <v>21420.467830000001</v>
      </c>
      <c r="D43" s="38">
        <f>'Income Statement'!D8</f>
        <v>21448.95235</v>
      </c>
      <c r="E43" s="38">
        <f>'Income Statement'!E8</f>
        <v>20754.72047</v>
      </c>
      <c r="G43" s="38">
        <f>'Income Statement'!F8</f>
        <v>19350</v>
      </c>
    </row>
    <row r="44" spans="2:7">
      <c r="B44" s="25" t="s">
        <v>25</v>
      </c>
      <c r="C44" s="38">
        <f>'Income Statement'!C10</f>
        <v>13586.67253</v>
      </c>
      <c r="D44" s="38">
        <f>'Income Statement'!D10</f>
        <v>14795.00763</v>
      </c>
      <c r="E44" s="38">
        <f>'Income Statement'!E10</f>
        <v>13628.33063</v>
      </c>
      <c r="G44" s="38">
        <f>'Income Statement'!F10</f>
        <v>12600</v>
      </c>
    </row>
    <row r="45" spans="2:7">
      <c r="C45" s="24"/>
      <c r="D45" s="24"/>
      <c r="E45" s="24"/>
    </row>
    <row r="46" spans="2:7" ht="15">
      <c r="B46" s="39" t="s">
        <v>26</v>
      </c>
    </row>
    <row r="47" spans="2:7">
      <c r="B47" s="25" t="s">
        <v>27</v>
      </c>
      <c r="C47" s="40">
        <f t="shared" ref="C47:E48" si="0">C10/C43*365</f>
        <v>45.615483646511933</v>
      </c>
      <c r="D47" s="40">
        <f t="shared" si="0"/>
        <v>46.797157437854999</v>
      </c>
      <c r="E47" s="40">
        <f t="shared" si="0"/>
        <v>52.759082040289215</v>
      </c>
      <c r="G47" s="40">
        <f>G10/G43*365</f>
        <v>51.873385012919897</v>
      </c>
    </row>
    <row r="48" spans="2:7">
      <c r="B48" s="25" t="s">
        <v>28</v>
      </c>
      <c r="C48" s="40">
        <f t="shared" si="0"/>
        <v>67.161403793692529</v>
      </c>
      <c r="D48" s="40">
        <f t="shared" si="0"/>
        <v>74.011452199568751</v>
      </c>
      <c r="E48" s="40">
        <f t="shared" si="0"/>
        <v>73.651720614295073</v>
      </c>
      <c r="G48" s="40">
        <f>G11/G44*365</f>
        <v>79.662698412698418</v>
      </c>
    </row>
    <row r="49" spans="2:7">
      <c r="B49" s="25" t="s">
        <v>29</v>
      </c>
      <c r="C49" s="41">
        <f>C22/C43</f>
        <v>4.9018537238922667E-3</v>
      </c>
      <c r="D49" s="41">
        <f>D22/D43</f>
        <v>4.8953439910084931E-3</v>
      </c>
      <c r="E49" s="41">
        <f>E22/E43</f>
        <v>5.0590900586578698E-3</v>
      </c>
      <c r="G49" s="41">
        <f>G22/G43</f>
        <v>5.4263565891472867E-3</v>
      </c>
    </row>
    <row r="50" spans="2:7">
      <c r="B50" s="25" t="s">
        <v>30</v>
      </c>
      <c r="C50" s="40">
        <f>C27/C44*365</f>
        <v>5.7758807262575571</v>
      </c>
      <c r="D50" s="40">
        <f>D27/D44*365</f>
        <v>17.368020782832133</v>
      </c>
      <c r="E50" s="40">
        <f>E27/E44*365</f>
        <v>9.6952446772272065</v>
      </c>
      <c r="G50" s="40">
        <f>G27/G44*365</f>
        <v>8.6904761904761898</v>
      </c>
    </row>
    <row r="51" spans="2:7">
      <c r="B51" s="25" t="s">
        <v>31</v>
      </c>
      <c r="C51" s="41">
        <f>C28/C44</f>
        <v>6.0353261491318212E-3</v>
      </c>
      <c r="D51" s="41">
        <f>D28/D44</f>
        <v>5.9479523228877168E-3</v>
      </c>
      <c r="E51" s="41">
        <f>E28/E44</f>
        <v>1.5409077289167588E-3</v>
      </c>
      <c r="G51" s="41">
        <f>G28/G44</f>
        <v>1.5873015873015873E-3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80" zoomScaleNormal="80" workbookViewId="0"/>
  </sheetViews>
  <sheetFormatPr defaultColWidth="8.85546875" defaultRowHeight="13.5"/>
  <cols>
    <col min="1" max="1" width="1.7109375" style="25" customWidth="1"/>
    <col min="2" max="2" width="44.28515625" style="25" bestFit="1" customWidth="1"/>
    <col min="3" max="6" width="12.7109375" style="25" customWidth="1"/>
    <col min="7" max="7" width="12.28515625" style="25" bestFit="1" customWidth="1"/>
    <col min="8" max="9" width="8.85546875" style="25"/>
    <col min="10" max="15" width="9.5703125" style="25" bestFit="1" customWidth="1"/>
    <col min="16" max="16384" width="8.85546875" style="25"/>
  </cols>
  <sheetData>
    <row r="1" spans="1:13" s="15" customFormat="1" ht="21" thickBot="1">
      <c r="A1" s="17" t="str">
        <f>Cover!$B$17</f>
        <v>Gamma Engineering</v>
      </c>
      <c r="B1" s="16"/>
      <c r="C1" s="16"/>
      <c r="D1" s="16"/>
      <c r="E1" s="16"/>
      <c r="F1" s="16"/>
    </row>
    <row r="2" spans="1:13">
      <c r="A2" s="25" t="s">
        <v>32</v>
      </c>
    </row>
    <row r="5" spans="1:13" ht="15">
      <c r="B5" s="330" t="s">
        <v>33</v>
      </c>
      <c r="C5" s="331"/>
      <c r="D5" s="331"/>
      <c r="E5" s="331"/>
      <c r="F5" s="331"/>
    </row>
    <row r="6" spans="1:13" ht="15">
      <c r="B6" s="18" t="s">
        <v>3</v>
      </c>
      <c r="C6" s="19" t="str">
        <f>'Balance Sheet'!C6</f>
        <v>Historical Year Ending 12/31</v>
      </c>
      <c r="D6" s="19"/>
      <c r="E6" s="19"/>
      <c r="F6" s="19"/>
    </row>
    <row r="7" spans="1:13" ht="15.75" thickBot="1">
      <c r="B7" s="20"/>
      <c r="C7" s="45">
        <f>'Balance Sheet'!C7</f>
        <v>41639</v>
      </c>
      <c r="D7" s="45">
        <f>'Balance Sheet'!D7</f>
        <v>42004</v>
      </c>
      <c r="E7" s="45">
        <f>'Balance Sheet'!E7</f>
        <v>42369</v>
      </c>
      <c r="F7" s="432">
        <f>E7+1</f>
        <v>42370</v>
      </c>
      <c r="J7" s="384"/>
      <c r="K7" s="384"/>
      <c r="L7" s="384"/>
      <c r="M7" s="384"/>
    </row>
    <row r="8" spans="1:13" ht="15">
      <c r="B8" s="47" t="s">
        <v>390</v>
      </c>
      <c r="C8" s="438">
        <v>21420.467830000001</v>
      </c>
      <c r="D8" s="438">
        <v>21448.95235</v>
      </c>
      <c r="E8" s="438">
        <v>20754.72047</v>
      </c>
      <c r="F8" s="386">
        <v>19350</v>
      </c>
      <c r="J8" s="384"/>
      <c r="K8" s="384"/>
      <c r="L8" s="384"/>
      <c r="M8" s="384"/>
    </row>
    <row r="9" spans="1:13" ht="15">
      <c r="B9" s="47"/>
      <c r="C9" s="349"/>
      <c r="D9" s="349"/>
      <c r="E9" s="349"/>
      <c r="F9" s="349"/>
      <c r="J9" s="384"/>
      <c r="K9" s="384"/>
      <c r="L9" s="384"/>
      <c r="M9" s="384"/>
    </row>
    <row r="10" spans="1:13" ht="15">
      <c r="B10" s="47" t="s">
        <v>34</v>
      </c>
      <c r="C10" s="309">
        <v>13586.67253</v>
      </c>
      <c r="D10" s="309">
        <v>14795.00763</v>
      </c>
      <c r="E10" s="309">
        <v>13628.33063</v>
      </c>
      <c r="F10" s="26">
        <v>12600</v>
      </c>
      <c r="J10" s="385"/>
      <c r="K10" s="385"/>
      <c r="L10" s="385"/>
      <c r="M10" s="385"/>
    </row>
    <row r="11" spans="1:13">
      <c r="C11" s="48"/>
      <c r="D11" s="24"/>
      <c r="E11" s="24"/>
      <c r="F11" s="24"/>
      <c r="J11" s="384"/>
      <c r="K11" s="384"/>
      <c r="L11" s="384"/>
      <c r="M11" s="384"/>
    </row>
    <row r="12" spans="1:13" ht="15">
      <c r="B12" s="317" t="s">
        <v>35</v>
      </c>
      <c r="C12" s="318">
        <f>C8-C10</f>
        <v>7833.7953000000016</v>
      </c>
      <c r="D12" s="318">
        <f>D8-D10</f>
        <v>6653.9447199999995</v>
      </c>
      <c r="E12" s="318">
        <f>E8-E10</f>
        <v>7126.3898399999998</v>
      </c>
      <c r="F12" s="318">
        <f>F8-F10</f>
        <v>6750</v>
      </c>
      <c r="G12" s="519"/>
      <c r="J12" s="384"/>
      <c r="K12" s="384"/>
      <c r="L12" s="384"/>
      <c r="M12" s="384"/>
    </row>
    <row r="13" spans="1:13" ht="14.25" thickBot="1">
      <c r="B13" s="319" t="s">
        <v>36</v>
      </c>
      <c r="C13" s="320">
        <f>C12/C8</f>
        <v>0.36571541584299755</v>
      </c>
      <c r="D13" s="320">
        <f>D12/D8</f>
        <v>0.31022236477671133</v>
      </c>
      <c r="E13" s="320">
        <f>E12/E8</f>
        <v>0.34336236184442331</v>
      </c>
      <c r="F13" s="320">
        <f>F12/F8</f>
        <v>0.34883720930232559</v>
      </c>
      <c r="J13" s="384"/>
      <c r="K13" s="384"/>
      <c r="L13" s="384"/>
      <c r="M13" s="384"/>
    </row>
    <row r="14" spans="1:13">
      <c r="J14" s="385"/>
      <c r="K14" s="385"/>
      <c r="L14" s="385"/>
      <c r="M14" s="385"/>
    </row>
    <row r="15" spans="1:13" ht="15">
      <c r="B15" s="47" t="s">
        <v>39</v>
      </c>
      <c r="C15" s="247">
        <v>1399.6280699999988</v>
      </c>
      <c r="D15" s="247">
        <v>2972</v>
      </c>
      <c r="E15" s="247">
        <v>3381</v>
      </c>
      <c r="F15" s="26">
        <v>2500</v>
      </c>
      <c r="H15" s="48"/>
      <c r="I15" s="48"/>
      <c r="J15" s="48"/>
      <c r="K15" s="48"/>
      <c r="L15" s="384"/>
      <c r="M15" s="384"/>
    </row>
    <row r="16" spans="1:13" ht="15">
      <c r="B16" s="20" t="s">
        <v>357</v>
      </c>
      <c r="C16" s="350">
        <f>C15/C8</f>
        <v>6.5340686352320376E-2</v>
      </c>
      <c r="D16" s="350">
        <f>D15/D8</f>
        <v>0.13856154610740232</v>
      </c>
      <c r="E16" s="350">
        <f>E15/E8</f>
        <v>0.16290269988878342</v>
      </c>
      <c r="F16" s="350">
        <f>F15/F8</f>
        <v>0.12919896640826872</v>
      </c>
      <c r="J16" s="384"/>
      <c r="K16" s="384"/>
      <c r="L16" s="384"/>
      <c r="M16" s="384"/>
    </row>
    <row r="17" spans="2:13" ht="15">
      <c r="B17" s="20"/>
      <c r="C17" s="350"/>
      <c r="D17" s="350"/>
      <c r="E17" s="350"/>
      <c r="F17" s="350"/>
      <c r="J17" s="385"/>
      <c r="K17" s="385"/>
      <c r="L17" s="385"/>
      <c r="M17" s="385"/>
    </row>
    <row r="18" spans="2:13" ht="15">
      <c r="B18" s="50" t="s">
        <v>40</v>
      </c>
      <c r="C18" s="49">
        <f>C12-C15</f>
        <v>6434.1672300000027</v>
      </c>
      <c r="D18" s="49">
        <f>D12-D15</f>
        <v>3681.9447199999995</v>
      </c>
      <c r="E18" s="49">
        <f>E12-E15</f>
        <v>3745.3898399999998</v>
      </c>
      <c r="F18" s="49">
        <f>F12-F15</f>
        <v>4250</v>
      </c>
      <c r="G18" s="24"/>
    </row>
    <row r="19" spans="2:13" ht="14.25" thickBot="1">
      <c r="B19" s="51" t="s">
        <v>41</v>
      </c>
      <c r="C19" s="52">
        <f>C18/C8</f>
        <v>0.30037472949067717</v>
      </c>
      <c r="D19" s="52">
        <f>D18/D8</f>
        <v>0.17166081866930902</v>
      </c>
      <c r="E19" s="52">
        <f>E18/E8</f>
        <v>0.18045966195563989</v>
      </c>
      <c r="F19" s="52">
        <f>F18/F8</f>
        <v>0.21963824289405684</v>
      </c>
    </row>
    <row r="20" spans="2:13">
      <c r="C20" s="24"/>
    </row>
    <row r="21" spans="2:13" ht="15">
      <c r="B21" s="23" t="s">
        <v>47</v>
      </c>
    </row>
    <row r="22" spans="2:13">
      <c r="B22" s="25" t="s">
        <v>47</v>
      </c>
      <c r="C22" s="247">
        <v>0</v>
      </c>
      <c r="D22" s="247">
        <v>0</v>
      </c>
      <c r="E22" s="247">
        <v>0</v>
      </c>
      <c r="F22" s="247">
        <v>0</v>
      </c>
    </row>
    <row r="23" spans="2:13">
      <c r="B23" s="25" t="s">
        <v>48</v>
      </c>
      <c r="C23" s="29">
        <f>SUM(C22:C22)</f>
        <v>0</v>
      </c>
      <c r="D23" s="29">
        <f>SUM(D22:D22)</f>
        <v>0</v>
      </c>
      <c r="E23" s="29">
        <f>SUM(E22:E22)</f>
        <v>0</v>
      </c>
      <c r="F23" s="29">
        <f>SUM(F22:F22)</f>
        <v>0</v>
      </c>
    </row>
    <row r="25" spans="2:13" ht="15.75" thickBot="1">
      <c r="B25" s="32" t="s">
        <v>49</v>
      </c>
      <c r="C25" s="35">
        <f>C18+C23</f>
        <v>6434.1672300000027</v>
      </c>
      <c r="D25" s="35">
        <f>D18+D23</f>
        <v>3681.9447199999995</v>
      </c>
      <c r="E25" s="35">
        <f>E18+E23</f>
        <v>3745.3898399999998</v>
      </c>
      <c r="F25" s="35">
        <f>F18+F23</f>
        <v>4250</v>
      </c>
    </row>
    <row r="26" spans="2:13">
      <c r="C26" s="24"/>
    </row>
    <row r="27" spans="2:13" ht="15">
      <c r="B27" s="23" t="s">
        <v>42</v>
      </c>
      <c r="C27" s="46"/>
      <c r="D27" s="46"/>
      <c r="E27" s="46"/>
      <c r="F27" s="46"/>
    </row>
    <row r="28" spans="2:13">
      <c r="B28" s="25" t="s">
        <v>43</v>
      </c>
      <c r="C28" s="309">
        <v>2030.5830000000001</v>
      </c>
      <c r="D28" s="309">
        <v>1540.136</v>
      </c>
      <c r="E28" s="309">
        <v>1131.779</v>
      </c>
      <c r="F28" s="309">
        <v>625</v>
      </c>
    </row>
    <row r="29" spans="2:13">
      <c r="C29" s="26"/>
      <c r="D29" s="26"/>
      <c r="E29" s="26"/>
      <c r="F29" s="26"/>
    </row>
    <row r="30" spans="2:13" ht="15">
      <c r="B30" s="317" t="s">
        <v>110</v>
      </c>
      <c r="C30" s="387">
        <f>+C25+C28</f>
        <v>8464.7502300000033</v>
      </c>
      <c r="D30" s="387">
        <f>+D25+D28</f>
        <v>5222.0807199999999</v>
      </c>
      <c r="E30" s="387">
        <f>+E25+E28</f>
        <v>4877.1688400000003</v>
      </c>
      <c r="F30" s="387">
        <f>+F25+F28</f>
        <v>4875</v>
      </c>
      <c r="G30" s="24"/>
      <c r="H30" s="24"/>
    </row>
    <row r="31" spans="2:13" ht="14.25" thickBot="1">
      <c r="B31" s="321" t="s">
        <v>416</v>
      </c>
      <c r="C31" s="320">
        <f>C30/C8</f>
        <v>0.39517111844517555</v>
      </c>
      <c r="D31" s="320">
        <f>D30/D8</f>
        <v>0.24346553784012673</v>
      </c>
      <c r="E31" s="320">
        <f>E30/E8</f>
        <v>0.23499082278895178</v>
      </c>
      <c r="F31" s="320">
        <f>F30/F8</f>
        <v>0.25193798449612403</v>
      </c>
    </row>
    <row r="32" spans="2:13">
      <c r="C32" s="24"/>
    </row>
    <row r="34" spans="2:6">
      <c r="B34" s="25" t="s">
        <v>187</v>
      </c>
      <c r="C34" s="393">
        <v>1708</v>
      </c>
      <c r="D34" s="393">
        <v>2082</v>
      </c>
      <c r="E34" s="393">
        <v>987</v>
      </c>
      <c r="F34" s="393">
        <v>500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343C"/>
  </sheetPr>
  <dimension ref="A1"/>
  <sheetViews>
    <sheetView zoomScale="80" zoomScaleNormal="80"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V522"/>
  <sheetViews>
    <sheetView showGridLines="0" zoomScale="80" zoomScaleNormal="80" workbookViewId="0"/>
  </sheetViews>
  <sheetFormatPr defaultColWidth="8.85546875" defaultRowHeight="13.5" outlineLevelRow="1" outlineLevelCol="2"/>
  <cols>
    <col min="1" max="1" width="2.7109375" style="25" customWidth="1"/>
    <col min="2" max="2" width="12.5703125" style="25" customWidth="1"/>
    <col min="3" max="4" width="12.7109375" style="25" customWidth="1"/>
    <col min="5" max="7" width="12.7109375" style="25" customWidth="1" outlineLevel="2"/>
    <col min="8" max="20" width="12.7109375" style="25" customWidth="1"/>
    <col min="21" max="16384" width="8.85546875" style="25"/>
  </cols>
  <sheetData>
    <row r="1" spans="1:24" ht="21" thickBot="1">
      <c r="A1" s="17" t="str">
        <f>Cover!$B$17</f>
        <v>Gamma Engineering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74"/>
    </row>
    <row r="2" spans="1:24">
      <c r="S2" s="74"/>
    </row>
    <row r="3" spans="1:24">
      <c r="A3" s="46"/>
      <c r="S3" s="74"/>
    </row>
    <row r="4" spans="1:24" ht="15">
      <c r="A4" s="55" t="s">
        <v>51</v>
      </c>
      <c r="B4" s="330" t="s">
        <v>50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74"/>
    </row>
    <row r="5" spans="1:24" ht="15">
      <c r="B5" s="25" t="s">
        <v>372</v>
      </c>
      <c r="D5" s="185">
        <v>1</v>
      </c>
      <c r="R5" s="187" t="str">
        <f ca="1">E494</f>
        <v>Active Case: No Growth</v>
      </c>
      <c r="S5" s="74"/>
      <c r="X5" s="259" t="s">
        <v>289</v>
      </c>
    </row>
    <row r="6" spans="1:24">
      <c r="S6" s="74"/>
      <c r="X6" s="25" t="s">
        <v>95</v>
      </c>
    </row>
    <row r="7" spans="1:24" ht="15">
      <c r="B7" s="39" t="s">
        <v>52</v>
      </c>
      <c r="H7" s="39" t="s">
        <v>76</v>
      </c>
      <c r="P7" s="39" t="s">
        <v>96</v>
      </c>
      <c r="S7" s="74"/>
      <c r="X7" s="25" t="s">
        <v>290</v>
      </c>
    </row>
    <row r="8" spans="1:24" ht="15">
      <c r="B8" s="25" t="s">
        <v>364</v>
      </c>
      <c r="F8" s="199">
        <f ca="1">R22</f>
        <v>32500</v>
      </c>
      <c r="K8" s="66" t="s">
        <v>77</v>
      </c>
      <c r="L8" s="66" t="s">
        <v>78</v>
      </c>
      <c r="M8" s="66" t="s">
        <v>79</v>
      </c>
      <c r="N8" s="66" t="s">
        <v>93</v>
      </c>
      <c r="S8" s="74"/>
      <c r="X8" s="25" t="s">
        <v>287</v>
      </c>
    </row>
    <row r="9" spans="1:24" ht="15">
      <c r="B9" s="25" t="s">
        <v>53</v>
      </c>
      <c r="F9" s="199">
        <f ca="1">K24*K23</f>
        <v>35</v>
      </c>
      <c r="H9" s="67" t="s">
        <v>80</v>
      </c>
      <c r="P9" s="25" t="s">
        <v>94</v>
      </c>
      <c r="R9" s="185" t="s">
        <v>95</v>
      </c>
      <c r="S9" s="74"/>
      <c r="X9" s="25" t="s">
        <v>291</v>
      </c>
    </row>
    <row r="10" spans="1:24">
      <c r="B10" s="25" t="s">
        <v>54</v>
      </c>
      <c r="F10" s="199">
        <f ca="1">K15*K28</f>
        <v>80</v>
      </c>
      <c r="H10" s="25" t="s">
        <v>364</v>
      </c>
      <c r="K10" s="271">
        <f ca="1">OFFSET(K10,0,$R$11)</f>
        <v>32500</v>
      </c>
      <c r="L10" s="247">
        <v>32500</v>
      </c>
      <c r="M10" s="247">
        <v>32500</v>
      </c>
      <c r="N10" s="247">
        <v>32500</v>
      </c>
      <c r="S10" s="74"/>
    </row>
    <row r="11" spans="1:24" ht="15">
      <c r="B11" s="25" t="s">
        <v>55</v>
      </c>
      <c r="F11" s="199">
        <f ca="1">(K16*K34)+(K18*K39)</f>
        <v>360</v>
      </c>
      <c r="H11" s="25" t="s">
        <v>81</v>
      </c>
      <c r="K11" s="65">
        <f ca="1">OFFSET(K11,0,$R$11)</f>
        <v>6.666666666666667</v>
      </c>
      <c r="L11" s="369">
        <f>L10/$R$20</f>
        <v>6.666666666666667</v>
      </c>
      <c r="M11" s="369">
        <f>M10/$R$20</f>
        <v>6.666666666666667</v>
      </c>
      <c r="N11" s="369">
        <f>N10/$R$20</f>
        <v>6.666666666666667</v>
      </c>
      <c r="P11" s="25" t="s">
        <v>419</v>
      </c>
      <c r="R11" s="240">
        <v>1</v>
      </c>
      <c r="S11" s="74"/>
    </row>
    <row r="12" spans="1:24">
      <c r="B12" s="25" t="s">
        <v>421</v>
      </c>
      <c r="F12" s="34">
        <v>500</v>
      </c>
      <c r="S12" s="74"/>
    </row>
    <row r="13" spans="1:24" ht="15">
      <c r="B13" s="25" t="s">
        <v>349</v>
      </c>
      <c r="F13" s="389">
        <f ca="1">K43-SUM(F9:F12)</f>
        <v>625</v>
      </c>
      <c r="H13" s="67" t="s">
        <v>82</v>
      </c>
      <c r="P13" s="25" t="s">
        <v>420</v>
      </c>
      <c r="R13" s="240">
        <v>2</v>
      </c>
      <c r="S13" s="74"/>
    </row>
    <row r="14" spans="1:24">
      <c r="B14" s="25" t="s">
        <v>56</v>
      </c>
      <c r="F14" s="198">
        <v>0</v>
      </c>
      <c r="H14" s="25" t="s">
        <v>63</v>
      </c>
      <c r="K14" s="24">
        <f ca="1">OFFSET(K14,0,$R$11)</f>
        <v>1000</v>
      </c>
      <c r="L14" s="34">
        <v>1000</v>
      </c>
      <c r="M14" s="34">
        <v>1000</v>
      </c>
      <c r="N14" s="34">
        <v>1000</v>
      </c>
      <c r="S14" s="74"/>
    </row>
    <row r="15" spans="1:24" ht="15.75" thickBot="1">
      <c r="B15" s="32" t="s">
        <v>57</v>
      </c>
      <c r="C15" s="57"/>
      <c r="D15" s="57"/>
      <c r="E15" s="57"/>
      <c r="F15" s="73">
        <f ca="1">SUM(F8:F14)</f>
        <v>34100</v>
      </c>
      <c r="H15" s="25" t="s">
        <v>64</v>
      </c>
      <c r="K15" s="24">
        <f ca="1">OFFSET(K15,0,$R$11)</f>
        <v>8000</v>
      </c>
      <c r="L15" s="34">
        <v>8000</v>
      </c>
      <c r="M15" s="34">
        <v>8000</v>
      </c>
      <c r="N15" s="34">
        <v>8000</v>
      </c>
      <c r="P15" s="25" t="s">
        <v>163</v>
      </c>
      <c r="R15" s="186">
        <v>0.45</v>
      </c>
      <c r="S15" s="74"/>
    </row>
    <row r="16" spans="1:24" ht="15">
      <c r="B16" s="25" t="s">
        <v>262</v>
      </c>
      <c r="H16" s="25" t="s">
        <v>65</v>
      </c>
      <c r="K16" s="24">
        <f ca="1">OFFSET(K16,0,$R$11)</f>
        <v>10000</v>
      </c>
      <c r="L16" s="34">
        <v>10000</v>
      </c>
      <c r="M16" s="34">
        <v>10000</v>
      </c>
      <c r="N16" s="34">
        <v>10000</v>
      </c>
      <c r="P16" s="74"/>
      <c r="Q16" s="74"/>
      <c r="R16" s="75"/>
      <c r="S16" s="74"/>
    </row>
    <row r="17" spans="2:27" ht="15">
      <c r="H17" s="25" t="s">
        <v>405</v>
      </c>
      <c r="K17" s="24">
        <f ca="1">OFFSET(K17,0,$R$11)</f>
        <v>0</v>
      </c>
      <c r="L17" s="34">
        <v>0</v>
      </c>
      <c r="M17" s="34">
        <v>0</v>
      </c>
      <c r="N17" s="34">
        <v>0</v>
      </c>
      <c r="P17" s="25" t="s">
        <v>288</v>
      </c>
      <c r="R17" s="185" t="s">
        <v>287</v>
      </c>
      <c r="S17" s="74"/>
    </row>
    <row r="18" spans="2:27" ht="15">
      <c r="B18" s="39" t="s">
        <v>59</v>
      </c>
      <c r="H18" s="25" t="s">
        <v>430</v>
      </c>
      <c r="K18" s="24">
        <f ca="1">OFFSET(K18,0,$R$11)</f>
        <v>8000</v>
      </c>
      <c r="L18" s="34">
        <v>8000</v>
      </c>
      <c r="M18" s="34">
        <v>8000</v>
      </c>
      <c r="N18" s="34">
        <v>8000</v>
      </c>
      <c r="S18" s="399"/>
      <c r="T18" s="360"/>
    </row>
    <row r="19" spans="2:27" ht="15">
      <c r="D19" s="25" t="s">
        <v>60</v>
      </c>
      <c r="E19" s="64" t="s">
        <v>61</v>
      </c>
      <c r="F19" s="64" t="s">
        <v>62</v>
      </c>
      <c r="P19" s="39" t="s">
        <v>97</v>
      </c>
      <c r="S19" s="391"/>
      <c r="T19" s="360"/>
    </row>
    <row r="20" spans="2:27">
      <c r="B20" s="25" t="s">
        <v>63</v>
      </c>
      <c r="D20" s="24">
        <f ca="1">K14</f>
        <v>1000</v>
      </c>
      <c r="E20" s="65">
        <f ca="1">IF($R$20=0,0,D20/$R$20)</f>
        <v>0.20512820512820512</v>
      </c>
      <c r="F20" s="60">
        <f ca="1">IF($D$30=0,0,D20/$D$30)</f>
        <v>2.932551319648094E-2</v>
      </c>
      <c r="H20" s="67" t="s">
        <v>63</v>
      </c>
      <c r="P20" s="25" t="s">
        <v>98</v>
      </c>
      <c r="R20" s="24">
        <f>G152</f>
        <v>4875</v>
      </c>
      <c r="S20" s="406"/>
      <c r="Y20" s="26"/>
      <c r="Z20" s="411"/>
    </row>
    <row r="21" spans="2:27">
      <c r="B21" s="25" t="s">
        <v>64</v>
      </c>
      <c r="D21" s="24">
        <f ca="1">K15</f>
        <v>8000</v>
      </c>
      <c r="E21" s="65">
        <f ca="1">IF($R$20=0,0,D21/$R$20)</f>
        <v>1.641025641025641</v>
      </c>
      <c r="F21" s="60">
        <f ca="1">IF($D$30=0,0,D21/$D$30)</f>
        <v>0.23460410557184752</v>
      </c>
      <c r="H21" s="25" t="s">
        <v>83</v>
      </c>
      <c r="J21" s="64"/>
      <c r="K21" s="68">
        <f ca="1">OFFSET(K21,0,$R$11)</f>
        <v>4.2500000000000003E-2</v>
      </c>
      <c r="L21" s="69">
        <v>4.2500000000000003E-2</v>
      </c>
      <c r="M21" s="69">
        <v>4.2500000000000003E-2</v>
      </c>
      <c r="N21" s="69">
        <v>4.2500000000000003E-2</v>
      </c>
      <c r="P21" s="25" t="s">
        <v>99</v>
      </c>
      <c r="R21" s="65">
        <f ca="1">R22/R20</f>
        <v>6.666666666666667</v>
      </c>
      <c r="S21" s="74"/>
      <c r="Y21" s="48"/>
    </row>
    <row r="22" spans="2:27" ht="15.75" thickBot="1">
      <c r="B22" s="25" t="s">
        <v>65</v>
      </c>
      <c r="D22" s="61">
        <f ca="1">K16</f>
        <v>10000</v>
      </c>
      <c r="E22" s="416">
        <f ca="1">IF($R$20=0,0,D22/$R$20)</f>
        <v>2.0512820512820511</v>
      </c>
      <c r="F22" s="62">
        <f ca="1">IF($D$30=0,0,D22/$D$30)</f>
        <v>0.2932551319648094</v>
      </c>
      <c r="H22" s="25" t="s">
        <v>84</v>
      </c>
      <c r="K22" s="68">
        <f ca="1">OFFSET(K22,0,$R$11)</f>
        <v>5.0000000000000001E-3</v>
      </c>
      <c r="L22" s="63">
        <v>5.0000000000000001E-3</v>
      </c>
      <c r="M22" s="63">
        <v>5.0000000000000001E-3</v>
      </c>
      <c r="N22" s="63">
        <v>5.0000000000000001E-3</v>
      </c>
      <c r="P22" s="32" t="s">
        <v>100</v>
      </c>
      <c r="Q22" s="32"/>
      <c r="R22" s="388">
        <f ca="1">K10</f>
        <v>32500</v>
      </c>
      <c r="S22" s="74"/>
      <c r="Y22" s="48"/>
      <c r="Z22" s="412"/>
      <c r="AA22" s="48"/>
    </row>
    <row r="23" spans="2:27">
      <c r="B23" s="25" t="s">
        <v>66</v>
      </c>
      <c r="D23" s="24">
        <f ca="1">SUM(D20:D22)</f>
        <v>19000</v>
      </c>
      <c r="E23" s="65">
        <f ca="1">SUM(E20:E22)</f>
        <v>3.8974358974358969</v>
      </c>
      <c r="F23" s="60">
        <f ca="1">SUM(F20:F22)</f>
        <v>0.55718475073313778</v>
      </c>
      <c r="H23" s="25" t="s">
        <v>85</v>
      </c>
      <c r="K23" s="60">
        <f ca="1">OFFSET(K23,0,$R$11)</f>
        <v>0.01</v>
      </c>
      <c r="L23" s="63">
        <v>0.01</v>
      </c>
      <c r="M23" s="63">
        <v>0.01</v>
      </c>
      <c r="N23" s="63">
        <v>0.01</v>
      </c>
      <c r="S23" s="123"/>
      <c r="AA23" s="225"/>
    </row>
    <row r="24" spans="2:27" ht="15">
      <c r="F24" s="60"/>
      <c r="G24" s="24"/>
      <c r="H24" s="25" t="s">
        <v>269</v>
      </c>
      <c r="K24" s="24">
        <f ca="1">OFFSET(K24,0,$R$11)</f>
        <v>3500</v>
      </c>
      <c r="L24" s="247">
        <v>3500</v>
      </c>
      <c r="M24" s="247">
        <v>3500</v>
      </c>
      <c r="N24" s="247">
        <v>3500</v>
      </c>
      <c r="P24" s="39" t="s">
        <v>101</v>
      </c>
      <c r="S24" s="123"/>
      <c r="Y24" s="360"/>
      <c r="AA24" s="225"/>
    </row>
    <row r="25" spans="2:27">
      <c r="B25" s="25" t="s">
        <v>405</v>
      </c>
      <c r="D25" s="24">
        <f ca="1">K17</f>
        <v>0</v>
      </c>
      <c r="E25" s="65">
        <f ca="1">IF($R$20=0,0,D25/$R$20)</f>
        <v>0</v>
      </c>
      <c r="F25" s="60">
        <f ca="1">IF($D$30=0,0,D25/$D$30)</f>
        <v>0</v>
      </c>
      <c r="G25" s="376"/>
      <c r="M25" s="360"/>
      <c r="P25" s="76" t="s">
        <v>102</v>
      </c>
      <c r="R25" s="202" t="str">
        <f ca="1">IF(OR(SUM($F$204:$R$204)&lt;-0.1,SUM($F$204:$R$204)&gt;0.1),"NO!","OK!")</f>
        <v>OK!</v>
      </c>
      <c r="S25" s="74"/>
      <c r="T25" s="24"/>
    </row>
    <row r="26" spans="2:27">
      <c r="B26" s="25" t="s">
        <v>430</v>
      </c>
      <c r="D26" s="24">
        <f ca="1">K18</f>
        <v>8000</v>
      </c>
      <c r="E26" s="65">
        <f ca="1">IF($R$20=0,0,D26/$R$20)</f>
        <v>1.641025641025641</v>
      </c>
      <c r="F26" s="60">
        <f ca="1">IF($D$30=0,0,D26/$D$30)</f>
        <v>0.23460410557184752</v>
      </c>
      <c r="H26" s="67" t="s">
        <v>143</v>
      </c>
      <c r="S26" s="74"/>
    </row>
    <row r="27" spans="2:27" ht="15">
      <c r="B27" s="25" t="s">
        <v>69</v>
      </c>
      <c r="D27" s="61">
        <f ca="1">+IF(Circ=0,0,F15-SUM(K14:K18))</f>
        <v>7100</v>
      </c>
      <c r="E27" s="416">
        <f ca="1">IF($R$20=0,0,D27/$R$20)</f>
        <v>1.4564102564102563</v>
      </c>
      <c r="F27" s="62">
        <f ca="1">IF($D$30=0,0,D27/$D$30)</f>
        <v>0.20821114369501467</v>
      </c>
      <c r="H27" s="25" t="s">
        <v>144</v>
      </c>
      <c r="K27" s="68">
        <f ca="1">OFFSET(K27,0,$R$11)</f>
        <v>4.2500000000000003E-2</v>
      </c>
      <c r="L27" s="69">
        <v>4.2500000000000003E-2</v>
      </c>
      <c r="M27" s="69">
        <v>4.2500000000000003E-2</v>
      </c>
      <c r="N27" s="69">
        <v>4.2500000000000003E-2</v>
      </c>
      <c r="P27" s="39" t="s">
        <v>495</v>
      </c>
      <c r="S27" s="74"/>
    </row>
    <row r="28" spans="2:27">
      <c r="B28" s="25" t="s">
        <v>67</v>
      </c>
      <c r="D28" s="24">
        <f ca="1">SUM(D25:D27)</f>
        <v>15100</v>
      </c>
      <c r="E28" s="65">
        <f ca="1">SUM(E25:E27)</f>
        <v>3.0974358974358971</v>
      </c>
      <c r="F28" s="60">
        <f ca="1">SUM(F25:F27)</f>
        <v>0.44281524926686222</v>
      </c>
      <c r="H28" s="25" t="s">
        <v>145</v>
      </c>
      <c r="K28" s="60">
        <f ca="1">OFFSET(K28,0,$R$11)</f>
        <v>0.01</v>
      </c>
      <c r="L28" s="63">
        <v>0.01</v>
      </c>
      <c r="M28" s="63">
        <v>0.01</v>
      </c>
      <c r="N28" s="63">
        <v>0.01</v>
      </c>
      <c r="P28" s="25" t="str">
        <f>B25</f>
        <v>Lender Equity</v>
      </c>
      <c r="R28" s="517">
        <v>0.3</v>
      </c>
      <c r="S28" s="74"/>
    </row>
    <row r="29" spans="2:27">
      <c r="F29" s="60"/>
      <c r="H29" s="25" t="s">
        <v>146</v>
      </c>
      <c r="K29" s="70">
        <f ca="1">OFFSET(K29,0,$R$11)</f>
        <v>5</v>
      </c>
      <c r="L29" s="71">
        <v>5</v>
      </c>
      <c r="M29" s="71">
        <v>5</v>
      </c>
      <c r="N29" s="71">
        <v>5</v>
      </c>
      <c r="P29" s="25" t="str">
        <f>B27</f>
        <v>Ashland Equity</v>
      </c>
      <c r="R29" s="41">
        <f>1-R28</f>
        <v>0.7</v>
      </c>
      <c r="S29" s="74"/>
    </row>
    <row r="30" spans="2:27" ht="15.75" thickBot="1">
      <c r="B30" s="32" t="s">
        <v>68</v>
      </c>
      <c r="C30" s="32"/>
      <c r="D30" s="33">
        <f ca="1">+D23+D28</f>
        <v>34100</v>
      </c>
      <c r="E30" s="417">
        <f ca="1">E23+E28</f>
        <v>6.994871794871794</v>
      </c>
      <c r="F30" s="200">
        <f ca="1">F23+F28</f>
        <v>1</v>
      </c>
      <c r="S30" s="399"/>
    </row>
    <row r="31" spans="2:27" ht="15">
      <c r="H31" s="67" t="s">
        <v>65</v>
      </c>
      <c r="P31" s="39"/>
      <c r="S31" s="74"/>
    </row>
    <row r="32" spans="2:27" ht="15">
      <c r="B32" s="39" t="s">
        <v>70</v>
      </c>
      <c r="H32" s="25" t="s">
        <v>86</v>
      </c>
      <c r="K32" s="68">
        <f ca="1">OFFSET(K32,0,$R$11)</f>
        <v>0.1</v>
      </c>
      <c r="L32" s="69">
        <v>0.1</v>
      </c>
      <c r="M32" s="69">
        <v>0.12</v>
      </c>
      <c r="N32" s="69">
        <v>0.12</v>
      </c>
      <c r="R32" s="41"/>
      <c r="S32" s="74"/>
      <c r="T32" s="41"/>
    </row>
    <row r="33" spans="2:20">
      <c r="B33" s="25" t="s">
        <v>364</v>
      </c>
      <c r="F33" s="24">
        <f ca="1">F8+F12+F13</f>
        <v>33625</v>
      </c>
      <c r="H33" s="25" t="s">
        <v>87</v>
      </c>
      <c r="K33" s="68">
        <f ca="1">OFFSET(K33,0,$R$11)</f>
        <v>0.02</v>
      </c>
      <c r="L33" s="69">
        <v>0.02</v>
      </c>
      <c r="M33" s="69">
        <v>0</v>
      </c>
      <c r="N33" s="69">
        <v>0</v>
      </c>
      <c r="R33" s="517"/>
      <c r="S33" s="74"/>
      <c r="T33" s="41"/>
    </row>
    <row r="34" spans="2:20">
      <c r="B34" s="25" t="s">
        <v>263</v>
      </c>
      <c r="F34" s="24">
        <f>-G118</f>
        <v>-8585</v>
      </c>
      <c r="H34" s="25" t="s">
        <v>88</v>
      </c>
      <c r="K34" s="60">
        <f ca="1">OFFSET(K34,0,$R$11)</f>
        <v>0.02</v>
      </c>
      <c r="L34" s="69">
        <v>0.02</v>
      </c>
      <c r="M34" s="69">
        <v>1.7500000000000002E-2</v>
      </c>
      <c r="N34" s="69">
        <v>1.7500000000000002E-2</v>
      </c>
      <c r="R34" s="41"/>
      <c r="S34" s="74"/>
    </row>
    <row r="35" spans="2:20">
      <c r="B35" s="25" t="s">
        <v>407</v>
      </c>
      <c r="F35" s="24">
        <f>-G110</f>
        <v>0</v>
      </c>
      <c r="L35" s="72"/>
      <c r="M35" s="72"/>
      <c r="N35" s="72"/>
      <c r="S35" s="74"/>
    </row>
    <row r="36" spans="2:20">
      <c r="B36" s="25" t="s">
        <v>408</v>
      </c>
      <c r="F36" s="24">
        <f>G89</f>
        <v>0</v>
      </c>
      <c r="H36" s="67" t="s">
        <v>431</v>
      </c>
      <c r="S36" s="74"/>
    </row>
    <row r="37" spans="2:20">
      <c r="B37" s="25" t="s">
        <v>71</v>
      </c>
      <c r="F37" s="24">
        <f>G96</f>
        <v>0</v>
      </c>
      <c r="H37" s="25" t="s">
        <v>432</v>
      </c>
      <c r="K37" s="68">
        <f ca="1">OFFSET(K37,0,$R$11)</f>
        <v>0.02</v>
      </c>
      <c r="L37" s="69">
        <v>0.02</v>
      </c>
      <c r="M37" s="69">
        <v>0</v>
      </c>
      <c r="N37" s="69">
        <v>0</v>
      </c>
      <c r="S37" s="74"/>
    </row>
    <row r="38" spans="2:20" ht="14.25" thickBot="1">
      <c r="B38" s="57" t="s">
        <v>264</v>
      </c>
      <c r="C38" s="57"/>
      <c r="D38" s="57"/>
      <c r="E38" s="57"/>
      <c r="F38" s="58">
        <f ca="1">SUM(F33:F37)</f>
        <v>25040</v>
      </c>
      <c r="H38" s="25" t="s">
        <v>433</v>
      </c>
      <c r="K38" s="68">
        <f ca="1">OFFSET(K38,0,$R$11)</f>
        <v>0.06</v>
      </c>
      <c r="L38" s="69">
        <v>0.06</v>
      </c>
      <c r="M38" s="69">
        <v>0</v>
      </c>
      <c r="N38" s="69">
        <v>0</v>
      </c>
      <c r="S38" s="74"/>
    </row>
    <row r="39" spans="2:20">
      <c r="H39" s="25" t="s">
        <v>438</v>
      </c>
      <c r="K39" s="68">
        <f ca="1">OFFSET(K39,0,$R$11)</f>
        <v>0.02</v>
      </c>
      <c r="L39" s="69">
        <v>0.02</v>
      </c>
      <c r="M39" s="69">
        <v>0</v>
      </c>
      <c r="N39" s="69">
        <v>1.7500000000000002E-2</v>
      </c>
      <c r="S39" s="74"/>
    </row>
    <row r="40" spans="2:20">
      <c r="B40" s="46"/>
      <c r="C40" s="46"/>
      <c r="D40" s="226" t="s">
        <v>266</v>
      </c>
      <c r="E40" s="226"/>
      <c r="F40" s="30"/>
      <c r="S40" s="74"/>
    </row>
    <row r="41" spans="2:20">
      <c r="B41" s="46" t="s">
        <v>265</v>
      </c>
      <c r="C41" s="46"/>
      <c r="D41" s="228">
        <v>1</v>
      </c>
      <c r="E41" s="227"/>
      <c r="F41" s="225">
        <f>-D41*G95</f>
        <v>-3300</v>
      </c>
      <c r="H41" s="67" t="s">
        <v>58</v>
      </c>
      <c r="S41" s="74"/>
    </row>
    <row r="42" spans="2:20" ht="15.75" thickBot="1">
      <c r="B42" s="32" t="s">
        <v>92</v>
      </c>
      <c r="C42" s="57"/>
      <c r="D42" s="57"/>
      <c r="E42" s="57"/>
      <c r="F42" s="58">
        <f ca="1">F38+F41</f>
        <v>21740</v>
      </c>
      <c r="H42" s="25" t="s">
        <v>350</v>
      </c>
      <c r="K42" s="60">
        <f ca="1">OFFSET(K42,0,$R$11)</f>
        <v>1.7500000000000002E-2</v>
      </c>
      <c r="L42" s="63">
        <v>1.7500000000000002E-2</v>
      </c>
      <c r="M42" s="63">
        <v>1.2500000000000001E-2</v>
      </c>
      <c r="N42" s="63">
        <v>1.2500000000000001E-2</v>
      </c>
      <c r="S42" s="74"/>
    </row>
    <row r="43" spans="2:20">
      <c r="H43" s="25" t="s">
        <v>415</v>
      </c>
      <c r="K43" s="271">
        <f ca="1">OFFSET(K43,0,$R$11)</f>
        <v>1600</v>
      </c>
      <c r="L43" s="247">
        <v>1600</v>
      </c>
      <c r="M43" s="247">
        <v>1500</v>
      </c>
      <c r="N43" s="247">
        <v>1500</v>
      </c>
      <c r="S43" s="74"/>
    </row>
    <row r="44" spans="2:20" ht="15">
      <c r="B44" s="39" t="s">
        <v>72</v>
      </c>
      <c r="H44" s="25" t="s">
        <v>406</v>
      </c>
      <c r="K44" s="60">
        <f ca="1">OFFSET(K44,0,$R$11)</f>
        <v>0.05</v>
      </c>
      <c r="L44" s="63">
        <v>0.05</v>
      </c>
      <c r="M44" s="63">
        <v>0.05</v>
      </c>
      <c r="N44" s="63">
        <v>0.05</v>
      </c>
      <c r="S44" s="74"/>
    </row>
    <row r="45" spans="2:20">
      <c r="E45" s="56" t="s">
        <v>73</v>
      </c>
      <c r="F45" s="56" t="s">
        <v>74</v>
      </c>
      <c r="H45" s="25" t="s">
        <v>340</v>
      </c>
      <c r="K45" s="60">
        <f ca="1">OFFSET(K45,0,$R$11)</f>
        <v>0.2</v>
      </c>
      <c r="L45" s="63">
        <v>0.2</v>
      </c>
      <c r="M45" s="63">
        <v>0.2</v>
      </c>
      <c r="N45" s="63">
        <v>0.2</v>
      </c>
      <c r="S45" s="74"/>
    </row>
    <row r="46" spans="2:20">
      <c r="B46" s="25" t="s">
        <v>6</v>
      </c>
      <c r="E46" s="63">
        <v>0.85</v>
      </c>
      <c r="F46" s="24">
        <f>E46*J90</f>
        <v>2337.5</v>
      </c>
      <c r="S46" s="74"/>
    </row>
    <row r="47" spans="2:20">
      <c r="B47" s="25" t="s">
        <v>388</v>
      </c>
      <c r="E47" s="63">
        <v>0.5</v>
      </c>
      <c r="F47" s="24">
        <f>E47*J91</f>
        <v>1375</v>
      </c>
      <c r="H47" s="67" t="s">
        <v>37</v>
      </c>
      <c r="S47" s="74"/>
    </row>
    <row r="48" spans="2:20" ht="15.75" thickBot="1">
      <c r="B48" s="32" t="s">
        <v>75</v>
      </c>
      <c r="C48" s="57"/>
      <c r="D48" s="57"/>
      <c r="E48" s="57"/>
      <c r="F48" s="58">
        <f>MROUND(SUM(F46:F47),100)</f>
        <v>3700</v>
      </c>
      <c r="H48" s="25" t="s">
        <v>89</v>
      </c>
      <c r="K48" s="68">
        <f ca="1">OFFSET(K48,0,$R$11)</f>
        <v>0.01</v>
      </c>
      <c r="L48" s="69">
        <v>0.01</v>
      </c>
      <c r="M48" s="69">
        <v>0.01</v>
      </c>
      <c r="N48" s="69">
        <v>0.01</v>
      </c>
      <c r="S48" s="74"/>
    </row>
    <row r="49" spans="1:20">
      <c r="H49" s="25" t="s">
        <v>90</v>
      </c>
      <c r="K49" s="70">
        <f ca="1">OFFSET(K49,0,$R$11)</f>
        <v>5</v>
      </c>
      <c r="L49" s="71">
        <v>5</v>
      </c>
      <c r="M49" s="71">
        <v>5</v>
      </c>
      <c r="N49" s="71">
        <v>5</v>
      </c>
      <c r="S49" s="74"/>
    </row>
    <row r="50" spans="1:20">
      <c r="H50" s="25" t="s">
        <v>268</v>
      </c>
      <c r="K50" s="68">
        <f ca="1">OFFSET(K50,0,$R$11)</f>
        <v>7.4999999999999997E-3</v>
      </c>
      <c r="L50" s="69">
        <v>7.4999999999999997E-3</v>
      </c>
      <c r="M50" s="69">
        <v>7.4999999999999997E-3</v>
      </c>
      <c r="N50" s="69">
        <v>7.4999999999999997E-3</v>
      </c>
      <c r="S50" s="74"/>
    </row>
    <row r="51" spans="1:20">
      <c r="S51" s="74"/>
    </row>
    <row r="52" spans="1:20" ht="15">
      <c r="A52" s="55" t="s">
        <v>51</v>
      </c>
      <c r="B52" s="330" t="s">
        <v>103</v>
      </c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124"/>
    </row>
    <row r="53" spans="1:20" ht="15">
      <c r="R53" s="187"/>
      <c r="S53" s="74"/>
    </row>
    <row r="54" spans="1:20" ht="15.75" thickBot="1">
      <c r="B54" s="25" t="s">
        <v>104</v>
      </c>
      <c r="G54" s="435">
        <f>G126</f>
        <v>42735</v>
      </c>
      <c r="H54" s="238">
        <f>EOMONTH(G54,0)</f>
        <v>42735</v>
      </c>
      <c r="I54" s="236">
        <f>EOMONTH(H54,12)</f>
        <v>43100</v>
      </c>
      <c r="J54" s="236">
        <f t="shared" ref="J54:R54" si="0">EOMONTH(I54,12)</f>
        <v>43465</v>
      </c>
      <c r="K54" s="236">
        <f t="shared" si="0"/>
        <v>43830</v>
      </c>
      <c r="L54" s="236">
        <f t="shared" si="0"/>
        <v>44196</v>
      </c>
      <c r="M54" s="236">
        <f t="shared" si="0"/>
        <v>44561</v>
      </c>
      <c r="N54" s="236">
        <f t="shared" si="0"/>
        <v>44926</v>
      </c>
      <c r="O54" s="236">
        <f t="shared" si="0"/>
        <v>45291</v>
      </c>
      <c r="P54" s="236">
        <f t="shared" si="0"/>
        <v>45657</v>
      </c>
      <c r="Q54" s="236">
        <f t="shared" si="0"/>
        <v>46022</v>
      </c>
      <c r="R54" s="236">
        <f t="shared" si="0"/>
        <v>46387</v>
      </c>
      <c r="S54" s="127"/>
    </row>
    <row r="55" spans="1:20">
      <c r="B55" s="25" t="s">
        <v>105</v>
      </c>
      <c r="G55" s="25">
        <v>0</v>
      </c>
      <c r="H55" s="25">
        <f>G55</f>
        <v>0</v>
      </c>
      <c r="I55" s="25">
        <f>H55+1</f>
        <v>1</v>
      </c>
      <c r="J55" s="25">
        <f t="shared" ref="J55:R55" si="1">I55+1</f>
        <v>2</v>
      </c>
      <c r="K55" s="25">
        <f t="shared" si="1"/>
        <v>3</v>
      </c>
      <c r="L55" s="25">
        <f t="shared" si="1"/>
        <v>4</v>
      </c>
      <c r="M55" s="25">
        <f t="shared" si="1"/>
        <v>5</v>
      </c>
      <c r="N55" s="25">
        <f t="shared" si="1"/>
        <v>6</v>
      </c>
      <c r="O55" s="25">
        <f t="shared" si="1"/>
        <v>7</v>
      </c>
      <c r="P55" s="25">
        <f t="shared" si="1"/>
        <v>8</v>
      </c>
      <c r="Q55" s="25">
        <f t="shared" si="1"/>
        <v>9</v>
      </c>
      <c r="R55" s="25">
        <f t="shared" si="1"/>
        <v>10</v>
      </c>
      <c r="S55" s="74"/>
    </row>
    <row r="56" spans="1:20">
      <c r="S56" s="74"/>
    </row>
    <row r="57" spans="1:20">
      <c r="S57" s="74"/>
    </row>
    <row r="58" spans="1:20" ht="15.75" thickBot="1">
      <c r="B58" s="423" t="s">
        <v>106</v>
      </c>
      <c r="C58" s="294"/>
      <c r="D58" s="294"/>
      <c r="E58" s="424"/>
      <c r="F58" s="424"/>
      <c r="G58" s="425"/>
      <c r="H58" s="426" t="s">
        <v>422</v>
      </c>
      <c r="I58" s="433">
        <f>I54</f>
        <v>43100</v>
      </c>
      <c r="J58" s="433">
        <f t="shared" ref="J58:R58" si="2">J54</f>
        <v>43465</v>
      </c>
      <c r="K58" s="433">
        <f t="shared" si="2"/>
        <v>43830</v>
      </c>
      <c r="L58" s="433">
        <f t="shared" si="2"/>
        <v>44196</v>
      </c>
      <c r="M58" s="433">
        <f t="shared" si="2"/>
        <v>44561</v>
      </c>
      <c r="N58" s="433">
        <f t="shared" si="2"/>
        <v>44926</v>
      </c>
      <c r="O58" s="433">
        <f t="shared" si="2"/>
        <v>45291</v>
      </c>
      <c r="P58" s="433">
        <f t="shared" si="2"/>
        <v>45657</v>
      </c>
      <c r="Q58" s="433">
        <f t="shared" si="2"/>
        <v>46022</v>
      </c>
      <c r="R58" s="433">
        <f t="shared" si="2"/>
        <v>46387</v>
      </c>
      <c r="S58" s="74"/>
    </row>
    <row r="59" spans="1:20">
      <c r="S59" s="74"/>
    </row>
    <row r="60" spans="1:20">
      <c r="B60" s="25" t="s">
        <v>107</v>
      </c>
      <c r="H60" s="427">
        <f ca="1">H192+H193</f>
        <v>9000</v>
      </c>
      <c r="I60" s="427">
        <f ca="1">I192+I193</f>
        <v>6787.951226551384</v>
      </c>
      <c r="J60" s="427">
        <f t="shared" ref="J60:R60" ca="1" si="3">J192+J193</f>
        <v>4426.9252327949753</v>
      </c>
      <c r="K60" s="427">
        <f t="shared" ca="1" si="3"/>
        <v>1809.1430028532513</v>
      </c>
      <c r="L60" s="427">
        <f t="shared" ca="1" si="3"/>
        <v>0</v>
      </c>
      <c r="M60" s="427">
        <f t="shared" ca="1" si="3"/>
        <v>0</v>
      </c>
      <c r="N60" s="24">
        <f t="shared" ca="1" si="3"/>
        <v>0</v>
      </c>
      <c r="O60" s="24">
        <f t="shared" ca="1" si="3"/>
        <v>0</v>
      </c>
      <c r="P60" s="24">
        <f t="shared" ca="1" si="3"/>
        <v>0</v>
      </c>
      <c r="Q60" s="24">
        <f t="shared" ca="1" si="3"/>
        <v>0</v>
      </c>
      <c r="R60" s="24">
        <f t="shared" ca="1" si="3"/>
        <v>0</v>
      </c>
      <c r="S60" s="74"/>
    </row>
    <row r="61" spans="1:20">
      <c r="B61" s="25" t="s">
        <v>66</v>
      </c>
      <c r="H61" s="24">
        <f t="shared" ref="H61:R61" ca="1" si="4">H192+H193+H194</f>
        <v>19000</v>
      </c>
      <c r="I61" s="24">
        <f t="shared" ca="1" si="4"/>
        <v>16989.971428571585</v>
      </c>
      <c r="J61" s="24">
        <f t="shared" ca="1" si="4"/>
        <v>14835.046853037806</v>
      </c>
      <c r="K61" s="24">
        <f t="shared" ca="1" si="4"/>
        <v>12427.529706333313</v>
      </c>
      <c r="L61" s="24">
        <f t="shared" ca="1" si="4"/>
        <v>10832.899566176628</v>
      </c>
      <c r="M61" s="24">
        <f t="shared" ca="1" si="4"/>
        <v>11051.746022058984</v>
      </c>
      <c r="N61" s="24">
        <f t="shared" ca="1" si="4"/>
        <v>11275.013618464216</v>
      </c>
      <c r="O61" s="24">
        <f t="shared" ca="1" si="4"/>
        <v>11502.791671362484</v>
      </c>
      <c r="P61" s="24">
        <f t="shared" ca="1" si="4"/>
        <v>11735.171301086979</v>
      </c>
      <c r="Q61" s="24">
        <f t="shared" ca="1" si="4"/>
        <v>11972.245468785706</v>
      </c>
      <c r="R61" s="24">
        <f t="shared" ca="1" si="4"/>
        <v>12214.109013609659</v>
      </c>
      <c r="S61" s="74"/>
    </row>
    <row r="62" spans="1:20">
      <c r="B62" s="25" t="s">
        <v>108</v>
      </c>
      <c r="H62" s="24">
        <f>H172</f>
        <v>0</v>
      </c>
      <c r="I62" s="24">
        <f ca="1">I172</f>
        <v>0</v>
      </c>
      <c r="J62" s="24">
        <f t="shared" ref="J62:R62" ca="1" si="5">J172</f>
        <v>0</v>
      </c>
      <c r="K62" s="24">
        <f t="shared" ca="1" si="5"/>
        <v>0</v>
      </c>
      <c r="L62" s="24">
        <f t="shared" ca="1" si="5"/>
        <v>0</v>
      </c>
      <c r="M62" s="24">
        <f t="shared" ca="1" si="5"/>
        <v>0</v>
      </c>
      <c r="N62" s="24">
        <f t="shared" ca="1" si="5"/>
        <v>0</v>
      </c>
      <c r="O62" s="24">
        <f t="shared" ca="1" si="5"/>
        <v>0</v>
      </c>
      <c r="P62" s="24">
        <f t="shared" ca="1" si="5"/>
        <v>0</v>
      </c>
      <c r="Q62" s="24">
        <f t="shared" ca="1" si="5"/>
        <v>0</v>
      </c>
      <c r="R62" s="24">
        <f t="shared" ca="1" si="5"/>
        <v>1.8108039512299001E-9</v>
      </c>
      <c r="S62" s="74"/>
    </row>
    <row r="63" spans="1:20">
      <c r="B63" s="25" t="s">
        <v>109</v>
      </c>
      <c r="H63" s="24">
        <f ca="1">H61-H62</f>
        <v>19000</v>
      </c>
      <c r="I63" s="24">
        <f ca="1">I61-I62</f>
        <v>16989.971428571585</v>
      </c>
      <c r="J63" s="24">
        <f t="shared" ref="J63:R63" ca="1" si="6">J61-J62</f>
        <v>14835.046853037806</v>
      </c>
      <c r="K63" s="24">
        <f t="shared" ca="1" si="6"/>
        <v>12427.529706333313</v>
      </c>
      <c r="L63" s="24">
        <f t="shared" ca="1" si="6"/>
        <v>10832.899566176628</v>
      </c>
      <c r="M63" s="24">
        <f t="shared" ca="1" si="6"/>
        <v>11051.746022058984</v>
      </c>
      <c r="N63" s="24">
        <f t="shared" ca="1" si="6"/>
        <v>11275.013618464216</v>
      </c>
      <c r="O63" s="24">
        <f t="shared" ca="1" si="6"/>
        <v>11502.791671362484</v>
      </c>
      <c r="P63" s="24">
        <f t="shared" ca="1" si="6"/>
        <v>11735.171301086979</v>
      </c>
      <c r="Q63" s="24">
        <f t="shared" ca="1" si="6"/>
        <v>11972.245468785706</v>
      </c>
      <c r="R63" s="24">
        <f t="shared" ca="1" si="6"/>
        <v>12214.109013607849</v>
      </c>
      <c r="S63" s="74"/>
    </row>
    <row r="64" spans="1:20">
      <c r="B64" s="25" t="s">
        <v>110</v>
      </c>
      <c r="H64" s="24">
        <f>R20</f>
        <v>4875</v>
      </c>
      <c r="I64" s="24">
        <f t="shared" ref="I64:R64" ca="1" si="7">I152</f>
        <v>4586.8999999999996</v>
      </c>
      <c r="J64" s="24">
        <f t="shared" ca="1" si="7"/>
        <v>4588.4437500000004</v>
      </c>
      <c r="K64" s="24">
        <f t="shared" ca="1" si="7"/>
        <v>4578.1125000000002</v>
      </c>
      <c r="L64" s="24">
        <f t="shared" ca="1" si="7"/>
        <v>4572.4505000000008</v>
      </c>
      <c r="M64" s="24">
        <f t="shared" ca="1" si="7"/>
        <v>4596.2005000000008</v>
      </c>
      <c r="N64" s="24">
        <f t="shared" ca="1" si="7"/>
        <v>4693.4805000000006</v>
      </c>
      <c r="O64" s="24">
        <f t="shared" ca="1" si="7"/>
        <v>4717.2305000000006</v>
      </c>
      <c r="P64" s="24">
        <f t="shared" ca="1" si="7"/>
        <v>4740.9805000000006</v>
      </c>
      <c r="Q64" s="24">
        <f t="shared" ca="1" si="7"/>
        <v>4764.7305000000006</v>
      </c>
      <c r="R64" s="24">
        <f t="shared" ca="1" si="7"/>
        <v>4788.4805000000006</v>
      </c>
      <c r="S64" s="74"/>
      <c r="T64" s="360"/>
    </row>
    <row r="65" spans="2:20">
      <c r="B65" s="25" t="s">
        <v>111</v>
      </c>
      <c r="H65" s="247"/>
      <c r="I65" s="24">
        <f t="shared" ref="I65:R65" ca="1" si="8">I394</f>
        <v>500</v>
      </c>
      <c r="J65" s="24">
        <f t="shared" ca="1" si="8"/>
        <v>500</v>
      </c>
      <c r="K65" s="24">
        <f t="shared" ca="1" si="8"/>
        <v>250</v>
      </c>
      <c r="L65" s="24">
        <f t="shared" ca="1" si="8"/>
        <v>250</v>
      </c>
      <c r="M65" s="24">
        <f t="shared" ca="1" si="8"/>
        <v>250</v>
      </c>
      <c r="N65" s="24">
        <f t="shared" ca="1" si="8"/>
        <v>250</v>
      </c>
      <c r="O65" s="24">
        <f t="shared" ca="1" si="8"/>
        <v>250</v>
      </c>
      <c r="P65" s="24">
        <f t="shared" ca="1" si="8"/>
        <v>250</v>
      </c>
      <c r="Q65" s="24">
        <f t="shared" ca="1" si="8"/>
        <v>250</v>
      </c>
      <c r="R65" s="24">
        <f t="shared" ca="1" si="8"/>
        <v>250</v>
      </c>
      <c r="S65" s="74"/>
      <c r="T65" s="24"/>
    </row>
    <row r="66" spans="2:20">
      <c r="B66" s="25" t="s">
        <v>112</v>
      </c>
      <c r="H66" s="247"/>
      <c r="I66" s="24">
        <f ca="1">I362</f>
        <v>1574.7124431818218</v>
      </c>
      <c r="J66" s="24">
        <f t="shared" ref="J66:R66" ca="1" si="9">J362</f>
        <v>1496.6416550138374</v>
      </c>
      <c r="K66" s="24">
        <f t="shared" ca="1" si="9"/>
        <v>1404.5031220773503</v>
      </c>
      <c r="L66" s="24">
        <f t="shared" ca="1" si="9"/>
        <v>1325.8554485541658</v>
      </c>
      <c r="M66" s="24">
        <f t="shared" ca="1" si="9"/>
        <v>1313.7285930117805</v>
      </c>
      <c r="N66" s="24">
        <f t="shared" ca="1" si="9"/>
        <v>1347.9540744421599</v>
      </c>
      <c r="O66" s="24">
        <f t="shared" ca="1" si="9"/>
        <v>1383.3533224522948</v>
      </c>
      <c r="P66" s="24">
        <f t="shared" ca="1" si="9"/>
        <v>1419.9789900610908</v>
      </c>
      <c r="Q66" s="24">
        <f t="shared" ca="1" si="9"/>
        <v>1457.8865304185688</v>
      </c>
      <c r="R66" s="24">
        <f t="shared" ca="1" si="9"/>
        <v>1497.1343575601989</v>
      </c>
      <c r="S66" s="74"/>
      <c r="T66" s="360"/>
    </row>
    <row r="67" spans="2:20">
      <c r="B67" s="25" t="s">
        <v>113</v>
      </c>
      <c r="H67" s="247"/>
      <c r="I67" s="390">
        <f ca="1">I478</f>
        <v>387.60480965908926</v>
      </c>
      <c r="J67" s="390">
        <f t="shared" ref="J67:R67" ca="1" si="10">J478</f>
        <v>67.908867043589382</v>
      </c>
      <c r="K67" s="390">
        <f t="shared" ca="1" si="10"/>
        <v>291.80675760843934</v>
      </c>
      <c r="L67" s="390">
        <f t="shared" ca="1" si="10"/>
        <v>475.40741193717076</v>
      </c>
      <c r="M67" s="390">
        <f t="shared" ca="1" si="10"/>
        <v>600.62531911763892</v>
      </c>
      <c r="N67" s="390">
        <f t="shared" ca="1" si="10"/>
        <v>629.04648970587402</v>
      </c>
      <c r="O67" s="390">
        <f t="shared" ca="1" si="10"/>
        <v>617.77500717467967</v>
      </c>
      <c r="P67" s="390">
        <f t="shared" ca="1" si="10"/>
        <v>749.359749743865</v>
      </c>
      <c r="Q67" s="390">
        <f t="shared" ca="1" si="10"/>
        <v>890.44274721343788</v>
      </c>
      <c r="R67" s="390">
        <f t="shared" ca="1" si="10"/>
        <v>893.77892897533025</v>
      </c>
      <c r="S67" s="74"/>
    </row>
    <row r="68" spans="2:20">
      <c r="B68" s="25" t="s">
        <v>114</v>
      </c>
      <c r="H68" s="247"/>
      <c r="I68" s="24">
        <f ca="1">-I283</f>
        <v>640</v>
      </c>
      <c r="J68" s="24">
        <f t="shared" ref="J68:R68" ca="1" si="11">-J283</f>
        <v>640</v>
      </c>
      <c r="K68" s="24">
        <f t="shared" ca="1" si="11"/>
        <v>640</v>
      </c>
      <c r="L68" s="24">
        <f t="shared" ca="1" si="11"/>
        <v>640</v>
      </c>
      <c r="M68" s="24">
        <f t="shared" ca="1" si="11"/>
        <v>0</v>
      </c>
      <c r="N68" s="24">
        <f t="shared" ca="1" si="11"/>
        <v>0</v>
      </c>
      <c r="O68" s="24">
        <f t="shared" ca="1" si="11"/>
        <v>0</v>
      </c>
      <c r="P68" s="24">
        <f t="shared" ca="1" si="11"/>
        <v>0</v>
      </c>
      <c r="Q68" s="24">
        <f t="shared" ca="1" si="11"/>
        <v>0</v>
      </c>
      <c r="R68" s="24">
        <f t="shared" ca="1" si="11"/>
        <v>0</v>
      </c>
      <c r="S68" s="74"/>
    </row>
    <row r="69" spans="2:20">
      <c r="H69" s="24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74"/>
    </row>
    <row r="70" spans="2:20">
      <c r="H70" s="24"/>
      <c r="I70" s="24"/>
      <c r="S70" s="74"/>
    </row>
    <row r="71" spans="2:20">
      <c r="B71" s="25" t="s">
        <v>115</v>
      </c>
      <c r="H71" s="410">
        <f ca="1">IF(H61&lt;=0,"NM",H61/H64)</f>
        <v>3.8974358974358974</v>
      </c>
      <c r="I71" s="410">
        <f ca="1">IF(I61&lt;=0,"NM",I61/I64)</f>
        <v>3.704020455770038</v>
      </c>
      <c r="J71" s="410">
        <f t="shared" ref="J71:R71" ca="1" si="12">IF(J61&lt;=0,"NM",J61/J64)</f>
        <v>3.2331325524123087</v>
      </c>
      <c r="K71" s="410">
        <f t="shared" ca="1" si="12"/>
        <v>2.7145531496513708</v>
      </c>
      <c r="L71" s="410">
        <f t="shared" ca="1" si="12"/>
        <v>2.3691671601861248</v>
      </c>
      <c r="M71" s="410">
        <f t="shared" ca="1" si="12"/>
        <v>2.404539580477175</v>
      </c>
      <c r="N71" s="410">
        <f t="shared" ca="1" si="12"/>
        <v>2.4022713247587189</v>
      </c>
      <c r="O71" s="410">
        <f t="shared" ca="1" si="12"/>
        <v>2.4384629225479828</v>
      </c>
      <c r="P71" s="410">
        <f t="shared" ca="1" si="12"/>
        <v>2.4752625118552962</v>
      </c>
      <c r="Q71" s="250">
        <f t="shared" ca="1" si="12"/>
        <v>2.5126805112662103</v>
      </c>
      <c r="R71" s="250">
        <f t="shared" ca="1" si="12"/>
        <v>2.5507275248608945</v>
      </c>
      <c r="S71" s="74"/>
    </row>
    <row r="72" spans="2:20">
      <c r="B72" s="25" t="s">
        <v>116</v>
      </c>
      <c r="H72" s="410">
        <f ca="1">IF(H63&lt;=0,"NM",H63/H64)</f>
        <v>3.8974358974358974</v>
      </c>
      <c r="I72" s="410">
        <f ca="1">IF(I63&lt;=0,"NM",I63/I64)</f>
        <v>3.704020455770038</v>
      </c>
      <c r="J72" s="410">
        <f t="shared" ref="J72:R72" ca="1" si="13">IF(J63&lt;=0,"NM",J63/J64)</f>
        <v>3.2331325524123087</v>
      </c>
      <c r="K72" s="410">
        <f t="shared" ca="1" si="13"/>
        <v>2.7145531496513708</v>
      </c>
      <c r="L72" s="410">
        <f t="shared" ca="1" si="13"/>
        <v>2.3691671601861248</v>
      </c>
      <c r="M72" s="410">
        <f t="shared" ca="1" si="13"/>
        <v>2.404539580477175</v>
      </c>
      <c r="N72" s="410">
        <f t="shared" ca="1" si="13"/>
        <v>2.4022713247587189</v>
      </c>
      <c r="O72" s="410">
        <f t="shared" ca="1" si="13"/>
        <v>2.4384629225479828</v>
      </c>
      <c r="P72" s="410">
        <f t="shared" ca="1" si="13"/>
        <v>2.4752625118552962</v>
      </c>
      <c r="Q72" s="250">
        <f t="shared" ca="1" si="13"/>
        <v>2.5126805112662103</v>
      </c>
      <c r="R72" s="250">
        <f t="shared" ca="1" si="13"/>
        <v>2.5507275248605161</v>
      </c>
      <c r="S72" s="74"/>
    </row>
    <row r="73" spans="2:20">
      <c r="B73" s="25" t="s">
        <v>425</v>
      </c>
      <c r="H73" s="410"/>
      <c r="I73" s="422">
        <f ca="1">I304</f>
        <v>0.08</v>
      </c>
      <c r="J73" s="422">
        <f t="shared" ref="J73:R73" ca="1" si="14">J304</f>
        <v>0.08</v>
      </c>
      <c r="K73" s="422">
        <f t="shared" ca="1" si="14"/>
        <v>0.08</v>
      </c>
      <c r="L73" s="422">
        <f t="shared" ca="1" si="14"/>
        <v>0.08</v>
      </c>
      <c r="M73" s="422">
        <f t="shared" ca="1" si="14"/>
        <v>0.08</v>
      </c>
      <c r="N73" s="422">
        <f t="shared" ca="1" si="14"/>
        <v>0.08</v>
      </c>
      <c r="O73" s="422">
        <f t="shared" ca="1" si="14"/>
        <v>0.08</v>
      </c>
      <c r="P73" s="422">
        <f t="shared" ca="1" si="14"/>
        <v>0.08</v>
      </c>
      <c r="Q73" s="422">
        <f t="shared" ca="1" si="14"/>
        <v>0.08</v>
      </c>
      <c r="R73" s="422">
        <f t="shared" ca="1" si="14"/>
        <v>0.08</v>
      </c>
      <c r="S73" s="74"/>
    </row>
    <row r="74" spans="2:20">
      <c r="B74" s="25" t="s">
        <v>117</v>
      </c>
      <c r="I74" s="251">
        <f ca="1">$H60-I60</f>
        <v>2212.048773448616</v>
      </c>
      <c r="J74" s="251">
        <f t="shared" ref="J74:R74" ca="1" si="15">$H60-J60</f>
        <v>4573.0747672050247</v>
      </c>
      <c r="K74" s="251">
        <f t="shared" ca="1" si="15"/>
        <v>7190.8569971467487</v>
      </c>
      <c r="L74" s="251">
        <f t="shared" ca="1" si="15"/>
        <v>9000</v>
      </c>
      <c r="M74" s="251">
        <f t="shared" ca="1" si="15"/>
        <v>9000</v>
      </c>
      <c r="N74" s="251">
        <f t="shared" ca="1" si="15"/>
        <v>9000</v>
      </c>
      <c r="O74" s="251">
        <f t="shared" ca="1" si="15"/>
        <v>9000</v>
      </c>
      <c r="P74" s="251">
        <f t="shared" ca="1" si="15"/>
        <v>9000</v>
      </c>
      <c r="Q74" s="251">
        <f t="shared" ca="1" si="15"/>
        <v>9000</v>
      </c>
      <c r="R74" s="251">
        <f t="shared" ca="1" si="15"/>
        <v>9000</v>
      </c>
      <c r="S74" s="74"/>
    </row>
    <row r="75" spans="2:20">
      <c r="B75" s="25" t="s">
        <v>118</v>
      </c>
      <c r="I75" s="251">
        <f ca="1">$H61-I61</f>
        <v>2010.0285714284146</v>
      </c>
      <c r="J75" s="251">
        <f t="shared" ref="J75:R75" ca="1" si="16">$H61-J61</f>
        <v>4164.9531469621943</v>
      </c>
      <c r="K75" s="251">
        <f t="shared" ca="1" si="16"/>
        <v>6572.4702936666872</v>
      </c>
      <c r="L75" s="251">
        <f t="shared" ca="1" si="16"/>
        <v>8167.1004338233724</v>
      </c>
      <c r="M75" s="251">
        <f t="shared" ca="1" si="16"/>
        <v>7948.2539779410163</v>
      </c>
      <c r="N75" s="251">
        <f t="shared" ca="1" si="16"/>
        <v>7724.9863815357839</v>
      </c>
      <c r="O75" s="251">
        <f t="shared" ca="1" si="16"/>
        <v>7497.2083286375164</v>
      </c>
      <c r="P75" s="251">
        <f t="shared" ca="1" si="16"/>
        <v>7264.8286989130211</v>
      </c>
      <c r="Q75" s="251">
        <f t="shared" ca="1" si="16"/>
        <v>7027.7545312142938</v>
      </c>
      <c r="R75" s="251">
        <f t="shared" ca="1" si="16"/>
        <v>6785.8909863903409</v>
      </c>
      <c r="S75" s="74"/>
    </row>
    <row r="76" spans="2:20">
      <c r="B76" s="25" t="s">
        <v>119</v>
      </c>
      <c r="I76" s="249">
        <f ca="1">IF(ISERROR(1-I60/$H60),"-",1-I60/$H60)</f>
        <v>0.24578319704984619</v>
      </c>
      <c r="J76" s="249">
        <f t="shared" ref="J76:R76" ca="1" si="17">IF(ISERROR(1-J60/$H60),"-",1-J60/$H60)</f>
        <v>0.50811941857833609</v>
      </c>
      <c r="K76" s="249">
        <f t="shared" ca="1" si="17"/>
        <v>0.79898411079408316</v>
      </c>
      <c r="L76" s="249">
        <f t="shared" ca="1" si="17"/>
        <v>1</v>
      </c>
      <c r="M76" s="249">
        <f t="shared" ca="1" si="17"/>
        <v>1</v>
      </c>
      <c r="N76" s="249">
        <f t="shared" ca="1" si="17"/>
        <v>1</v>
      </c>
      <c r="O76" s="249">
        <f t="shared" ca="1" si="17"/>
        <v>1</v>
      </c>
      <c r="P76" s="249">
        <f t="shared" ca="1" si="17"/>
        <v>1</v>
      </c>
      <c r="Q76" s="249">
        <f t="shared" ca="1" si="17"/>
        <v>1</v>
      </c>
      <c r="R76" s="249">
        <f t="shared" ca="1" si="17"/>
        <v>1</v>
      </c>
      <c r="S76" s="74"/>
    </row>
    <row r="77" spans="2:20">
      <c r="B77" s="25" t="s">
        <v>120</v>
      </c>
      <c r="I77" s="410">
        <f ca="1">I64/I66</f>
        <v>2.9128492759807196</v>
      </c>
      <c r="J77" s="410">
        <f t="shared" ref="J77:R77" ca="1" si="18">J64/J66</f>
        <v>3.065826568857311</v>
      </c>
      <c r="K77" s="410">
        <f t="shared" ca="1" si="18"/>
        <v>3.2595958157990261</v>
      </c>
      <c r="L77" s="410">
        <f t="shared" ca="1" si="18"/>
        <v>3.4486794959331499</v>
      </c>
      <c r="M77" s="410">
        <f t="shared" ca="1" si="18"/>
        <v>3.4985921174654573</v>
      </c>
      <c r="N77" s="410">
        <f t="shared" ca="1" si="18"/>
        <v>3.4819290871926478</v>
      </c>
      <c r="O77" s="410">
        <f t="shared" ca="1" si="18"/>
        <v>3.4099968702411347</v>
      </c>
      <c r="P77" s="410">
        <f t="shared" ca="1" si="18"/>
        <v>3.3387680614880311</v>
      </c>
      <c r="Q77" s="410">
        <f t="shared" ca="1" si="18"/>
        <v>3.2682450935547194</v>
      </c>
      <c r="R77" s="410">
        <f t="shared" ca="1" si="18"/>
        <v>3.1984307058476271</v>
      </c>
      <c r="S77" s="74"/>
    </row>
    <row r="78" spans="2:20">
      <c r="B78" s="25" t="s">
        <v>121</v>
      </c>
      <c r="I78" s="410">
        <f ca="1">(I64-I65)/I66</f>
        <v>2.595330987378317</v>
      </c>
      <c r="J78" s="410">
        <f t="shared" ref="J78:R78" ca="1" si="19">(J64-J65)/J66</f>
        <v>2.7317452620027471</v>
      </c>
      <c r="K78" s="410">
        <f t="shared" ca="1" si="19"/>
        <v>3.0815969234717286</v>
      </c>
      <c r="L78" s="410">
        <f t="shared" ca="1" si="19"/>
        <v>3.2601219874410869</v>
      </c>
      <c r="M78" s="410">
        <f t="shared" ca="1" si="19"/>
        <v>3.3082940594572472</v>
      </c>
      <c r="N78" s="410">
        <f t="shared" ca="1" si="19"/>
        <v>3.2964628278147381</v>
      </c>
      <c r="O78" s="410">
        <f t="shared" ca="1" si="19"/>
        <v>3.2292765900766858</v>
      </c>
      <c r="P78" s="410">
        <f t="shared" ca="1" si="19"/>
        <v>3.1627091185389919</v>
      </c>
      <c r="Q78" s="410">
        <f t="shared" ca="1" si="19"/>
        <v>3.0967639838909768</v>
      </c>
      <c r="R78" s="410">
        <f t="shared" ca="1" si="19"/>
        <v>3.031445025011732</v>
      </c>
      <c r="S78" s="74"/>
    </row>
    <row r="79" spans="2:20">
      <c r="B79" s="25" t="s">
        <v>122</v>
      </c>
      <c r="I79" s="284">
        <f ca="1">I64/(I65+I66+I67+I68)</f>
        <v>1.4785399513217414</v>
      </c>
      <c r="J79" s="284">
        <f t="shared" ref="J79:R79" ca="1" si="20">J64/(J65+J66+J67+J68)</f>
        <v>1.6965642581191065</v>
      </c>
      <c r="K79" s="284">
        <f t="shared" ca="1" si="20"/>
        <v>1.770133013046447</v>
      </c>
      <c r="L79" s="284">
        <f t="shared" ca="1" si="20"/>
        <v>1.6989981049882361</v>
      </c>
      <c r="M79" s="284">
        <f t="shared" ca="1" si="20"/>
        <v>2.1235900811979436</v>
      </c>
      <c r="N79" s="284">
        <f t="shared" ca="1" si="20"/>
        <v>2.1075344908121068</v>
      </c>
      <c r="O79" s="284">
        <f t="shared" ca="1" si="20"/>
        <v>2.0954960398822196</v>
      </c>
      <c r="P79" s="284">
        <f t="shared" ca="1" si="20"/>
        <v>1.9596183130528522</v>
      </c>
      <c r="Q79" s="284">
        <f t="shared" ca="1" si="20"/>
        <v>1.8337670059825322</v>
      </c>
      <c r="R79" s="284">
        <f t="shared" ca="1" si="20"/>
        <v>1.8131911124888724</v>
      </c>
      <c r="S79" s="74"/>
    </row>
    <row r="80" spans="2:20" ht="4.9000000000000004" customHeight="1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74"/>
    </row>
    <row r="81" spans="1:19">
      <c r="H81" s="59"/>
      <c r="I81" s="410"/>
      <c r="J81" s="410"/>
      <c r="K81" s="366"/>
      <c r="L81" s="366"/>
      <c r="M81" s="59"/>
      <c r="S81" s="74"/>
    </row>
    <row r="82" spans="1:19" ht="15">
      <c r="A82" s="55" t="s">
        <v>51</v>
      </c>
      <c r="B82" s="330" t="s">
        <v>123</v>
      </c>
      <c r="C82" s="332"/>
      <c r="D82" s="332"/>
      <c r="E82" s="332"/>
      <c r="F82" s="332"/>
      <c r="G82" s="332"/>
      <c r="H82" s="332"/>
      <c r="I82" s="332"/>
      <c r="J82" s="332"/>
      <c r="K82" s="332"/>
      <c r="L82" s="332"/>
      <c r="M82" s="332"/>
      <c r="N82" s="332"/>
      <c r="O82" s="332"/>
      <c r="P82" s="332"/>
      <c r="Q82" s="332"/>
      <c r="R82" s="332"/>
      <c r="S82" s="124"/>
    </row>
    <row r="83" spans="1:19">
      <c r="H83" s="59"/>
      <c r="I83" s="59"/>
      <c r="J83" s="59"/>
      <c r="K83" s="59"/>
      <c r="L83" s="59"/>
      <c r="M83" s="59"/>
      <c r="S83" s="74"/>
    </row>
    <row r="84" spans="1:19" ht="15">
      <c r="B84" s="9"/>
      <c r="C84" s="9"/>
      <c r="D84" s="9"/>
      <c r="E84" s="9"/>
      <c r="F84" s="9"/>
      <c r="G84" s="188"/>
      <c r="H84" s="194" t="s">
        <v>124</v>
      </c>
      <c r="I84" s="195"/>
      <c r="J84" s="188" t="s">
        <v>261</v>
      </c>
      <c r="L84" s="188"/>
      <c r="M84" s="322"/>
      <c r="N84" s="323"/>
      <c r="O84" s="188"/>
      <c r="S84" s="74"/>
    </row>
    <row r="85" spans="1:19" ht="15.75" thickBot="1">
      <c r="B85" s="193"/>
      <c r="C85" s="192"/>
      <c r="D85" s="192"/>
      <c r="E85" s="192"/>
      <c r="F85" s="192"/>
      <c r="G85" s="237">
        <f>G54</f>
        <v>42735</v>
      </c>
      <c r="H85" s="189" t="s">
        <v>125</v>
      </c>
      <c r="I85" s="189" t="s">
        <v>126</v>
      </c>
      <c r="J85" s="238">
        <f>G85</f>
        <v>42735</v>
      </c>
      <c r="L85" s="324"/>
      <c r="M85" s="325"/>
      <c r="N85" s="325"/>
      <c r="O85" s="326"/>
      <c r="S85" s="74"/>
    </row>
    <row r="86" spans="1:19">
      <c r="B86" s="90"/>
      <c r="C86" s="90"/>
      <c r="D86" s="90"/>
      <c r="E86" s="90"/>
      <c r="F86" s="90"/>
      <c r="G86" s="90"/>
      <c r="H86" s="90"/>
      <c r="I86" s="90"/>
      <c r="J86" s="90"/>
      <c r="L86" s="46"/>
      <c r="M86" s="327"/>
      <c r="N86" s="327"/>
      <c r="O86" s="46"/>
      <c r="S86" s="74"/>
    </row>
    <row r="87" spans="1:19" ht="15">
      <c r="B87" s="12" t="s">
        <v>127</v>
      </c>
      <c r="C87" s="90"/>
      <c r="D87" s="90"/>
      <c r="E87" s="90"/>
      <c r="F87" s="90"/>
      <c r="G87" s="90"/>
      <c r="H87" s="90"/>
      <c r="I87" s="90"/>
      <c r="J87" s="90"/>
      <c r="L87" s="90"/>
      <c r="M87" s="327"/>
      <c r="N87" s="327"/>
      <c r="O87" s="327"/>
      <c r="S87" s="74"/>
    </row>
    <row r="88" spans="1:19">
      <c r="B88" s="92" t="s">
        <v>4</v>
      </c>
      <c r="C88" s="91"/>
      <c r="D88" s="91"/>
      <c r="E88" s="91"/>
      <c r="F88" s="91"/>
      <c r="G88" s="91"/>
      <c r="H88" s="91"/>
      <c r="I88" s="91"/>
      <c r="J88" s="91"/>
      <c r="L88" s="90"/>
      <c r="M88" s="328"/>
      <c r="N88" s="328"/>
      <c r="O88" s="328"/>
      <c r="P88" s="77"/>
      <c r="Q88" s="77"/>
      <c r="R88" s="77"/>
      <c r="S88" s="74"/>
    </row>
    <row r="89" spans="1:19">
      <c r="B89" s="93" t="s">
        <v>108</v>
      </c>
      <c r="C89" s="90"/>
      <c r="D89" s="90"/>
      <c r="E89" s="90"/>
      <c r="F89" s="90"/>
      <c r="G89" s="219">
        <f>G172</f>
        <v>0</v>
      </c>
      <c r="H89" s="219">
        <v>0</v>
      </c>
      <c r="I89" s="219">
        <f>G89</f>
        <v>0</v>
      </c>
      <c r="J89" s="219">
        <f>G89+H89-I89</f>
        <v>0</v>
      </c>
      <c r="L89" s="219"/>
      <c r="M89" s="30"/>
      <c r="N89" s="46"/>
      <c r="O89" s="219"/>
      <c r="S89" s="74"/>
    </row>
    <row r="90" spans="1:19">
      <c r="B90" s="93" t="s">
        <v>6</v>
      </c>
      <c r="C90" s="90"/>
      <c r="D90" s="90"/>
      <c r="E90" s="90"/>
      <c r="F90" s="90"/>
      <c r="G90" s="219">
        <f>G173</f>
        <v>2750</v>
      </c>
      <c r="H90" s="219"/>
      <c r="I90" s="219"/>
      <c r="J90" s="219">
        <f>G90+H90-I90</f>
        <v>2750</v>
      </c>
      <c r="L90" s="219"/>
      <c r="M90" s="46"/>
      <c r="N90" s="46"/>
      <c r="O90" s="219"/>
      <c r="S90" s="74"/>
    </row>
    <row r="91" spans="1:19">
      <c r="B91" s="93" t="s">
        <v>388</v>
      </c>
      <c r="C91" s="90"/>
      <c r="D91" s="90"/>
      <c r="E91" s="90"/>
      <c r="F91" s="90"/>
      <c r="G91" s="219">
        <f>G174</f>
        <v>2750</v>
      </c>
      <c r="H91" s="219"/>
      <c r="I91" s="219"/>
      <c r="J91" s="219">
        <f>G91+H91-I91</f>
        <v>2750</v>
      </c>
      <c r="L91" s="219"/>
      <c r="M91" s="46"/>
      <c r="N91" s="46"/>
      <c r="O91" s="219"/>
      <c r="S91" s="74"/>
    </row>
    <row r="92" spans="1:19">
      <c r="B92" s="93" t="s">
        <v>128</v>
      </c>
      <c r="C92" s="90"/>
      <c r="D92" s="90"/>
      <c r="E92" s="90"/>
      <c r="F92" s="90"/>
      <c r="G92" s="219">
        <f>G175</f>
        <v>0</v>
      </c>
      <c r="H92" s="219"/>
      <c r="I92" s="207"/>
      <c r="J92" s="219">
        <f>G92+H92-I92</f>
        <v>0</v>
      </c>
      <c r="L92" s="219"/>
      <c r="M92" s="46"/>
      <c r="N92" s="46"/>
      <c r="O92" s="219"/>
      <c r="S92" s="74"/>
    </row>
    <row r="93" spans="1:19">
      <c r="B93" s="94" t="s">
        <v>7</v>
      </c>
      <c r="C93" s="94"/>
      <c r="D93" s="94"/>
      <c r="E93" s="94"/>
      <c r="F93" s="94"/>
      <c r="G93" s="205">
        <f>SUM(G89:G92)</f>
        <v>5500</v>
      </c>
      <c r="H93" s="205"/>
      <c r="I93" s="205"/>
      <c r="J93" s="205">
        <f>SUM(J89:J92)</f>
        <v>5500</v>
      </c>
      <c r="L93" s="219"/>
      <c r="M93" s="46"/>
      <c r="N93" s="46"/>
      <c r="O93" s="219"/>
      <c r="S93" s="74"/>
    </row>
    <row r="94" spans="1:19">
      <c r="B94" s="90"/>
      <c r="C94" s="90"/>
      <c r="D94" s="90"/>
      <c r="E94" s="90"/>
      <c r="F94" s="90"/>
      <c r="G94" s="206"/>
      <c r="H94" s="206"/>
      <c r="I94" s="206"/>
      <c r="J94" s="206"/>
      <c r="L94" s="206"/>
      <c r="M94" s="46"/>
      <c r="N94" s="46"/>
      <c r="O94" s="206"/>
      <c r="S94" s="74"/>
    </row>
    <row r="95" spans="1:19">
      <c r="B95" s="93" t="s">
        <v>129</v>
      </c>
      <c r="C95" s="90"/>
      <c r="D95" s="90"/>
      <c r="E95" s="90"/>
      <c r="F95" s="90"/>
      <c r="G95" s="219">
        <f>G178</f>
        <v>3300</v>
      </c>
      <c r="H95" s="217">
        <f>-F41</f>
        <v>3300</v>
      </c>
      <c r="I95" s="207"/>
      <c r="J95" s="219">
        <f>G95+H95-I95</f>
        <v>6600</v>
      </c>
      <c r="L95" s="219"/>
      <c r="M95" s="30"/>
      <c r="N95" s="46"/>
      <c r="O95" s="219"/>
      <c r="S95" s="74"/>
    </row>
    <row r="96" spans="1:19">
      <c r="B96" s="93" t="s">
        <v>130</v>
      </c>
      <c r="C96" s="90"/>
      <c r="D96" s="90"/>
      <c r="E96" s="90"/>
      <c r="F96" s="90"/>
      <c r="G96" s="219">
        <f>G179</f>
        <v>0</v>
      </c>
      <c r="H96" s="219">
        <f ca="1">F42</f>
        <v>21740</v>
      </c>
      <c r="I96" s="219"/>
      <c r="J96" s="219">
        <f ca="1">G96+H96-I96</f>
        <v>21740</v>
      </c>
      <c r="L96" s="219"/>
      <c r="M96" s="30"/>
      <c r="N96" s="46"/>
      <c r="O96" s="219"/>
      <c r="S96" s="74"/>
    </row>
    <row r="97" spans="2:19">
      <c r="B97" s="93" t="s">
        <v>91</v>
      </c>
      <c r="C97" s="90"/>
      <c r="D97" s="90"/>
      <c r="E97" s="90"/>
      <c r="F97" s="90"/>
      <c r="G97" s="219">
        <f>G180</f>
        <v>0</v>
      </c>
      <c r="H97" s="219"/>
      <c r="I97" s="219"/>
      <c r="J97" s="219">
        <f>G97+H97-I97</f>
        <v>0</v>
      </c>
      <c r="L97" s="219"/>
      <c r="M97" s="46"/>
      <c r="N97" s="46"/>
      <c r="O97" s="219"/>
      <c r="S97" s="74"/>
    </row>
    <row r="98" spans="2:19">
      <c r="B98" s="93" t="s">
        <v>12</v>
      </c>
      <c r="C98" s="90"/>
      <c r="D98" s="90"/>
      <c r="E98" s="90"/>
      <c r="F98" s="90"/>
      <c r="G98" s="219">
        <f>G181</f>
        <v>105</v>
      </c>
      <c r="H98" s="219"/>
      <c r="I98" s="219"/>
      <c r="J98" s="219">
        <f>G98+H98-I98</f>
        <v>105</v>
      </c>
      <c r="L98" s="219"/>
      <c r="M98" s="46"/>
      <c r="N98" s="46"/>
      <c r="O98" s="219"/>
      <c r="S98" s="74"/>
    </row>
    <row r="99" spans="2:19">
      <c r="B99" s="93" t="s">
        <v>131</v>
      </c>
      <c r="C99" s="90"/>
      <c r="D99" s="90"/>
      <c r="E99" s="90"/>
      <c r="F99" s="90"/>
      <c r="G99" s="219">
        <f>G182</f>
        <v>0</v>
      </c>
      <c r="H99" s="219">
        <f ca="1">SUM(F9:F11)</f>
        <v>475</v>
      </c>
      <c r="I99" s="219"/>
      <c r="J99" s="219">
        <f ca="1">G99+H99-I99</f>
        <v>475</v>
      </c>
      <c r="L99" s="219"/>
      <c r="M99" s="30"/>
      <c r="N99" s="46"/>
      <c r="O99" s="219"/>
      <c r="S99" s="74"/>
    </row>
    <row r="100" spans="2:19" ht="15">
      <c r="B100" s="81" t="s">
        <v>14</v>
      </c>
      <c r="C100" s="91"/>
      <c r="D100" s="91"/>
      <c r="E100" s="91"/>
      <c r="F100" s="91"/>
      <c r="G100" s="208">
        <f>SUM(G93:G99)</f>
        <v>8905</v>
      </c>
      <c r="H100" s="208"/>
      <c r="I100" s="208"/>
      <c r="J100" s="208">
        <f ca="1">SUM(J93:J99)</f>
        <v>34420</v>
      </c>
      <c r="L100" s="220"/>
      <c r="M100" s="46"/>
      <c r="N100" s="46"/>
      <c r="O100" s="220"/>
      <c r="P100" s="24"/>
      <c r="S100" s="74"/>
    </row>
    <row r="101" spans="2:19" ht="15">
      <c r="B101" s="82"/>
      <c r="C101" s="90"/>
      <c r="D101" s="90"/>
      <c r="E101" s="90"/>
      <c r="F101" s="90"/>
      <c r="G101" s="220"/>
      <c r="H101" s="220"/>
      <c r="I101" s="220"/>
      <c r="J101" s="220"/>
      <c r="L101" s="220"/>
      <c r="M101" s="46"/>
      <c r="N101" s="46"/>
      <c r="O101" s="46"/>
      <c r="S101" s="74"/>
    </row>
    <row r="102" spans="2:19" ht="15">
      <c r="B102" s="12" t="s">
        <v>132</v>
      </c>
      <c r="C102" s="90"/>
      <c r="D102" s="90"/>
      <c r="E102" s="90"/>
      <c r="F102" s="90"/>
      <c r="G102" s="206"/>
      <c r="H102" s="206"/>
      <c r="I102" s="206"/>
      <c r="J102" s="206"/>
      <c r="L102" s="206"/>
      <c r="M102" s="46"/>
      <c r="N102" s="46"/>
      <c r="O102" s="46"/>
      <c r="S102" s="74"/>
    </row>
    <row r="103" spans="2:19">
      <c r="B103" s="91" t="s">
        <v>15</v>
      </c>
      <c r="C103" s="91"/>
      <c r="D103" s="91"/>
      <c r="E103" s="91"/>
      <c r="F103" s="91"/>
      <c r="G103" s="221"/>
      <c r="H103" s="221"/>
      <c r="I103" s="221"/>
      <c r="J103" s="221"/>
      <c r="L103" s="206"/>
      <c r="M103" s="46"/>
      <c r="N103" s="46"/>
      <c r="O103" s="206"/>
      <c r="S103" s="74"/>
    </row>
    <row r="104" spans="2:19">
      <c r="B104" s="93" t="s">
        <v>133</v>
      </c>
      <c r="C104" s="90"/>
      <c r="D104" s="90"/>
      <c r="E104" s="90"/>
      <c r="F104" s="90"/>
      <c r="G104" s="219">
        <f>G187</f>
        <v>300</v>
      </c>
      <c r="H104" s="219"/>
      <c r="I104" s="219"/>
      <c r="J104" s="219">
        <f>G104-H104+I104</f>
        <v>300</v>
      </c>
      <c r="L104" s="219"/>
      <c r="M104" s="46"/>
      <c r="N104" s="46"/>
      <c r="O104" s="219"/>
      <c r="S104" s="74"/>
    </row>
    <row r="105" spans="2:19">
      <c r="B105" s="93" t="s">
        <v>134</v>
      </c>
      <c r="C105" s="90"/>
      <c r="D105" s="90"/>
      <c r="E105" s="90"/>
      <c r="F105" s="90"/>
      <c r="G105" s="219">
        <f>G188</f>
        <v>20</v>
      </c>
      <c r="H105" s="207"/>
      <c r="I105" s="219"/>
      <c r="J105" s="219">
        <f>G105-H105+I105</f>
        <v>20</v>
      </c>
      <c r="L105" s="219"/>
      <c r="M105" s="46"/>
      <c r="N105" s="46"/>
      <c r="O105" s="219"/>
      <c r="S105" s="74"/>
    </row>
    <row r="106" spans="2:19">
      <c r="B106" s="94" t="s">
        <v>18</v>
      </c>
      <c r="C106" s="94"/>
      <c r="D106" s="94"/>
      <c r="E106" s="94"/>
      <c r="F106" s="94"/>
      <c r="G106" s="205">
        <f>SUM(G104:G105)</f>
        <v>320</v>
      </c>
      <c r="H106" s="205"/>
      <c r="I106" s="205"/>
      <c r="J106" s="205">
        <f>SUM(J104:J105)</f>
        <v>320</v>
      </c>
      <c r="K106" s="24"/>
      <c r="L106" s="219"/>
      <c r="M106" s="46"/>
      <c r="N106" s="46"/>
      <c r="O106" s="219"/>
      <c r="S106" s="74"/>
    </row>
    <row r="107" spans="2:19">
      <c r="B107" s="90"/>
      <c r="C107" s="90"/>
      <c r="D107" s="90"/>
      <c r="E107" s="90"/>
      <c r="F107" s="90"/>
      <c r="G107" s="206"/>
      <c r="H107" s="206"/>
      <c r="I107" s="206"/>
      <c r="J107" s="206"/>
      <c r="L107" s="206"/>
      <c r="M107" s="46"/>
      <c r="N107" s="46"/>
      <c r="O107" s="206"/>
      <c r="S107" s="74"/>
    </row>
    <row r="108" spans="2:19">
      <c r="B108" s="90" t="s">
        <v>135</v>
      </c>
      <c r="C108" s="90"/>
      <c r="D108" s="90"/>
      <c r="E108" s="90"/>
      <c r="F108" s="90"/>
      <c r="G108" s="206"/>
      <c r="H108" s="206"/>
      <c r="I108" s="206"/>
      <c r="J108" s="206"/>
      <c r="L108" s="206"/>
      <c r="M108" s="46"/>
      <c r="N108" s="46"/>
      <c r="O108" s="206"/>
      <c r="S108" s="74"/>
    </row>
    <row r="109" spans="2:19">
      <c r="B109" s="93" t="s">
        <v>63</v>
      </c>
      <c r="C109" s="90"/>
      <c r="D109" s="90"/>
      <c r="E109" s="90"/>
      <c r="F109" s="90"/>
      <c r="G109" s="219">
        <f>G192</f>
        <v>0</v>
      </c>
      <c r="H109" s="219"/>
      <c r="I109" s="219">
        <f ca="1">D20</f>
        <v>1000</v>
      </c>
      <c r="J109" s="219">
        <f ca="1">G109-H109+I109</f>
        <v>1000</v>
      </c>
      <c r="L109" s="219"/>
      <c r="M109" s="46"/>
      <c r="N109" s="30"/>
      <c r="O109" s="219"/>
      <c r="S109" s="74"/>
    </row>
    <row r="110" spans="2:19">
      <c r="B110" s="93" t="s">
        <v>143</v>
      </c>
      <c r="C110" s="90"/>
      <c r="D110" s="90"/>
      <c r="E110" s="90"/>
      <c r="F110" s="90"/>
      <c r="G110" s="219">
        <f>G193</f>
        <v>0</v>
      </c>
      <c r="H110" s="219">
        <f>G110</f>
        <v>0</v>
      </c>
      <c r="I110" s="219">
        <f ca="1">D21</f>
        <v>8000</v>
      </c>
      <c r="J110" s="219">
        <f ca="1">G110-H110+I110</f>
        <v>8000</v>
      </c>
      <c r="L110" s="219"/>
      <c r="M110" s="46"/>
      <c r="N110" s="30"/>
      <c r="O110" s="219"/>
      <c r="S110" s="74"/>
    </row>
    <row r="111" spans="2:19">
      <c r="B111" s="93" t="s">
        <v>136</v>
      </c>
      <c r="C111" s="90"/>
      <c r="D111" s="90"/>
      <c r="E111" s="90"/>
      <c r="F111" s="90"/>
      <c r="G111" s="219">
        <f>G194</f>
        <v>0</v>
      </c>
      <c r="H111" s="219"/>
      <c r="I111" s="219">
        <f ca="1">D22</f>
        <v>10000</v>
      </c>
      <c r="J111" s="219">
        <f ca="1">G111-H111+I111</f>
        <v>10000</v>
      </c>
      <c r="L111" s="219"/>
      <c r="M111" s="46"/>
      <c r="N111" s="46"/>
      <c r="O111" s="219"/>
      <c r="S111" s="74"/>
    </row>
    <row r="112" spans="2:19">
      <c r="B112" s="97" t="s">
        <v>66</v>
      </c>
      <c r="C112" s="94"/>
      <c r="D112" s="94"/>
      <c r="E112" s="94"/>
      <c r="F112" s="94"/>
      <c r="G112" s="205">
        <f>SUM(G109:G111)</f>
        <v>0</v>
      </c>
      <c r="H112" s="205"/>
      <c r="I112" s="205"/>
      <c r="J112" s="205">
        <f ca="1">SUM(J109:J111)</f>
        <v>19000</v>
      </c>
      <c r="L112" s="219"/>
      <c r="M112" s="46"/>
      <c r="N112" s="46"/>
      <c r="O112" s="219"/>
      <c r="S112" s="74"/>
    </row>
    <row r="113" spans="1:19">
      <c r="B113" s="90"/>
      <c r="C113" s="90"/>
      <c r="D113" s="90"/>
      <c r="E113" s="90"/>
      <c r="F113" s="90"/>
      <c r="G113" s="206"/>
      <c r="H113" s="206"/>
      <c r="I113" s="206"/>
      <c r="J113" s="206"/>
      <c r="L113" s="206"/>
      <c r="M113" s="46"/>
      <c r="N113" s="46"/>
      <c r="O113" s="206"/>
      <c r="S113" s="74"/>
    </row>
    <row r="114" spans="1:19">
      <c r="B114" s="93" t="s">
        <v>137</v>
      </c>
      <c r="C114" s="90"/>
      <c r="D114" s="90"/>
      <c r="E114" s="90"/>
      <c r="F114" s="90"/>
      <c r="G114" s="219">
        <f>G197</f>
        <v>0</v>
      </c>
      <c r="H114" s="219"/>
      <c r="I114" s="219"/>
      <c r="J114" s="219">
        <f>G114-H114+I114</f>
        <v>0</v>
      </c>
      <c r="L114" s="219"/>
      <c r="M114" s="46"/>
      <c r="N114" s="46"/>
      <c r="O114" s="219"/>
      <c r="S114" s="74"/>
    </row>
    <row r="115" spans="1:19">
      <c r="B115" s="93" t="s">
        <v>138</v>
      </c>
      <c r="C115" s="90"/>
      <c r="D115" s="90"/>
      <c r="E115" s="90"/>
      <c r="F115" s="90"/>
      <c r="G115" s="219">
        <f>G198</f>
        <v>0</v>
      </c>
      <c r="H115" s="219"/>
      <c r="I115" s="219"/>
      <c r="J115" s="219">
        <f>G115-H115+I115</f>
        <v>0</v>
      </c>
      <c r="L115" s="219"/>
      <c r="M115" s="46"/>
      <c r="N115" s="46"/>
      <c r="O115" s="219"/>
      <c r="S115" s="74"/>
    </row>
    <row r="116" spans="1:19">
      <c r="B116" s="83" t="s">
        <v>139</v>
      </c>
      <c r="C116" s="91"/>
      <c r="D116" s="91"/>
      <c r="E116" s="91"/>
      <c r="F116" s="91"/>
      <c r="G116" s="222">
        <f>G106+G112+G114+G115</f>
        <v>320</v>
      </c>
      <c r="H116" s="222"/>
      <c r="I116" s="222"/>
      <c r="J116" s="222">
        <f ca="1">J106+J112+J114+J115</f>
        <v>19320</v>
      </c>
      <c r="L116" s="219"/>
      <c r="M116" s="46"/>
      <c r="N116" s="46"/>
      <c r="O116" s="219"/>
      <c r="S116" s="74"/>
    </row>
    <row r="117" spans="1:19">
      <c r="B117" s="90"/>
      <c r="C117" s="90"/>
      <c r="D117" s="90"/>
      <c r="E117" s="90"/>
      <c r="F117" s="90"/>
      <c r="G117" s="206"/>
      <c r="H117" s="206"/>
      <c r="I117" s="206"/>
      <c r="J117" s="206"/>
      <c r="L117" s="206"/>
      <c r="M117" s="46"/>
      <c r="N117" s="46"/>
      <c r="O117" s="206"/>
      <c r="S117" s="74"/>
    </row>
    <row r="118" spans="1:19">
      <c r="B118" s="90" t="s">
        <v>140</v>
      </c>
      <c r="C118" s="90"/>
      <c r="D118" s="90"/>
      <c r="E118" s="90"/>
      <c r="F118" s="90"/>
      <c r="G118" s="219">
        <f>G201</f>
        <v>8585</v>
      </c>
      <c r="H118" s="352">
        <f>-F34</f>
        <v>8585</v>
      </c>
      <c r="I118" s="219">
        <f ca="1">D28</f>
        <v>15100</v>
      </c>
      <c r="J118" s="219">
        <f ca="1">G118-H118+I118</f>
        <v>15100</v>
      </c>
      <c r="L118" s="219"/>
      <c r="M118" s="30"/>
      <c r="N118" s="30"/>
      <c r="O118" s="219"/>
      <c r="S118" s="74"/>
    </row>
    <row r="119" spans="1:19">
      <c r="B119" s="98" t="s">
        <v>67</v>
      </c>
      <c r="C119" s="98"/>
      <c r="D119" s="98"/>
      <c r="E119" s="98"/>
      <c r="F119" s="98"/>
      <c r="G119" s="223">
        <f>SUM(G118)</f>
        <v>8585</v>
      </c>
      <c r="H119" s="223"/>
      <c r="I119" s="223"/>
      <c r="J119" s="223">
        <f ca="1">SUM(J118)</f>
        <v>15100</v>
      </c>
      <c r="L119" s="219"/>
      <c r="M119" s="46"/>
      <c r="N119" s="46"/>
      <c r="O119" s="219"/>
      <c r="S119" s="74"/>
    </row>
    <row r="120" spans="1:19" ht="15">
      <c r="B120" s="85" t="s">
        <v>141</v>
      </c>
      <c r="C120" s="91"/>
      <c r="D120" s="91"/>
      <c r="E120" s="91"/>
      <c r="F120" s="91"/>
      <c r="G120" s="208">
        <f>G116+G119</f>
        <v>8905</v>
      </c>
      <c r="H120" s="208"/>
      <c r="I120" s="208"/>
      <c r="J120" s="208">
        <f ca="1">J116+J119</f>
        <v>34420</v>
      </c>
      <c r="K120" s="24"/>
      <c r="L120" s="220"/>
      <c r="M120" s="46"/>
      <c r="N120" s="46"/>
      <c r="O120" s="220"/>
      <c r="S120" s="74"/>
    </row>
    <row r="121" spans="1:19" ht="15">
      <c r="B121" s="86" t="s">
        <v>142</v>
      </c>
      <c r="C121" s="86"/>
      <c r="D121" s="87"/>
      <c r="E121" s="86"/>
      <c r="F121" s="86"/>
      <c r="G121" s="88">
        <f>G100-G120</f>
        <v>0</v>
      </c>
      <c r="H121" s="88"/>
      <c r="I121" s="88"/>
      <c r="J121" s="88">
        <f ca="1">J100-J120</f>
        <v>0</v>
      </c>
      <c r="L121" s="329"/>
      <c r="M121" s="46"/>
      <c r="N121" s="46"/>
      <c r="O121" s="329"/>
      <c r="S121" s="74"/>
    </row>
    <row r="122" spans="1:19" ht="4.9000000000000004" customHeight="1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74"/>
    </row>
    <row r="123" spans="1:19">
      <c r="S123" s="74"/>
    </row>
    <row r="124" spans="1:19" ht="15">
      <c r="A124" s="55" t="s">
        <v>51</v>
      </c>
      <c r="B124" s="330" t="s">
        <v>147</v>
      </c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32"/>
      <c r="Q124" s="332"/>
      <c r="R124" s="332"/>
      <c r="S124" s="124"/>
    </row>
    <row r="125" spans="1:19" ht="15">
      <c r="B125" s="99"/>
      <c r="C125" s="99"/>
      <c r="D125" s="99"/>
      <c r="E125" s="99"/>
      <c r="F125" s="99"/>
      <c r="G125" s="99"/>
      <c r="H125" s="10"/>
      <c r="I125" s="99"/>
      <c r="J125" s="99"/>
      <c r="K125" s="99"/>
      <c r="L125" s="99"/>
      <c r="M125" s="99"/>
      <c r="N125" s="99"/>
      <c r="O125" s="99"/>
      <c r="P125" s="99"/>
      <c r="Q125" s="100"/>
      <c r="R125" s="100"/>
      <c r="S125" s="101" t="s">
        <v>412</v>
      </c>
    </row>
    <row r="126" spans="1:19" ht="15.75" thickBot="1">
      <c r="B126" s="191"/>
      <c r="C126" s="192"/>
      <c r="D126" s="192"/>
      <c r="E126" s="192"/>
      <c r="F126" s="239">
        <f>'Balance Sheet'!E7</f>
        <v>42369</v>
      </c>
      <c r="G126" s="236">
        <f>EOMONTH(F126,12)</f>
        <v>42735</v>
      </c>
      <c r="H126" s="201"/>
      <c r="I126" s="236">
        <f>I58</f>
        <v>43100</v>
      </c>
      <c r="J126" s="236">
        <f t="shared" ref="J126:R126" si="21">J58</f>
        <v>43465</v>
      </c>
      <c r="K126" s="236">
        <f t="shared" si="21"/>
        <v>43830</v>
      </c>
      <c r="L126" s="236">
        <f t="shared" si="21"/>
        <v>44196</v>
      </c>
      <c r="M126" s="236">
        <f t="shared" si="21"/>
        <v>44561</v>
      </c>
      <c r="N126" s="236">
        <f t="shared" si="21"/>
        <v>44926</v>
      </c>
      <c r="O126" s="236">
        <f t="shared" si="21"/>
        <v>45291</v>
      </c>
      <c r="P126" s="236">
        <f t="shared" si="21"/>
        <v>45657</v>
      </c>
      <c r="Q126" s="236">
        <f t="shared" si="21"/>
        <v>46022</v>
      </c>
      <c r="R126" s="236">
        <f t="shared" si="21"/>
        <v>46387</v>
      </c>
      <c r="S126" s="190" t="s">
        <v>148</v>
      </c>
    </row>
    <row r="127" spans="1:19">
      <c r="B127" s="90"/>
      <c r="C127" s="90"/>
      <c r="D127" s="90"/>
      <c r="E127" s="90"/>
      <c r="F127" s="90"/>
      <c r="G127" s="90"/>
      <c r="H127" s="90"/>
      <c r="I127" s="90"/>
      <c r="J127" s="407"/>
      <c r="K127" s="407"/>
      <c r="L127" s="407"/>
      <c r="M127" s="407"/>
      <c r="N127" s="431"/>
      <c r="S127" s="90"/>
    </row>
    <row r="128" spans="1:19" ht="15">
      <c r="B128" s="90" t="s">
        <v>24</v>
      </c>
      <c r="C128" s="90"/>
      <c r="D128" s="90"/>
      <c r="E128" s="90"/>
      <c r="F128" s="204">
        <f>'Income Statement'!E8</f>
        <v>20754.72047</v>
      </c>
      <c r="G128" s="204">
        <f>'Income Statement'!F8</f>
        <v>19350</v>
      </c>
      <c r="H128" s="207"/>
      <c r="I128" s="219">
        <f ca="1">G128*(1+I155)</f>
        <v>19350</v>
      </c>
      <c r="J128" s="219">
        <f t="shared" ref="J128:R128" ca="1" si="22">I128*(1+J155)</f>
        <v>19350</v>
      </c>
      <c r="K128" s="219">
        <f t="shared" ca="1" si="22"/>
        <v>19350</v>
      </c>
      <c r="L128" s="219">
        <f t="shared" ca="1" si="22"/>
        <v>19350</v>
      </c>
      <c r="M128" s="219">
        <f t="shared" ca="1" si="22"/>
        <v>19350</v>
      </c>
      <c r="N128" s="219">
        <f t="shared" ca="1" si="22"/>
        <v>19350</v>
      </c>
      <c r="O128" s="219">
        <f t="shared" ca="1" si="22"/>
        <v>19350</v>
      </c>
      <c r="P128" s="219">
        <f t="shared" ca="1" si="22"/>
        <v>19350</v>
      </c>
      <c r="Q128" s="219">
        <f t="shared" ca="1" si="22"/>
        <v>19350</v>
      </c>
      <c r="R128" s="219">
        <f t="shared" ca="1" si="22"/>
        <v>19350</v>
      </c>
      <c r="S128" s="292">
        <f ca="1">(M128/G128)^(1/($M$55-$G$55))-1</f>
        <v>0</v>
      </c>
    </row>
    <row r="129" spans="2:19">
      <c r="B129" s="90" t="s">
        <v>25</v>
      </c>
      <c r="C129" s="90"/>
      <c r="D129" s="90"/>
      <c r="E129" s="90"/>
      <c r="F129" s="204">
        <f>'Income Statement'!E10</f>
        <v>13628.33063</v>
      </c>
      <c r="G129" s="204">
        <f>+'Income Statement'!F10</f>
        <v>12600</v>
      </c>
      <c r="H129" s="207"/>
      <c r="I129" s="219">
        <f t="shared" ref="I129:R129" ca="1" si="23">I128*I156</f>
        <v>12577.5</v>
      </c>
      <c r="J129" s="219">
        <f t="shared" ca="1" si="23"/>
        <v>12625.875</v>
      </c>
      <c r="K129" s="219">
        <f t="shared" ca="1" si="23"/>
        <v>12674.25</v>
      </c>
      <c r="L129" s="219">
        <f t="shared" ca="1" si="23"/>
        <v>12705.21</v>
      </c>
      <c r="M129" s="219">
        <f t="shared" ca="1" si="23"/>
        <v>12705.21</v>
      </c>
      <c r="N129" s="219">
        <f t="shared" ca="1" si="23"/>
        <v>12705.21</v>
      </c>
      <c r="O129" s="219">
        <f t="shared" ca="1" si="23"/>
        <v>12705.21</v>
      </c>
      <c r="P129" s="219">
        <f t="shared" ca="1" si="23"/>
        <v>12705.21</v>
      </c>
      <c r="Q129" s="219">
        <f t="shared" ca="1" si="23"/>
        <v>12705.21</v>
      </c>
      <c r="R129" s="219">
        <f t="shared" ca="1" si="23"/>
        <v>12705.21</v>
      </c>
    </row>
    <row r="130" spans="2:19" ht="15">
      <c r="B130" s="105" t="s">
        <v>35</v>
      </c>
      <c r="C130" s="106"/>
      <c r="D130" s="106"/>
      <c r="E130" s="106"/>
      <c r="F130" s="216">
        <f>F128-F129</f>
        <v>7126.3898399999998</v>
      </c>
      <c r="G130" s="216">
        <f>G128-G129</f>
        <v>6750</v>
      </c>
      <c r="H130" s="216"/>
      <c r="I130" s="216">
        <f ca="1">I128-I129</f>
        <v>6772.5</v>
      </c>
      <c r="J130" s="216">
        <f t="shared" ref="J130:R130" ca="1" si="24">J128-J129</f>
        <v>6724.125</v>
      </c>
      <c r="K130" s="216">
        <f t="shared" ca="1" si="24"/>
        <v>6675.75</v>
      </c>
      <c r="L130" s="216">
        <f t="shared" ca="1" si="24"/>
        <v>6644.7900000000009</v>
      </c>
      <c r="M130" s="216">
        <f t="shared" ca="1" si="24"/>
        <v>6644.7900000000009</v>
      </c>
      <c r="N130" s="216">
        <f t="shared" ca="1" si="24"/>
        <v>6644.7900000000009</v>
      </c>
      <c r="O130" s="216">
        <f t="shared" ca="1" si="24"/>
        <v>6644.7900000000009</v>
      </c>
      <c r="P130" s="216">
        <f t="shared" ca="1" si="24"/>
        <v>6644.7900000000009</v>
      </c>
      <c r="Q130" s="216">
        <f t="shared" ca="1" si="24"/>
        <v>6644.7900000000009</v>
      </c>
      <c r="R130" s="216">
        <f t="shared" ca="1" si="24"/>
        <v>6644.7900000000009</v>
      </c>
      <c r="S130" s="90"/>
    </row>
    <row r="131" spans="2:19">
      <c r="B131" s="90"/>
      <c r="C131" s="90"/>
      <c r="D131" s="90"/>
      <c r="E131" s="90"/>
      <c r="F131" s="206"/>
      <c r="G131" s="206"/>
      <c r="H131" s="119"/>
      <c r="I131" s="206"/>
      <c r="J131" s="206"/>
      <c r="K131" s="206"/>
      <c r="L131" s="206"/>
      <c r="M131" s="206"/>
      <c r="N131" s="253"/>
      <c r="O131" s="253"/>
      <c r="P131" s="253"/>
      <c r="Q131" s="253"/>
      <c r="R131" s="253"/>
    </row>
    <row r="132" spans="2:19">
      <c r="B132" s="120" t="s">
        <v>165</v>
      </c>
      <c r="C132" s="90"/>
      <c r="D132" s="90"/>
      <c r="E132" s="90"/>
      <c r="F132" s="204">
        <f>'Income Statement'!E15</f>
        <v>3381</v>
      </c>
      <c r="G132" s="204">
        <f>'Income Statement'!F15</f>
        <v>2500</v>
      </c>
      <c r="H132" s="207"/>
      <c r="I132" s="206">
        <f t="shared" ref="I132:R132" ca="1" si="25">I128*I158</f>
        <v>2515.5</v>
      </c>
      <c r="J132" s="206">
        <f t="shared" ca="1" si="25"/>
        <v>2515.5</v>
      </c>
      <c r="K132" s="206">
        <f t="shared" ca="1" si="25"/>
        <v>2515.5</v>
      </c>
      <c r="L132" s="206">
        <f t="shared" ca="1" si="25"/>
        <v>2515.5</v>
      </c>
      <c r="M132" s="206">
        <f t="shared" ca="1" si="25"/>
        <v>2515.5</v>
      </c>
      <c r="N132" s="206">
        <f t="shared" ca="1" si="25"/>
        <v>2438.1</v>
      </c>
      <c r="O132" s="206">
        <f t="shared" ca="1" si="25"/>
        <v>2438.1</v>
      </c>
      <c r="P132" s="206">
        <f t="shared" ca="1" si="25"/>
        <v>2438.1</v>
      </c>
      <c r="Q132" s="206">
        <f t="shared" ca="1" si="25"/>
        <v>2438.1</v>
      </c>
      <c r="R132" s="206">
        <f t="shared" ca="1" si="25"/>
        <v>2438.1</v>
      </c>
      <c r="S132" s="107"/>
    </row>
    <row r="133" spans="2:19">
      <c r="B133" s="120" t="s">
        <v>149</v>
      </c>
      <c r="C133" s="90"/>
      <c r="D133" s="90"/>
      <c r="E133" s="90"/>
      <c r="F133" s="207">
        <v>0</v>
      </c>
      <c r="G133" s="207">
        <v>0</v>
      </c>
      <c r="H133" s="102"/>
      <c r="I133" s="254">
        <f>I418</f>
        <v>330</v>
      </c>
      <c r="J133" s="254">
        <f t="shared" ref="J133:R133" si="26">J418</f>
        <v>330</v>
      </c>
      <c r="K133" s="254">
        <f t="shared" si="26"/>
        <v>330</v>
      </c>
      <c r="L133" s="254">
        <f t="shared" si="26"/>
        <v>330</v>
      </c>
      <c r="M133" s="254">
        <f t="shared" si="26"/>
        <v>330</v>
      </c>
      <c r="N133" s="254">
        <f t="shared" si="26"/>
        <v>330</v>
      </c>
      <c r="O133" s="254">
        <f t="shared" si="26"/>
        <v>330</v>
      </c>
      <c r="P133" s="254">
        <f t="shared" si="26"/>
        <v>330</v>
      </c>
      <c r="Q133" s="254">
        <f t="shared" si="26"/>
        <v>330</v>
      </c>
      <c r="R133" s="254">
        <f t="shared" si="26"/>
        <v>330</v>
      </c>
      <c r="S133" s="107"/>
    </row>
    <row r="134" spans="2:19" ht="15">
      <c r="B134" s="105" t="s">
        <v>150</v>
      </c>
      <c r="C134" s="106"/>
      <c r="D134" s="106"/>
      <c r="E134" s="108"/>
      <c r="F134" s="216">
        <f>F130-SUM(F132:F133)</f>
        <v>3745.3898399999998</v>
      </c>
      <c r="G134" s="216">
        <f>G130-SUM(G132:G133)</f>
        <v>4250</v>
      </c>
      <c r="H134" s="216"/>
      <c r="I134" s="216">
        <f ca="1">I130-SUM(I132:I133)</f>
        <v>3927</v>
      </c>
      <c r="J134" s="216">
        <f t="shared" ref="J134:R134" ca="1" si="27">J130-SUM(J132:J133)</f>
        <v>3878.625</v>
      </c>
      <c r="K134" s="216">
        <f t="shared" ca="1" si="27"/>
        <v>3830.25</v>
      </c>
      <c r="L134" s="216">
        <f t="shared" ca="1" si="27"/>
        <v>3799.2900000000009</v>
      </c>
      <c r="M134" s="216">
        <f t="shared" ca="1" si="27"/>
        <v>3799.2900000000009</v>
      </c>
      <c r="N134" s="216">
        <f t="shared" ca="1" si="27"/>
        <v>3876.690000000001</v>
      </c>
      <c r="O134" s="216">
        <f t="shared" ca="1" si="27"/>
        <v>3876.690000000001</v>
      </c>
      <c r="P134" s="216">
        <f t="shared" ca="1" si="27"/>
        <v>3876.690000000001</v>
      </c>
      <c r="Q134" s="216">
        <f t="shared" ca="1" si="27"/>
        <v>3876.690000000001</v>
      </c>
      <c r="R134" s="216">
        <f t="shared" ca="1" si="27"/>
        <v>3876.690000000001</v>
      </c>
      <c r="S134" s="104"/>
    </row>
    <row r="135" spans="2:19">
      <c r="B135" s="90"/>
      <c r="C135" s="90"/>
      <c r="D135" s="90"/>
      <c r="E135" s="90"/>
      <c r="F135" s="206"/>
      <c r="G135" s="206"/>
      <c r="H135" s="119"/>
      <c r="I135" s="206"/>
      <c r="J135" s="206"/>
      <c r="K135" s="206"/>
      <c r="L135" s="206"/>
      <c r="M135" s="206"/>
      <c r="N135" s="253"/>
      <c r="O135" s="253"/>
      <c r="P135" s="253"/>
      <c r="Q135" s="253"/>
      <c r="R135" s="253"/>
    </row>
    <row r="136" spans="2:19">
      <c r="B136" s="90" t="s">
        <v>46</v>
      </c>
      <c r="C136" s="90"/>
      <c r="D136" s="90"/>
      <c r="E136" s="90"/>
      <c r="F136" s="204">
        <v>0</v>
      </c>
      <c r="G136" s="204">
        <v>0</v>
      </c>
      <c r="H136" s="103"/>
      <c r="I136" s="254">
        <f t="shared" ref="I136:R136" ca="1" si="28">IF(Circ=0,0,I360)</f>
        <v>1616.7326452020238</v>
      </c>
      <c r="J136" s="219">
        <f t="shared" ca="1" si="28"/>
        <v>1533.1430732364679</v>
      </c>
      <c r="K136" s="219">
        <f t="shared" ca="1" si="28"/>
        <v>1434.9922053145792</v>
      </c>
      <c r="L136" s="219">
        <f t="shared" ca="1" si="28"/>
        <v>1349.8057512507326</v>
      </c>
      <c r="M136" s="219">
        <f t="shared" ca="1" si="28"/>
        <v>1330.5787352941368</v>
      </c>
      <c r="N136" s="219">
        <f t="shared" ca="1" si="28"/>
        <v>1357.1055784313921</v>
      </c>
      <c r="O136" s="219">
        <f t="shared" ca="1" si="28"/>
        <v>1384.1683173896017</v>
      </c>
      <c r="P136" s="219">
        <f t="shared" ca="1" si="28"/>
        <v>1411.7777783469678</v>
      </c>
      <c r="Q136" s="219">
        <f t="shared" ca="1" si="28"/>
        <v>1439.945006192361</v>
      </c>
      <c r="R136" s="219">
        <f t="shared" ca="1" si="28"/>
        <v>1468.6812689437218</v>
      </c>
    </row>
    <row r="137" spans="2:19">
      <c r="B137" s="120" t="s">
        <v>151</v>
      </c>
      <c r="C137" s="90"/>
      <c r="D137" s="90"/>
      <c r="E137" s="90"/>
      <c r="F137" s="204">
        <v>0</v>
      </c>
      <c r="G137" s="204">
        <v>0</v>
      </c>
      <c r="H137" s="11"/>
      <c r="I137" s="254">
        <f t="shared" ref="I137:R137" ca="1" si="29">IF(Circ=0,0,I371)</f>
        <v>0</v>
      </c>
      <c r="J137" s="254">
        <f t="shared" ca="1" si="29"/>
        <v>0</v>
      </c>
      <c r="K137" s="254">
        <f t="shared" ca="1" si="29"/>
        <v>0</v>
      </c>
      <c r="L137" s="254">
        <f t="shared" ca="1" si="29"/>
        <v>0</v>
      </c>
      <c r="M137" s="254">
        <f t="shared" ca="1" si="29"/>
        <v>0</v>
      </c>
      <c r="N137" s="254">
        <f t="shared" ca="1" si="29"/>
        <v>0</v>
      </c>
      <c r="O137" s="254">
        <f t="shared" ca="1" si="29"/>
        <v>0</v>
      </c>
      <c r="P137" s="254">
        <f t="shared" ca="1" si="29"/>
        <v>0</v>
      </c>
      <c r="Q137" s="254">
        <f t="shared" ca="1" si="29"/>
        <v>0</v>
      </c>
      <c r="R137" s="254">
        <f t="shared" ca="1" si="29"/>
        <v>1.502939994679764E-12</v>
      </c>
    </row>
    <row r="138" spans="2:19">
      <c r="B138" s="121" t="s">
        <v>152</v>
      </c>
      <c r="C138" s="94"/>
      <c r="D138" s="94"/>
      <c r="E138" s="94"/>
      <c r="F138" s="205">
        <f>F134-F136-F137</f>
        <v>3745.3898399999998</v>
      </c>
      <c r="G138" s="205">
        <f>G134-G136-G137</f>
        <v>4250</v>
      </c>
      <c r="H138" s="205"/>
      <c r="I138" s="205">
        <f ca="1">I134-I136-I137</f>
        <v>2310.2673547979762</v>
      </c>
      <c r="J138" s="205">
        <f t="shared" ref="J138:R138" ca="1" si="30">J134-J136-J137</f>
        <v>2345.4819267635321</v>
      </c>
      <c r="K138" s="205">
        <f t="shared" ca="1" si="30"/>
        <v>2395.2577946854208</v>
      </c>
      <c r="L138" s="205">
        <f t="shared" ca="1" si="30"/>
        <v>2449.4842487492683</v>
      </c>
      <c r="M138" s="205">
        <f t="shared" ca="1" si="30"/>
        <v>2468.7112647058639</v>
      </c>
      <c r="N138" s="205">
        <f t="shared" ca="1" si="30"/>
        <v>2519.5844215686088</v>
      </c>
      <c r="O138" s="205">
        <f t="shared" ca="1" si="30"/>
        <v>2492.5216826103992</v>
      </c>
      <c r="P138" s="205">
        <f t="shared" ca="1" si="30"/>
        <v>2464.9122216530332</v>
      </c>
      <c r="Q138" s="205">
        <f t="shared" ca="1" si="30"/>
        <v>2436.7449938076397</v>
      </c>
      <c r="R138" s="205">
        <f t="shared" ca="1" si="30"/>
        <v>2408.0087310562781</v>
      </c>
      <c r="S138" s="90"/>
    </row>
    <row r="139" spans="2:19">
      <c r="B139" s="90"/>
      <c r="C139" s="90"/>
      <c r="D139" s="90"/>
      <c r="E139" s="90"/>
      <c r="F139" s="206"/>
      <c r="G139" s="206"/>
      <c r="H139" s="119"/>
      <c r="I139" s="206"/>
      <c r="J139" s="206"/>
      <c r="K139" s="206"/>
      <c r="L139" s="206"/>
      <c r="M139" s="206"/>
      <c r="N139" s="253"/>
      <c r="O139" s="253"/>
      <c r="P139" s="253"/>
      <c r="Q139" s="253"/>
      <c r="R139" s="253"/>
    </row>
    <row r="140" spans="2:19">
      <c r="B140" s="90" t="s">
        <v>500</v>
      </c>
      <c r="C140" s="90"/>
      <c r="D140" s="90"/>
      <c r="E140" s="90"/>
      <c r="F140" s="206">
        <v>0</v>
      </c>
      <c r="G140" s="206">
        <v>0</v>
      </c>
      <c r="H140" s="119"/>
      <c r="I140" s="206">
        <f ca="1">+I151</f>
        <v>355.1</v>
      </c>
      <c r="J140" s="206">
        <f t="shared" ref="J140:R140" ca="1" si="31">+J151</f>
        <v>355.18124999999998</v>
      </c>
      <c r="K140" s="206">
        <f t="shared" ca="1" si="31"/>
        <v>354.63750000000005</v>
      </c>
      <c r="L140" s="206">
        <f t="shared" ca="1" si="31"/>
        <v>354.33950000000004</v>
      </c>
      <c r="M140" s="206">
        <f t="shared" ca="1" si="31"/>
        <v>355.58950000000004</v>
      </c>
      <c r="N140" s="206">
        <f t="shared" ca="1" si="31"/>
        <v>360.70950000000005</v>
      </c>
      <c r="O140" s="206">
        <f t="shared" ca="1" si="31"/>
        <v>361.95950000000005</v>
      </c>
      <c r="P140" s="206">
        <f t="shared" ca="1" si="31"/>
        <v>363.20950000000005</v>
      </c>
      <c r="Q140" s="206">
        <f t="shared" ca="1" si="31"/>
        <v>364.45950000000005</v>
      </c>
      <c r="R140" s="206">
        <f t="shared" ca="1" si="31"/>
        <v>365.70950000000005</v>
      </c>
    </row>
    <row r="141" spans="2:19">
      <c r="B141" s="90" t="s">
        <v>153</v>
      </c>
      <c r="C141" s="90"/>
      <c r="D141" s="90"/>
      <c r="E141" s="90"/>
      <c r="F141" s="217">
        <f>F138*Tax_Rate</f>
        <v>1685.425428</v>
      </c>
      <c r="G141" s="217">
        <f>G138*Tax_Rate</f>
        <v>1912.5</v>
      </c>
      <c r="H141" s="217"/>
      <c r="I141" s="217">
        <f t="shared" ref="I141:R141" ca="1" si="32">I138*Tax_Rate*IF($R$17="Flow-Thru",0,1)</f>
        <v>0</v>
      </c>
      <c r="J141" s="217">
        <f t="shared" ca="1" si="32"/>
        <v>0</v>
      </c>
      <c r="K141" s="217">
        <f t="shared" ca="1" si="32"/>
        <v>0</v>
      </c>
      <c r="L141" s="217">
        <f t="shared" ca="1" si="32"/>
        <v>0</v>
      </c>
      <c r="M141" s="217">
        <f t="shared" ca="1" si="32"/>
        <v>0</v>
      </c>
      <c r="N141" s="217">
        <f t="shared" ca="1" si="32"/>
        <v>0</v>
      </c>
      <c r="O141" s="217">
        <f t="shared" ca="1" si="32"/>
        <v>0</v>
      </c>
      <c r="P141" s="217">
        <f t="shared" ca="1" si="32"/>
        <v>0</v>
      </c>
      <c r="Q141" s="217">
        <f t="shared" ca="1" si="32"/>
        <v>0</v>
      </c>
      <c r="R141" s="217">
        <f t="shared" ca="1" si="32"/>
        <v>0</v>
      </c>
    </row>
    <row r="142" spans="2:19">
      <c r="B142" s="120" t="s">
        <v>154</v>
      </c>
      <c r="C142" s="90"/>
      <c r="D142" s="90"/>
      <c r="E142" s="90"/>
      <c r="F142" s="207">
        <v>0</v>
      </c>
      <c r="G142" s="207">
        <v>0</v>
      </c>
      <c r="H142" s="103"/>
      <c r="I142" s="219">
        <f t="shared" ref="I142:R142" si="33">I139*Tax_Rate*IF($R$17="Flow-Thru",0,1)</f>
        <v>0</v>
      </c>
      <c r="J142" s="219">
        <f t="shared" si="33"/>
        <v>0</v>
      </c>
      <c r="K142" s="219">
        <f t="shared" si="33"/>
        <v>0</v>
      </c>
      <c r="L142" s="219">
        <f t="shared" si="33"/>
        <v>0</v>
      </c>
      <c r="M142" s="219">
        <f t="shared" si="33"/>
        <v>0</v>
      </c>
      <c r="N142" s="219">
        <f t="shared" si="33"/>
        <v>0</v>
      </c>
      <c r="O142" s="219">
        <f t="shared" si="33"/>
        <v>0</v>
      </c>
      <c r="P142" s="219">
        <f t="shared" si="33"/>
        <v>0</v>
      </c>
      <c r="Q142" s="219">
        <f t="shared" si="33"/>
        <v>0</v>
      </c>
      <c r="R142" s="219">
        <f t="shared" si="33"/>
        <v>0</v>
      </c>
    </row>
    <row r="143" spans="2:19" ht="15">
      <c r="B143" s="105" t="s">
        <v>155</v>
      </c>
      <c r="C143" s="106"/>
      <c r="D143" s="106"/>
      <c r="E143" s="106"/>
      <c r="F143" s="216">
        <f>F138-F141-F142</f>
        <v>2059.9644119999998</v>
      </c>
      <c r="G143" s="216">
        <f>G138-G141-G142</f>
        <v>2337.5</v>
      </c>
      <c r="H143" s="216"/>
      <c r="I143" s="216">
        <f ca="1">I138-I140-I141-I142</f>
        <v>1955.1673547979763</v>
      </c>
      <c r="J143" s="216">
        <f t="shared" ref="J143:R143" ca="1" si="34">J138-J140-J141-J142</f>
        <v>1990.300676763532</v>
      </c>
      <c r="K143" s="216">
        <f t="shared" ca="1" si="34"/>
        <v>2040.6202946854207</v>
      </c>
      <c r="L143" s="216">
        <f t="shared" ca="1" si="34"/>
        <v>2095.1447487492683</v>
      </c>
      <c r="M143" s="216">
        <f t="shared" ca="1" si="34"/>
        <v>2113.1217647058638</v>
      </c>
      <c r="N143" s="216">
        <f t="shared" ca="1" si="34"/>
        <v>2158.8749215686089</v>
      </c>
      <c r="O143" s="216">
        <f t="shared" ca="1" si="34"/>
        <v>2130.5621826103993</v>
      </c>
      <c r="P143" s="216">
        <f t="shared" ca="1" si="34"/>
        <v>2101.7027216530332</v>
      </c>
      <c r="Q143" s="216">
        <f t="shared" ca="1" si="34"/>
        <v>2072.2854938076398</v>
      </c>
      <c r="R143" s="216">
        <f t="shared" ca="1" si="34"/>
        <v>2042.2992310562781</v>
      </c>
      <c r="S143" s="104"/>
    </row>
    <row r="144" spans="2:19">
      <c r="B144" s="90"/>
      <c r="C144" s="90"/>
      <c r="D144" s="90"/>
      <c r="E144" s="90"/>
      <c r="F144" s="206"/>
      <c r="G144" s="206"/>
      <c r="H144" s="119"/>
      <c r="I144" s="206"/>
      <c r="J144" s="206"/>
      <c r="K144" s="206"/>
      <c r="L144" s="206"/>
      <c r="M144" s="206"/>
      <c r="N144" s="253"/>
      <c r="O144" s="253"/>
      <c r="P144" s="253"/>
      <c r="Q144" s="253"/>
      <c r="R144" s="253"/>
    </row>
    <row r="145" spans="2:19" ht="15">
      <c r="B145" s="85" t="s">
        <v>150</v>
      </c>
      <c r="C145" s="85"/>
      <c r="D145" s="85"/>
      <c r="E145" s="85"/>
      <c r="F145" s="208">
        <f>F134</f>
        <v>3745.3898399999998</v>
      </c>
      <c r="G145" s="208">
        <f>G134</f>
        <v>4250</v>
      </c>
      <c r="H145" s="208"/>
      <c r="I145" s="208">
        <f t="shared" ref="I145:R145" ca="1" si="35">I134</f>
        <v>3927</v>
      </c>
      <c r="J145" s="208">
        <f t="shared" ca="1" si="35"/>
        <v>3878.625</v>
      </c>
      <c r="K145" s="208">
        <f t="shared" ca="1" si="35"/>
        <v>3830.25</v>
      </c>
      <c r="L145" s="208">
        <f t="shared" ca="1" si="35"/>
        <v>3799.2900000000009</v>
      </c>
      <c r="M145" s="208">
        <f t="shared" ca="1" si="35"/>
        <v>3799.2900000000009</v>
      </c>
      <c r="N145" s="208">
        <f t="shared" ca="1" si="35"/>
        <v>3876.690000000001</v>
      </c>
      <c r="O145" s="208">
        <f t="shared" ca="1" si="35"/>
        <v>3876.690000000001</v>
      </c>
      <c r="P145" s="208">
        <f t="shared" ca="1" si="35"/>
        <v>3876.690000000001</v>
      </c>
      <c r="Q145" s="208">
        <f t="shared" ca="1" si="35"/>
        <v>3876.690000000001</v>
      </c>
      <c r="R145" s="208">
        <f t="shared" ca="1" si="35"/>
        <v>3876.690000000001</v>
      </c>
    </row>
    <row r="146" spans="2:19">
      <c r="B146" s="93" t="s">
        <v>38</v>
      </c>
      <c r="C146" s="90"/>
      <c r="D146" s="90"/>
      <c r="E146" s="90"/>
      <c r="F146" s="204">
        <f>'Income Statement'!E28</f>
        <v>1131.779</v>
      </c>
      <c r="G146" s="204">
        <f>'Income Statement'!F28</f>
        <v>625</v>
      </c>
      <c r="H146" s="207"/>
      <c r="I146" s="219">
        <f ca="1">I415+I418</f>
        <v>685</v>
      </c>
      <c r="J146" s="219">
        <f t="shared" ref="J146:R146" ca="1" si="36">J415+J418</f>
        <v>735</v>
      </c>
      <c r="K146" s="219">
        <f t="shared" ca="1" si="36"/>
        <v>772.5</v>
      </c>
      <c r="L146" s="219">
        <f t="shared" ca="1" si="36"/>
        <v>797.5</v>
      </c>
      <c r="M146" s="219">
        <f t="shared" ca="1" si="36"/>
        <v>822.5</v>
      </c>
      <c r="N146" s="219">
        <f t="shared" ca="1" si="36"/>
        <v>847.5</v>
      </c>
      <c r="O146" s="219">
        <f t="shared" ca="1" si="36"/>
        <v>872.5</v>
      </c>
      <c r="P146" s="219">
        <f t="shared" ca="1" si="36"/>
        <v>897.5</v>
      </c>
      <c r="Q146" s="219">
        <f t="shared" ca="1" si="36"/>
        <v>922.5</v>
      </c>
      <c r="R146" s="219">
        <f t="shared" ca="1" si="36"/>
        <v>947.5</v>
      </c>
    </row>
    <row r="147" spans="2:19" hidden="1" outlineLevel="1">
      <c r="B147" s="93" t="s">
        <v>156</v>
      </c>
      <c r="C147" s="90"/>
      <c r="D147" s="90"/>
      <c r="E147" s="90"/>
      <c r="F147" s="207">
        <v>0</v>
      </c>
      <c r="G147" s="207">
        <v>0</v>
      </c>
      <c r="H147" s="103"/>
      <c r="I147" s="254"/>
      <c r="J147" s="219"/>
      <c r="K147" s="219"/>
      <c r="L147" s="219"/>
      <c r="M147" s="219"/>
      <c r="N147" s="219"/>
      <c r="O147" s="219"/>
      <c r="P147" s="219"/>
      <c r="Q147" s="219"/>
      <c r="R147" s="219"/>
    </row>
    <row r="148" spans="2:19" collapsed="1">
      <c r="B148" s="93" t="s">
        <v>149</v>
      </c>
      <c r="C148" s="90"/>
      <c r="D148" s="90"/>
      <c r="E148" s="90"/>
      <c r="F148" s="207">
        <v>0</v>
      </c>
      <c r="G148" s="207">
        <v>0</v>
      </c>
      <c r="H148" s="11"/>
      <c r="I148" s="254">
        <f t="shared" ref="I148:R148" si="37">I133</f>
        <v>330</v>
      </c>
      <c r="J148" s="254">
        <f t="shared" si="37"/>
        <v>330</v>
      </c>
      <c r="K148" s="254">
        <f t="shared" si="37"/>
        <v>330</v>
      </c>
      <c r="L148" s="254">
        <f t="shared" si="37"/>
        <v>330</v>
      </c>
      <c r="M148" s="254">
        <f t="shared" si="37"/>
        <v>330</v>
      </c>
      <c r="N148" s="254">
        <f t="shared" si="37"/>
        <v>330</v>
      </c>
      <c r="O148" s="254">
        <f t="shared" si="37"/>
        <v>330</v>
      </c>
      <c r="P148" s="254">
        <f t="shared" si="37"/>
        <v>330</v>
      </c>
      <c r="Q148" s="254">
        <f t="shared" si="37"/>
        <v>330</v>
      </c>
      <c r="R148" s="254">
        <f t="shared" si="37"/>
        <v>330</v>
      </c>
    </row>
    <row r="149" spans="2:19" ht="15">
      <c r="B149" s="110" t="s">
        <v>44</v>
      </c>
      <c r="C149" s="110"/>
      <c r="D149" s="110"/>
      <c r="E149" s="110"/>
      <c r="F149" s="524">
        <f>SUM(F145:F148)</f>
        <v>4877.1688400000003</v>
      </c>
      <c r="G149" s="524">
        <f>SUM(G145:G148)</f>
        <v>4875</v>
      </c>
      <c r="H149" s="110"/>
      <c r="I149" s="524">
        <f ca="1">SUM(I145:I148)</f>
        <v>4942</v>
      </c>
      <c r="J149" s="524">
        <f t="shared" ref="J149:R149" ca="1" si="38">SUM(J145:J148)</f>
        <v>4943.625</v>
      </c>
      <c r="K149" s="524">
        <f t="shared" ca="1" si="38"/>
        <v>4932.75</v>
      </c>
      <c r="L149" s="524">
        <f t="shared" ca="1" si="38"/>
        <v>4926.7900000000009</v>
      </c>
      <c r="M149" s="524">
        <f t="shared" ca="1" si="38"/>
        <v>4951.7900000000009</v>
      </c>
      <c r="N149" s="524">
        <f t="shared" ca="1" si="38"/>
        <v>5054.1900000000005</v>
      </c>
      <c r="O149" s="524">
        <f t="shared" ca="1" si="38"/>
        <v>5079.1900000000005</v>
      </c>
      <c r="P149" s="524">
        <f t="shared" ca="1" si="38"/>
        <v>5104.1900000000005</v>
      </c>
      <c r="Q149" s="524">
        <f t="shared" ca="1" si="38"/>
        <v>5129.1900000000005</v>
      </c>
      <c r="R149" s="524">
        <f t="shared" ca="1" si="38"/>
        <v>5154.1900000000005</v>
      </c>
      <c r="S149" s="292">
        <f ca="1">(M149/G149)^(1/($M$55-$G$55))-1</f>
        <v>3.1306950063325623E-3</v>
      </c>
    </row>
    <row r="150" spans="2:19" ht="15">
      <c r="B150" s="12"/>
      <c r="C150" s="12"/>
      <c r="D150" s="12"/>
      <c r="E150" s="12"/>
      <c r="F150" s="353"/>
      <c r="G150" s="353"/>
      <c r="H150" s="12"/>
      <c r="I150" s="353"/>
      <c r="J150" s="353"/>
      <c r="K150" s="353"/>
      <c r="L150" s="353"/>
      <c r="M150" s="353"/>
      <c r="N150" s="353"/>
      <c r="O150" s="353"/>
      <c r="P150" s="353"/>
      <c r="Q150" s="353"/>
      <c r="R150" s="353"/>
    </row>
    <row r="151" spans="2:19">
      <c r="B151" s="90" t="s">
        <v>500</v>
      </c>
      <c r="C151" s="90"/>
      <c r="D151" s="90"/>
      <c r="E151" s="90"/>
      <c r="F151" s="207">
        <v>0</v>
      </c>
      <c r="G151" s="207">
        <v>0</v>
      </c>
      <c r="H151" s="11"/>
      <c r="I151" s="254">
        <f ca="1">+(I149*$K$44)+108</f>
        <v>355.1</v>
      </c>
      <c r="J151" s="254">
        <f t="shared" ref="J151:R151" ca="1" si="39">+(J149*$K$44)+108</f>
        <v>355.18124999999998</v>
      </c>
      <c r="K151" s="254">
        <f t="shared" ca="1" si="39"/>
        <v>354.63750000000005</v>
      </c>
      <c r="L151" s="254">
        <f t="shared" ca="1" si="39"/>
        <v>354.33950000000004</v>
      </c>
      <c r="M151" s="254">
        <f t="shared" ca="1" si="39"/>
        <v>355.58950000000004</v>
      </c>
      <c r="N151" s="254">
        <f t="shared" ca="1" si="39"/>
        <v>360.70950000000005</v>
      </c>
      <c r="O151" s="254">
        <f t="shared" ca="1" si="39"/>
        <v>361.95950000000005</v>
      </c>
      <c r="P151" s="254">
        <f t="shared" ca="1" si="39"/>
        <v>363.20950000000005</v>
      </c>
      <c r="Q151" s="254">
        <f t="shared" ca="1" si="39"/>
        <v>364.45950000000005</v>
      </c>
      <c r="R151" s="254">
        <f t="shared" ca="1" si="39"/>
        <v>365.70950000000005</v>
      </c>
    </row>
    <row r="152" spans="2:19" ht="15">
      <c r="B152" s="110" t="s">
        <v>445</v>
      </c>
      <c r="C152" s="110"/>
      <c r="D152" s="110"/>
      <c r="E152" s="110"/>
      <c r="F152" s="218">
        <f>SUM(F145:F148)</f>
        <v>4877.1688400000003</v>
      </c>
      <c r="G152" s="218">
        <f>SUM(G145:G148)</f>
        <v>4875</v>
      </c>
      <c r="H152" s="218"/>
      <c r="I152" s="218">
        <f ca="1">+I149-I151</f>
        <v>4586.8999999999996</v>
      </c>
      <c r="J152" s="218">
        <f t="shared" ref="J152:R152" ca="1" si="40">+J149-J151</f>
        <v>4588.4437500000004</v>
      </c>
      <c r="K152" s="218">
        <f t="shared" ca="1" si="40"/>
        <v>4578.1125000000002</v>
      </c>
      <c r="L152" s="218">
        <f t="shared" ca="1" si="40"/>
        <v>4572.4505000000008</v>
      </c>
      <c r="M152" s="218">
        <f t="shared" ca="1" si="40"/>
        <v>4596.2005000000008</v>
      </c>
      <c r="N152" s="218">
        <f t="shared" ca="1" si="40"/>
        <v>4693.4805000000006</v>
      </c>
      <c r="O152" s="218">
        <f t="shared" ca="1" si="40"/>
        <v>4717.2305000000006</v>
      </c>
      <c r="P152" s="218">
        <f t="shared" ca="1" si="40"/>
        <v>4740.9805000000006</v>
      </c>
      <c r="Q152" s="218">
        <f t="shared" ca="1" si="40"/>
        <v>4764.7305000000006</v>
      </c>
      <c r="R152" s="218">
        <f t="shared" ca="1" si="40"/>
        <v>4788.4805000000006</v>
      </c>
      <c r="S152" s="292"/>
    </row>
    <row r="153" spans="2:19"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430"/>
    </row>
    <row r="154" spans="2:19" ht="15">
      <c r="B154" s="111" t="s">
        <v>157</v>
      </c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</row>
    <row r="155" spans="2:19" ht="15">
      <c r="B155" s="12" t="s">
        <v>158</v>
      </c>
      <c r="C155" s="12"/>
      <c r="D155" s="12"/>
      <c r="E155" s="12"/>
      <c r="F155" s="112"/>
      <c r="G155" s="112">
        <f>G128/F128-1</f>
        <v>-6.7681974904478248E-2</v>
      </c>
      <c r="H155" s="113"/>
      <c r="I155" s="113">
        <f ca="1">I494</f>
        <v>0</v>
      </c>
      <c r="J155" s="113">
        <f t="shared" ref="J155:R155" ca="1" si="41">J494</f>
        <v>0</v>
      </c>
      <c r="K155" s="113">
        <f t="shared" ca="1" si="41"/>
        <v>0</v>
      </c>
      <c r="L155" s="113">
        <f t="shared" ca="1" si="41"/>
        <v>0</v>
      </c>
      <c r="M155" s="113">
        <f t="shared" ca="1" si="41"/>
        <v>0</v>
      </c>
      <c r="N155" s="113">
        <f t="shared" ca="1" si="41"/>
        <v>0</v>
      </c>
      <c r="O155" s="113">
        <f t="shared" ca="1" si="41"/>
        <v>0</v>
      </c>
      <c r="P155" s="113">
        <f t="shared" ca="1" si="41"/>
        <v>0</v>
      </c>
      <c r="Q155" s="113">
        <f t="shared" ca="1" si="41"/>
        <v>0</v>
      </c>
      <c r="R155" s="113">
        <f t="shared" ca="1" si="41"/>
        <v>0</v>
      </c>
    </row>
    <row r="156" spans="2:19" ht="15">
      <c r="B156" s="9" t="s">
        <v>159</v>
      </c>
      <c r="C156" s="12"/>
      <c r="D156" s="12"/>
      <c r="E156" s="12"/>
      <c r="F156" s="114">
        <f>F129/F128</f>
        <v>0.65663763815557663</v>
      </c>
      <c r="G156" s="114">
        <f>G129/G128</f>
        <v>0.65116279069767447</v>
      </c>
      <c r="H156" s="224"/>
      <c r="I156" s="224">
        <f ca="1">I499</f>
        <v>0.65</v>
      </c>
      <c r="J156" s="224">
        <f t="shared" ref="J156:R156" ca="1" si="42">J499</f>
        <v>0.65249999999999997</v>
      </c>
      <c r="K156" s="224">
        <f t="shared" ca="1" si="42"/>
        <v>0.65500000000000003</v>
      </c>
      <c r="L156" s="224">
        <f t="shared" ca="1" si="42"/>
        <v>0.65659999999999996</v>
      </c>
      <c r="M156" s="224">
        <f t="shared" ca="1" si="42"/>
        <v>0.65659999999999996</v>
      </c>
      <c r="N156" s="224">
        <f t="shared" ca="1" si="42"/>
        <v>0.65659999999999996</v>
      </c>
      <c r="O156" s="224">
        <f t="shared" ca="1" si="42"/>
        <v>0.65659999999999996</v>
      </c>
      <c r="P156" s="224">
        <f t="shared" ca="1" si="42"/>
        <v>0.65659999999999996</v>
      </c>
      <c r="Q156" s="224">
        <f t="shared" ca="1" si="42"/>
        <v>0.65659999999999996</v>
      </c>
      <c r="R156" s="224">
        <f t="shared" ca="1" si="42"/>
        <v>0.65659999999999996</v>
      </c>
    </row>
    <row r="157" spans="2:19">
      <c r="B157" s="90" t="s">
        <v>36</v>
      </c>
      <c r="C157" s="90"/>
      <c r="D157" s="90"/>
      <c r="E157" s="90"/>
      <c r="F157" s="115">
        <f>F130/F128</f>
        <v>0.34336236184442331</v>
      </c>
      <c r="G157" s="115">
        <f>G130/G128</f>
        <v>0.34883720930232559</v>
      </c>
      <c r="H157" s="115"/>
      <c r="I157" s="115">
        <f t="shared" ref="I157:R157" ca="1" si="43">I130/I128</f>
        <v>0.35</v>
      </c>
      <c r="J157" s="115">
        <f t="shared" ca="1" si="43"/>
        <v>0.34749999999999998</v>
      </c>
      <c r="K157" s="115">
        <f t="shared" ca="1" si="43"/>
        <v>0.34499999999999997</v>
      </c>
      <c r="L157" s="115">
        <f t="shared" ca="1" si="43"/>
        <v>0.34340000000000004</v>
      </c>
      <c r="M157" s="115">
        <f t="shared" ca="1" si="43"/>
        <v>0.34340000000000004</v>
      </c>
      <c r="N157" s="115">
        <f t="shared" ca="1" si="43"/>
        <v>0.34340000000000004</v>
      </c>
      <c r="O157" s="115">
        <f t="shared" ca="1" si="43"/>
        <v>0.34340000000000004</v>
      </c>
      <c r="P157" s="115">
        <f t="shared" ca="1" si="43"/>
        <v>0.34340000000000004</v>
      </c>
      <c r="Q157" s="115">
        <f t="shared" ca="1" si="43"/>
        <v>0.34340000000000004</v>
      </c>
      <c r="R157" s="115">
        <f t="shared" ca="1" si="43"/>
        <v>0.34340000000000004</v>
      </c>
    </row>
    <row r="158" spans="2:19">
      <c r="B158" s="90" t="s">
        <v>166</v>
      </c>
      <c r="C158" s="90"/>
      <c r="D158" s="90"/>
      <c r="E158" s="90"/>
      <c r="F158" s="115">
        <f>F132/F128</f>
        <v>0.16290269988878342</v>
      </c>
      <c r="G158" s="115">
        <f>G132/G128</f>
        <v>0.12919896640826872</v>
      </c>
      <c r="H158" s="116"/>
      <c r="I158" s="116">
        <f ca="1">I504</f>
        <v>0.13</v>
      </c>
      <c r="J158" s="116">
        <f t="shared" ref="J158:R158" ca="1" si="44">J504</f>
        <v>0.13</v>
      </c>
      <c r="K158" s="116">
        <f t="shared" ca="1" si="44"/>
        <v>0.13</v>
      </c>
      <c r="L158" s="116">
        <f t="shared" ca="1" si="44"/>
        <v>0.13</v>
      </c>
      <c r="M158" s="116">
        <f t="shared" ca="1" si="44"/>
        <v>0.13</v>
      </c>
      <c r="N158" s="116">
        <f t="shared" ca="1" si="44"/>
        <v>0.126</v>
      </c>
      <c r="O158" s="116">
        <f t="shared" ca="1" si="44"/>
        <v>0.126</v>
      </c>
      <c r="P158" s="116">
        <f t="shared" ca="1" si="44"/>
        <v>0.126</v>
      </c>
      <c r="Q158" s="116">
        <f t="shared" ca="1" si="44"/>
        <v>0.126</v>
      </c>
      <c r="R158" s="116">
        <f t="shared" ca="1" si="44"/>
        <v>0.126</v>
      </c>
    </row>
    <row r="159" spans="2:19" ht="15">
      <c r="B159" s="12" t="s">
        <v>160</v>
      </c>
      <c r="C159" s="12"/>
      <c r="D159" s="12"/>
      <c r="E159" s="12"/>
      <c r="F159" s="117">
        <f>F134/F128</f>
        <v>0.18045966195563989</v>
      </c>
      <c r="G159" s="117">
        <f>G134/G128</f>
        <v>0.21963824289405684</v>
      </c>
      <c r="H159" s="117"/>
      <c r="I159" s="117">
        <f t="shared" ref="I159:R159" ca="1" si="45">I134/I128</f>
        <v>0.20294573643410851</v>
      </c>
      <c r="J159" s="117">
        <f t="shared" ca="1" si="45"/>
        <v>0.20044573643410854</v>
      </c>
      <c r="K159" s="117">
        <f t="shared" ca="1" si="45"/>
        <v>0.19794573643410854</v>
      </c>
      <c r="L159" s="117">
        <f t="shared" ca="1" si="45"/>
        <v>0.19634573643410858</v>
      </c>
      <c r="M159" s="117">
        <f t="shared" ca="1" si="45"/>
        <v>0.19634573643410858</v>
      </c>
      <c r="N159" s="117">
        <f t="shared" ca="1" si="45"/>
        <v>0.20034573643410858</v>
      </c>
      <c r="O159" s="117">
        <f t="shared" ca="1" si="45"/>
        <v>0.20034573643410858</v>
      </c>
      <c r="P159" s="117">
        <f t="shared" ca="1" si="45"/>
        <v>0.20034573643410858</v>
      </c>
      <c r="Q159" s="117">
        <f t="shared" ca="1" si="45"/>
        <v>0.20034573643410858</v>
      </c>
      <c r="R159" s="117">
        <f t="shared" ca="1" si="45"/>
        <v>0.20034573643410858</v>
      </c>
    </row>
    <row r="160" spans="2:19">
      <c r="B160" s="120" t="s">
        <v>161</v>
      </c>
      <c r="C160" s="90"/>
      <c r="D160" s="90"/>
      <c r="E160" s="90"/>
      <c r="F160" s="115">
        <f>F146/F128</f>
        <v>5.4531160833311866E-2</v>
      </c>
      <c r="G160" s="115">
        <f>G146/G128</f>
        <v>3.2299741602067181E-2</v>
      </c>
      <c r="H160" s="116"/>
      <c r="I160" s="116">
        <f t="shared" ref="I160:R160" ca="1" si="46">I146/I128</f>
        <v>3.540051679586563E-2</v>
      </c>
      <c r="J160" s="116">
        <f t="shared" ca="1" si="46"/>
        <v>3.7984496124031007E-2</v>
      </c>
      <c r="K160" s="116">
        <f t="shared" ca="1" si="46"/>
        <v>3.9922480620155042E-2</v>
      </c>
      <c r="L160" s="116">
        <f t="shared" ca="1" si="46"/>
        <v>4.1214470284237727E-2</v>
      </c>
      <c r="M160" s="116">
        <f t="shared" ca="1" si="46"/>
        <v>4.2506459948320412E-2</v>
      </c>
      <c r="N160" s="116">
        <f t="shared" ca="1" si="46"/>
        <v>4.3798449612403104E-2</v>
      </c>
      <c r="O160" s="116">
        <f t="shared" ca="1" si="46"/>
        <v>4.5090439276485789E-2</v>
      </c>
      <c r="P160" s="116">
        <f t="shared" ca="1" si="46"/>
        <v>4.6382428940568474E-2</v>
      </c>
      <c r="Q160" s="116">
        <f t="shared" ca="1" si="46"/>
        <v>4.7674418604651166E-2</v>
      </c>
      <c r="R160" s="116">
        <f t="shared" ca="1" si="46"/>
        <v>4.8966408268733851E-2</v>
      </c>
    </row>
    <row r="161" spans="1:20">
      <c r="B161" s="120" t="s">
        <v>162</v>
      </c>
      <c r="C161" s="90"/>
      <c r="D161" s="90"/>
      <c r="E161" s="90"/>
      <c r="F161" s="115">
        <f>F147/F128</f>
        <v>0</v>
      </c>
      <c r="G161" s="115">
        <f>G147/G128</f>
        <v>0</v>
      </c>
      <c r="H161" s="116"/>
      <c r="I161" s="115">
        <f t="shared" ref="I161:R161" ca="1" si="47">I147/I128</f>
        <v>0</v>
      </c>
      <c r="J161" s="115">
        <f t="shared" ca="1" si="47"/>
        <v>0</v>
      </c>
      <c r="K161" s="115">
        <f t="shared" ca="1" si="47"/>
        <v>0</v>
      </c>
      <c r="L161" s="115">
        <f t="shared" ca="1" si="47"/>
        <v>0</v>
      </c>
      <c r="M161" s="115">
        <f t="shared" ca="1" si="47"/>
        <v>0</v>
      </c>
      <c r="N161" s="115">
        <f t="shared" ca="1" si="47"/>
        <v>0</v>
      </c>
      <c r="O161" s="115">
        <f t="shared" ca="1" si="47"/>
        <v>0</v>
      </c>
      <c r="P161" s="115">
        <f t="shared" ca="1" si="47"/>
        <v>0</v>
      </c>
      <c r="Q161" s="115">
        <f t="shared" ca="1" si="47"/>
        <v>0</v>
      </c>
      <c r="R161" s="115">
        <f t="shared" ca="1" si="47"/>
        <v>0</v>
      </c>
    </row>
    <row r="162" spans="1:20" ht="15">
      <c r="B162" s="12" t="s">
        <v>45</v>
      </c>
      <c r="C162" s="12"/>
      <c r="D162" s="12"/>
      <c r="E162" s="12"/>
      <c r="F162" s="117">
        <f>F149/F128</f>
        <v>0.23499082278895178</v>
      </c>
      <c r="G162" s="117">
        <f>G149/G128</f>
        <v>0.25193798449612403</v>
      </c>
      <c r="H162" s="117"/>
      <c r="I162" s="117">
        <f ca="1">I149/I128</f>
        <v>0.25540051679586562</v>
      </c>
      <c r="J162" s="117">
        <f t="shared" ref="J162:R162" ca="1" si="48">J149/J128</f>
        <v>0.25548449612403101</v>
      </c>
      <c r="K162" s="117">
        <f t="shared" ca="1" si="48"/>
        <v>0.25492248062015505</v>
      </c>
      <c r="L162" s="117">
        <f t="shared" ca="1" si="48"/>
        <v>0.25461447028423778</v>
      </c>
      <c r="M162" s="117">
        <f t="shared" ca="1" si="48"/>
        <v>0.25590645994832045</v>
      </c>
      <c r="N162" s="117">
        <f t="shared" ca="1" si="48"/>
        <v>0.26119844961240313</v>
      </c>
      <c r="O162" s="117">
        <f t="shared" ca="1" si="48"/>
        <v>0.2624904392764858</v>
      </c>
      <c r="P162" s="117">
        <f t="shared" ca="1" si="48"/>
        <v>0.26378242894056853</v>
      </c>
      <c r="Q162" s="117">
        <f t="shared" ca="1" si="48"/>
        <v>0.2650744186046512</v>
      </c>
      <c r="R162" s="117">
        <f t="shared" ca="1" si="48"/>
        <v>0.26636640826873387</v>
      </c>
    </row>
    <row r="163" spans="1:20">
      <c r="B163" s="120" t="s">
        <v>163</v>
      </c>
      <c r="C163" s="90"/>
      <c r="D163" s="90"/>
      <c r="E163" s="90"/>
      <c r="F163" s="115">
        <f>F141/F138</f>
        <v>0.45</v>
      </c>
      <c r="G163" s="115">
        <f>G141/G138</f>
        <v>0.45</v>
      </c>
      <c r="H163" s="115"/>
      <c r="I163" s="115">
        <f t="shared" ref="I163:R163" ca="1" si="49">I141/I138</f>
        <v>0</v>
      </c>
      <c r="J163" s="115">
        <f t="shared" ca="1" si="49"/>
        <v>0</v>
      </c>
      <c r="K163" s="115">
        <f t="shared" ca="1" si="49"/>
        <v>0</v>
      </c>
      <c r="L163" s="115">
        <f t="shared" ca="1" si="49"/>
        <v>0</v>
      </c>
      <c r="M163" s="115">
        <f t="shared" ca="1" si="49"/>
        <v>0</v>
      </c>
      <c r="N163" s="115">
        <f t="shared" ca="1" si="49"/>
        <v>0</v>
      </c>
      <c r="O163" s="115">
        <f t="shared" ca="1" si="49"/>
        <v>0</v>
      </c>
      <c r="P163" s="115">
        <f t="shared" ca="1" si="49"/>
        <v>0</v>
      </c>
      <c r="Q163" s="115">
        <f t="shared" ca="1" si="49"/>
        <v>0</v>
      </c>
      <c r="R163" s="115">
        <f t="shared" ca="1" si="49"/>
        <v>0</v>
      </c>
    </row>
    <row r="164" spans="1:20">
      <c r="B164" s="122" t="s">
        <v>164</v>
      </c>
      <c r="C164" s="122"/>
      <c r="D164" s="122"/>
      <c r="E164" s="122"/>
      <c r="F164" s="118">
        <f>F143/F128</f>
        <v>9.925281407560195E-2</v>
      </c>
      <c r="G164" s="118">
        <f>G143/G128</f>
        <v>0.12080103359173126</v>
      </c>
      <c r="H164" s="118"/>
      <c r="I164" s="118">
        <f t="shared" ref="I164:R164" ca="1" si="50">I143/I128</f>
        <v>0.10104224055803494</v>
      </c>
      <c r="J164" s="118">
        <f t="shared" ca="1" si="50"/>
        <v>0.10285791611181044</v>
      </c>
      <c r="K164" s="118">
        <f t="shared" ca="1" si="50"/>
        <v>0.10545841316203725</v>
      </c>
      <c r="L164" s="118">
        <f t="shared" ca="1" si="50"/>
        <v>0.10827621440564694</v>
      </c>
      <c r="M164" s="118">
        <f t="shared" ca="1" si="50"/>
        <v>0.10920525915792578</v>
      </c>
      <c r="N164" s="118">
        <f t="shared" ca="1" si="50"/>
        <v>0.1115697633885586</v>
      </c>
      <c r="O164" s="118">
        <f t="shared" ca="1" si="50"/>
        <v>0.11010657274472348</v>
      </c>
      <c r="P164" s="118">
        <f t="shared" ca="1" si="50"/>
        <v>0.10861512773400689</v>
      </c>
      <c r="Q164" s="118">
        <f t="shared" ca="1" si="50"/>
        <v>0.10709485756111833</v>
      </c>
      <c r="R164" s="118">
        <f t="shared" ca="1" si="50"/>
        <v>0.10554517989954926</v>
      </c>
    </row>
    <row r="166" spans="1:20" ht="15">
      <c r="A166" s="55" t="s">
        <v>51</v>
      </c>
      <c r="B166" s="42" t="s">
        <v>167</v>
      </c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125"/>
    </row>
    <row r="168" spans="1:20" ht="15.75" thickBot="1">
      <c r="B168" s="196"/>
      <c r="C168" s="196"/>
      <c r="D168" s="196"/>
      <c r="E168" s="196"/>
      <c r="F168" s="237">
        <f>F126</f>
        <v>42369</v>
      </c>
      <c r="G168" s="236">
        <f>G126</f>
        <v>42735</v>
      </c>
      <c r="H168" s="238">
        <f>H54</f>
        <v>42735</v>
      </c>
      <c r="I168" s="236">
        <f t="shared" ref="I168:R168" si="51">I126</f>
        <v>43100</v>
      </c>
      <c r="J168" s="236">
        <f t="shared" si="51"/>
        <v>43465</v>
      </c>
      <c r="K168" s="236">
        <f t="shared" si="51"/>
        <v>43830</v>
      </c>
      <c r="L168" s="236">
        <f t="shared" si="51"/>
        <v>44196</v>
      </c>
      <c r="M168" s="236">
        <f t="shared" si="51"/>
        <v>44561</v>
      </c>
      <c r="N168" s="236">
        <f t="shared" si="51"/>
        <v>44926</v>
      </c>
      <c r="O168" s="236">
        <f t="shared" si="51"/>
        <v>45291</v>
      </c>
      <c r="P168" s="236">
        <f t="shared" si="51"/>
        <v>45657</v>
      </c>
      <c r="Q168" s="236">
        <f t="shared" si="51"/>
        <v>46022</v>
      </c>
      <c r="R168" s="236">
        <f t="shared" si="51"/>
        <v>46387</v>
      </c>
    </row>
    <row r="169" spans="1:20"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</row>
    <row r="170" spans="1:20" ht="15">
      <c r="B170" s="12" t="s">
        <v>127</v>
      </c>
      <c r="C170" s="90"/>
      <c r="D170" s="90"/>
      <c r="E170" s="90"/>
      <c r="F170" s="90"/>
      <c r="G170" s="90"/>
      <c r="H170" s="122"/>
      <c r="I170" s="90"/>
      <c r="J170" s="90"/>
      <c r="K170" s="90"/>
      <c r="L170" s="90"/>
      <c r="M170" s="90"/>
      <c r="N170" s="90"/>
      <c r="O170" s="90"/>
      <c r="P170" s="90"/>
      <c r="Q170" s="90"/>
      <c r="R170" s="90"/>
    </row>
    <row r="171" spans="1:20">
      <c r="B171" s="92" t="s">
        <v>4</v>
      </c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</row>
    <row r="172" spans="1:20">
      <c r="B172" s="93" t="s">
        <v>108</v>
      </c>
      <c r="C172" s="90"/>
      <c r="D172" s="90"/>
      <c r="E172" s="90"/>
      <c r="F172" s="204">
        <f>'Balance Sheet'!E9</f>
        <v>0</v>
      </c>
      <c r="G172" s="204">
        <f>'Balance Sheet'!G9</f>
        <v>0</v>
      </c>
      <c r="H172" s="219">
        <f>J89</f>
        <v>0</v>
      </c>
      <c r="I172" s="219">
        <f ca="1">I273</f>
        <v>0</v>
      </c>
      <c r="J172" s="219">
        <f t="shared" ref="J172:R172" ca="1" si="52">J273</f>
        <v>0</v>
      </c>
      <c r="K172" s="219">
        <f t="shared" ca="1" si="52"/>
        <v>0</v>
      </c>
      <c r="L172" s="219">
        <f ca="1">L273</f>
        <v>0</v>
      </c>
      <c r="M172" s="219">
        <f t="shared" ca="1" si="52"/>
        <v>0</v>
      </c>
      <c r="N172" s="219">
        <f t="shared" ca="1" si="52"/>
        <v>0</v>
      </c>
      <c r="O172" s="219">
        <f t="shared" ca="1" si="52"/>
        <v>0</v>
      </c>
      <c r="P172" s="219">
        <f t="shared" ca="1" si="52"/>
        <v>0</v>
      </c>
      <c r="Q172" s="219">
        <f t="shared" ca="1" si="52"/>
        <v>0</v>
      </c>
      <c r="R172" s="219">
        <f t="shared" ca="1" si="52"/>
        <v>-3.0058799893595278E-10</v>
      </c>
    </row>
    <row r="173" spans="1:20">
      <c r="B173" s="93" t="s">
        <v>6</v>
      </c>
      <c r="C173" s="90"/>
      <c r="D173" s="90"/>
      <c r="E173" s="90"/>
      <c r="F173" s="204">
        <f>'Balance Sheet'!E10</f>
        <v>3000</v>
      </c>
      <c r="G173" s="204">
        <f>'Balance Sheet'!G10</f>
        <v>2750</v>
      </c>
      <c r="H173" s="219">
        <f>J90</f>
        <v>2750</v>
      </c>
      <c r="I173" s="219">
        <f ca="1">I213</f>
        <v>2650.6849315068494</v>
      </c>
      <c r="J173" s="219">
        <f t="shared" ref="J173:R173" ca="1" si="53">J213</f>
        <v>2650.6849315068494</v>
      </c>
      <c r="K173" s="219">
        <f t="shared" ca="1" si="53"/>
        <v>2650.6849315068494</v>
      </c>
      <c r="L173" s="219">
        <f t="shared" ca="1" si="53"/>
        <v>2650.6849315068494</v>
      </c>
      <c r="M173" s="219">
        <f t="shared" ca="1" si="53"/>
        <v>2650.6849315068494</v>
      </c>
      <c r="N173" s="219">
        <f t="shared" ca="1" si="53"/>
        <v>2650.6849315068494</v>
      </c>
      <c r="O173" s="219">
        <f t="shared" ca="1" si="53"/>
        <v>2650.6849315068494</v>
      </c>
      <c r="P173" s="219">
        <f t="shared" ca="1" si="53"/>
        <v>2650.6849315068494</v>
      </c>
      <c r="Q173" s="219">
        <f t="shared" ca="1" si="53"/>
        <v>2650.6849315068494</v>
      </c>
      <c r="R173" s="219">
        <f t="shared" ca="1" si="53"/>
        <v>2650.6849315068494</v>
      </c>
    </row>
    <row r="174" spans="1:20">
      <c r="B174" s="93" t="s">
        <v>388</v>
      </c>
      <c r="C174" s="90"/>
      <c r="D174" s="90"/>
      <c r="E174" s="90"/>
      <c r="F174" s="204">
        <f>'Balance Sheet'!E11</f>
        <v>2750</v>
      </c>
      <c r="G174" s="204">
        <f>'Balance Sheet'!G11</f>
        <v>2750</v>
      </c>
      <c r="H174" s="219">
        <f>J91</f>
        <v>2750</v>
      </c>
      <c r="I174" s="219">
        <f t="shared" ref="I174:R175" ca="1" si="54">I214</f>
        <v>2745.0892857142858</v>
      </c>
      <c r="J174" s="219">
        <f t="shared" ca="1" si="54"/>
        <v>2594.3578767123286</v>
      </c>
      <c r="K174" s="219">
        <f t="shared" ca="1" si="54"/>
        <v>2430.678082191781</v>
      </c>
      <c r="L174" s="219">
        <f t="shared" ca="1" si="54"/>
        <v>2262.5716438356162</v>
      </c>
      <c r="M174" s="219">
        <f t="shared" ca="1" si="54"/>
        <v>2262.5716438356162</v>
      </c>
      <c r="N174" s="219">
        <f t="shared" ca="1" si="54"/>
        <v>2262.5716438356162</v>
      </c>
      <c r="O174" s="219">
        <f t="shared" ca="1" si="54"/>
        <v>2262.5716438356162</v>
      </c>
      <c r="P174" s="219">
        <f t="shared" ca="1" si="54"/>
        <v>2262.5716438356162</v>
      </c>
      <c r="Q174" s="219">
        <f t="shared" ca="1" si="54"/>
        <v>2262.5716438356162</v>
      </c>
      <c r="R174" s="219">
        <f t="shared" ca="1" si="54"/>
        <v>2262.5716438356162</v>
      </c>
      <c r="T174" s="162"/>
    </row>
    <row r="175" spans="1:20">
      <c r="B175" s="93" t="s">
        <v>128</v>
      </c>
      <c r="C175" s="90"/>
      <c r="D175" s="90"/>
      <c r="E175" s="90"/>
      <c r="F175" s="204">
        <f>'Balance Sheet'!D12</f>
        <v>0</v>
      </c>
      <c r="G175" s="204">
        <f>'Balance Sheet'!E12</f>
        <v>0</v>
      </c>
      <c r="H175" s="219">
        <f>J92</f>
        <v>0</v>
      </c>
      <c r="I175" s="219">
        <f t="shared" ca="1" si="54"/>
        <v>0</v>
      </c>
      <c r="J175" s="219">
        <f t="shared" ca="1" si="54"/>
        <v>0</v>
      </c>
      <c r="K175" s="219">
        <f t="shared" ca="1" si="54"/>
        <v>0</v>
      </c>
      <c r="L175" s="219">
        <f t="shared" ca="1" si="54"/>
        <v>0</v>
      </c>
      <c r="M175" s="219">
        <f t="shared" ca="1" si="54"/>
        <v>0</v>
      </c>
      <c r="N175" s="219">
        <f t="shared" ca="1" si="54"/>
        <v>0</v>
      </c>
      <c r="O175" s="219">
        <f t="shared" ca="1" si="54"/>
        <v>0</v>
      </c>
      <c r="P175" s="219">
        <f t="shared" ca="1" si="54"/>
        <v>0</v>
      </c>
      <c r="Q175" s="219">
        <f t="shared" ca="1" si="54"/>
        <v>0</v>
      </c>
      <c r="R175" s="219">
        <f t="shared" ca="1" si="54"/>
        <v>0</v>
      </c>
    </row>
    <row r="176" spans="1:20">
      <c r="B176" s="94" t="s">
        <v>7</v>
      </c>
      <c r="C176" s="94"/>
      <c r="D176" s="94"/>
      <c r="E176" s="94"/>
      <c r="F176" s="205">
        <f t="shared" ref="F176:R176" si="55">SUM(F172:F175)</f>
        <v>5750</v>
      </c>
      <c r="G176" s="205">
        <f t="shared" si="55"/>
        <v>5500</v>
      </c>
      <c r="H176" s="205">
        <f t="shared" si="55"/>
        <v>5500</v>
      </c>
      <c r="I176" s="205">
        <f t="shared" ca="1" si="55"/>
        <v>5395.7742172211347</v>
      </c>
      <c r="J176" s="205">
        <f t="shared" ca="1" si="55"/>
        <v>5245.0428082191775</v>
      </c>
      <c r="K176" s="205">
        <f t="shared" ca="1" si="55"/>
        <v>5081.3630136986303</v>
      </c>
      <c r="L176" s="205">
        <f t="shared" ca="1" si="55"/>
        <v>4913.256575342466</v>
      </c>
      <c r="M176" s="205">
        <f t="shared" ca="1" si="55"/>
        <v>4913.256575342466</v>
      </c>
      <c r="N176" s="205">
        <f t="shared" ca="1" si="55"/>
        <v>4913.256575342466</v>
      </c>
      <c r="O176" s="205">
        <f t="shared" ca="1" si="55"/>
        <v>4913.256575342466</v>
      </c>
      <c r="P176" s="205">
        <f t="shared" ca="1" si="55"/>
        <v>4913.256575342466</v>
      </c>
      <c r="Q176" s="205">
        <f t="shared" ca="1" si="55"/>
        <v>4913.256575342466</v>
      </c>
      <c r="R176" s="205">
        <f t="shared" ca="1" si="55"/>
        <v>4913.256575342165</v>
      </c>
    </row>
    <row r="177" spans="2:18">
      <c r="B177" s="90"/>
      <c r="C177" s="90"/>
      <c r="D177" s="90"/>
      <c r="E177" s="90"/>
      <c r="F177" s="206"/>
      <c r="G177" s="206"/>
      <c r="H177" s="206"/>
      <c r="I177" s="206"/>
      <c r="J177" s="206"/>
      <c r="K177" s="206"/>
      <c r="L177" s="206"/>
      <c r="M177" s="206"/>
      <c r="N177" s="24"/>
      <c r="O177" s="24"/>
      <c r="P177" s="24"/>
      <c r="Q177" s="24"/>
      <c r="R177" s="24"/>
    </row>
    <row r="178" spans="2:18">
      <c r="B178" s="93" t="s">
        <v>129</v>
      </c>
      <c r="C178" s="90"/>
      <c r="D178" s="90"/>
      <c r="E178" s="90"/>
      <c r="F178" s="204">
        <f>'Balance Sheet'!E18</f>
        <v>3624</v>
      </c>
      <c r="G178" s="204">
        <f>'Balance Sheet'!G18</f>
        <v>3300</v>
      </c>
      <c r="H178" s="219">
        <f>J95</f>
        <v>6600</v>
      </c>
      <c r="I178" s="219">
        <f ca="1">I395</f>
        <v>6415</v>
      </c>
      <c r="J178" s="219">
        <f t="shared" ref="J178:R178" ca="1" si="56">J395</f>
        <v>6180</v>
      </c>
      <c r="K178" s="219">
        <f t="shared" ca="1" si="56"/>
        <v>5657.5</v>
      </c>
      <c r="L178" s="219">
        <f t="shared" ca="1" si="56"/>
        <v>5110</v>
      </c>
      <c r="M178" s="219">
        <f t="shared" ca="1" si="56"/>
        <v>4537.5</v>
      </c>
      <c r="N178" s="219">
        <f t="shared" ca="1" si="56"/>
        <v>3940</v>
      </c>
      <c r="O178" s="219">
        <f t="shared" ca="1" si="56"/>
        <v>3317.5</v>
      </c>
      <c r="P178" s="219">
        <f t="shared" ca="1" si="56"/>
        <v>2670</v>
      </c>
      <c r="Q178" s="219">
        <f t="shared" ca="1" si="56"/>
        <v>1997.5</v>
      </c>
      <c r="R178" s="219">
        <f t="shared" ca="1" si="56"/>
        <v>1300</v>
      </c>
    </row>
    <row r="179" spans="2:18">
      <c r="B179" s="93" t="s">
        <v>130</v>
      </c>
      <c r="C179" s="90"/>
      <c r="D179" s="90"/>
      <c r="E179" s="90"/>
      <c r="F179" s="207">
        <v>0</v>
      </c>
      <c r="G179" s="207">
        <v>0</v>
      </c>
      <c r="H179" s="219">
        <f ca="1">J96</f>
        <v>21740</v>
      </c>
      <c r="I179" s="219">
        <f ca="1">H179</f>
        <v>21740</v>
      </c>
      <c r="J179" s="219">
        <f t="shared" ref="J179:R179" ca="1" si="57">I179</f>
        <v>21740</v>
      </c>
      <c r="K179" s="219">
        <f t="shared" ca="1" si="57"/>
        <v>21740</v>
      </c>
      <c r="L179" s="219">
        <f t="shared" ca="1" si="57"/>
        <v>21740</v>
      </c>
      <c r="M179" s="219">
        <f t="shared" ca="1" si="57"/>
        <v>21740</v>
      </c>
      <c r="N179" s="219">
        <f t="shared" ca="1" si="57"/>
        <v>21740</v>
      </c>
      <c r="O179" s="219">
        <f t="shared" ca="1" si="57"/>
        <v>21740</v>
      </c>
      <c r="P179" s="219">
        <f t="shared" ca="1" si="57"/>
        <v>21740</v>
      </c>
      <c r="Q179" s="219">
        <f t="shared" ca="1" si="57"/>
        <v>21740</v>
      </c>
      <c r="R179" s="219">
        <f t="shared" ca="1" si="57"/>
        <v>21740</v>
      </c>
    </row>
    <row r="180" spans="2:18" hidden="1" outlineLevel="1">
      <c r="B180" s="93" t="s">
        <v>91</v>
      </c>
      <c r="C180" s="90"/>
      <c r="D180" s="90"/>
      <c r="E180" s="90"/>
      <c r="F180" s="207">
        <v>0</v>
      </c>
      <c r="G180" s="207">
        <v>0</v>
      </c>
      <c r="H180" s="219">
        <f>J97</f>
        <v>0</v>
      </c>
      <c r="I180" s="219">
        <f>H180</f>
        <v>0</v>
      </c>
      <c r="J180" s="219">
        <f t="shared" ref="J180:R180" si="58">I180</f>
        <v>0</v>
      </c>
      <c r="K180" s="219">
        <f t="shared" si="58"/>
        <v>0</v>
      </c>
      <c r="L180" s="219">
        <f t="shared" si="58"/>
        <v>0</v>
      </c>
      <c r="M180" s="219">
        <f t="shared" si="58"/>
        <v>0</v>
      </c>
      <c r="N180" s="219">
        <f t="shared" si="58"/>
        <v>0</v>
      </c>
      <c r="O180" s="219">
        <f t="shared" si="58"/>
        <v>0</v>
      </c>
      <c r="P180" s="219">
        <f t="shared" si="58"/>
        <v>0</v>
      </c>
      <c r="Q180" s="219">
        <f t="shared" si="58"/>
        <v>0</v>
      </c>
      <c r="R180" s="219">
        <f t="shared" si="58"/>
        <v>0</v>
      </c>
    </row>
    <row r="181" spans="2:18" collapsed="1">
      <c r="B181" s="93" t="s">
        <v>12</v>
      </c>
      <c r="C181" s="90"/>
      <c r="D181" s="90"/>
      <c r="E181" s="90"/>
      <c r="F181" s="204">
        <f>'Balance Sheet'!E22</f>
        <v>105</v>
      </c>
      <c r="G181" s="204">
        <f>'Balance Sheet'!G22</f>
        <v>105</v>
      </c>
      <c r="H181" s="219">
        <f>J98</f>
        <v>105</v>
      </c>
      <c r="I181" s="219">
        <f>H181</f>
        <v>105</v>
      </c>
      <c r="J181" s="219">
        <f t="shared" ref="J181:R181" si="59">I181</f>
        <v>105</v>
      </c>
      <c r="K181" s="219">
        <f t="shared" si="59"/>
        <v>105</v>
      </c>
      <c r="L181" s="219">
        <f t="shared" si="59"/>
        <v>105</v>
      </c>
      <c r="M181" s="219">
        <f t="shared" si="59"/>
        <v>105</v>
      </c>
      <c r="N181" s="219">
        <f t="shared" si="59"/>
        <v>105</v>
      </c>
      <c r="O181" s="219">
        <f t="shared" si="59"/>
        <v>105</v>
      </c>
      <c r="P181" s="219">
        <f t="shared" si="59"/>
        <v>105</v>
      </c>
      <c r="Q181" s="219">
        <f t="shared" si="59"/>
        <v>105</v>
      </c>
      <c r="R181" s="219">
        <f t="shared" si="59"/>
        <v>105</v>
      </c>
    </row>
    <row r="182" spans="2:18">
      <c r="B182" s="93" t="s">
        <v>168</v>
      </c>
      <c r="C182" s="90"/>
      <c r="D182" s="90"/>
      <c r="E182" s="90"/>
      <c r="F182" s="207">
        <v>0</v>
      </c>
      <c r="G182" s="207">
        <v>0</v>
      </c>
      <c r="H182" s="219">
        <f ca="1">J99</f>
        <v>475</v>
      </c>
      <c r="I182" s="219">
        <f ca="1">I330</f>
        <v>380</v>
      </c>
      <c r="J182" s="219">
        <f t="shared" ref="J182:R182" ca="1" si="60">J330</f>
        <v>285</v>
      </c>
      <c r="K182" s="219">
        <f t="shared" ca="1" si="60"/>
        <v>190</v>
      </c>
      <c r="L182" s="219">
        <f t="shared" ca="1" si="60"/>
        <v>95</v>
      </c>
      <c r="M182" s="219">
        <f t="shared" ca="1" si="60"/>
        <v>0</v>
      </c>
      <c r="N182" s="219">
        <f t="shared" ca="1" si="60"/>
        <v>0</v>
      </c>
      <c r="O182" s="219">
        <f t="shared" ca="1" si="60"/>
        <v>0</v>
      </c>
      <c r="P182" s="219">
        <f t="shared" ca="1" si="60"/>
        <v>0</v>
      </c>
      <c r="Q182" s="219">
        <f t="shared" ca="1" si="60"/>
        <v>0</v>
      </c>
      <c r="R182" s="219">
        <f t="shared" ca="1" si="60"/>
        <v>0</v>
      </c>
    </row>
    <row r="183" spans="2:18" ht="15">
      <c r="B183" s="81" t="s">
        <v>14</v>
      </c>
      <c r="C183" s="91"/>
      <c r="D183" s="91"/>
      <c r="E183" s="91"/>
      <c r="F183" s="208">
        <f>SUM(F176:F182)</f>
        <v>9479</v>
      </c>
      <c r="G183" s="208">
        <f>SUM(G176:G182)</f>
        <v>8905</v>
      </c>
      <c r="H183" s="208">
        <f ca="1">SUM(H176:H182)</f>
        <v>34420</v>
      </c>
      <c r="I183" s="208">
        <f t="shared" ref="I183:R183" ca="1" si="61">SUM(I176:I182)</f>
        <v>34035.774217221136</v>
      </c>
      <c r="J183" s="208">
        <f t="shared" ca="1" si="61"/>
        <v>33555.042808219179</v>
      </c>
      <c r="K183" s="208">
        <f t="shared" ca="1" si="61"/>
        <v>32773.863013698632</v>
      </c>
      <c r="L183" s="208">
        <f t="shared" ca="1" si="61"/>
        <v>31963.256575342464</v>
      </c>
      <c r="M183" s="229">
        <f t="shared" ca="1" si="61"/>
        <v>31295.756575342464</v>
      </c>
      <c r="N183" s="229">
        <f t="shared" ca="1" si="61"/>
        <v>30698.256575342464</v>
      </c>
      <c r="O183" s="229">
        <f t="shared" ca="1" si="61"/>
        <v>30075.756575342464</v>
      </c>
      <c r="P183" s="229">
        <f t="shared" ca="1" si="61"/>
        <v>29428.256575342464</v>
      </c>
      <c r="Q183" s="229">
        <f t="shared" ca="1" si="61"/>
        <v>28755.756575342464</v>
      </c>
      <c r="R183" s="229">
        <f t="shared" ca="1" si="61"/>
        <v>28058.256575342166</v>
      </c>
    </row>
    <row r="184" spans="2:18">
      <c r="B184" s="91"/>
      <c r="C184" s="91"/>
      <c r="D184" s="91"/>
      <c r="E184" s="91"/>
      <c r="F184" s="96"/>
      <c r="G184" s="96"/>
      <c r="H184" s="221"/>
      <c r="I184" s="96"/>
      <c r="J184" s="96"/>
      <c r="K184" s="96"/>
      <c r="L184" s="96"/>
      <c r="M184" s="95"/>
    </row>
    <row r="185" spans="2:18" ht="15">
      <c r="B185" s="12" t="s">
        <v>132</v>
      </c>
      <c r="C185" s="90"/>
      <c r="D185" s="90"/>
      <c r="E185" s="90"/>
      <c r="F185" s="95"/>
      <c r="G185" s="95"/>
      <c r="H185" s="206"/>
      <c r="I185" s="95"/>
      <c r="J185" s="95"/>
      <c r="K185" s="95"/>
      <c r="L185" s="95"/>
      <c r="M185" s="95"/>
      <c r="N185" s="95"/>
      <c r="O185" s="95"/>
      <c r="P185" s="95"/>
      <c r="Q185" s="95"/>
      <c r="R185" s="95"/>
    </row>
    <row r="186" spans="2:18">
      <c r="B186" s="91" t="s">
        <v>15</v>
      </c>
      <c r="C186" s="91"/>
      <c r="D186" s="91"/>
      <c r="E186" s="91"/>
      <c r="F186" s="96"/>
      <c r="G186" s="96"/>
      <c r="H186" s="221"/>
      <c r="I186" s="96"/>
      <c r="J186" s="96"/>
      <c r="K186" s="96"/>
      <c r="L186" s="96"/>
      <c r="M186" s="96"/>
      <c r="N186" s="96"/>
      <c r="O186" s="96"/>
      <c r="P186" s="96"/>
      <c r="Q186" s="96"/>
      <c r="R186" s="96"/>
    </row>
    <row r="187" spans="2:18">
      <c r="B187" s="93" t="s">
        <v>133</v>
      </c>
      <c r="C187" s="90"/>
      <c r="D187" s="90"/>
      <c r="E187" s="90"/>
      <c r="F187" s="213">
        <f>'Balance Sheet'!E27</f>
        <v>362</v>
      </c>
      <c r="G187" s="213">
        <f>'Balance Sheet'!G27</f>
        <v>300</v>
      </c>
      <c r="H187" s="219">
        <f>J104</f>
        <v>300</v>
      </c>
      <c r="I187" s="219">
        <f ca="1">I216</f>
        <v>344.58904109589042</v>
      </c>
      <c r="J187" s="219">
        <f t="shared" ref="J187:R187" ca="1" si="62">J216</f>
        <v>345.91438356164383</v>
      </c>
      <c r="K187" s="219">
        <f t="shared" ca="1" si="62"/>
        <v>347.23972602739724</v>
      </c>
      <c r="L187" s="219">
        <f t="shared" ca="1" si="62"/>
        <v>348.0879452054794</v>
      </c>
      <c r="M187" s="219">
        <f t="shared" ca="1" si="62"/>
        <v>348.0879452054794</v>
      </c>
      <c r="N187" s="219">
        <f t="shared" ca="1" si="62"/>
        <v>348.0879452054794</v>
      </c>
      <c r="O187" s="219">
        <f t="shared" ca="1" si="62"/>
        <v>348.0879452054794</v>
      </c>
      <c r="P187" s="219">
        <f t="shared" ca="1" si="62"/>
        <v>348.0879452054794</v>
      </c>
      <c r="Q187" s="219">
        <f t="shared" ca="1" si="62"/>
        <v>348.0879452054794</v>
      </c>
      <c r="R187" s="219">
        <f t="shared" ca="1" si="62"/>
        <v>348.0879452054794</v>
      </c>
    </row>
    <row r="188" spans="2:18">
      <c r="B188" s="93" t="s">
        <v>134</v>
      </c>
      <c r="C188" s="90"/>
      <c r="D188" s="90"/>
      <c r="E188" s="90"/>
      <c r="F188" s="213">
        <f>'Balance Sheet'!E28</f>
        <v>21</v>
      </c>
      <c r="G188" s="213">
        <f>'Balance Sheet'!G28</f>
        <v>20</v>
      </c>
      <c r="H188" s="219">
        <f>J105</f>
        <v>20</v>
      </c>
      <c r="I188" s="219">
        <f ca="1">I217</f>
        <v>96.75</v>
      </c>
      <c r="J188" s="219">
        <f t="shared" ref="J188:R188" ca="1" si="63">J217</f>
        <v>96.75</v>
      </c>
      <c r="K188" s="219">
        <f t="shared" ca="1" si="63"/>
        <v>96.75</v>
      </c>
      <c r="L188" s="219">
        <f t="shared" ca="1" si="63"/>
        <v>96.75</v>
      </c>
      <c r="M188" s="219">
        <f t="shared" ca="1" si="63"/>
        <v>96.75</v>
      </c>
      <c r="N188" s="219">
        <f t="shared" ca="1" si="63"/>
        <v>96.75</v>
      </c>
      <c r="O188" s="219">
        <f t="shared" ca="1" si="63"/>
        <v>96.75</v>
      </c>
      <c r="P188" s="219">
        <f t="shared" ca="1" si="63"/>
        <v>96.75</v>
      </c>
      <c r="Q188" s="219">
        <f t="shared" ca="1" si="63"/>
        <v>96.75</v>
      </c>
      <c r="R188" s="219">
        <f t="shared" ca="1" si="63"/>
        <v>96.75</v>
      </c>
    </row>
    <row r="189" spans="2:18">
      <c r="B189" s="94" t="s">
        <v>18</v>
      </c>
      <c r="C189" s="94"/>
      <c r="D189" s="94"/>
      <c r="E189" s="94"/>
      <c r="F189" s="210">
        <f>SUM(F187:F188)</f>
        <v>383</v>
      </c>
      <c r="G189" s="210">
        <f>SUM(G187:G188)</f>
        <v>320</v>
      </c>
      <c r="H189" s="205">
        <f>SUM(H187:H188)</f>
        <v>320</v>
      </c>
      <c r="I189" s="205">
        <f t="shared" ref="I189:R189" ca="1" si="64">SUM(I187:I188)</f>
        <v>441.33904109589042</v>
      </c>
      <c r="J189" s="205">
        <f t="shared" ca="1" si="64"/>
        <v>442.66438356164383</v>
      </c>
      <c r="K189" s="205">
        <f t="shared" ca="1" si="64"/>
        <v>443.98972602739724</v>
      </c>
      <c r="L189" s="205">
        <f t="shared" ca="1" si="64"/>
        <v>444.8379452054794</v>
      </c>
      <c r="M189" s="205">
        <f t="shared" ca="1" si="64"/>
        <v>444.8379452054794</v>
      </c>
      <c r="N189" s="205">
        <f t="shared" ca="1" si="64"/>
        <v>444.8379452054794</v>
      </c>
      <c r="O189" s="205">
        <f t="shared" ca="1" si="64"/>
        <v>444.8379452054794</v>
      </c>
      <c r="P189" s="205">
        <f t="shared" ca="1" si="64"/>
        <v>444.8379452054794</v>
      </c>
      <c r="Q189" s="205">
        <f t="shared" ca="1" si="64"/>
        <v>444.8379452054794</v>
      </c>
      <c r="R189" s="205">
        <f t="shared" ca="1" si="64"/>
        <v>444.8379452054794</v>
      </c>
    </row>
    <row r="190" spans="2:18">
      <c r="B190" s="90"/>
      <c r="C190" s="90"/>
      <c r="D190" s="90"/>
      <c r="E190" s="90"/>
      <c r="F190" s="211"/>
      <c r="G190" s="211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</row>
    <row r="191" spans="2:18">
      <c r="B191" s="90" t="s">
        <v>135</v>
      </c>
      <c r="C191" s="90"/>
      <c r="D191" s="90"/>
      <c r="E191" s="90"/>
      <c r="F191" s="211"/>
      <c r="G191" s="211"/>
      <c r="H191" s="206"/>
      <c r="I191" s="206"/>
      <c r="J191" s="206"/>
      <c r="K191" s="206"/>
      <c r="L191" s="206"/>
      <c r="M191" s="206"/>
      <c r="N191" s="24"/>
      <c r="O191" s="24"/>
      <c r="P191" s="24"/>
      <c r="Q191" s="24"/>
      <c r="R191" s="24"/>
    </row>
    <row r="192" spans="2:18">
      <c r="B192" s="93" t="s">
        <v>63</v>
      </c>
      <c r="C192" s="90"/>
      <c r="D192" s="90"/>
      <c r="E192" s="90"/>
      <c r="F192" s="209"/>
      <c r="G192" s="209"/>
      <c r="H192" s="219">
        <f ca="1">J109</f>
        <v>1000</v>
      </c>
      <c r="I192" s="219">
        <f ca="1">I291</f>
        <v>213.97561327569179</v>
      </c>
      <c r="J192" s="219">
        <f t="shared" ref="J192:R192" ca="1" si="65">J291</f>
        <v>0</v>
      </c>
      <c r="K192" s="219">
        <f t="shared" ca="1" si="65"/>
        <v>0</v>
      </c>
      <c r="L192" s="219">
        <f t="shared" ca="1" si="65"/>
        <v>0</v>
      </c>
      <c r="M192" s="219">
        <f t="shared" ca="1" si="65"/>
        <v>0</v>
      </c>
      <c r="N192" s="219">
        <f t="shared" ca="1" si="65"/>
        <v>0</v>
      </c>
      <c r="O192" s="219">
        <f t="shared" ca="1" si="65"/>
        <v>0</v>
      </c>
      <c r="P192" s="219">
        <f t="shared" ca="1" si="65"/>
        <v>0</v>
      </c>
      <c r="Q192" s="219">
        <f t="shared" ca="1" si="65"/>
        <v>0</v>
      </c>
      <c r="R192" s="219">
        <f t="shared" ca="1" si="65"/>
        <v>0</v>
      </c>
    </row>
    <row r="193" spans="1:18">
      <c r="B193" s="93" t="s">
        <v>143</v>
      </c>
      <c r="C193" s="90"/>
      <c r="D193" s="90"/>
      <c r="E193" s="90"/>
      <c r="F193" s="213">
        <f>'Balance Sheet'!E32</f>
        <v>0</v>
      </c>
      <c r="G193" s="213">
        <f>'Balance Sheet'!G32</f>
        <v>0</v>
      </c>
      <c r="H193" s="219">
        <f ca="1">J110</f>
        <v>8000</v>
      </c>
      <c r="I193" s="219">
        <f ca="1">I305</f>
        <v>6573.975613275692</v>
      </c>
      <c r="J193" s="219">
        <f t="shared" ref="J193:R193" ca="1" si="66">J305</f>
        <v>4426.9252327949753</v>
      </c>
      <c r="K193" s="219">
        <f t="shared" ca="1" si="66"/>
        <v>1809.1430028532513</v>
      </c>
      <c r="L193" s="219">
        <f t="shared" ca="1" si="66"/>
        <v>0</v>
      </c>
      <c r="M193" s="219">
        <f t="shared" ca="1" si="66"/>
        <v>0</v>
      </c>
      <c r="N193" s="219">
        <f t="shared" ca="1" si="66"/>
        <v>0</v>
      </c>
      <c r="O193" s="219">
        <f t="shared" ca="1" si="66"/>
        <v>0</v>
      </c>
      <c r="P193" s="219">
        <f t="shared" ca="1" si="66"/>
        <v>0</v>
      </c>
      <c r="Q193" s="219">
        <f t="shared" ca="1" si="66"/>
        <v>0</v>
      </c>
      <c r="R193" s="219">
        <f t="shared" ca="1" si="66"/>
        <v>0</v>
      </c>
    </row>
    <row r="194" spans="1:18">
      <c r="B194" s="93" t="s">
        <v>136</v>
      </c>
      <c r="C194" s="90"/>
      <c r="D194" s="90"/>
      <c r="E194" s="90"/>
      <c r="F194" s="209"/>
      <c r="G194" s="209"/>
      <c r="H194" s="219">
        <f ca="1">J111</f>
        <v>10000</v>
      </c>
      <c r="I194" s="219">
        <f ca="1">I316</f>
        <v>10202.020202020201</v>
      </c>
      <c r="J194" s="219">
        <f t="shared" ref="J194:R194" ca="1" si="67">J316</f>
        <v>10408.121620242831</v>
      </c>
      <c r="K194" s="219">
        <f t="shared" ca="1" si="67"/>
        <v>10618.386703480061</v>
      </c>
      <c r="L194" s="219">
        <f t="shared" ca="1" si="67"/>
        <v>10832.899566176628</v>
      </c>
      <c r="M194" s="219">
        <f t="shared" ca="1" si="67"/>
        <v>11051.746022058984</v>
      </c>
      <c r="N194" s="219">
        <f t="shared" ca="1" si="67"/>
        <v>11275.013618464216</v>
      </c>
      <c r="O194" s="219">
        <f t="shared" ca="1" si="67"/>
        <v>11502.791671362484</v>
      </c>
      <c r="P194" s="219">
        <f t="shared" ca="1" si="67"/>
        <v>11735.171301086979</v>
      </c>
      <c r="Q194" s="219">
        <f t="shared" ca="1" si="67"/>
        <v>11972.245468785706</v>
      </c>
      <c r="R194" s="219">
        <f t="shared" ca="1" si="67"/>
        <v>12214.109013609659</v>
      </c>
    </row>
    <row r="195" spans="1:18">
      <c r="B195" s="97" t="s">
        <v>66</v>
      </c>
      <c r="C195" s="94"/>
      <c r="D195" s="94"/>
      <c r="E195" s="94"/>
      <c r="F195" s="210">
        <f t="shared" ref="F195:R195" si="68">SUM(F192:F194)</f>
        <v>0</v>
      </c>
      <c r="G195" s="210">
        <f t="shared" si="68"/>
        <v>0</v>
      </c>
      <c r="H195" s="205">
        <f t="shared" ca="1" si="68"/>
        <v>19000</v>
      </c>
      <c r="I195" s="205">
        <f t="shared" ca="1" si="68"/>
        <v>16989.971428571585</v>
      </c>
      <c r="J195" s="205">
        <f t="shared" ca="1" si="68"/>
        <v>14835.046853037806</v>
      </c>
      <c r="K195" s="205">
        <f t="shared" ca="1" si="68"/>
        <v>12427.529706333313</v>
      </c>
      <c r="L195" s="205">
        <f t="shared" ca="1" si="68"/>
        <v>10832.899566176628</v>
      </c>
      <c r="M195" s="205">
        <f t="shared" ca="1" si="68"/>
        <v>11051.746022058984</v>
      </c>
      <c r="N195" s="205">
        <f t="shared" ca="1" si="68"/>
        <v>11275.013618464216</v>
      </c>
      <c r="O195" s="205">
        <f t="shared" ca="1" si="68"/>
        <v>11502.791671362484</v>
      </c>
      <c r="P195" s="205">
        <f t="shared" ca="1" si="68"/>
        <v>11735.171301086979</v>
      </c>
      <c r="Q195" s="205">
        <f t="shared" ca="1" si="68"/>
        <v>11972.245468785706</v>
      </c>
      <c r="R195" s="205">
        <f t="shared" ca="1" si="68"/>
        <v>12214.109013609659</v>
      </c>
    </row>
    <row r="196" spans="1:18">
      <c r="B196" s="90"/>
      <c r="C196" s="90"/>
      <c r="D196" s="90"/>
      <c r="E196" s="90"/>
      <c r="F196" s="211"/>
      <c r="G196" s="211"/>
      <c r="H196" s="206"/>
      <c r="I196" s="206"/>
      <c r="J196" s="206"/>
      <c r="K196" s="206"/>
      <c r="L196" s="206"/>
      <c r="M196" s="206"/>
      <c r="N196" s="24"/>
      <c r="O196" s="24"/>
      <c r="P196" s="24"/>
      <c r="Q196" s="24"/>
      <c r="R196" s="24"/>
    </row>
    <row r="197" spans="1:18" hidden="1" outlineLevel="1">
      <c r="B197" s="93" t="s">
        <v>137</v>
      </c>
      <c r="C197" s="90"/>
      <c r="D197" s="90"/>
      <c r="E197" s="90"/>
      <c r="F197" s="209">
        <v>0</v>
      </c>
      <c r="G197" s="213">
        <v>0</v>
      </c>
      <c r="H197" s="219">
        <f>J114</f>
        <v>0</v>
      </c>
      <c r="I197" s="254">
        <f>H197</f>
        <v>0</v>
      </c>
      <c r="J197" s="254">
        <f t="shared" ref="J197:R197" si="69">I197</f>
        <v>0</v>
      </c>
      <c r="K197" s="254">
        <f t="shared" si="69"/>
        <v>0</v>
      </c>
      <c r="L197" s="254">
        <f t="shared" si="69"/>
        <v>0</v>
      </c>
      <c r="M197" s="254">
        <f t="shared" si="69"/>
        <v>0</v>
      </c>
      <c r="N197" s="254">
        <f t="shared" si="69"/>
        <v>0</v>
      </c>
      <c r="O197" s="254">
        <f t="shared" si="69"/>
        <v>0</v>
      </c>
      <c r="P197" s="254">
        <f t="shared" si="69"/>
        <v>0</v>
      </c>
      <c r="Q197" s="254">
        <f t="shared" si="69"/>
        <v>0</v>
      </c>
      <c r="R197" s="254">
        <f t="shared" si="69"/>
        <v>0</v>
      </c>
    </row>
    <row r="198" spans="1:18" hidden="1" outlineLevel="1">
      <c r="B198" s="93" t="s">
        <v>154</v>
      </c>
      <c r="C198" s="90"/>
      <c r="D198" s="90"/>
      <c r="E198" s="90"/>
      <c r="F198" s="209">
        <v>0</v>
      </c>
      <c r="G198" s="213">
        <f>'Balance Sheet'!G35</f>
        <v>0</v>
      </c>
      <c r="H198" s="219">
        <f>J115</f>
        <v>0</v>
      </c>
      <c r="I198" s="254">
        <f t="shared" ref="I198:R198" si="70">H198+I142</f>
        <v>0</v>
      </c>
      <c r="J198" s="254">
        <f t="shared" si="70"/>
        <v>0</v>
      </c>
      <c r="K198" s="254">
        <f t="shared" si="70"/>
        <v>0</v>
      </c>
      <c r="L198" s="254">
        <f t="shared" si="70"/>
        <v>0</v>
      </c>
      <c r="M198" s="254">
        <f t="shared" si="70"/>
        <v>0</v>
      </c>
      <c r="N198" s="254">
        <f t="shared" si="70"/>
        <v>0</v>
      </c>
      <c r="O198" s="254">
        <f t="shared" si="70"/>
        <v>0</v>
      </c>
      <c r="P198" s="254">
        <f t="shared" si="70"/>
        <v>0</v>
      </c>
      <c r="Q198" s="254">
        <f t="shared" si="70"/>
        <v>0</v>
      </c>
      <c r="R198" s="254">
        <f t="shared" si="70"/>
        <v>0</v>
      </c>
    </row>
    <row r="199" spans="1:18" collapsed="1">
      <c r="B199" s="83" t="s">
        <v>139</v>
      </c>
      <c r="C199" s="91"/>
      <c r="D199" s="91"/>
      <c r="E199" s="91"/>
      <c r="F199" s="212">
        <f t="shared" ref="F199:R199" si="71">F189+F195+F197+F198</f>
        <v>383</v>
      </c>
      <c r="G199" s="212">
        <f t="shared" si="71"/>
        <v>320</v>
      </c>
      <c r="H199" s="222">
        <f t="shared" ca="1" si="71"/>
        <v>19320</v>
      </c>
      <c r="I199" s="222">
        <f t="shared" ca="1" si="71"/>
        <v>17431.310469667475</v>
      </c>
      <c r="J199" s="222">
        <f t="shared" ca="1" si="71"/>
        <v>15277.711236599449</v>
      </c>
      <c r="K199" s="222">
        <f t="shared" ca="1" si="71"/>
        <v>12871.51943236071</v>
      </c>
      <c r="L199" s="222">
        <f t="shared" ca="1" si="71"/>
        <v>11277.737511382107</v>
      </c>
      <c r="M199" s="222">
        <f t="shared" ca="1" si="71"/>
        <v>11496.583967264463</v>
      </c>
      <c r="N199" s="222">
        <f t="shared" ca="1" si="71"/>
        <v>11719.851563669696</v>
      </c>
      <c r="O199" s="222">
        <f t="shared" ca="1" si="71"/>
        <v>11947.629616567963</v>
      </c>
      <c r="P199" s="222">
        <f t="shared" ca="1" si="71"/>
        <v>12180.009246292459</v>
      </c>
      <c r="Q199" s="222">
        <f t="shared" ca="1" si="71"/>
        <v>12417.083413991186</v>
      </c>
      <c r="R199" s="222">
        <f t="shared" ca="1" si="71"/>
        <v>12658.946958815139</v>
      </c>
    </row>
    <row r="200" spans="1:18">
      <c r="B200" s="90"/>
      <c r="C200" s="90"/>
      <c r="D200" s="90"/>
      <c r="E200" s="90"/>
      <c r="F200" s="95"/>
      <c r="G200" s="95"/>
      <c r="H200" s="206"/>
      <c r="I200" s="206"/>
      <c r="J200" s="206"/>
      <c r="K200" s="206"/>
      <c r="L200" s="206"/>
      <c r="M200" s="206"/>
      <c r="N200" s="24"/>
      <c r="O200" s="24"/>
      <c r="P200" s="24"/>
      <c r="Q200" s="24"/>
      <c r="R200" s="24"/>
    </row>
    <row r="201" spans="1:18">
      <c r="B201" s="90" t="s">
        <v>140</v>
      </c>
      <c r="C201" s="90"/>
      <c r="D201" s="90"/>
      <c r="E201" s="90"/>
      <c r="F201" s="213">
        <f>'Balance Sheet'!E37</f>
        <v>9096</v>
      </c>
      <c r="G201" s="213">
        <f>'Balance Sheet'!G37</f>
        <v>8585</v>
      </c>
      <c r="H201" s="219">
        <f ca="1">J118</f>
        <v>15100</v>
      </c>
      <c r="I201" s="219">
        <f ca="1">I387</f>
        <v>16604.463747553662</v>
      </c>
      <c r="J201" s="219">
        <f t="shared" ref="J201:R201" ca="1" si="72">J387</f>
        <v>18277.331571619728</v>
      </c>
      <c r="K201" s="219">
        <f t="shared" ca="1" si="72"/>
        <v>19902.343581337922</v>
      </c>
      <c r="L201" s="219">
        <f t="shared" ca="1" si="72"/>
        <v>20685.519063960361</v>
      </c>
      <c r="M201" s="219">
        <f t="shared" ca="1" si="72"/>
        <v>19799.172608078006</v>
      </c>
      <c r="N201" s="219">
        <f t="shared" ca="1" si="72"/>
        <v>18978.405011672774</v>
      </c>
      <c r="O201" s="219">
        <f t="shared" ca="1" si="72"/>
        <v>18128.126958774508</v>
      </c>
      <c r="P201" s="219">
        <f t="shared" ca="1" si="72"/>
        <v>17248.247329050013</v>
      </c>
      <c r="Q201" s="219">
        <f t="shared" ca="1" si="72"/>
        <v>16338.673161351286</v>
      </c>
      <c r="R201" s="219">
        <f t="shared" ca="1" si="72"/>
        <v>15399.309616527036</v>
      </c>
    </row>
    <row r="202" spans="1:18">
      <c r="B202" s="98" t="s">
        <v>67</v>
      </c>
      <c r="C202" s="98"/>
      <c r="D202" s="98"/>
      <c r="E202" s="98"/>
      <c r="F202" s="214">
        <f>SUM(F201)</f>
        <v>9096</v>
      </c>
      <c r="G202" s="214">
        <f>SUM(G201)</f>
        <v>8585</v>
      </c>
      <c r="H202" s="223">
        <f ca="1">SUM(H201)</f>
        <v>15100</v>
      </c>
      <c r="I202" s="223">
        <f ca="1">SUM(I201)</f>
        <v>16604.463747553662</v>
      </c>
      <c r="J202" s="223">
        <f t="shared" ref="J202:R202" ca="1" si="73">SUM(J201)</f>
        <v>18277.331571619728</v>
      </c>
      <c r="K202" s="223">
        <f t="shared" ca="1" si="73"/>
        <v>19902.343581337922</v>
      </c>
      <c r="L202" s="223">
        <f t="shared" ca="1" si="73"/>
        <v>20685.519063960361</v>
      </c>
      <c r="M202" s="223">
        <f t="shared" ca="1" si="73"/>
        <v>19799.172608078006</v>
      </c>
      <c r="N202" s="223">
        <f t="shared" ca="1" si="73"/>
        <v>18978.405011672774</v>
      </c>
      <c r="O202" s="223">
        <f t="shared" ca="1" si="73"/>
        <v>18128.126958774508</v>
      </c>
      <c r="P202" s="223">
        <f t="shared" ca="1" si="73"/>
        <v>17248.247329050013</v>
      </c>
      <c r="Q202" s="223">
        <f t="shared" ca="1" si="73"/>
        <v>16338.673161351286</v>
      </c>
      <c r="R202" s="223">
        <f t="shared" ca="1" si="73"/>
        <v>15399.309616527036</v>
      </c>
    </row>
    <row r="203" spans="1:18" ht="15">
      <c r="B203" s="85" t="s">
        <v>141</v>
      </c>
      <c r="C203" s="91"/>
      <c r="D203" s="91"/>
      <c r="E203" s="91"/>
      <c r="F203" s="215">
        <f>F199+F202</f>
        <v>9479</v>
      </c>
      <c r="G203" s="215">
        <f>G199+G202</f>
        <v>8905</v>
      </c>
      <c r="H203" s="229">
        <f ca="1">H199+H202</f>
        <v>34420</v>
      </c>
      <c r="I203" s="229">
        <f ca="1">I199+I202</f>
        <v>34035.774217221136</v>
      </c>
      <c r="J203" s="229">
        <f t="shared" ref="J203:R203" ca="1" si="74">J199+J202</f>
        <v>33555.042808219179</v>
      </c>
      <c r="K203" s="229">
        <f t="shared" ca="1" si="74"/>
        <v>32773.863013698632</v>
      </c>
      <c r="L203" s="229">
        <f t="shared" ca="1" si="74"/>
        <v>31963.256575342468</v>
      </c>
      <c r="M203" s="229">
        <f t="shared" ca="1" si="74"/>
        <v>31295.756575342471</v>
      </c>
      <c r="N203" s="229">
        <f t="shared" ca="1" si="74"/>
        <v>30698.256575342471</v>
      </c>
      <c r="O203" s="229">
        <f t="shared" ca="1" si="74"/>
        <v>30075.756575342471</v>
      </c>
      <c r="P203" s="229">
        <f t="shared" ca="1" si="74"/>
        <v>29428.256575342471</v>
      </c>
      <c r="Q203" s="229">
        <f t="shared" ca="1" si="74"/>
        <v>28755.756575342471</v>
      </c>
      <c r="R203" s="229">
        <f t="shared" ca="1" si="74"/>
        <v>28058.256575342173</v>
      </c>
    </row>
    <row r="204" spans="1:18" ht="15">
      <c r="B204" s="86" t="s">
        <v>142</v>
      </c>
      <c r="C204" s="86"/>
      <c r="D204" s="87"/>
      <c r="E204" s="86"/>
      <c r="F204" s="88">
        <f t="shared" ref="F204:R204" si="75">ROUND(F183-F203,3)</f>
        <v>0</v>
      </c>
      <c r="G204" s="88">
        <f t="shared" si="75"/>
        <v>0</v>
      </c>
      <c r="H204" s="88">
        <f t="shared" ca="1" si="75"/>
        <v>0</v>
      </c>
      <c r="I204" s="88">
        <f ca="1">ROUND(I183-I203,3)</f>
        <v>0</v>
      </c>
      <c r="J204" s="88">
        <f t="shared" ca="1" si="75"/>
        <v>0</v>
      </c>
      <c r="K204" s="88">
        <f t="shared" ca="1" si="75"/>
        <v>0</v>
      </c>
      <c r="L204" s="88">
        <f t="shared" ca="1" si="75"/>
        <v>0</v>
      </c>
      <c r="M204" s="88">
        <f t="shared" ca="1" si="75"/>
        <v>0</v>
      </c>
      <c r="N204" s="88">
        <f t="shared" ca="1" si="75"/>
        <v>0</v>
      </c>
      <c r="O204" s="88">
        <f t="shared" ca="1" si="75"/>
        <v>0</v>
      </c>
      <c r="P204" s="88">
        <f t="shared" ca="1" si="75"/>
        <v>0</v>
      </c>
      <c r="Q204" s="88">
        <f t="shared" ca="1" si="75"/>
        <v>0</v>
      </c>
      <c r="R204" s="88">
        <f t="shared" ca="1" si="75"/>
        <v>0</v>
      </c>
    </row>
    <row r="206" spans="1:18" ht="15">
      <c r="A206" s="55" t="s">
        <v>51</v>
      </c>
      <c r="B206" s="42" t="s">
        <v>169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</row>
    <row r="208" spans="1:18" ht="15.75" thickBot="1">
      <c r="B208" s="196"/>
      <c r="C208" s="196"/>
      <c r="D208" s="196"/>
      <c r="E208" s="196"/>
      <c r="F208" s="196"/>
      <c r="G208" s="237">
        <f t="shared" ref="G208:R208" si="76">G168</f>
        <v>42735</v>
      </c>
      <c r="H208" s="238">
        <f t="shared" si="76"/>
        <v>42735</v>
      </c>
      <c r="I208" s="236">
        <f t="shared" si="76"/>
        <v>43100</v>
      </c>
      <c r="J208" s="236">
        <f t="shared" si="76"/>
        <v>43465</v>
      </c>
      <c r="K208" s="236">
        <f t="shared" si="76"/>
        <v>43830</v>
      </c>
      <c r="L208" s="236">
        <f t="shared" si="76"/>
        <v>44196</v>
      </c>
      <c r="M208" s="236">
        <f t="shared" si="76"/>
        <v>44561</v>
      </c>
      <c r="N208" s="236">
        <f t="shared" si="76"/>
        <v>44926</v>
      </c>
      <c r="O208" s="236">
        <f t="shared" si="76"/>
        <v>45291</v>
      </c>
      <c r="P208" s="236">
        <f t="shared" si="76"/>
        <v>45657</v>
      </c>
      <c r="Q208" s="236">
        <f t="shared" si="76"/>
        <v>46022</v>
      </c>
      <c r="R208" s="236">
        <f t="shared" si="76"/>
        <v>46387</v>
      </c>
    </row>
    <row r="209" spans="2:18"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</row>
    <row r="210" spans="2:18">
      <c r="B210" s="90" t="s">
        <v>24</v>
      </c>
      <c r="C210" s="90"/>
      <c r="D210" s="90"/>
      <c r="E210" s="90"/>
      <c r="F210" s="90"/>
      <c r="G210" s="219">
        <f>G128</f>
        <v>19350</v>
      </c>
      <c r="H210" s="230"/>
      <c r="I210" s="219">
        <f t="shared" ref="I210:R210" ca="1" si="77">I128</f>
        <v>19350</v>
      </c>
      <c r="J210" s="219">
        <f t="shared" ca="1" si="77"/>
        <v>19350</v>
      </c>
      <c r="K210" s="219">
        <f t="shared" ca="1" si="77"/>
        <v>19350</v>
      </c>
      <c r="L210" s="219">
        <f t="shared" ca="1" si="77"/>
        <v>19350</v>
      </c>
      <c r="M210" s="219">
        <f t="shared" ca="1" si="77"/>
        <v>19350</v>
      </c>
      <c r="N210" s="219">
        <f t="shared" ca="1" si="77"/>
        <v>19350</v>
      </c>
      <c r="O210" s="219">
        <f t="shared" ca="1" si="77"/>
        <v>19350</v>
      </c>
      <c r="P210" s="219">
        <f t="shared" ca="1" si="77"/>
        <v>19350</v>
      </c>
      <c r="Q210" s="219">
        <f t="shared" ca="1" si="77"/>
        <v>19350</v>
      </c>
      <c r="R210" s="219">
        <f t="shared" ca="1" si="77"/>
        <v>19350</v>
      </c>
    </row>
    <row r="211" spans="2:18">
      <c r="B211" s="90" t="s">
        <v>25</v>
      </c>
      <c r="C211" s="90"/>
      <c r="D211" s="90"/>
      <c r="E211" s="90"/>
      <c r="F211" s="90"/>
      <c r="G211" s="219">
        <f>G129</f>
        <v>12600</v>
      </c>
      <c r="H211" s="230"/>
      <c r="I211" s="219">
        <f t="shared" ref="I211:R211" ca="1" si="78">I129</f>
        <v>12577.5</v>
      </c>
      <c r="J211" s="219">
        <f t="shared" ca="1" si="78"/>
        <v>12625.875</v>
      </c>
      <c r="K211" s="219">
        <f t="shared" ca="1" si="78"/>
        <v>12674.25</v>
      </c>
      <c r="L211" s="219">
        <f t="shared" ca="1" si="78"/>
        <v>12705.21</v>
      </c>
      <c r="M211" s="219">
        <f t="shared" ca="1" si="78"/>
        <v>12705.21</v>
      </c>
      <c r="N211" s="219">
        <f t="shared" ca="1" si="78"/>
        <v>12705.21</v>
      </c>
      <c r="O211" s="219">
        <f t="shared" ca="1" si="78"/>
        <v>12705.21</v>
      </c>
      <c r="P211" s="219">
        <f t="shared" ca="1" si="78"/>
        <v>12705.21</v>
      </c>
      <c r="Q211" s="219">
        <f t="shared" ca="1" si="78"/>
        <v>12705.21</v>
      </c>
      <c r="R211" s="219">
        <f t="shared" ca="1" si="78"/>
        <v>12705.21</v>
      </c>
    </row>
    <row r="212" spans="2:18">
      <c r="B212" s="90"/>
      <c r="C212" s="90"/>
      <c r="D212" s="90"/>
      <c r="E212" s="90"/>
      <c r="F212" s="90"/>
      <c r="G212" s="206"/>
      <c r="H212" s="206"/>
      <c r="I212" s="206"/>
      <c r="J212" s="206"/>
      <c r="K212" s="206"/>
      <c r="L212" s="206"/>
      <c r="M212" s="206"/>
      <c r="N212" s="24"/>
      <c r="O212" s="24"/>
      <c r="P212" s="24"/>
      <c r="Q212" s="24"/>
      <c r="R212" s="24"/>
    </row>
    <row r="213" spans="2:18">
      <c r="B213" s="89" t="s">
        <v>6</v>
      </c>
      <c r="C213" s="90"/>
      <c r="D213" s="90"/>
      <c r="E213" s="90"/>
      <c r="F213" s="90"/>
      <c r="G213" s="219">
        <f>G173</f>
        <v>2750</v>
      </c>
      <c r="H213" s="219"/>
      <c r="I213" s="219">
        <f t="shared" ref="I213:R213" ca="1" si="79">I222*I210/I229</f>
        <v>2650.6849315068494</v>
      </c>
      <c r="J213" s="219">
        <f t="shared" ca="1" si="79"/>
        <v>2650.6849315068494</v>
      </c>
      <c r="K213" s="219">
        <f t="shared" ca="1" si="79"/>
        <v>2650.6849315068494</v>
      </c>
      <c r="L213" s="219">
        <f t="shared" ca="1" si="79"/>
        <v>2650.6849315068494</v>
      </c>
      <c r="M213" s="219">
        <f t="shared" ca="1" si="79"/>
        <v>2650.6849315068494</v>
      </c>
      <c r="N213" s="219">
        <f t="shared" ca="1" si="79"/>
        <v>2650.6849315068494</v>
      </c>
      <c r="O213" s="219">
        <f t="shared" ca="1" si="79"/>
        <v>2650.6849315068494</v>
      </c>
      <c r="P213" s="219">
        <f t="shared" ca="1" si="79"/>
        <v>2650.6849315068494</v>
      </c>
      <c r="Q213" s="219">
        <f t="shared" ca="1" si="79"/>
        <v>2650.6849315068494</v>
      </c>
      <c r="R213" s="219">
        <f t="shared" ca="1" si="79"/>
        <v>2650.6849315068494</v>
      </c>
    </row>
    <row r="214" spans="2:18">
      <c r="B214" s="351" t="s">
        <v>388</v>
      </c>
      <c r="C214" s="90"/>
      <c r="D214" s="90"/>
      <c r="E214" s="90"/>
      <c r="F214" s="90"/>
      <c r="G214" s="219">
        <f>G174</f>
        <v>2750</v>
      </c>
      <c r="H214" s="219"/>
      <c r="I214" s="219">
        <f t="shared" ref="I214:R214" ca="1" si="80">I223*I211/I229</f>
        <v>2745.0892857142858</v>
      </c>
      <c r="J214" s="219">
        <f t="shared" ca="1" si="80"/>
        <v>2594.3578767123286</v>
      </c>
      <c r="K214" s="219">
        <f t="shared" ca="1" si="80"/>
        <v>2430.678082191781</v>
      </c>
      <c r="L214" s="219">
        <f t="shared" ca="1" si="80"/>
        <v>2262.5716438356162</v>
      </c>
      <c r="M214" s="219">
        <f t="shared" ca="1" si="80"/>
        <v>2262.5716438356162</v>
      </c>
      <c r="N214" s="219">
        <f t="shared" ca="1" si="80"/>
        <v>2262.5716438356162</v>
      </c>
      <c r="O214" s="219">
        <f t="shared" ca="1" si="80"/>
        <v>2262.5716438356162</v>
      </c>
      <c r="P214" s="219">
        <f t="shared" ca="1" si="80"/>
        <v>2262.5716438356162</v>
      </c>
      <c r="Q214" s="219">
        <f t="shared" ca="1" si="80"/>
        <v>2262.5716438356162</v>
      </c>
      <c r="R214" s="219">
        <f t="shared" ca="1" si="80"/>
        <v>2262.5716438356162</v>
      </c>
    </row>
    <row r="215" spans="2:18">
      <c r="B215" s="89" t="s">
        <v>128</v>
      </c>
      <c r="C215" s="90"/>
      <c r="D215" s="90"/>
      <c r="E215" s="90"/>
      <c r="F215" s="90"/>
      <c r="G215" s="219">
        <f>G175</f>
        <v>0</v>
      </c>
      <c r="H215" s="219"/>
      <c r="I215" s="219">
        <f t="shared" ref="I215:R215" ca="1" si="81">I210*I225</f>
        <v>0</v>
      </c>
      <c r="J215" s="219">
        <f t="shared" ca="1" si="81"/>
        <v>0</v>
      </c>
      <c r="K215" s="219">
        <f t="shared" ca="1" si="81"/>
        <v>0</v>
      </c>
      <c r="L215" s="219">
        <f t="shared" ca="1" si="81"/>
        <v>0</v>
      </c>
      <c r="M215" s="219">
        <f t="shared" ca="1" si="81"/>
        <v>0</v>
      </c>
      <c r="N215" s="219">
        <f t="shared" ca="1" si="81"/>
        <v>0</v>
      </c>
      <c r="O215" s="219">
        <f t="shared" ca="1" si="81"/>
        <v>0</v>
      </c>
      <c r="P215" s="219">
        <f t="shared" ca="1" si="81"/>
        <v>0</v>
      </c>
      <c r="Q215" s="219">
        <f t="shared" ca="1" si="81"/>
        <v>0</v>
      </c>
      <c r="R215" s="219">
        <f t="shared" ca="1" si="81"/>
        <v>0</v>
      </c>
    </row>
    <row r="216" spans="2:18">
      <c r="B216" s="89" t="s">
        <v>133</v>
      </c>
      <c r="C216" s="90"/>
      <c r="D216" s="90"/>
      <c r="E216" s="90"/>
      <c r="F216" s="90"/>
      <c r="G216" s="219">
        <f>G187</f>
        <v>300</v>
      </c>
      <c r="H216" s="219"/>
      <c r="I216" s="219">
        <f t="shared" ref="I216:R216" ca="1" si="82">I226*I211/I229</f>
        <v>344.58904109589042</v>
      </c>
      <c r="J216" s="219">
        <f t="shared" ca="1" si="82"/>
        <v>345.91438356164383</v>
      </c>
      <c r="K216" s="219">
        <f t="shared" ca="1" si="82"/>
        <v>347.23972602739724</v>
      </c>
      <c r="L216" s="219">
        <f t="shared" ca="1" si="82"/>
        <v>348.0879452054794</v>
      </c>
      <c r="M216" s="219">
        <f t="shared" ca="1" si="82"/>
        <v>348.0879452054794</v>
      </c>
      <c r="N216" s="219">
        <f t="shared" ca="1" si="82"/>
        <v>348.0879452054794</v>
      </c>
      <c r="O216" s="219">
        <f t="shared" ca="1" si="82"/>
        <v>348.0879452054794</v>
      </c>
      <c r="P216" s="219">
        <f t="shared" ca="1" si="82"/>
        <v>348.0879452054794</v>
      </c>
      <c r="Q216" s="219">
        <f t="shared" ca="1" si="82"/>
        <v>348.0879452054794</v>
      </c>
      <c r="R216" s="219">
        <f t="shared" ca="1" si="82"/>
        <v>348.0879452054794</v>
      </c>
    </row>
    <row r="217" spans="2:18">
      <c r="B217" s="89" t="s">
        <v>134</v>
      </c>
      <c r="C217" s="90"/>
      <c r="D217" s="90"/>
      <c r="E217" s="90"/>
      <c r="F217" s="90"/>
      <c r="G217" s="219">
        <f>G188</f>
        <v>20</v>
      </c>
      <c r="H217" s="219"/>
      <c r="I217" s="219">
        <f t="shared" ref="I217:R217" ca="1" si="83">I210*I227</f>
        <v>96.75</v>
      </c>
      <c r="J217" s="219">
        <f t="shared" ca="1" si="83"/>
        <v>96.75</v>
      </c>
      <c r="K217" s="219">
        <f t="shared" ca="1" si="83"/>
        <v>96.75</v>
      </c>
      <c r="L217" s="219">
        <f t="shared" ca="1" si="83"/>
        <v>96.75</v>
      </c>
      <c r="M217" s="219">
        <f t="shared" ca="1" si="83"/>
        <v>96.75</v>
      </c>
      <c r="N217" s="219">
        <f t="shared" ca="1" si="83"/>
        <v>96.75</v>
      </c>
      <c r="O217" s="219">
        <f t="shared" ca="1" si="83"/>
        <v>96.75</v>
      </c>
      <c r="P217" s="219">
        <f t="shared" ca="1" si="83"/>
        <v>96.75</v>
      </c>
      <c r="Q217" s="219">
        <f t="shared" ca="1" si="83"/>
        <v>96.75</v>
      </c>
      <c r="R217" s="219">
        <f t="shared" ca="1" si="83"/>
        <v>96.75</v>
      </c>
    </row>
    <row r="218" spans="2:18">
      <c r="B218" s="89"/>
      <c r="C218" s="90"/>
      <c r="D218" s="90"/>
      <c r="E218" s="135"/>
      <c r="F218" s="135"/>
      <c r="G218" s="219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</row>
    <row r="219" spans="2:18">
      <c r="B219" s="129" t="s">
        <v>170</v>
      </c>
      <c r="C219" s="94"/>
      <c r="D219" s="94"/>
      <c r="E219" s="90"/>
      <c r="F219" s="90"/>
      <c r="G219" s="231">
        <f>G213+G214+G215-G216-G217</f>
        <v>5180</v>
      </c>
      <c r="H219" s="205"/>
      <c r="I219" s="231">
        <f t="shared" ref="I219:R219" ca="1" si="84">I213+I214+I215-I216-I217</f>
        <v>4954.4351761252447</v>
      </c>
      <c r="J219" s="231">
        <f t="shared" ca="1" si="84"/>
        <v>4802.3784246575333</v>
      </c>
      <c r="K219" s="231">
        <f t="shared" ca="1" si="84"/>
        <v>4637.3732876712329</v>
      </c>
      <c r="L219" s="231">
        <f t="shared" ca="1" si="84"/>
        <v>4468.4186301369864</v>
      </c>
      <c r="M219" s="231">
        <f t="shared" ca="1" si="84"/>
        <v>4468.4186301369864</v>
      </c>
      <c r="N219" s="231">
        <f t="shared" ca="1" si="84"/>
        <v>4468.4186301369864</v>
      </c>
      <c r="O219" s="231">
        <f t="shared" ca="1" si="84"/>
        <v>4468.4186301369864</v>
      </c>
      <c r="P219" s="231">
        <f t="shared" ca="1" si="84"/>
        <v>4468.4186301369864</v>
      </c>
      <c r="Q219" s="231">
        <f t="shared" ca="1" si="84"/>
        <v>4468.4186301369864</v>
      </c>
      <c r="R219" s="231">
        <f t="shared" ca="1" si="84"/>
        <v>4468.4186301369864</v>
      </c>
    </row>
    <row r="220" spans="2:18">
      <c r="B220" s="130" t="s">
        <v>171</v>
      </c>
      <c r="C220" s="135"/>
      <c r="D220" s="135"/>
      <c r="E220" s="135"/>
      <c r="F220" s="135"/>
      <c r="G220" s="131">
        <f>G219/G210</f>
        <v>0.26770025839793282</v>
      </c>
      <c r="H220" s="132"/>
      <c r="I220" s="131">
        <f t="shared" ref="I220:R220" ca="1" si="85">I219/I210</f>
        <v>0.25604316155686019</v>
      </c>
      <c r="J220" s="131">
        <f t="shared" ca="1" si="85"/>
        <v>0.24818493150684925</v>
      </c>
      <c r="K220" s="131">
        <f t="shared" ca="1" si="85"/>
        <v>0.23965753424657535</v>
      </c>
      <c r="L220" s="131">
        <f t="shared" ca="1" si="85"/>
        <v>0.23092602739726029</v>
      </c>
      <c r="M220" s="131">
        <f t="shared" ca="1" si="85"/>
        <v>0.23092602739726029</v>
      </c>
      <c r="N220" s="131">
        <f t="shared" ca="1" si="85"/>
        <v>0.23092602739726029</v>
      </c>
      <c r="O220" s="131">
        <f t="shared" ca="1" si="85"/>
        <v>0.23092602739726029</v>
      </c>
      <c r="P220" s="131">
        <f t="shared" ca="1" si="85"/>
        <v>0.23092602739726029</v>
      </c>
      <c r="Q220" s="131">
        <f t="shared" ca="1" si="85"/>
        <v>0.23092602739726029</v>
      </c>
      <c r="R220" s="131">
        <f t="shared" ca="1" si="85"/>
        <v>0.23092602739726029</v>
      </c>
    </row>
    <row r="221" spans="2:18">
      <c r="B221" s="89"/>
      <c r="C221" s="90"/>
      <c r="D221" s="90"/>
      <c r="E221" s="90"/>
      <c r="F221" s="90"/>
      <c r="G221" s="89"/>
      <c r="H221" s="90"/>
      <c r="I221" s="95"/>
      <c r="J221" s="95"/>
      <c r="K221" s="95"/>
      <c r="L221" s="95"/>
      <c r="M221" s="95"/>
    </row>
    <row r="222" spans="2:18">
      <c r="B222" s="89" t="s">
        <v>172</v>
      </c>
      <c r="C222" s="90"/>
      <c r="D222" s="90"/>
      <c r="E222" s="90"/>
      <c r="F222" s="90"/>
      <c r="G222" s="78">
        <f>G213/G210*G229</f>
        <v>51.873385012919897</v>
      </c>
      <c r="H222" s="78"/>
      <c r="I222" s="290">
        <v>50</v>
      </c>
      <c r="J222" s="78">
        <f>I222</f>
        <v>50</v>
      </c>
      <c r="K222" s="78">
        <f>J222</f>
        <v>50</v>
      </c>
      <c r="L222" s="78">
        <f t="shared" ref="L222:R222" si="86">K222</f>
        <v>50</v>
      </c>
      <c r="M222" s="78">
        <f t="shared" si="86"/>
        <v>50</v>
      </c>
      <c r="N222" s="78">
        <f t="shared" si="86"/>
        <v>50</v>
      </c>
      <c r="O222" s="78">
        <f t="shared" si="86"/>
        <v>50</v>
      </c>
      <c r="P222" s="78">
        <f t="shared" si="86"/>
        <v>50</v>
      </c>
      <c r="Q222" s="78">
        <f t="shared" si="86"/>
        <v>50</v>
      </c>
      <c r="R222" s="78">
        <f t="shared" si="86"/>
        <v>50</v>
      </c>
    </row>
    <row r="223" spans="2:18">
      <c r="B223" s="89" t="s">
        <v>391</v>
      </c>
      <c r="C223" s="90"/>
      <c r="D223" s="90"/>
      <c r="E223" s="90"/>
      <c r="F223" s="90"/>
      <c r="G223" s="78">
        <f>G214/G211*G229</f>
        <v>79.662698412698418</v>
      </c>
      <c r="H223" s="78"/>
      <c r="I223" s="290">
        <f>G223</f>
        <v>79.662698412698418</v>
      </c>
      <c r="J223" s="78">
        <v>75</v>
      </c>
      <c r="K223" s="78">
        <v>70</v>
      </c>
      <c r="L223" s="78">
        <v>65</v>
      </c>
      <c r="M223" s="78">
        <v>65</v>
      </c>
      <c r="N223" s="78">
        <v>65</v>
      </c>
      <c r="O223" s="78">
        <v>65</v>
      </c>
      <c r="P223" s="78">
        <v>65</v>
      </c>
      <c r="Q223" s="78">
        <v>65</v>
      </c>
      <c r="R223" s="78">
        <v>65</v>
      </c>
    </row>
    <row r="224" spans="2:18">
      <c r="B224" s="89" t="s">
        <v>173</v>
      </c>
      <c r="C224" s="90"/>
      <c r="D224" s="90"/>
      <c r="E224" s="90"/>
      <c r="F224" s="90"/>
      <c r="G224" s="136">
        <f>G211/G214</f>
        <v>4.581818181818182</v>
      </c>
      <c r="H224" s="136"/>
      <c r="I224" s="136">
        <f ca="1">I211/I214</f>
        <v>4.581818181818182</v>
      </c>
      <c r="J224" s="136">
        <f t="shared" ref="J224:R224" ca="1" si="87">J211/J214</f>
        <v>4.8666666666666671</v>
      </c>
      <c r="K224" s="136">
        <f t="shared" ca="1" si="87"/>
        <v>5.2142857142857144</v>
      </c>
      <c r="L224" s="136">
        <f t="shared" ca="1" si="87"/>
        <v>5.6153846153846159</v>
      </c>
      <c r="M224" s="136">
        <f t="shared" ca="1" si="87"/>
        <v>5.6153846153846159</v>
      </c>
      <c r="N224" s="136">
        <f t="shared" ca="1" si="87"/>
        <v>5.6153846153846159</v>
      </c>
      <c r="O224" s="136">
        <f t="shared" ca="1" si="87"/>
        <v>5.6153846153846159</v>
      </c>
      <c r="P224" s="136">
        <f t="shared" ca="1" si="87"/>
        <v>5.6153846153846159</v>
      </c>
      <c r="Q224" s="136">
        <f t="shared" ca="1" si="87"/>
        <v>5.6153846153846159</v>
      </c>
      <c r="R224" s="136">
        <f t="shared" ca="1" si="87"/>
        <v>5.6153846153846159</v>
      </c>
    </row>
    <row r="225" spans="1:18">
      <c r="B225" s="89" t="s">
        <v>177</v>
      </c>
      <c r="C225" s="90"/>
      <c r="D225" s="90"/>
      <c r="E225" s="90"/>
      <c r="F225" s="90"/>
      <c r="G225" s="133">
        <f>G215/G210</f>
        <v>0</v>
      </c>
      <c r="H225" s="133"/>
      <c r="I225" s="291">
        <f>G225</f>
        <v>0</v>
      </c>
      <c r="J225" s="133">
        <f t="shared" ref="J225:R227" si="88">I225</f>
        <v>0</v>
      </c>
      <c r="K225" s="133">
        <f t="shared" si="88"/>
        <v>0</v>
      </c>
      <c r="L225" s="133">
        <f t="shared" si="88"/>
        <v>0</v>
      </c>
      <c r="M225" s="133">
        <f t="shared" si="88"/>
        <v>0</v>
      </c>
      <c r="N225" s="133">
        <f t="shared" si="88"/>
        <v>0</v>
      </c>
      <c r="O225" s="133">
        <f t="shared" si="88"/>
        <v>0</v>
      </c>
      <c r="P225" s="133">
        <f t="shared" si="88"/>
        <v>0</v>
      </c>
      <c r="Q225" s="133">
        <f t="shared" si="88"/>
        <v>0</v>
      </c>
      <c r="R225" s="133">
        <f t="shared" si="88"/>
        <v>0</v>
      </c>
    </row>
    <row r="226" spans="1:18">
      <c r="B226" s="89" t="s">
        <v>174</v>
      </c>
      <c r="C226" s="90"/>
      <c r="D226" s="90"/>
      <c r="E226" s="90"/>
      <c r="F226" s="90"/>
      <c r="G226" s="78">
        <f>G216/G211*G229</f>
        <v>8.6904761904761898</v>
      </c>
      <c r="H226" s="78"/>
      <c r="I226" s="439">
        <v>10</v>
      </c>
      <c r="J226" s="80">
        <f>I226</f>
        <v>10</v>
      </c>
      <c r="K226" s="80">
        <f t="shared" si="88"/>
        <v>10</v>
      </c>
      <c r="L226" s="80">
        <f t="shared" si="88"/>
        <v>10</v>
      </c>
      <c r="M226" s="80">
        <f t="shared" si="88"/>
        <v>10</v>
      </c>
      <c r="N226" s="80">
        <f t="shared" si="88"/>
        <v>10</v>
      </c>
      <c r="O226" s="80">
        <f t="shared" si="88"/>
        <v>10</v>
      </c>
      <c r="P226" s="80">
        <f t="shared" si="88"/>
        <v>10</v>
      </c>
      <c r="Q226" s="80">
        <f t="shared" si="88"/>
        <v>10</v>
      </c>
      <c r="R226" s="80">
        <f t="shared" si="88"/>
        <v>10</v>
      </c>
    </row>
    <row r="227" spans="1:18">
      <c r="B227" s="89" t="s">
        <v>175</v>
      </c>
      <c r="C227" s="90"/>
      <c r="D227" s="90"/>
      <c r="E227" s="90"/>
      <c r="F227" s="90"/>
      <c r="G227" s="133">
        <f>G217/G210</f>
        <v>1.0335917312661498E-3</v>
      </c>
      <c r="H227" s="133"/>
      <c r="I227" s="184">
        <v>5.0000000000000001E-3</v>
      </c>
      <c r="J227" s="133">
        <f t="shared" si="88"/>
        <v>5.0000000000000001E-3</v>
      </c>
      <c r="K227" s="133">
        <f t="shared" si="88"/>
        <v>5.0000000000000001E-3</v>
      </c>
      <c r="L227" s="133">
        <f t="shared" si="88"/>
        <v>5.0000000000000001E-3</v>
      </c>
      <c r="M227" s="133">
        <f t="shared" si="88"/>
        <v>5.0000000000000001E-3</v>
      </c>
      <c r="N227" s="133">
        <f t="shared" si="88"/>
        <v>5.0000000000000001E-3</v>
      </c>
      <c r="O227" s="133">
        <f t="shared" si="88"/>
        <v>5.0000000000000001E-3</v>
      </c>
      <c r="P227" s="133">
        <f t="shared" si="88"/>
        <v>5.0000000000000001E-3</v>
      </c>
      <c r="Q227" s="133">
        <f t="shared" si="88"/>
        <v>5.0000000000000001E-3</v>
      </c>
      <c r="R227" s="133">
        <f t="shared" si="88"/>
        <v>5.0000000000000001E-3</v>
      </c>
    </row>
    <row r="228" spans="1:18">
      <c r="B228" s="89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</row>
    <row r="229" spans="1:18">
      <c r="B229" s="89" t="s">
        <v>176</v>
      </c>
      <c r="C229" s="90"/>
      <c r="D229" s="90"/>
      <c r="E229" s="90"/>
      <c r="F229" s="90"/>
      <c r="G229" s="203">
        <v>365</v>
      </c>
      <c r="H229" s="232">
        <f>G229</f>
        <v>365</v>
      </c>
      <c r="I229" s="232">
        <f t="shared" ref="I229:R229" si="89">H229</f>
        <v>365</v>
      </c>
      <c r="J229" s="232">
        <f t="shared" si="89"/>
        <v>365</v>
      </c>
      <c r="K229" s="232">
        <f t="shared" si="89"/>
        <v>365</v>
      </c>
      <c r="L229" s="232">
        <f t="shared" si="89"/>
        <v>365</v>
      </c>
      <c r="M229" s="232">
        <f t="shared" si="89"/>
        <v>365</v>
      </c>
      <c r="N229" s="232">
        <f t="shared" si="89"/>
        <v>365</v>
      </c>
      <c r="O229" s="232">
        <f t="shared" si="89"/>
        <v>365</v>
      </c>
      <c r="P229" s="232">
        <f t="shared" si="89"/>
        <v>365</v>
      </c>
      <c r="Q229" s="232">
        <f t="shared" si="89"/>
        <v>365</v>
      </c>
      <c r="R229" s="232">
        <f t="shared" si="89"/>
        <v>365</v>
      </c>
    </row>
    <row r="230" spans="1:18" ht="4.9000000000000004" customHeight="1">
      <c r="B230" s="134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</row>
    <row r="232" spans="1:18" ht="15">
      <c r="A232" s="55" t="s">
        <v>51</v>
      </c>
      <c r="B232" s="42" t="s">
        <v>178</v>
      </c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</row>
    <row r="234" spans="1:18" ht="15.75" thickBot="1">
      <c r="B234" s="193"/>
      <c r="C234" s="192"/>
      <c r="D234" s="192"/>
      <c r="E234" s="192"/>
      <c r="F234" s="192"/>
      <c r="G234" s="44"/>
      <c r="H234" s="44"/>
      <c r="I234" s="236">
        <f t="shared" ref="I234:R234" si="90">I208</f>
        <v>43100</v>
      </c>
      <c r="J234" s="236">
        <f t="shared" si="90"/>
        <v>43465</v>
      </c>
      <c r="K234" s="236">
        <f t="shared" si="90"/>
        <v>43830</v>
      </c>
      <c r="L234" s="236">
        <f t="shared" si="90"/>
        <v>44196</v>
      </c>
      <c r="M234" s="236">
        <f t="shared" si="90"/>
        <v>44561</v>
      </c>
      <c r="N234" s="236">
        <f t="shared" si="90"/>
        <v>44926</v>
      </c>
      <c r="O234" s="236">
        <f t="shared" si="90"/>
        <v>45291</v>
      </c>
      <c r="P234" s="236">
        <f t="shared" si="90"/>
        <v>45657</v>
      </c>
      <c r="Q234" s="236">
        <f t="shared" si="90"/>
        <v>46022</v>
      </c>
      <c r="R234" s="236">
        <f t="shared" si="90"/>
        <v>46387</v>
      </c>
    </row>
    <row r="235" spans="1:18">
      <c r="B235" s="90"/>
      <c r="C235" s="90"/>
      <c r="D235" s="90"/>
      <c r="E235" s="90"/>
      <c r="F235" s="90"/>
      <c r="G235" s="90"/>
      <c r="H235" s="90"/>
      <c r="I235" s="91"/>
      <c r="J235" s="91"/>
      <c r="K235" s="91"/>
      <c r="L235" s="91"/>
      <c r="M235" s="91"/>
    </row>
    <row r="236" spans="1:18" ht="15">
      <c r="B236" s="12" t="s">
        <v>179</v>
      </c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</row>
    <row r="237" spans="1:18">
      <c r="B237" s="90" t="s">
        <v>155</v>
      </c>
      <c r="C237" s="90"/>
      <c r="D237" s="90"/>
      <c r="E237" s="90"/>
      <c r="F237" s="90"/>
      <c r="G237" s="90"/>
      <c r="H237" s="126"/>
      <c r="I237" s="219">
        <f t="shared" ref="I237:R237" ca="1" si="91">I143</f>
        <v>1955.1673547979763</v>
      </c>
      <c r="J237" s="219">
        <f t="shared" ca="1" si="91"/>
        <v>1990.300676763532</v>
      </c>
      <c r="K237" s="219">
        <f t="shared" ca="1" si="91"/>
        <v>2040.6202946854207</v>
      </c>
      <c r="L237" s="219">
        <f t="shared" ca="1" si="91"/>
        <v>2095.1447487492683</v>
      </c>
      <c r="M237" s="219">
        <f t="shared" ca="1" si="91"/>
        <v>2113.1217647058638</v>
      </c>
      <c r="N237" s="219">
        <f t="shared" ca="1" si="91"/>
        <v>2158.8749215686089</v>
      </c>
      <c r="O237" s="219">
        <f t="shared" ca="1" si="91"/>
        <v>2130.5621826103993</v>
      </c>
      <c r="P237" s="219">
        <f t="shared" ca="1" si="91"/>
        <v>2101.7027216530332</v>
      </c>
      <c r="Q237" s="219">
        <f t="shared" ca="1" si="91"/>
        <v>2072.2854938076398</v>
      </c>
      <c r="R237" s="219">
        <f t="shared" ca="1" si="91"/>
        <v>2042.2992310562781</v>
      </c>
    </row>
    <row r="238" spans="1:18" hidden="1" outlineLevel="1">
      <c r="B238" s="90" t="s">
        <v>138</v>
      </c>
      <c r="C238" s="90"/>
      <c r="D238" s="90"/>
      <c r="E238" s="90"/>
      <c r="F238" s="90"/>
      <c r="G238" s="90"/>
      <c r="H238" s="126"/>
      <c r="I238" s="219">
        <f t="shared" ref="I238:R238" si="92">I198-H198</f>
        <v>0</v>
      </c>
      <c r="J238" s="219">
        <f t="shared" si="92"/>
        <v>0</v>
      </c>
      <c r="K238" s="219">
        <f t="shared" si="92"/>
        <v>0</v>
      </c>
      <c r="L238" s="219">
        <f t="shared" si="92"/>
        <v>0</v>
      </c>
      <c r="M238" s="219">
        <f t="shared" si="92"/>
        <v>0</v>
      </c>
      <c r="N238" s="219">
        <f t="shared" si="92"/>
        <v>0</v>
      </c>
      <c r="O238" s="219">
        <f t="shared" si="92"/>
        <v>0</v>
      </c>
      <c r="P238" s="219">
        <f t="shared" si="92"/>
        <v>0</v>
      </c>
      <c r="Q238" s="219">
        <f t="shared" si="92"/>
        <v>0</v>
      </c>
      <c r="R238" s="219">
        <f t="shared" si="92"/>
        <v>0</v>
      </c>
    </row>
    <row r="239" spans="1:18" collapsed="1">
      <c r="B239" s="90" t="s">
        <v>38</v>
      </c>
      <c r="C239" s="90"/>
      <c r="D239" s="90"/>
      <c r="E239" s="90"/>
      <c r="F239" s="90"/>
      <c r="G239" s="90"/>
      <c r="H239" s="126"/>
      <c r="I239" s="219">
        <f t="shared" ref="I239:R239" ca="1" si="93">I146</f>
        <v>685</v>
      </c>
      <c r="J239" s="219">
        <f t="shared" ca="1" si="93"/>
        <v>735</v>
      </c>
      <c r="K239" s="219">
        <f t="shared" ca="1" si="93"/>
        <v>772.5</v>
      </c>
      <c r="L239" s="219">
        <f t="shared" ca="1" si="93"/>
        <v>797.5</v>
      </c>
      <c r="M239" s="219">
        <f t="shared" ca="1" si="93"/>
        <v>822.5</v>
      </c>
      <c r="N239" s="219">
        <f t="shared" ca="1" si="93"/>
        <v>847.5</v>
      </c>
      <c r="O239" s="219">
        <f t="shared" ca="1" si="93"/>
        <v>872.5</v>
      </c>
      <c r="P239" s="219">
        <f t="shared" ca="1" si="93"/>
        <v>897.5</v>
      </c>
      <c r="Q239" s="219">
        <f t="shared" ca="1" si="93"/>
        <v>922.5</v>
      </c>
      <c r="R239" s="219">
        <f t="shared" ca="1" si="93"/>
        <v>947.5</v>
      </c>
    </row>
    <row r="240" spans="1:18" hidden="1" outlineLevel="1">
      <c r="B240" s="90" t="s">
        <v>156</v>
      </c>
      <c r="C240" s="90"/>
      <c r="D240" s="90"/>
      <c r="E240" s="90"/>
      <c r="F240" s="90"/>
      <c r="G240" s="90"/>
      <c r="H240" s="126"/>
      <c r="I240" s="219">
        <f t="shared" ref="I240:R240" si="94">I147</f>
        <v>0</v>
      </c>
      <c r="J240" s="219">
        <f t="shared" si="94"/>
        <v>0</v>
      </c>
      <c r="K240" s="219">
        <f t="shared" si="94"/>
        <v>0</v>
      </c>
      <c r="L240" s="219">
        <f t="shared" si="94"/>
        <v>0</v>
      </c>
      <c r="M240" s="219">
        <f t="shared" si="94"/>
        <v>0</v>
      </c>
      <c r="N240" s="219">
        <f t="shared" si="94"/>
        <v>0</v>
      </c>
      <c r="O240" s="219">
        <f t="shared" si="94"/>
        <v>0</v>
      </c>
      <c r="P240" s="219">
        <f t="shared" si="94"/>
        <v>0</v>
      </c>
      <c r="Q240" s="219">
        <f t="shared" si="94"/>
        <v>0</v>
      </c>
      <c r="R240" s="219">
        <f t="shared" si="94"/>
        <v>0</v>
      </c>
    </row>
    <row r="241" spans="2:18" hidden="1" outlineLevel="1">
      <c r="B241" s="90" t="s">
        <v>270</v>
      </c>
      <c r="C241" s="90"/>
      <c r="D241" s="90"/>
      <c r="E241" s="90"/>
      <c r="F241" s="90"/>
      <c r="G241" s="90"/>
      <c r="H241" s="126"/>
      <c r="I241" s="219">
        <f>I355</f>
        <v>0</v>
      </c>
      <c r="J241" s="219">
        <f t="shared" ref="J241:R241" si="95">J355</f>
        <v>0</v>
      </c>
      <c r="K241" s="219">
        <f t="shared" si="95"/>
        <v>0</v>
      </c>
      <c r="L241" s="219">
        <f t="shared" si="95"/>
        <v>0</v>
      </c>
      <c r="M241" s="219">
        <f t="shared" si="95"/>
        <v>0</v>
      </c>
      <c r="N241" s="219">
        <f t="shared" si="95"/>
        <v>0</v>
      </c>
      <c r="O241" s="219">
        <f t="shared" si="95"/>
        <v>0</v>
      </c>
      <c r="P241" s="219">
        <f t="shared" si="95"/>
        <v>0</v>
      </c>
      <c r="Q241" s="219">
        <f t="shared" si="95"/>
        <v>0</v>
      </c>
      <c r="R241" s="219">
        <f t="shared" si="95"/>
        <v>0</v>
      </c>
    </row>
    <row r="242" spans="2:18" collapsed="1">
      <c r="B242" s="90" t="s">
        <v>180</v>
      </c>
      <c r="C242" s="90"/>
      <c r="D242" s="90"/>
      <c r="E242" s="90"/>
      <c r="F242" s="90"/>
      <c r="G242" s="95"/>
      <c r="H242" s="126"/>
      <c r="I242" s="219">
        <f ca="1">I357</f>
        <v>202.02020202020202</v>
      </c>
      <c r="J242" s="219">
        <f t="shared" ref="J242:R242" ca="1" si="96">J357</f>
        <v>206.10141822263031</v>
      </c>
      <c r="K242" s="219">
        <f t="shared" ca="1" si="96"/>
        <v>210.26508323722891</v>
      </c>
      <c r="L242" s="219">
        <f t="shared" ca="1" si="96"/>
        <v>214.51286269656688</v>
      </c>
      <c r="M242" s="219">
        <f t="shared" ca="1" si="96"/>
        <v>218.84645588235611</v>
      </c>
      <c r="N242" s="219">
        <f t="shared" ca="1" si="96"/>
        <v>223.26759640523201</v>
      </c>
      <c r="O242" s="219">
        <f t="shared" ca="1" si="96"/>
        <v>227.77805289826699</v>
      </c>
      <c r="P242" s="219">
        <f t="shared" ca="1" si="96"/>
        <v>232.37962972449463</v>
      </c>
      <c r="Q242" s="219">
        <f t="shared" ca="1" si="96"/>
        <v>237.07416769872685</v>
      </c>
      <c r="R242" s="219">
        <f t="shared" ca="1" si="96"/>
        <v>241.86354482395365</v>
      </c>
    </row>
    <row r="243" spans="2:18">
      <c r="B243" s="120" t="s">
        <v>181</v>
      </c>
      <c r="C243" s="90"/>
      <c r="D243" s="90"/>
      <c r="E243" s="90"/>
      <c r="F243" s="90"/>
      <c r="G243" s="90"/>
      <c r="H243" s="126"/>
      <c r="I243" s="219">
        <f ca="1">-I329</f>
        <v>95</v>
      </c>
      <c r="J243" s="219">
        <f t="shared" ref="J243:R243" ca="1" si="97">-J329</f>
        <v>95</v>
      </c>
      <c r="K243" s="219">
        <f t="shared" ca="1" si="97"/>
        <v>95</v>
      </c>
      <c r="L243" s="219">
        <f t="shared" ca="1" si="97"/>
        <v>95</v>
      </c>
      <c r="M243" s="219">
        <f t="shared" ca="1" si="97"/>
        <v>95</v>
      </c>
      <c r="N243" s="219">
        <f t="shared" ca="1" si="97"/>
        <v>0</v>
      </c>
      <c r="O243" s="219">
        <f t="shared" ca="1" si="97"/>
        <v>0</v>
      </c>
      <c r="P243" s="219">
        <f t="shared" ca="1" si="97"/>
        <v>0</v>
      </c>
      <c r="Q243" s="219">
        <f t="shared" ca="1" si="97"/>
        <v>0</v>
      </c>
      <c r="R243" s="219">
        <f t="shared" ca="1" si="97"/>
        <v>0</v>
      </c>
    </row>
    <row r="244" spans="2:18">
      <c r="B244" s="94" t="s">
        <v>182</v>
      </c>
      <c r="C244" s="94"/>
      <c r="D244" s="94"/>
      <c r="E244" s="94"/>
      <c r="F244" s="94"/>
      <c r="G244" s="94"/>
      <c r="H244" s="79"/>
      <c r="I244" s="205">
        <f t="shared" ref="I244:R244" ca="1" si="98">SUM(I237:I243)</f>
        <v>2937.1875568181781</v>
      </c>
      <c r="J244" s="205">
        <f t="shared" ca="1" si="98"/>
        <v>3026.4020949861624</v>
      </c>
      <c r="K244" s="205">
        <f t="shared" ca="1" si="98"/>
        <v>3118.3853779226497</v>
      </c>
      <c r="L244" s="205">
        <f t="shared" ca="1" si="98"/>
        <v>3202.1576114458353</v>
      </c>
      <c r="M244" s="205">
        <f t="shared" ca="1" si="98"/>
        <v>3249.46822058822</v>
      </c>
      <c r="N244" s="205">
        <f t="shared" ca="1" si="98"/>
        <v>3229.6425179738408</v>
      </c>
      <c r="O244" s="205">
        <f t="shared" ca="1" si="98"/>
        <v>3230.8402355086664</v>
      </c>
      <c r="P244" s="205">
        <f t="shared" ca="1" si="98"/>
        <v>3231.5823513775276</v>
      </c>
      <c r="Q244" s="205">
        <f t="shared" ca="1" si="98"/>
        <v>3231.8596615063666</v>
      </c>
      <c r="R244" s="205">
        <f t="shared" ca="1" si="98"/>
        <v>3231.6627758802319</v>
      </c>
    </row>
    <row r="245" spans="2:18">
      <c r="B245" s="90"/>
      <c r="C245" s="90"/>
      <c r="D245" s="90"/>
      <c r="E245" s="90"/>
      <c r="F245" s="90"/>
      <c r="G245" s="90"/>
      <c r="H245" s="90"/>
      <c r="I245" s="206"/>
      <c r="J245" s="206"/>
      <c r="K245" s="206"/>
      <c r="L245" s="206"/>
      <c r="M245" s="206"/>
      <c r="N245" s="24"/>
      <c r="O245" s="24"/>
      <c r="P245" s="24"/>
      <c r="Q245" s="24"/>
      <c r="R245" s="24"/>
    </row>
    <row r="246" spans="2:18" ht="15">
      <c r="B246" s="233" t="s">
        <v>183</v>
      </c>
      <c r="C246" s="90"/>
      <c r="D246" s="90"/>
      <c r="E246" s="90"/>
      <c r="F246" s="90"/>
      <c r="G246" s="90"/>
      <c r="H246" s="90"/>
      <c r="I246" s="206"/>
      <c r="J246" s="206"/>
      <c r="K246" s="206"/>
      <c r="L246" s="206"/>
      <c r="M246" s="206"/>
      <c r="N246" s="24"/>
      <c r="O246" s="24"/>
      <c r="P246" s="24"/>
      <c r="Q246" s="24"/>
      <c r="R246" s="24"/>
    </row>
    <row r="247" spans="2:18">
      <c r="B247" s="89" t="s">
        <v>6</v>
      </c>
      <c r="C247" s="90"/>
      <c r="D247" s="90"/>
      <c r="E247" s="90"/>
      <c r="F247" s="90"/>
      <c r="G247" s="90"/>
      <c r="H247" s="126"/>
      <c r="I247" s="219">
        <f ca="1">G173-I173</f>
        <v>99.315068493150648</v>
      </c>
      <c r="J247" s="219">
        <f t="shared" ref="J247:R247" ca="1" si="99">I173-J173</f>
        <v>0</v>
      </c>
      <c r="K247" s="219">
        <f t="shared" ca="1" si="99"/>
        <v>0</v>
      </c>
      <c r="L247" s="219">
        <f t="shared" ca="1" si="99"/>
        <v>0</v>
      </c>
      <c r="M247" s="219">
        <f t="shared" ca="1" si="99"/>
        <v>0</v>
      </c>
      <c r="N247" s="219">
        <f t="shared" ca="1" si="99"/>
        <v>0</v>
      </c>
      <c r="O247" s="219">
        <f t="shared" ca="1" si="99"/>
        <v>0</v>
      </c>
      <c r="P247" s="219">
        <f t="shared" ca="1" si="99"/>
        <v>0</v>
      </c>
      <c r="Q247" s="219">
        <f t="shared" ca="1" si="99"/>
        <v>0</v>
      </c>
      <c r="R247" s="219">
        <f t="shared" ca="1" si="99"/>
        <v>0</v>
      </c>
    </row>
    <row r="248" spans="2:18">
      <c r="B248" s="89" t="s">
        <v>388</v>
      </c>
      <c r="C248" s="90"/>
      <c r="D248" s="90"/>
      <c r="E248" s="90"/>
      <c r="F248" s="90"/>
      <c r="G248" s="90"/>
      <c r="H248" s="126"/>
      <c r="I248" s="219">
        <f ca="1">G174-I174</f>
        <v>4.9107142857142208</v>
      </c>
      <c r="J248" s="219">
        <f t="shared" ref="J248:R248" ca="1" si="100">I174-J174</f>
        <v>150.73140900195722</v>
      </c>
      <c r="K248" s="219">
        <f t="shared" ca="1" si="100"/>
        <v>163.6797945205476</v>
      </c>
      <c r="L248" s="219">
        <f t="shared" ca="1" si="100"/>
        <v>168.10643835616474</v>
      </c>
      <c r="M248" s="219">
        <f t="shared" ca="1" si="100"/>
        <v>0</v>
      </c>
      <c r="N248" s="219">
        <f t="shared" ca="1" si="100"/>
        <v>0</v>
      </c>
      <c r="O248" s="219">
        <f t="shared" ca="1" si="100"/>
        <v>0</v>
      </c>
      <c r="P248" s="219">
        <f t="shared" ca="1" si="100"/>
        <v>0</v>
      </c>
      <c r="Q248" s="219">
        <f t="shared" ca="1" si="100"/>
        <v>0</v>
      </c>
      <c r="R248" s="219">
        <f t="shared" ca="1" si="100"/>
        <v>0</v>
      </c>
    </row>
    <row r="249" spans="2:18" hidden="1" outlineLevel="1">
      <c r="B249" s="89" t="s">
        <v>128</v>
      </c>
      <c r="C249" s="90"/>
      <c r="D249" s="90"/>
      <c r="E249" s="90"/>
      <c r="F249" s="90"/>
      <c r="G249" s="90"/>
      <c r="H249" s="126"/>
      <c r="I249" s="219">
        <f ca="1">G175-I175</f>
        <v>0</v>
      </c>
      <c r="J249" s="219">
        <f t="shared" ref="J249:R249" ca="1" si="101">I175-J175</f>
        <v>0</v>
      </c>
      <c r="K249" s="219">
        <f t="shared" ca="1" si="101"/>
        <v>0</v>
      </c>
      <c r="L249" s="219">
        <f t="shared" ca="1" si="101"/>
        <v>0</v>
      </c>
      <c r="M249" s="219">
        <f t="shared" ca="1" si="101"/>
        <v>0</v>
      </c>
      <c r="N249" s="219">
        <f t="shared" ca="1" si="101"/>
        <v>0</v>
      </c>
      <c r="O249" s="219">
        <f t="shared" ca="1" si="101"/>
        <v>0</v>
      </c>
      <c r="P249" s="219">
        <f t="shared" ca="1" si="101"/>
        <v>0</v>
      </c>
      <c r="Q249" s="219">
        <f t="shared" ca="1" si="101"/>
        <v>0</v>
      </c>
      <c r="R249" s="219">
        <f t="shared" ca="1" si="101"/>
        <v>0</v>
      </c>
    </row>
    <row r="250" spans="2:18" collapsed="1">
      <c r="B250" s="89" t="s">
        <v>133</v>
      </c>
      <c r="C250" s="90"/>
      <c r="D250" s="90"/>
      <c r="E250" s="90"/>
      <c r="F250" s="90"/>
      <c r="G250" s="90"/>
      <c r="H250" s="126"/>
      <c r="I250" s="219">
        <f ca="1">I187-G187</f>
        <v>44.589041095890423</v>
      </c>
      <c r="J250" s="219">
        <f t="shared" ref="J250:R250" ca="1" si="102">J187-I187</f>
        <v>1.3253424657534083</v>
      </c>
      <c r="K250" s="219">
        <f t="shared" ca="1" si="102"/>
        <v>1.3253424657534083</v>
      </c>
      <c r="L250" s="219">
        <f t="shared" ca="1" si="102"/>
        <v>0.84821917808216085</v>
      </c>
      <c r="M250" s="219">
        <f t="shared" ca="1" si="102"/>
        <v>0</v>
      </c>
      <c r="N250" s="219">
        <f t="shared" ca="1" si="102"/>
        <v>0</v>
      </c>
      <c r="O250" s="219">
        <f t="shared" ca="1" si="102"/>
        <v>0</v>
      </c>
      <c r="P250" s="219">
        <f t="shared" ca="1" si="102"/>
        <v>0</v>
      </c>
      <c r="Q250" s="219">
        <f t="shared" ca="1" si="102"/>
        <v>0</v>
      </c>
      <c r="R250" s="219">
        <f t="shared" ca="1" si="102"/>
        <v>0</v>
      </c>
    </row>
    <row r="251" spans="2:18">
      <c r="B251" s="89" t="s">
        <v>134</v>
      </c>
      <c r="C251" s="90"/>
      <c r="D251" s="90"/>
      <c r="E251" s="90"/>
      <c r="F251" s="90"/>
      <c r="G251" s="90"/>
      <c r="H251" s="126"/>
      <c r="I251" s="219">
        <f ca="1">I188-G188</f>
        <v>76.75</v>
      </c>
      <c r="J251" s="219">
        <f t="shared" ref="J251:R251" ca="1" si="103">J188-I188</f>
        <v>0</v>
      </c>
      <c r="K251" s="219">
        <f t="shared" ca="1" si="103"/>
        <v>0</v>
      </c>
      <c r="L251" s="219">
        <f t="shared" ca="1" si="103"/>
        <v>0</v>
      </c>
      <c r="M251" s="219">
        <f t="shared" ca="1" si="103"/>
        <v>0</v>
      </c>
      <c r="N251" s="219">
        <f t="shared" ca="1" si="103"/>
        <v>0</v>
      </c>
      <c r="O251" s="219">
        <f t="shared" ca="1" si="103"/>
        <v>0</v>
      </c>
      <c r="P251" s="219">
        <f t="shared" ca="1" si="103"/>
        <v>0</v>
      </c>
      <c r="Q251" s="219">
        <f t="shared" ca="1" si="103"/>
        <v>0</v>
      </c>
      <c r="R251" s="219">
        <f t="shared" ca="1" si="103"/>
        <v>0</v>
      </c>
    </row>
    <row r="252" spans="2:18">
      <c r="B252" s="94" t="s">
        <v>184</v>
      </c>
      <c r="C252" s="94"/>
      <c r="D252" s="94"/>
      <c r="E252" s="94"/>
      <c r="F252" s="94"/>
      <c r="G252" s="94"/>
      <c r="H252" s="79"/>
      <c r="I252" s="205">
        <f t="shared" ref="I252:R252" ca="1" si="104">SUM(I247:I251)</f>
        <v>225.56482387475529</v>
      </c>
      <c r="J252" s="205">
        <f t="shared" ca="1" si="104"/>
        <v>152.05675146771063</v>
      </c>
      <c r="K252" s="205">
        <f t="shared" ca="1" si="104"/>
        <v>165.00513698630101</v>
      </c>
      <c r="L252" s="205">
        <f t="shared" ca="1" si="104"/>
        <v>168.95465753424691</v>
      </c>
      <c r="M252" s="205">
        <f t="shared" ca="1" si="104"/>
        <v>0</v>
      </c>
      <c r="N252" s="205">
        <f t="shared" ca="1" si="104"/>
        <v>0</v>
      </c>
      <c r="O252" s="205">
        <f t="shared" ca="1" si="104"/>
        <v>0</v>
      </c>
      <c r="P252" s="205">
        <f t="shared" ca="1" si="104"/>
        <v>0</v>
      </c>
      <c r="Q252" s="205">
        <f t="shared" ca="1" si="104"/>
        <v>0</v>
      </c>
      <c r="R252" s="205">
        <f t="shared" ca="1" si="104"/>
        <v>0</v>
      </c>
    </row>
    <row r="253" spans="2:18">
      <c r="B253" s="90"/>
      <c r="C253" s="90"/>
      <c r="D253" s="90"/>
      <c r="E253" s="90"/>
      <c r="F253" s="90"/>
      <c r="G253" s="90"/>
      <c r="H253" s="90"/>
      <c r="I253" s="206"/>
      <c r="J253" s="206"/>
      <c r="K253" s="206"/>
      <c r="L253" s="206"/>
      <c r="M253" s="206"/>
      <c r="N253" s="24"/>
      <c r="O253" s="24"/>
      <c r="P253" s="24"/>
      <c r="Q253" s="24"/>
      <c r="R253" s="24"/>
    </row>
    <row r="254" spans="2:18">
      <c r="B254" s="91" t="s">
        <v>185</v>
      </c>
      <c r="C254" s="91"/>
      <c r="D254" s="91"/>
      <c r="E254" s="91"/>
      <c r="F254" s="91"/>
      <c r="G254" s="91"/>
      <c r="H254" s="84"/>
      <c r="I254" s="222">
        <f t="shared" ref="I254:R254" ca="1" si="105">I244+I252</f>
        <v>3162.7523806929335</v>
      </c>
      <c r="J254" s="222">
        <f t="shared" ca="1" si="105"/>
        <v>3178.4588464538729</v>
      </c>
      <c r="K254" s="222">
        <f t="shared" ca="1" si="105"/>
        <v>3283.3905149089505</v>
      </c>
      <c r="L254" s="222">
        <f t="shared" ca="1" si="105"/>
        <v>3371.1122689800823</v>
      </c>
      <c r="M254" s="222">
        <f t="shared" ca="1" si="105"/>
        <v>3249.46822058822</v>
      </c>
      <c r="N254" s="222">
        <f t="shared" ca="1" si="105"/>
        <v>3229.6425179738408</v>
      </c>
      <c r="O254" s="222">
        <f t="shared" ca="1" si="105"/>
        <v>3230.8402355086664</v>
      </c>
      <c r="P254" s="222">
        <f t="shared" ca="1" si="105"/>
        <v>3231.5823513775276</v>
      </c>
      <c r="Q254" s="222">
        <f t="shared" ca="1" si="105"/>
        <v>3231.8596615063666</v>
      </c>
      <c r="R254" s="222">
        <f t="shared" ca="1" si="105"/>
        <v>3231.6627758802319</v>
      </c>
    </row>
    <row r="255" spans="2:18">
      <c r="B255" s="90"/>
      <c r="C255" s="90"/>
      <c r="D255" s="90"/>
      <c r="E255" s="90"/>
      <c r="F255" s="90"/>
      <c r="G255" s="90"/>
      <c r="H255" s="90"/>
      <c r="I255" s="206"/>
      <c r="J255" s="206"/>
      <c r="K255" s="206"/>
      <c r="L255" s="206"/>
      <c r="M255" s="206"/>
      <c r="N255" s="24"/>
      <c r="O255" s="24"/>
      <c r="P255" s="24"/>
      <c r="Q255" s="24"/>
      <c r="R255" s="24"/>
    </row>
    <row r="256" spans="2:18" ht="15">
      <c r="B256" s="12" t="s">
        <v>186</v>
      </c>
      <c r="C256" s="90"/>
      <c r="D256" s="90"/>
      <c r="E256" s="90"/>
      <c r="F256" s="90"/>
      <c r="G256" s="90"/>
      <c r="H256" s="90"/>
      <c r="I256" s="206"/>
      <c r="J256" s="206"/>
      <c r="K256" s="206"/>
      <c r="L256" s="206"/>
      <c r="M256" s="206"/>
      <c r="N256" s="24"/>
      <c r="O256" s="24"/>
      <c r="P256" s="24"/>
      <c r="Q256" s="24"/>
      <c r="R256" s="24"/>
    </row>
    <row r="257" spans="2:18">
      <c r="B257" s="90" t="s">
        <v>187</v>
      </c>
      <c r="C257" s="90"/>
      <c r="D257" s="90"/>
      <c r="E257" s="90"/>
      <c r="F257" s="90"/>
      <c r="G257" s="90"/>
      <c r="H257" s="126"/>
      <c r="I257" s="219">
        <f ca="1">-I394</f>
        <v>-500</v>
      </c>
      <c r="J257" s="219">
        <f t="shared" ref="J257:R257" ca="1" si="106">-J394</f>
        <v>-500</v>
      </c>
      <c r="K257" s="219">
        <f t="shared" ca="1" si="106"/>
        <v>-250</v>
      </c>
      <c r="L257" s="219">
        <f t="shared" ca="1" si="106"/>
        <v>-250</v>
      </c>
      <c r="M257" s="219">
        <f t="shared" ca="1" si="106"/>
        <v>-250</v>
      </c>
      <c r="N257" s="219">
        <f t="shared" ca="1" si="106"/>
        <v>-250</v>
      </c>
      <c r="O257" s="219">
        <f t="shared" ca="1" si="106"/>
        <v>-250</v>
      </c>
      <c r="P257" s="219">
        <f t="shared" ca="1" si="106"/>
        <v>-250</v>
      </c>
      <c r="Q257" s="219">
        <f t="shared" ca="1" si="106"/>
        <v>-250</v>
      </c>
      <c r="R257" s="219">
        <f t="shared" ca="1" si="106"/>
        <v>-250</v>
      </c>
    </row>
    <row r="258" spans="2:18" outlineLevel="1">
      <c r="B258" s="120" t="s">
        <v>188</v>
      </c>
      <c r="C258" s="90"/>
      <c r="D258" s="90"/>
      <c r="E258" s="90"/>
      <c r="F258" s="90"/>
      <c r="G258" s="90"/>
      <c r="H258" s="126"/>
      <c r="I258" s="203">
        <v>0</v>
      </c>
      <c r="J258" s="219">
        <v>0</v>
      </c>
      <c r="K258" s="219">
        <v>0</v>
      </c>
      <c r="L258" s="219">
        <v>0</v>
      </c>
      <c r="M258" s="219">
        <v>0</v>
      </c>
      <c r="N258" s="219">
        <v>0</v>
      </c>
      <c r="O258" s="219">
        <v>0</v>
      </c>
      <c r="P258" s="219">
        <v>0</v>
      </c>
      <c r="Q258" s="219">
        <v>0</v>
      </c>
      <c r="R258" s="219">
        <v>0</v>
      </c>
    </row>
    <row r="259" spans="2:18">
      <c r="B259" s="91" t="s">
        <v>189</v>
      </c>
      <c r="C259" s="91"/>
      <c r="D259" s="91"/>
      <c r="E259" s="91"/>
      <c r="F259" s="91"/>
      <c r="G259" s="91"/>
      <c r="H259" s="84"/>
      <c r="I259" s="222">
        <f ca="1">SUM(I257:I258)</f>
        <v>-500</v>
      </c>
      <c r="J259" s="222">
        <f t="shared" ref="J259:R259" ca="1" si="107">SUM(J257:J258)</f>
        <v>-500</v>
      </c>
      <c r="K259" s="222">
        <f t="shared" ca="1" si="107"/>
        <v>-250</v>
      </c>
      <c r="L259" s="222">
        <f t="shared" ca="1" si="107"/>
        <v>-250</v>
      </c>
      <c r="M259" s="222">
        <f t="shared" ca="1" si="107"/>
        <v>-250</v>
      </c>
      <c r="N259" s="222">
        <f t="shared" ca="1" si="107"/>
        <v>-250</v>
      </c>
      <c r="O259" s="222">
        <f t="shared" ca="1" si="107"/>
        <v>-250</v>
      </c>
      <c r="P259" s="222">
        <f t="shared" ca="1" si="107"/>
        <v>-250</v>
      </c>
      <c r="Q259" s="222">
        <f t="shared" ca="1" si="107"/>
        <v>-250</v>
      </c>
      <c r="R259" s="222">
        <f t="shared" ca="1" si="107"/>
        <v>-250</v>
      </c>
    </row>
    <row r="260" spans="2:18" outlineLevel="1">
      <c r="B260" s="90"/>
      <c r="C260" s="90"/>
      <c r="D260" s="90"/>
      <c r="E260" s="90"/>
      <c r="F260" s="90"/>
      <c r="G260" s="90"/>
      <c r="H260" s="90"/>
      <c r="I260" s="206"/>
      <c r="J260" s="206"/>
      <c r="K260" s="206"/>
      <c r="L260" s="206"/>
      <c r="M260" s="206"/>
      <c r="N260" s="24"/>
      <c r="O260" s="24"/>
      <c r="P260" s="24"/>
      <c r="Q260" s="24"/>
      <c r="R260" s="24"/>
    </row>
    <row r="261" spans="2:18" outlineLevel="1">
      <c r="B261" s="120" t="s">
        <v>190</v>
      </c>
      <c r="C261" s="90"/>
      <c r="D261" s="90"/>
      <c r="E261" s="90"/>
      <c r="F261" s="90"/>
      <c r="G261" s="89"/>
      <c r="H261" s="78"/>
      <c r="I261" s="219">
        <f ca="1">I254+I259</f>
        <v>2662.7523806929335</v>
      </c>
      <c r="J261" s="219">
        <f t="shared" ref="J261:R261" ca="1" si="108">J254+J259</f>
        <v>2678.4588464538729</v>
      </c>
      <c r="K261" s="219">
        <f t="shared" ca="1" si="108"/>
        <v>3033.3905149089505</v>
      </c>
      <c r="L261" s="219">
        <f t="shared" ca="1" si="108"/>
        <v>3121.1122689800823</v>
      </c>
      <c r="M261" s="219">
        <f t="shared" ca="1" si="108"/>
        <v>2999.46822058822</v>
      </c>
      <c r="N261" s="219">
        <f t="shared" ca="1" si="108"/>
        <v>2979.6425179738408</v>
      </c>
      <c r="O261" s="219">
        <f t="shared" ca="1" si="108"/>
        <v>2980.8402355086664</v>
      </c>
      <c r="P261" s="219">
        <f t="shared" ca="1" si="108"/>
        <v>2981.5823513775276</v>
      </c>
      <c r="Q261" s="219">
        <f t="shared" ca="1" si="108"/>
        <v>2981.8596615063666</v>
      </c>
      <c r="R261" s="219">
        <f t="shared" ca="1" si="108"/>
        <v>2981.6627758802319</v>
      </c>
    </row>
    <row r="262" spans="2:18">
      <c r="B262" s="90"/>
      <c r="C262" s="90"/>
      <c r="D262" s="90"/>
      <c r="E262" s="90"/>
      <c r="F262" s="90"/>
      <c r="G262" s="90"/>
      <c r="H262" s="90"/>
      <c r="I262" s="206"/>
      <c r="J262" s="206"/>
      <c r="K262" s="206"/>
      <c r="L262" s="206"/>
      <c r="M262" s="206"/>
      <c r="N262" s="24"/>
      <c r="O262" s="24"/>
      <c r="P262" s="24"/>
      <c r="Q262" s="24"/>
      <c r="R262" s="24"/>
    </row>
    <row r="263" spans="2:18" ht="15">
      <c r="B263" s="12" t="s">
        <v>191</v>
      </c>
      <c r="C263" s="90"/>
      <c r="D263" s="90"/>
      <c r="E263" s="90"/>
      <c r="F263" s="90"/>
      <c r="G263" s="90"/>
      <c r="H263" s="90"/>
      <c r="I263" s="206"/>
      <c r="J263" s="206"/>
      <c r="K263" s="206"/>
      <c r="L263" s="206"/>
      <c r="M263" s="206"/>
      <c r="N263" s="24"/>
      <c r="O263" s="24"/>
      <c r="P263" s="24"/>
      <c r="Q263" s="24"/>
      <c r="R263" s="24"/>
    </row>
    <row r="264" spans="2:18">
      <c r="B264" s="90" t="s">
        <v>192</v>
      </c>
      <c r="C264" s="90"/>
      <c r="D264" s="90"/>
      <c r="E264" s="90"/>
      <c r="F264" s="90"/>
      <c r="G264" s="90"/>
      <c r="H264" s="126"/>
      <c r="I264" s="219">
        <f ca="1">I283</f>
        <v>-640</v>
      </c>
      <c r="J264" s="219">
        <f t="shared" ref="J264:R264" ca="1" si="109">J283</f>
        <v>-640</v>
      </c>
      <c r="K264" s="219">
        <f t="shared" ca="1" si="109"/>
        <v>-640</v>
      </c>
      <c r="L264" s="219">
        <f t="shared" ca="1" si="109"/>
        <v>-640</v>
      </c>
      <c r="M264" s="219">
        <f t="shared" ca="1" si="109"/>
        <v>0</v>
      </c>
      <c r="N264" s="219">
        <f t="shared" ca="1" si="109"/>
        <v>0</v>
      </c>
      <c r="O264" s="219">
        <f t="shared" ca="1" si="109"/>
        <v>0</v>
      </c>
      <c r="P264" s="219">
        <f t="shared" ca="1" si="109"/>
        <v>0</v>
      </c>
      <c r="Q264" s="219">
        <f t="shared" ca="1" si="109"/>
        <v>0</v>
      </c>
      <c r="R264" s="219">
        <f t="shared" ca="1" si="109"/>
        <v>0</v>
      </c>
    </row>
    <row r="265" spans="2:18">
      <c r="B265" s="90" t="s">
        <v>193</v>
      </c>
      <c r="C265" s="90"/>
      <c r="D265" s="90"/>
      <c r="E265" s="90"/>
      <c r="F265" s="90"/>
      <c r="G265" s="90"/>
      <c r="H265" s="126"/>
      <c r="I265" s="219">
        <f ca="1">SUM(I289:I290,I303,I315,I324)</f>
        <v>-1572.0487734486164</v>
      </c>
      <c r="J265" s="219">
        <f t="shared" ref="J265:R265" ca="1" si="110">SUM(J289:J290,J303,J315,J324)</f>
        <v>-1721.0259937564088</v>
      </c>
      <c r="K265" s="219">
        <f t="shared" ca="1" si="110"/>
        <v>-1977.7822299417239</v>
      </c>
      <c r="L265" s="219">
        <f t="shared" ca="1" si="110"/>
        <v>-1169.1430028532513</v>
      </c>
      <c r="M265" s="219">
        <f t="shared" ca="1" si="110"/>
        <v>0</v>
      </c>
      <c r="N265" s="219">
        <f t="shared" ca="1" si="110"/>
        <v>0</v>
      </c>
      <c r="O265" s="219">
        <f t="shared" ca="1" si="110"/>
        <v>0</v>
      </c>
      <c r="P265" s="219">
        <f t="shared" ca="1" si="110"/>
        <v>0</v>
      </c>
      <c r="Q265" s="219">
        <f t="shared" ca="1" si="110"/>
        <v>0</v>
      </c>
      <c r="R265" s="219">
        <f t="shared" ca="1" si="110"/>
        <v>0</v>
      </c>
    </row>
    <row r="266" spans="2:18">
      <c r="B266" s="90" t="s">
        <v>281</v>
      </c>
      <c r="C266" s="90"/>
      <c r="D266" s="90"/>
      <c r="E266" s="90"/>
      <c r="F266" s="90"/>
      <c r="G266" s="90"/>
      <c r="H266" s="126"/>
      <c r="I266" s="219">
        <f t="shared" ref="I266:R266" ca="1" si="111">I483*IF($R$17="C-Corp",0,1)</f>
        <v>-290.70360724431691</v>
      </c>
      <c r="J266" s="219">
        <f t="shared" ca="1" si="111"/>
        <v>-147.83285269746438</v>
      </c>
      <c r="K266" s="219">
        <f t="shared" ca="1" si="111"/>
        <v>-235.83228496722688</v>
      </c>
      <c r="L266" s="219">
        <f t="shared" ca="1" si="111"/>
        <v>-429.50724835498789</v>
      </c>
      <c r="M266" s="219">
        <f t="shared" ca="1" si="111"/>
        <v>-569.32084232252191</v>
      </c>
      <c r="N266" s="219">
        <f t="shared" ca="1" si="111"/>
        <v>-621.94119705881531</v>
      </c>
      <c r="O266" s="219">
        <f t="shared" ca="1" si="111"/>
        <v>-620.59287780747832</v>
      </c>
      <c r="P266" s="219">
        <f t="shared" ca="1" si="111"/>
        <v>-716.46356410156864</v>
      </c>
      <c r="Q266" s="219">
        <f t="shared" ca="1" si="111"/>
        <v>-855.17199784604463</v>
      </c>
      <c r="R266" s="219">
        <f t="shared" ca="1" si="111"/>
        <v>-892.94488353485724</v>
      </c>
    </row>
    <row r="267" spans="2:18">
      <c r="B267" s="120" t="s">
        <v>282</v>
      </c>
      <c r="C267" s="90"/>
      <c r="D267" s="90"/>
      <c r="E267" s="90"/>
      <c r="F267" s="90"/>
      <c r="G267" s="90"/>
      <c r="H267" s="126"/>
      <c r="I267" s="219">
        <f ca="1">-I378</f>
        <v>0</v>
      </c>
      <c r="J267" s="219">
        <f t="shared" ref="J267:R267" ca="1" si="112">-J378</f>
        <v>0</v>
      </c>
      <c r="K267" s="219">
        <f t="shared" ca="1" si="112"/>
        <v>0</v>
      </c>
      <c r="L267" s="219">
        <f t="shared" ca="1" si="112"/>
        <v>-691.89945777184312</v>
      </c>
      <c r="M267" s="219">
        <f t="shared" ca="1" si="112"/>
        <v>-2228.151064665698</v>
      </c>
      <c r="N267" s="219">
        <f t="shared" ca="1" si="112"/>
        <v>-2143.5852284990256</v>
      </c>
      <c r="O267" s="219">
        <f t="shared" ca="1" si="112"/>
        <v>-2133.2842997402281</v>
      </c>
      <c r="P267" s="219">
        <f t="shared" ca="1" si="112"/>
        <v>-2024.5379458373416</v>
      </c>
      <c r="Q267" s="219">
        <f t="shared" ca="1" si="112"/>
        <v>-1871.6719717353869</v>
      </c>
      <c r="R267" s="219">
        <f t="shared" ca="1" si="112"/>
        <v>-1818.4012589049555</v>
      </c>
    </row>
    <row r="268" spans="2:18">
      <c r="B268" s="120" t="s">
        <v>436</v>
      </c>
      <c r="C268" s="90"/>
      <c r="D268" s="90"/>
      <c r="E268" s="90"/>
      <c r="F268" s="90"/>
      <c r="G268" s="90"/>
      <c r="H268" s="126"/>
      <c r="I268" s="219">
        <f ca="1">-I358</f>
        <v>-160</v>
      </c>
      <c r="J268" s="219">
        <f t="shared" ref="J268:R268" ca="1" si="113">-J358</f>
        <v>-169.6</v>
      </c>
      <c r="K268" s="219">
        <f t="shared" ca="1" si="113"/>
        <v>-179.77599999999998</v>
      </c>
      <c r="L268" s="219">
        <f t="shared" ca="1" si="113"/>
        <v>-190.56255999999999</v>
      </c>
      <c r="M268" s="219">
        <f t="shared" ca="1" si="113"/>
        <v>-201.99631359999995</v>
      </c>
      <c r="N268" s="219">
        <f t="shared" ca="1" si="113"/>
        <v>-214.11609241599996</v>
      </c>
      <c r="O268" s="219">
        <f t="shared" ca="1" si="113"/>
        <v>-226.96305796095996</v>
      </c>
      <c r="P268" s="219">
        <f t="shared" ca="1" si="113"/>
        <v>-240.58084143861757</v>
      </c>
      <c r="Q268" s="219">
        <f t="shared" ca="1" si="113"/>
        <v>-255.01569192493463</v>
      </c>
      <c r="R268" s="219">
        <f t="shared" ca="1" si="113"/>
        <v>-270.31663344043073</v>
      </c>
    </row>
    <row r="269" spans="2:18">
      <c r="B269" s="91" t="s">
        <v>194</v>
      </c>
      <c r="C269" s="91"/>
      <c r="D269" s="91"/>
      <c r="E269" s="91"/>
      <c r="F269" s="91"/>
      <c r="G269" s="91"/>
      <c r="H269" s="84"/>
      <c r="I269" s="246">
        <f ca="1">SUM(I264:I268)</f>
        <v>-2662.7523806929335</v>
      </c>
      <c r="J269" s="246">
        <f t="shared" ref="J269:R269" ca="1" si="114">SUM(J264:J268)</f>
        <v>-2678.4588464538729</v>
      </c>
      <c r="K269" s="246">
        <f t="shared" ca="1" si="114"/>
        <v>-3033.3905149089505</v>
      </c>
      <c r="L269" s="246">
        <f t="shared" ca="1" si="114"/>
        <v>-3121.1122689800823</v>
      </c>
      <c r="M269" s="246">
        <f t="shared" ca="1" si="114"/>
        <v>-2999.46822058822</v>
      </c>
      <c r="N269" s="246">
        <f t="shared" ca="1" si="114"/>
        <v>-2979.6425179738408</v>
      </c>
      <c r="O269" s="246">
        <f t="shared" ca="1" si="114"/>
        <v>-2980.840235508666</v>
      </c>
      <c r="P269" s="246">
        <f t="shared" ca="1" si="114"/>
        <v>-2981.5823513775276</v>
      </c>
      <c r="Q269" s="246">
        <f t="shared" ca="1" si="114"/>
        <v>-2981.8596615063661</v>
      </c>
      <c r="R269" s="246">
        <f t="shared" ca="1" si="114"/>
        <v>-2981.6627758802438</v>
      </c>
    </row>
    <row r="270" spans="2:18">
      <c r="B270" s="90"/>
      <c r="C270" s="90"/>
      <c r="D270" s="90"/>
      <c r="E270" s="90"/>
      <c r="F270" s="90"/>
      <c r="G270" s="90"/>
      <c r="H270" s="90"/>
      <c r="I270" s="206"/>
      <c r="J270" s="206"/>
      <c r="K270" s="206"/>
      <c r="L270" s="206"/>
      <c r="M270" s="206"/>
      <c r="N270" s="24"/>
      <c r="O270" s="24"/>
      <c r="P270" s="24"/>
      <c r="Q270" s="24"/>
      <c r="R270" s="24"/>
    </row>
    <row r="271" spans="2:18" outlineLevel="1">
      <c r="B271" s="120" t="s">
        <v>195</v>
      </c>
      <c r="C271" s="90"/>
      <c r="D271" s="90"/>
      <c r="E271" s="90"/>
      <c r="F271" s="90"/>
      <c r="G271" s="90"/>
      <c r="H271" s="78"/>
      <c r="I271" s="241">
        <f>H172</f>
        <v>0</v>
      </c>
      <c r="J271" s="219">
        <f ca="1">I273</f>
        <v>0</v>
      </c>
      <c r="K271" s="219">
        <f t="shared" ref="K271:R271" ca="1" si="115">J273</f>
        <v>0</v>
      </c>
      <c r="L271" s="219">
        <f t="shared" ca="1" si="115"/>
        <v>0</v>
      </c>
      <c r="M271" s="219">
        <f t="shared" ca="1" si="115"/>
        <v>0</v>
      </c>
      <c r="N271" s="219">
        <f t="shared" ca="1" si="115"/>
        <v>0</v>
      </c>
      <c r="O271" s="219">
        <f t="shared" ca="1" si="115"/>
        <v>0</v>
      </c>
      <c r="P271" s="219">
        <f t="shared" ca="1" si="115"/>
        <v>0</v>
      </c>
      <c r="Q271" s="219">
        <f t="shared" ca="1" si="115"/>
        <v>0</v>
      </c>
      <c r="R271" s="219">
        <f t="shared" ca="1" si="115"/>
        <v>0</v>
      </c>
    </row>
    <row r="272" spans="2:18" outlineLevel="1">
      <c r="B272" s="120" t="s">
        <v>196</v>
      </c>
      <c r="C272" s="90"/>
      <c r="D272" s="90"/>
      <c r="E272" s="90"/>
      <c r="F272" s="90"/>
      <c r="G272" s="78"/>
      <c r="H272" s="78"/>
      <c r="I272" s="217">
        <f ca="1">I254+I259+I269</f>
        <v>0</v>
      </c>
      <c r="J272" s="217">
        <f t="shared" ref="J272:R272" ca="1" si="116">J254+J259+J269</f>
        <v>0</v>
      </c>
      <c r="K272" s="217">
        <f t="shared" ca="1" si="116"/>
        <v>0</v>
      </c>
      <c r="L272" s="217">
        <f t="shared" ca="1" si="116"/>
        <v>0</v>
      </c>
      <c r="M272" s="217">
        <f t="shared" ca="1" si="116"/>
        <v>0</v>
      </c>
      <c r="N272" s="217">
        <f t="shared" ca="1" si="116"/>
        <v>0</v>
      </c>
      <c r="O272" s="217">
        <f t="shared" ca="1" si="116"/>
        <v>0</v>
      </c>
      <c r="P272" s="217">
        <f t="shared" ca="1" si="116"/>
        <v>0</v>
      </c>
      <c r="Q272" s="217">
        <f t="shared" ca="1" si="116"/>
        <v>0</v>
      </c>
      <c r="R272" s="217">
        <f t="shared" ca="1" si="116"/>
        <v>-1.1823431123048067E-11</v>
      </c>
    </row>
    <row r="273" spans="1:18">
      <c r="B273" s="138" t="s">
        <v>197</v>
      </c>
      <c r="C273" s="91"/>
      <c r="D273" s="91"/>
      <c r="E273" s="91"/>
      <c r="F273" s="91"/>
      <c r="G273" s="91"/>
      <c r="H273" s="84"/>
      <c r="I273" s="222">
        <f ca="1">SUM(I271:I272)</f>
        <v>0</v>
      </c>
      <c r="J273" s="222">
        <f t="shared" ref="J273:R273" ca="1" si="117">SUM(J271:J272)</f>
        <v>0</v>
      </c>
      <c r="K273" s="222">
        <f t="shared" ca="1" si="117"/>
        <v>0</v>
      </c>
      <c r="L273" s="222">
        <f t="shared" ca="1" si="117"/>
        <v>0</v>
      </c>
      <c r="M273" s="222">
        <f t="shared" ca="1" si="117"/>
        <v>0</v>
      </c>
      <c r="N273" s="222">
        <f t="shared" ca="1" si="117"/>
        <v>0</v>
      </c>
      <c r="O273" s="222">
        <f t="shared" ca="1" si="117"/>
        <v>0</v>
      </c>
      <c r="P273" s="222">
        <f t="shared" ca="1" si="117"/>
        <v>0</v>
      </c>
      <c r="Q273" s="222">
        <f t="shared" ca="1" si="117"/>
        <v>0</v>
      </c>
      <c r="R273" s="222">
        <f t="shared" ca="1" si="117"/>
        <v>-1.1823431123048067E-11</v>
      </c>
    </row>
    <row r="274" spans="1:18" ht="4.9000000000000004" customHeight="1">
      <c r="B274" s="139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</row>
    <row r="276" spans="1:18" ht="15">
      <c r="A276" s="55" t="s">
        <v>51</v>
      </c>
      <c r="B276" s="42" t="s">
        <v>135</v>
      </c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</row>
    <row r="278" spans="1:18" ht="15.75" thickBot="1">
      <c r="B278" s="193"/>
      <c r="C278" s="192"/>
      <c r="D278" s="192"/>
      <c r="E278" s="192"/>
      <c r="F278" s="192"/>
      <c r="G278" s="44"/>
      <c r="H278" s="44"/>
      <c r="I278" s="236">
        <f t="shared" ref="I278:R278" si="118">I234</f>
        <v>43100</v>
      </c>
      <c r="J278" s="236">
        <f t="shared" si="118"/>
        <v>43465</v>
      </c>
      <c r="K278" s="236">
        <f t="shared" si="118"/>
        <v>43830</v>
      </c>
      <c r="L278" s="236">
        <f t="shared" si="118"/>
        <v>44196</v>
      </c>
      <c r="M278" s="236">
        <f t="shared" si="118"/>
        <v>44561</v>
      </c>
      <c r="N278" s="236">
        <f t="shared" si="118"/>
        <v>44926</v>
      </c>
      <c r="O278" s="236">
        <f t="shared" si="118"/>
        <v>45291</v>
      </c>
      <c r="P278" s="236">
        <f t="shared" si="118"/>
        <v>45657</v>
      </c>
      <c r="Q278" s="236">
        <f t="shared" si="118"/>
        <v>46022</v>
      </c>
      <c r="R278" s="236">
        <f t="shared" si="118"/>
        <v>46387</v>
      </c>
    </row>
    <row r="279" spans="1:18" outlineLevel="1"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</row>
    <row r="280" spans="1:18" outlineLevel="1">
      <c r="B280" s="90" t="s">
        <v>190</v>
      </c>
      <c r="C280" s="90"/>
      <c r="D280" s="90"/>
      <c r="E280" s="90"/>
      <c r="F280" s="90"/>
      <c r="G280" s="90"/>
      <c r="H280" s="128"/>
      <c r="I280" s="219">
        <f ca="1">I254+I259+I266+I268</f>
        <v>2212.0487734486164</v>
      </c>
      <c r="J280" s="219">
        <f t="shared" ref="J280:R280" ca="1" si="119">J254+J259+J266+J268</f>
        <v>2361.0259937564088</v>
      </c>
      <c r="K280" s="219">
        <f t="shared" ca="1" si="119"/>
        <v>2617.7822299417239</v>
      </c>
      <c r="L280" s="219">
        <f t="shared" ca="1" si="119"/>
        <v>2501.0424606250945</v>
      </c>
      <c r="M280" s="219">
        <f t="shared" ca="1" si="119"/>
        <v>2228.151064665698</v>
      </c>
      <c r="N280" s="219">
        <f t="shared" ca="1" si="119"/>
        <v>2143.5852284990256</v>
      </c>
      <c r="O280" s="219">
        <f t="shared" ca="1" si="119"/>
        <v>2133.2842997402281</v>
      </c>
      <c r="P280" s="219">
        <f t="shared" ca="1" si="119"/>
        <v>2024.5379458373416</v>
      </c>
      <c r="Q280" s="219">
        <f t="shared" ca="1" si="119"/>
        <v>1871.6719717353874</v>
      </c>
      <c r="R280" s="219">
        <f t="shared" ca="1" si="119"/>
        <v>1818.4012589049441</v>
      </c>
    </row>
    <row r="281" spans="1:18" outlineLevel="1">
      <c r="B281" s="90" t="s">
        <v>198</v>
      </c>
      <c r="C281" s="90"/>
      <c r="D281" s="90"/>
      <c r="E281" s="90"/>
      <c r="F281" s="90"/>
      <c r="G281" s="90"/>
      <c r="H281" s="128"/>
      <c r="I281" s="219">
        <f t="shared" ref="I281:R281" si="120">H172</f>
        <v>0</v>
      </c>
      <c r="J281" s="219">
        <f t="shared" ca="1" si="120"/>
        <v>0</v>
      </c>
      <c r="K281" s="219">
        <f t="shared" ca="1" si="120"/>
        <v>0</v>
      </c>
      <c r="L281" s="219">
        <f t="shared" ca="1" si="120"/>
        <v>0</v>
      </c>
      <c r="M281" s="219">
        <f t="shared" ca="1" si="120"/>
        <v>0</v>
      </c>
      <c r="N281" s="219">
        <f t="shared" ca="1" si="120"/>
        <v>0</v>
      </c>
      <c r="O281" s="219">
        <f t="shared" ca="1" si="120"/>
        <v>0</v>
      </c>
      <c r="P281" s="219">
        <f t="shared" ca="1" si="120"/>
        <v>0</v>
      </c>
      <c r="Q281" s="219">
        <f t="shared" ca="1" si="120"/>
        <v>0</v>
      </c>
      <c r="R281" s="219">
        <f t="shared" ca="1" si="120"/>
        <v>0</v>
      </c>
    </row>
    <row r="282" spans="1:18" outlineLevel="1">
      <c r="B282" s="90" t="s">
        <v>199</v>
      </c>
      <c r="C282" s="90"/>
      <c r="D282" s="90"/>
      <c r="E282" s="90"/>
      <c r="F282" s="90"/>
      <c r="G282" s="90"/>
      <c r="H282" s="128"/>
      <c r="I282" s="241">
        <f>-$F$14</f>
        <v>0</v>
      </c>
      <c r="J282" s="241">
        <f t="shared" ref="J282:R282" si="121">-$F$14</f>
        <v>0</v>
      </c>
      <c r="K282" s="241">
        <f t="shared" si="121"/>
        <v>0</v>
      </c>
      <c r="L282" s="241">
        <f t="shared" si="121"/>
        <v>0</v>
      </c>
      <c r="M282" s="241">
        <f t="shared" si="121"/>
        <v>0</v>
      </c>
      <c r="N282" s="241">
        <f t="shared" si="121"/>
        <v>0</v>
      </c>
      <c r="O282" s="241">
        <f t="shared" si="121"/>
        <v>0</v>
      </c>
      <c r="P282" s="241">
        <f t="shared" si="121"/>
        <v>0</v>
      </c>
      <c r="Q282" s="241">
        <f t="shared" si="121"/>
        <v>0</v>
      </c>
      <c r="R282" s="241">
        <f t="shared" si="121"/>
        <v>0</v>
      </c>
    </row>
    <row r="283" spans="1:18" outlineLevel="1">
      <c r="B283" s="90" t="s">
        <v>200</v>
      </c>
      <c r="C283" s="90"/>
      <c r="D283" s="90"/>
      <c r="E283" s="90"/>
      <c r="F283" s="90"/>
      <c r="G283" s="90"/>
      <c r="H283" s="128"/>
      <c r="I283" s="219">
        <f ca="1">I302+I313</f>
        <v>-640</v>
      </c>
      <c r="J283" s="219">
        <f t="shared" ref="J283:R283" ca="1" si="122">J302+J313</f>
        <v>-640</v>
      </c>
      <c r="K283" s="219">
        <f t="shared" ca="1" si="122"/>
        <v>-640</v>
      </c>
      <c r="L283" s="219">
        <f t="shared" ca="1" si="122"/>
        <v>-640</v>
      </c>
      <c r="M283" s="219">
        <f t="shared" ca="1" si="122"/>
        <v>0</v>
      </c>
      <c r="N283" s="219">
        <f t="shared" ca="1" si="122"/>
        <v>0</v>
      </c>
      <c r="O283" s="219">
        <f t="shared" ca="1" si="122"/>
        <v>0</v>
      </c>
      <c r="P283" s="219">
        <f t="shared" ca="1" si="122"/>
        <v>0</v>
      </c>
      <c r="Q283" s="219">
        <f t="shared" ca="1" si="122"/>
        <v>0</v>
      </c>
      <c r="R283" s="219">
        <f t="shared" ca="1" si="122"/>
        <v>0</v>
      </c>
    </row>
    <row r="284" spans="1:18" outlineLevel="1">
      <c r="B284" s="90" t="s">
        <v>201</v>
      </c>
      <c r="C284" s="90"/>
      <c r="D284" s="90"/>
      <c r="E284" s="90"/>
      <c r="F284" s="90"/>
      <c r="G284" s="90"/>
      <c r="H284" s="128"/>
      <c r="I284" s="219">
        <f t="shared" ref="I284:R284" si="123">+I301+I312</f>
        <v>0</v>
      </c>
      <c r="J284" s="219">
        <f t="shared" si="123"/>
        <v>0</v>
      </c>
      <c r="K284" s="219">
        <f t="shared" si="123"/>
        <v>0</v>
      </c>
      <c r="L284" s="219">
        <f t="shared" si="123"/>
        <v>0</v>
      </c>
      <c r="M284" s="219">
        <f t="shared" si="123"/>
        <v>0</v>
      </c>
      <c r="N284" s="219">
        <f t="shared" si="123"/>
        <v>0</v>
      </c>
      <c r="O284" s="219">
        <f t="shared" si="123"/>
        <v>0</v>
      </c>
      <c r="P284" s="219">
        <f t="shared" si="123"/>
        <v>0</v>
      </c>
      <c r="Q284" s="219">
        <f t="shared" si="123"/>
        <v>0</v>
      </c>
      <c r="R284" s="219">
        <f t="shared" si="123"/>
        <v>0</v>
      </c>
    </row>
    <row r="285" spans="1:18" outlineLevel="1">
      <c r="B285" s="94" t="s">
        <v>202</v>
      </c>
      <c r="C285" s="94"/>
      <c r="D285" s="94"/>
      <c r="E285" s="94"/>
      <c r="F285" s="94"/>
      <c r="G285" s="94"/>
      <c r="H285" s="79"/>
      <c r="I285" s="205">
        <f t="shared" ref="I285:R285" ca="1" si="124">SUM(I280:I284)</f>
        <v>1572.0487734486164</v>
      </c>
      <c r="J285" s="205">
        <f t="shared" ca="1" si="124"/>
        <v>1721.0259937564088</v>
      </c>
      <c r="K285" s="205">
        <f t="shared" ca="1" si="124"/>
        <v>1977.7822299417239</v>
      </c>
      <c r="L285" s="205">
        <f t="shared" ca="1" si="124"/>
        <v>1861.0424606250945</v>
      </c>
      <c r="M285" s="205">
        <f t="shared" ca="1" si="124"/>
        <v>2228.151064665698</v>
      </c>
      <c r="N285" s="205">
        <f t="shared" ca="1" si="124"/>
        <v>2143.5852284990256</v>
      </c>
      <c r="O285" s="205">
        <f t="shared" ca="1" si="124"/>
        <v>2133.2842997402281</v>
      </c>
      <c r="P285" s="205">
        <f t="shared" ca="1" si="124"/>
        <v>2024.5379458373416</v>
      </c>
      <c r="Q285" s="205">
        <f t="shared" ca="1" si="124"/>
        <v>1871.6719717353874</v>
      </c>
      <c r="R285" s="205">
        <f t="shared" ca="1" si="124"/>
        <v>1818.4012589049441</v>
      </c>
    </row>
    <row r="286" spans="1:18" outlineLevel="1">
      <c r="B286" s="90"/>
      <c r="C286" s="90"/>
      <c r="D286" s="90"/>
      <c r="E286" s="90"/>
      <c r="F286" s="90"/>
      <c r="G286" s="90"/>
      <c r="H286" s="90"/>
      <c r="I286" s="206"/>
      <c r="J286" s="206"/>
      <c r="K286" s="206"/>
      <c r="L286" s="206"/>
      <c r="M286" s="206"/>
      <c r="N286" s="24"/>
      <c r="O286" s="24"/>
      <c r="P286" s="24"/>
      <c r="Q286" s="24"/>
      <c r="R286" s="24"/>
    </row>
    <row r="287" spans="1:18" ht="15">
      <c r="B287" s="140" t="s">
        <v>63</v>
      </c>
      <c r="C287" s="90"/>
      <c r="D287" s="90"/>
      <c r="E287" s="90"/>
      <c r="F287" s="90"/>
      <c r="G287" s="90"/>
      <c r="H287" s="90"/>
      <c r="I287" s="206"/>
      <c r="J287" s="206"/>
      <c r="K287" s="206"/>
      <c r="L287" s="206"/>
      <c r="M287" s="206"/>
      <c r="N287" s="24"/>
      <c r="O287" s="24"/>
      <c r="P287" s="24"/>
      <c r="Q287" s="24"/>
      <c r="R287" s="24"/>
    </row>
    <row r="288" spans="1:18">
      <c r="B288" s="90" t="s">
        <v>198</v>
      </c>
      <c r="C288" s="90"/>
      <c r="D288" s="90"/>
      <c r="E288" s="90"/>
      <c r="F288" s="90"/>
      <c r="G288" s="90"/>
      <c r="H288" s="137"/>
      <c r="I288" s="241">
        <f ca="1">H192</f>
        <v>1000</v>
      </c>
      <c r="J288" s="217">
        <f ca="1">I291</f>
        <v>213.97561327569179</v>
      </c>
      <c r="K288" s="217">
        <f t="shared" ref="K288:R288" ca="1" si="125">J291</f>
        <v>0</v>
      </c>
      <c r="L288" s="217">
        <f t="shared" ca="1" si="125"/>
        <v>0</v>
      </c>
      <c r="M288" s="217">
        <f t="shared" ca="1" si="125"/>
        <v>0</v>
      </c>
      <c r="N288" s="217">
        <f t="shared" ca="1" si="125"/>
        <v>0</v>
      </c>
      <c r="O288" s="217">
        <f t="shared" ca="1" si="125"/>
        <v>0</v>
      </c>
      <c r="P288" s="217">
        <f t="shared" ca="1" si="125"/>
        <v>0</v>
      </c>
      <c r="Q288" s="217">
        <f t="shared" ca="1" si="125"/>
        <v>0</v>
      </c>
      <c r="R288" s="217">
        <f t="shared" ca="1" si="125"/>
        <v>0</v>
      </c>
    </row>
    <row r="289" spans="2:18">
      <c r="B289" s="90" t="s">
        <v>201</v>
      </c>
      <c r="C289" s="90"/>
      <c r="D289" s="90"/>
      <c r="E289" s="90"/>
      <c r="F289" s="90"/>
      <c r="G289" s="90"/>
      <c r="H289" s="78"/>
      <c r="I289" s="219">
        <f ca="1">IF(I285&lt;0,-I285,0)</f>
        <v>0</v>
      </c>
      <c r="J289" s="219">
        <f t="shared" ref="J289:R289" ca="1" si="126">IF(J285&lt;0,-J285,0)</f>
        <v>0</v>
      </c>
      <c r="K289" s="219">
        <f t="shared" ca="1" si="126"/>
        <v>0</v>
      </c>
      <c r="L289" s="219">
        <f t="shared" ca="1" si="126"/>
        <v>0</v>
      </c>
      <c r="M289" s="219">
        <f t="shared" ca="1" si="126"/>
        <v>0</v>
      </c>
      <c r="N289" s="219">
        <f t="shared" ca="1" si="126"/>
        <v>0</v>
      </c>
      <c r="O289" s="219">
        <f t="shared" ca="1" si="126"/>
        <v>0</v>
      </c>
      <c r="P289" s="219">
        <f t="shared" ca="1" si="126"/>
        <v>0</v>
      </c>
      <c r="Q289" s="219">
        <f t="shared" ca="1" si="126"/>
        <v>0</v>
      </c>
      <c r="R289" s="219">
        <f t="shared" ca="1" si="126"/>
        <v>0</v>
      </c>
    </row>
    <row r="290" spans="2:18">
      <c r="B290" s="90" t="s">
        <v>203</v>
      </c>
      <c r="C290" s="90"/>
      <c r="D290" s="90" t="s">
        <v>204</v>
      </c>
      <c r="E290" s="90"/>
      <c r="F290" s="243">
        <v>0.5</v>
      </c>
      <c r="G290" s="141"/>
      <c r="H290" s="78"/>
      <c r="I290" s="219">
        <f ca="1">IF(I285&gt;0,-MIN($F$290*I285,I288),0)</f>
        <v>-786.02438672430821</v>
      </c>
      <c r="J290" s="219">
        <f ca="1">IF(J285&gt;0,-MIN($F$290*J285,J288),0)</f>
        <v>-213.97561327569179</v>
      </c>
      <c r="K290" s="219">
        <f t="shared" ref="K290:R290" ca="1" si="127">IF(K285&gt;0,-MIN($F$290*K285,K288),0)</f>
        <v>0</v>
      </c>
      <c r="L290" s="219">
        <f t="shared" ca="1" si="127"/>
        <v>0</v>
      </c>
      <c r="M290" s="219">
        <f t="shared" ca="1" si="127"/>
        <v>0</v>
      </c>
      <c r="N290" s="219">
        <f t="shared" ca="1" si="127"/>
        <v>0</v>
      </c>
      <c r="O290" s="219">
        <f t="shared" ca="1" si="127"/>
        <v>0</v>
      </c>
      <c r="P290" s="219">
        <f t="shared" ca="1" si="127"/>
        <v>0</v>
      </c>
      <c r="Q290" s="219">
        <f t="shared" ca="1" si="127"/>
        <v>0</v>
      </c>
      <c r="R290" s="219">
        <f t="shared" ca="1" si="127"/>
        <v>0</v>
      </c>
    </row>
    <row r="291" spans="2:18">
      <c r="B291" s="147" t="s">
        <v>205</v>
      </c>
      <c r="C291" s="91"/>
      <c r="D291" s="91"/>
      <c r="E291" s="91"/>
      <c r="F291" s="91"/>
      <c r="G291" s="91"/>
      <c r="H291" s="84"/>
      <c r="I291" s="222">
        <f ca="1">SUM(I288:I290)</f>
        <v>213.97561327569179</v>
      </c>
      <c r="J291" s="222">
        <f t="shared" ref="J291:R291" ca="1" si="128">SUM(J288:J290)</f>
        <v>0</v>
      </c>
      <c r="K291" s="222">
        <f t="shared" ca="1" si="128"/>
        <v>0</v>
      </c>
      <c r="L291" s="222">
        <f t="shared" ca="1" si="128"/>
        <v>0</v>
      </c>
      <c r="M291" s="222">
        <f t="shared" ca="1" si="128"/>
        <v>0</v>
      </c>
      <c r="N291" s="222">
        <f t="shared" ca="1" si="128"/>
        <v>0</v>
      </c>
      <c r="O291" s="222">
        <f t="shared" ca="1" si="128"/>
        <v>0</v>
      </c>
      <c r="P291" s="222">
        <f t="shared" ca="1" si="128"/>
        <v>0</v>
      </c>
      <c r="Q291" s="222">
        <f t="shared" ca="1" si="128"/>
        <v>0</v>
      </c>
      <c r="R291" s="222">
        <f t="shared" ca="1" si="128"/>
        <v>0</v>
      </c>
    </row>
    <row r="292" spans="2:18">
      <c r="B292" s="120" t="s">
        <v>206</v>
      </c>
      <c r="C292" s="90"/>
      <c r="D292" s="90" t="s">
        <v>207</v>
      </c>
      <c r="E292" s="90"/>
      <c r="F292" s="244">
        <v>1</v>
      </c>
      <c r="G292" s="142"/>
      <c r="H292" s="78"/>
      <c r="I292" s="219">
        <f ca="1">IF($F$292=1,AVERAGE(I288,I291),I288)</f>
        <v>606.98780663784589</v>
      </c>
      <c r="J292" s="219">
        <f t="shared" ref="J292:R292" ca="1" si="129">IF($F$292=1,AVERAGE(J288,J291),J288)</f>
        <v>106.98780663784589</v>
      </c>
      <c r="K292" s="219">
        <f t="shared" ca="1" si="129"/>
        <v>0</v>
      </c>
      <c r="L292" s="219">
        <f t="shared" ca="1" si="129"/>
        <v>0</v>
      </c>
      <c r="M292" s="219">
        <f t="shared" ca="1" si="129"/>
        <v>0</v>
      </c>
      <c r="N292" s="219">
        <f t="shared" ca="1" si="129"/>
        <v>0</v>
      </c>
      <c r="O292" s="219">
        <f t="shared" ca="1" si="129"/>
        <v>0</v>
      </c>
      <c r="P292" s="219">
        <f t="shared" ca="1" si="129"/>
        <v>0</v>
      </c>
      <c r="Q292" s="219">
        <f t="shared" ca="1" si="129"/>
        <v>0</v>
      </c>
      <c r="R292" s="219">
        <f t="shared" ca="1" si="129"/>
        <v>0</v>
      </c>
    </row>
    <row r="293" spans="2:18">
      <c r="B293" s="120"/>
      <c r="C293" s="90"/>
      <c r="D293" s="90"/>
      <c r="E293" s="90"/>
      <c r="F293" s="90"/>
      <c r="G293" s="90"/>
      <c r="H293" s="90"/>
      <c r="I293" s="206"/>
      <c r="J293" s="206"/>
      <c r="K293" s="206"/>
      <c r="L293" s="206"/>
      <c r="M293" s="206"/>
      <c r="N293" s="24"/>
      <c r="O293" s="24"/>
      <c r="P293" s="24"/>
      <c r="Q293" s="24"/>
      <c r="R293" s="24"/>
    </row>
    <row r="294" spans="2:18" outlineLevel="1">
      <c r="B294" s="120" t="s">
        <v>392</v>
      </c>
      <c r="C294" s="90"/>
      <c r="D294" s="90"/>
      <c r="E294" s="90"/>
      <c r="F294" s="90"/>
      <c r="G294" s="90"/>
      <c r="H294" s="90"/>
      <c r="I294" s="206">
        <f t="shared" ref="I294:R294" ca="1" si="130">+(I173*$E$46)+(I174*$E$47)</f>
        <v>3625.6268346379647</v>
      </c>
      <c r="J294" s="206">
        <f t="shared" ca="1" si="130"/>
        <v>3550.2611301369861</v>
      </c>
      <c r="K294" s="206">
        <f t="shared" ca="1" si="130"/>
        <v>3468.4212328767126</v>
      </c>
      <c r="L294" s="206">
        <f t="shared" ca="1" si="130"/>
        <v>3384.3680136986304</v>
      </c>
      <c r="M294" s="206">
        <f t="shared" ca="1" si="130"/>
        <v>3384.3680136986304</v>
      </c>
      <c r="N294" s="206">
        <f t="shared" ca="1" si="130"/>
        <v>3384.3680136986304</v>
      </c>
      <c r="O294" s="206">
        <f t="shared" ca="1" si="130"/>
        <v>3384.3680136986304</v>
      </c>
      <c r="P294" s="206">
        <f t="shared" ca="1" si="130"/>
        <v>3384.3680136986304</v>
      </c>
      <c r="Q294" s="206">
        <f t="shared" ca="1" si="130"/>
        <v>3384.3680136986304</v>
      </c>
      <c r="R294" s="206">
        <f t="shared" ca="1" si="130"/>
        <v>3384.3680136986304</v>
      </c>
    </row>
    <row r="295" spans="2:18" ht="15" outlineLevel="1">
      <c r="B295" s="357" t="s">
        <v>393</v>
      </c>
      <c r="C295" s="358"/>
      <c r="D295" s="358"/>
      <c r="E295" s="358"/>
      <c r="F295" s="358"/>
      <c r="G295" s="358"/>
      <c r="H295" s="358"/>
      <c r="I295" s="359" t="str">
        <f ca="1">+IF(I294&gt;I292,"PASS","FAIL")</f>
        <v>PASS</v>
      </c>
      <c r="J295" s="359" t="str">
        <f t="shared" ref="J295:R295" ca="1" si="131">+IF(J294&gt;J292,"PASS","FAIL")</f>
        <v>PASS</v>
      </c>
      <c r="K295" s="359" t="str">
        <f t="shared" ca="1" si="131"/>
        <v>PASS</v>
      </c>
      <c r="L295" s="359" t="str">
        <f t="shared" ca="1" si="131"/>
        <v>PASS</v>
      </c>
      <c r="M295" s="359" t="str">
        <f t="shared" ca="1" si="131"/>
        <v>PASS</v>
      </c>
      <c r="N295" s="359" t="str">
        <f t="shared" ca="1" si="131"/>
        <v>PASS</v>
      </c>
      <c r="O295" s="359" t="str">
        <f t="shared" ca="1" si="131"/>
        <v>PASS</v>
      </c>
      <c r="P295" s="359" t="str">
        <f t="shared" ca="1" si="131"/>
        <v>PASS</v>
      </c>
      <c r="Q295" s="359" t="str">
        <f t="shared" ca="1" si="131"/>
        <v>PASS</v>
      </c>
      <c r="R295" s="359" t="str">
        <f t="shared" ca="1" si="131"/>
        <v>PASS</v>
      </c>
    </row>
    <row r="296" spans="2:18" outlineLevel="1">
      <c r="B296" s="120"/>
      <c r="C296" s="90"/>
      <c r="D296" s="90"/>
      <c r="E296" s="90"/>
      <c r="F296" s="90"/>
      <c r="G296" s="90"/>
      <c r="H296" s="90"/>
      <c r="I296" s="206"/>
      <c r="J296" s="206"/>
      <c r="K296" s="206"/>
      <c r="L296" s="206"/>
      <c r="M296" s="206"/>
      <c r="N296" s="24"/>
      <c r="O296" s="24"/>
      <c r="P296" s="24"/>
      <c r="Q296" s="24"/>
      <c r="R296" s="24"/>
    </row>
    <row r="297" spans="2:18" outlineLevel="1">
      <c r="B297" s="143" t="s">
        <v>292</v>
      </c>
      <c r="C297" s="90"/>
      <c r="D297" s="90"/>
      <c r="E297" s="90"/>
      <c r="F297" s="90"/>
      <c r="G297" s="90"/>
      <c r="H297" s="78"/>
      <c r="I297" s="219">
        <f t="shared" ref="I297:R297" ca="1" si="132">I285+SUM(I289:I290)</f>
        <v>786.02438672430821</v>
      </c>
      <c r="J297" s="219">
        <f t="shared" ca="1" si="132"/>
        <v>1507.050380480717</v>
      </c>
      <c r="K297" s="219">
        <f t="shared" ca="1" si="132"/>
        <v>1977.7822299417239</v>
      </c>
      <c r="L297" s="219">
        <f t="shared" ca="1" si="132"/>
        <v>1861.0424606250945</v>
      </c>
      <c r="M297" s="219">
        <f t="shared" ca="1" si="132"/>
        <v>2228.151064665698</v>
      </c>
      <c r="N297" s="219">
        <f t="shared" ca="1" si="132"/>
        <v>2143.5852284990256</v>
      </c>
      <c r="O297" s="219">
        <f t="shared" ca="1" si="132"/>
        <v>2133.2842997402281</v>
      </c>
      <c r="P297" s="219">
        <f t="shared" ca="1" si="132"/>
        <v>2024.5379458373416</v>
      </c>
      <c r="Q297" s="219">
        <f t="shared" ca="1" si="132"/>
        <v>1871.6719717353874</v>
      </c>
      <c r="R297" s="219">
        <f t="shared" ca="1" si="132"/>
        <v>1818.4012589049441</v>
      </c>
    </row>
    <row r="298" spans="2:18" outlineLevel="1">
      <c r="B298" s="90"/>
      <c r="C298" s="90"/>
      <c r="D298" s="90"/>
      <c r="E298" s="90"/>
      <c r="F298" s="90"/>
      <c r="G298" s="90"/>
      <c r="H298" s="90"/>
      <c r="I298" s="206"/>
      <c r="J298" s="206"/>
      <c r="K298" s="206"/>
      <c r="L298" s="206"/>
      <c r="M298" s="206"/>
      <c r="N298" s="24"/>
      <c r="O298" s="24"/>
      <c r="P298" s="24"/>
      <c r="Q298" s="24"/>
      <c r="R298" s="24"/>
    </row>
    <row r="299" spans="2:18" ht="15">
      <c r="B299" s="140" t="s">
        <v>143</v>
      </c>
      <c r="C299" s="90"/>
      <c r="D299" s="90"/>
      <c r="E299" s="90"/>
      <c r="F299" s="90"/>
      <c r="G299" s="90"/>
      <c r="H299" s="90"/>
      <c r="I299" s="206"/>
      <c r="J299" s="206"/>
      <c r="K299" s="206"/>
      <c r="L299" s="206"/>
      <c r="M299" s="206"/>
      <c r="N299" s="24"/>
      <c r="O299" s="24"/>
      <c r="P299" s="24"/>
      <c r="Q299" s="24"/>
      <c r="R299" s="24"/>
    </row>
    <row r="300" spans="2:18">
      <c r="B300" s="90" t="s">
        <v>198</v>
      </c>
      <c r="C300" s="90"/>
      <c r="D300" s="90"/>
      <c r="E300" s="90"/>
      <c r="F300" s="244"/>
      <c r="G300" s="142"/>
      <c r="H300" s="137"/>
      <c r="I300" s="241">
        <f ca="1">H193</f>
        <v>8000</v>
      </c>
      <c r="J300" s="217">
        <f ca="1">I305</f>
        <v>6573.975613275692</v>
      </c>
      <c r="K300" s="217">
        <f t="shared" ref="K300:R300" ca="1" si="133">J305</f>
        <v>4426.9252327949753</v>
      </c>
      <c r="L300" s="217">
        <f t="shared" ca="1" si="133"/>
        <v>1809.1430028532513</v>
      </c>
      <c r="M300" s="217">
        <f t="shared" ca="1" si="133"/>
        <v>0</v>
      </c>
      <c r="N300" s="217">
        <f t="shared" ca="1" si="133"/>
        <v>0</v>
      </c>
      <c r="O300" s="217">
        <f t="shared" ca="1" si="133"/>
        <v>0</v>
      </c>
      <c r="P300" s="217">
        <f t="shared" ca="1" si="133"/>
        <v>0</v>
      </c>
      <c r="Q300" s="217">
        <f t="shared" ca="1" si="133"/>
        <v>0</v>
      </c>
      <c r="R300" s="217">
        <f t="shared" ca="1" si="133"/>
        <v>0</v>
      </c>
    </row>
    <row r="301" spans="2:18">
      <c r="B301" s="90" t="s">
        <v>208</v>
      </c>
      <c r="C301" s="90"/>
      <c r="D301" s="90"/>
      <c r="E301" s="90"/>
      <c r="F301" s="242"/>
      <c r="G301" s="144"/>
      <c r="H301" s="126"/>
      <c r="I301" s="203">
        <v>0</v>
      </c>
      <c r="J301" s="217">
        <f>I301</f>
        <v>0</v>
      </c>
      <c r="K301" s="217">
        <f t="shared" ref="K301:R301" si="134">J301</f>
        <v>0</v>
      </c>
      <c r="L301" s="217">
        <f t="shared" si="134"/>
        <v>0</v>
      </c>
      <c r="M301" s="217">
        <f t="shared" si="134"/>
        <v>0</v>
      </c>
      <c r="N301" s="217">
        <f t="shared" si="134"/>
        <v>0</v>
      </c>
      <c r="O301" s="217">
        <f t="shared" si="134"/>
        <v>0</v>
      </c>
      <c r="P301" s="217">
        <f t="shared" si="134"/>
        <v>0</v>
      </c>
      <c r="Q301" s="217">
        <f t="shared" si="134"/>
        <v>0</v>
      </c>
      <c r="R301" s="217">
        <f t="shared" si="134"/>
        <v>0</v>
      </c>
    </row>
    <row r="302" spans="2:18">
      <c r="B302" s="90" t="s">
        <v>200</v>
      </c>
      <c r="C302" s="90"/>
      <c r="E302" s="90"/>
      <c r="G302" s="90"/>
      <c r="H302" s="414"/>
      <c r="I302" s="219">
        <f t="shared" ref="I302:R302" ca="1" si="135">-MIN(I300,$I300*I304)</f>
        <v>-640</v>
      </c>
      <c r="J302" s="219">
        <f t="shared" ca="1" si="135"/>
        <v>-640</v>
      </c>
      <c r="K302" s="219">
        <f t="shared" ca="1" si="135"/>
        <v>-640</v>
      </c>
      <c r="L302" s="219">
        <f t="shared" ca="1" si="135"/>
        <v>-640</v>
      </c>
      <c r="M302" s="219">
        <f t="shared" ca="1" si="135"/>
        <v>0</v>
      </c>
      <c r="N302" s="219">
        <f t="shared" ca="1" si="135"/>
        <v>0</v>
      </c>
      <c r="O302" s="219">
        <f t="shared" ca="1" si="135"/>
        <v>0</v>
      </c>
      <c r="P302" s="219">
        <f t="shared" ca="1" si="135"/>
        <v>0</v>
      </c>
      <c r="Q302" s="219">
        <f t="shared" ca="1" si="135"/>
        <v>0</v>
      </c>
      <c r="R302" s="219">
        <f t="shared" ca="1" si="135"/>
        <v>0</v>
      </c>
    </row>
    <row r="303" spans="2:18">
      <c r="B303" s="90" t="s">
        <v>203</v>
      </c>
      <c r="C303" s="90"/>
      <c r="D303" s="90" t="s">
        <v>210</v>
      </c>
      <c r="E303" s="90"/>
      <c r="F303" s="244">
        <v>1</v>
      </c>
      <c r="G303" s="243">
        <v>1</v>
      </c>
      <c r="H303" s="78"/>
      <c r="I303" s="219">
        <f ca="1">IF($F$303=1,-MIN((I297*$G$303),I300+I301+I302),0)</f>
        <v>-786.02438672430821</v>
      </c>
      <c r="J303" s="219">
        <f t="shared" ref="J303:R303" ca="1" si="136">IF($F$303=1,-MIN((J297*$G$303),J300+J301+J302),0)</f>
        <v>-1507.050380480717</v>
      </c>
      <c r="K303" s="219">
        <f t="shared" ca="1" si="136"/>
        <v>-1977.7822299417239</v>
      </c>
      <c r="L303" s="219">
        <f t="shared" ca="1" si="136"/>
        <v>-1169.1430028532513</v>
      </c>
      <c r="M303" s="219">
        <f t="shared" ca="1" si="136"/>
        <v>0</v>
      </c>
      <c r="N303" s="219">
        <f t="shared" ca="1" si="136"/>
        <v>0</v>
      </c>
      <c r="O303" s="219">
        <f t="shared" ca="1" si="136"/>
        <v>0</v>
      </c>
      <c r="P303" s="219">
        <f t="shared" ca="1" si="136"/>
        <v>0</v>
      </c>
      <c r="Q303" s="219">
        <f t="shared" ca="1" si="136"/>
        <v>0</v>
      </c>
      <c r="R303" s="219">
        <f t="shared" ca="1" si="136"/>
        <v>0</v>
      </c>
    </row>
    <row r="304" spans="2:18">
      <c r="B304" s="90" t="s">
        <v>424</v>
      </c>
      <c r="C304" s="90"/>
      <c r="D304" s="437">
        <v>3</v>
      </c>
      <c r="E304" s="419"/>
      <c r="F304" s="415"/>
      <c r="I304" s="418">
        <f ca="1">I519</f>
        <v>0.08</v>
      </c>
      <c r="J304" s="418">
        <f t="shared" ref="J304:R304" ca="1" si="137">J519</f>
        <v>0.08</v>
      </c>
      <c r="K304" s="418">
        <f t="shared" ca="1" si="137"/>
        <v>0.08</v>
      </c>
      <c r="L304" s="418">
        <f t="shared" ca="1" si="137"/>
        <v>0.08</v>
      </c>
      <c r="M304" s="418">
        <f t="shared" ca="1" si="137"/>
        <v>0.08</v>
      </c>
      <c r="N304" s="418">
        <f t="shared" ca="1" si="137"/>
        <v>0.08</v>
      </c>
      <c r="O304" s="418">
        <f t="shared" ca="1" si="137"/>
        <v>0.08</v>
      </c>
      <c r="P304" s="418">
        <f t="shared" ca="1" si="137"/>
        <v>0.08</v>
      </c>
      <c r="Q304" s="418">
        <f t="shared" ca="1" si="137"/>
        <v>0.08</v>
      </c>
      <c r="R304" s="418">
        <f t="shared" ca="1" si="137"/>
        <v>0.08</v>
      </c>
    </row>
    <row r="305" spans="2:18">
      <c r="B305" s="147" t="s">
        <v>205</v>
      </c>
      <c r="C305" s="91"/>
      <c r="D305" s="91"/>
      <c r="E305" s="91"/>
      <c r="F305" s="145"/>
      <c r="G305" s="145"/>
      <c r="H305" s="84"/>
      <c r="I305" s="222">
        <f t="shared" ref="I305:R305" ca="1" si="138">SUM(I300:I303)</f>
        <v>6573.975613275692</v>
      </c>
      <c r="J305" s="222">
        <f t="shared" ca="1" si="138"/>
        <v>4426.9252327949753</v>
      </c>
      <c r="K305" s="222">
        <f t="shared" ca="1" si="138"/>
        <v>1809.1430028532513</v>
      </c>
      <c r="L305" s="222">
        <f t="shared" ca="1" si="138"/>
        <v>0</v>
      </c>
      <c r="M305" s="222">
        <f t="shared" ca="1" si="138"/>
        <v>0</v>
      </c>
      <c r="N305" s="222">
        <f t="shared" ca="1" si="138"/>
        <v>0</v>
      </c>
      <c r="O305" s="222">
        <f t="shared" ca="1" si="138"/>
        <v>0</v>
      </c>
      <c r="P305" s="222">
        <f t="shared" ca="1" si="138"/>
        <v>0</v>
      </c>
      <c r="Q305" s="222">
        <f t="shared" ca="1" si="138"/>
        <v>0</v>
      </c>
      <c r="R305" s="222">
        <f t="shared" ca="1" si="138"/>
        <v>0</v>
      </c>
    </row>
    <row r="306" spans="2:18">
      <c r="B306" s="120" t="s">
        <v>206</v>
      </c>
      <c r="C306" s="90"/>
      <c r="D306" s="90" t="s">
        <v>207</v>
      </c>
      <c r="E306" s="90"/>
      <c r="F306" s="244">
        <v>1</v>
      </c>
      <c r="G306" s="142"/>
      <c r="H306" s="78"/>
      <c r="I306" s="219">
        <f t="shared" ref="I306:R306" ca="1" si="139">IF($F$306=1,AVERAGE(I300,I305),I300)</f>
        <v>7286.987806637846</v>
      </c>
      <c r="J306" s="219">
        <f t="shared" ca="1" si="139"/>
        <v>5500.4504230353341</v>
      </c>
      <c r="K306" s="219">
        <f t="shared" ca="1" si="139"/>
        <v>3118.0341178241133</v>
      </c>
      <c r="L306" s="219">
        <f t="shared" ca="1" si="139"/>
        <v>904.57150142662567</v>
      </c>
      <c r="M306" s="219">
        <f t="shared" ca="1" si="139"/>
        <v>0</v>
      </c>
      <c r="N306" s="219">
        <f t="shared" ca="1" si="139"/>
        <v>0</v>
      </c>
      <c r="O306" s="219">
        <f t="shared" ca="1" si="139"/>
        <v>0</v>
      </c>
      <c r="P306" s="219">
        <f t="shared" ca="1" si="139"/>
        <v>0</v>
      </c>
      <c r="Q306" s="219">
        <f t="shared" ca="1" si="139"/>
        <v>0</v>
      </c>
      <c r="R306" s="219">
        <f t="shared" ca="1" si="139"/>
        <v>0</v>
      </c>
    </row>
    <row r="307" spans="2:18">
      <c r="B307" s="90"/>
      <c r="C307" s="90"/>
      <c r="D307" s="90"/>
      <c r="E307" s="90"/>
      <c r="F307" s="90"/>
      <c r="G307" s="90"/>
      <c r="H307" s="90"/>
      <c r="I307" s="206"/>
      <c r="J307" s="206"/>
      <c r="K307" s="206"/>
      <c r="L307" s="206"/>
      <c r="M307" s="206"/>
      <c r="N307" s="206"/>
      <c r="O307" s="206"/>
      <c r="P307" s="206"/>
      <c r="Q307" s="206"/>
      <c r="R307" s="206"/>
    </row>
    <row r="308" spans="2:18" outlineLevel="1">
      <c r="B308" s="143" t="s">
        <v>213</v>
      </c>
      <c r="C308" s="90"/>
      <c r="D308" s="90"/>
      <c r="E308" s="90"/>
      <c r="F308" s="90"/>
      <c r="G308" s="90"/>
      <c r="H308" s="78"/>
      <c r="I308" s="219">
        <f t="shared" ref="I308:R308" ca="1" si="140">I297+I303</f>
        <v>0</v>
      </c>
      <c r="J308" s="219">
        <f t="shared" ca="1" si="140"/>
        <v>0</v>
      </c>
      <c r="K308" s="219">
        <f t="shared" ca="1" si="140"/>
        <v>0</v>
      </c>
      <c r="L308" s="219">
        <f t="shared" ca="1" si="140"/>
        <v>691.89945777184312</v>
      </c>
      <c r="M308" s="219">
        <f t="shared" ca="1" si="140"/>
        <v>2228.151064665698</v>
      </c>
      <c r="N308" s="219">
        <f t="shared" ca="1" si="140"/>
        <v>2143.5852284990256</v>
      </c>
      <c r="O308" s="219">
        <f t="shared" ca="1" si="140"/>
        <v>2133.2842997402281</v>
      </c>
      <c r="P308" s="219">
        <f t="shared" ca="1" si="140"/>
        <v>2024.5379458373416</v>
      </c>
      <c r="Q308" s="219">
        <f t="shared" ca="1" si="140"/>
        <v>1871.6719717353874</v>
      </c>
      <c r="R308" s="219">
        <f t="shared" ca="1" si="140"/>
        <v>1818.4012589049441</v>
      </c>
    </row>
    <row r="309" spans="2:18" outlineLevel="1">
      <c r="B309" s="90"/>
      <c r="C309" s="90"/>
      <c r="D309" s="90"/>
      <c r="E309" s="90"/>
      <c r="F309" s="90"/>
      <c r="G309" s="90"/>
      <c r="H309" s="90"/>
      <c r="I309" s="206"/>
      <c r="J309" s="206"/>
      <c r="K309" s="206"/>
      <c r="L309" s="206"/>
      <c r="M309" s="206"/>
      <c r="N309" s="24"/>
      <c r="O309" s="24"/>
      <c r="P309" s="24"/>
      <c r="Q309" s="24"/>
      <c r="R309" s="24"/>
    </row>
    <row r="310" spans="2:18" ht="15">
      <c r="B310" s="140" t="s">
        <v>136</v>
      </c>
      <c r="C310" s="90"/>
      <c r="D310" s="90"/>
      <c r="E310" s="90"/>
      <c r="F310" s="90"/>
      <c r="G310" s="90"/>
      <c r="H310" s="90"/>
      <c r="I310" s="206"/>
      <c r="J310" s="206"/>
      <c r="K310" s="206"/>
      <c r="L310" s="206"/>
      <c r="M310" s="206"/>
      <c r="N310" s="24"/>
      <c r="O310" s="24"/>
      <c r="P310" s="24"/>
      <c r="Q310" s="24"/>
      <c r="R310" s="24"/>
    </row>
    <row r="311" spans="2:18">
      <c r="B311" s="90" t="s">
        <v>198</v>
      </c>
      <c r="C311" s="90"/>
      <c r="D311" s="90" t="s">
        <v>211</v>
      </c>
      <c r="E311" s="90"/>
      <c r="F311" s="244">
        <v>0</v>
      </c>
      <c r="G311" s="142"/>
      <c r="H311" s="137"/>
      <c r="I311" s="241">
        <f ca="1">H194</f>
        <v>10000</v>
      </c>
      <c r="J311" s="217">
        <f ca="1">I316</f>
        <v>10202.020202020201</v>
      </c>
      <c r="K311" s="217">
        <f t="shared" ref="K311:R311" ca="1" si="141">J316</f>
        <v>10408.121620242831</v>
      </c>
      <c r="L311" s="217">
        <f t="shared" ca="1" si="141"/>
        <v>10618.386703480061</v>
      </c>
      <c r="M311" s="217">
        <f t="shared" ca="1" si="141"/>
        <v>10832.899566176628</v>
      </c>
      <c r="N311" s="217">
        <f t="shared" ca="1" si="141"/>
        <v>11051.746022058984</v>
      </c>
      <c r="O311" s="217">
        <f t="shared" ca="1" si="141"/>
        <v>11275.013618464216</v>
      </c>
      <c r="P311" s="217">
        <f t="shared" ca="1" si="141"/>
        <v>11502.791671362484</v>
      </c>
      <c r="Q311" s="217">
        <f t="shared" ca="1" si="141"/>
        <v>11735.171301086979</v>
      </c>
      <c r="R311" s="217">
        <f t="shared" ca="1" si="141"/>
        <v>11972.245468785706</v>
      </c>
    </row>
    <row r="312" spans="2:18">
      <c r="B312" s="90" t="s">
        <v>208</v>
      </c>
      <c r="C312" s="90"/>
      <c r="D312" s="90" t="s">
        <v>209</v>
      </c>
      <c r="E312" s="90"/>
      <c r="F312" s="243">
        <v>0</v>
      </c>
      <c r="G312" s="144"/>
      <c r="H312" s="126"/>
      <c r="I312" s="203">
        <v>0</v>
      </c>
      <c r="J312" s="217">
        <f>I312</f>
        <v>0</v>
      </c>
      <c r="K312" s="217">
        <f t="shared" ref="K312:R312" si="142">J312</f>
        <v>0</v>
      </c>
      <c r="L312" s="217">
        <f t="shared" si="142"/>
        <v>0</v>
      </c>
      <c r="M312" s="217">
        <f t="shared" si="142"/>
        <v>0</v>
      </c>
      <c r="N312" s="217">
        <f t="shared" si="142"/>
        <v>0</v>
      </c>
      <c r="O312" s="217">
        <f t="shared" si="142"/>
        <v>0</v>
      </c>
      <c r="P312" s="217">
        <f t="shared" si="142"/>
        <v>0</v>
      </c>
      <c r="Q312" s="217">
        <f t="shared" si="142"/>
        <v>0</v>
      </c>
      <c r="R312" s="217">
        <f t="shared" si="142"/>
        <v>0</v>
      </c>
    </row>
    <row r="313" spans="2:18">
      <c r="B313" s="90" t="s">
        <v>200</v>
      </c>
      <c r="C313" s="90"/>
      <c r="D313" s="90"/>
      <c r="E313" s="90"/>
      <c r="F313" s="90"/>
      <c r="G313" s="90"/>
      <c r="H313" s="78"/>
      <c r="I313" s="219">
        <f>IF($F$311=1,-MIN($I$311*$F$312,I311),0)</f>
        <v>0</v>
      </c>
      <c r="J313" s="219">
        <f t="shared" ref="J313:R313" si="143">IF($F$311=1,-MIN($I$311*$F$312,J311),0)</f>
        <v>0</v>
      </c>
      <c r="K313" s="219">
        <f t="shared" si="143"/>
        <v>0</v>
      </c>
      <c r="L313" s="219">
        <f t="shared" si="143"/>
        <v>0</v>
      </c>
      <c r="M313" s="219">
        <f t="shared" si="143"/>
        <v>0</v>
      </c>
      <c r="N313" s="219">
        <f t="shared" si="143"/>
        <v>0</v>
      </c>
      <c r="O313" s="219">
        <f t="shared" si="143"/>
        <v>0</v>
      </c>
      <c r="P313" s="219">
        <f t="shared" si="143"/>
        <v>0</v>
      </c>
      <c r="Q313" s="219">
        <f t="shared" si="143"/>
        <v>0</v>
      </c>
      <c r="R313" s="219">
        <f t="shared" si="143"/>
        <v>0</v>
      </c>
    </row>
    <row r="314" spans="2:18">
      <c r="B314" s="120" t="s">
        <v>212</v>
      </c>
      <c r="C314" s="90"/>
      <c r="D314" s="90"/>
      <c r="E314" s="90"/>
      <c r="F314" s="440">
        <f ca="1">K33</f>
        <v>0.02</v>
      </c>
      <c r="G314" s="90"/>
      <c r="H314" s="78"/>
      <c r="I314" s="219">
        <f ca="1">I357</f>
        <v>202.02020202020202</v>
      </c>
      <c r="J314" s="219">
        <f t="shared" ref="J314:R314" ca="1" si="144">J357</f>
        <v>206.10141822263031</v>
      </c>
      <c r="K314" s="219">
        <f t="shared" ca="1" si="144"/>
        <v>210.26508323722891</v>
      </c>
      <c r="L314" s="219">
        <f t="shared" ca="1" si="144"/>
        <v>214.51286269656688</v>
      </c>
      <c r="M314" s="219">
        <f t="shared" ca="1" si="144"/>
        <v>218.84645588235611</v>
      </c>
      <c r="N314" s="219">
        <f t="shared" ca="1" si="144"/>
        <v>223.26759640523201</v>
      </c>
      <c r="O314" s="219">
        <f t="shared" ca="1" si="144"/>
        <v>227.77805289826699</v>
      </c>
      <c r="P314" s="219">
        <f t="shared" ca="1" si="144"/>
        <v>232.37962972449463</v>
      </c>
      <c r="Q314" s="219">
        <f t="shared" ca="1" si="144"/>
        <v>237.07416769872685</v>
      </c>
      <c r="R314" s="219">
        <f t="shared" ca="1" si="144"/>
        <v>241.86354482395365</v>
      </c>
    </row>
    <row r="315" spans="2:18">
      <c r="B315" s="90" t="s">
        <v>203</v>
      </c>
      <c r="C315" s="90"/>
      <c r="D315" s="90" t="s">
        <v>210</v>
      </c>
      <c r="E315" s="90"/>
      <c r="F315" s="244">
        <v>0</v>
      </c>
      <c r="G315" s="142"/>
      <c r="H315" s="80"/>
      <c r="I315" s="219">
        <f>IF($F$315=1,-MIN(I308,SUM(I311:I313)),0)</f>
        <v>0</v>
      </c>
      <c r="J315" s="219">
        <f t="shared" ref="J315:R315" si="145">IF($F$315=1,-MIN(J308,SUM(J311:J313)),0)</f>
        <v>0</v>
      </c>
      <c r="K315" s="219">
        <f t="shared" si="145"/>
        <v>0</v>
      </c>
      <c r="L315" s="219">
        <f t="shared" si="145"/>
        <v>0</v>
      </c>
      <c r="M315" s="219">
        <f t="shared" si="145"/>
        <v>0</v>
      </c>
      <c r="N315" s="219">
        <f t="shared" si="145"/>
        <v>0</v>
      </c>
      <c r="O315" s="219">
        <f t="shared" si="145"/>
        <v>0</v>
      </c>
      <c r="P315" s="219">
        <f t="shared" si="145"/>
        <v>0</v>
      </c>
      <c r="Q315" s="219">
        <f t="shared" si="145"/>
        <v>0</v>
      </c>
      <c r="R315" s="219">
        <f t="shared" si="145"/>
        <v>0</v>
      </c>
    </row>
    <row r="316" spans="2:18">
      <c r="B316" s="147" t="s">
        <v>205</v>
      </c>
      <c r="C316" s="91"/>
      <c r="D316" s="91"/>
      <c r="E316" s="91"/>
      <c r="F316" s="91"/>
      <c r="G316" s="91"/>
      <c r="H316" s="84"/>
      <c r="I316" s="222">
        <f ca="1">SUM(I311:I315)</f>
        <v>10202.020202020201</v>
      </c>
      <c r="J316" s="222">
        <f t="shared" ref="J316:R316" ca="1" si="146">SUM(J311:J315)</f>
        <v>10408.121620242831</v>
      </c>
      <c r="K316" s="222">
        <f t="shared" ca="1" si="146"/>
        <v>10618.386703480061</v>
      </c>
      <c r="L316" s="222">
        <f t="shared" ca="1" si="146"/>
        <v>10832.899566176628</v>
      </c>
      <c r="M316" s="222">
        <f t="shared" ca="1" si="146"/>
        <v>11051.746022058984</v>
      </c>
      <c r="N316" s="222">
        <f t="shared" ca="1" si="146"/>
        <v>11275.013618464216</v>
      </c>
      <c r="O316" s="222">
        <f t="shared" ca="1" si="146"/>
        <v>11502.791671362484</v>
      </c>
      <c r="P316" s="222">
        <f t="shared" ca="1" si="146"/>
        <v>11735.171301086979</v>
      </c>
      <c r="Q316" s="222">
        <f t="shared" ca="1" si="146"/>
        <v>11972.245468785706</v>
      </c>
      <c r="R316" s="222">
        <f t="shared" ca="1" si="146"/>
        <v>12214.109013609659</v>
      </c>
    </row>
    <row r="317" spans="2:18">
      <c r="B317" s="90" t="s">
        <v>206</v>
      </c>
      <c r="C317" s="90"/>
      <c r="D317" s="120" t="s">
        <v>207</v>
      </c>
      <c r="E317" s="90"/>
      <c r="F317" s="244">
        <v>1</v>
      </c>
      <c r="G317" s="142"/>
      <c r="H317" s="78"/>
      <c r="I317" s="219">
        <f ca="1">IF($F$317=1,AVERAGE(I311,I316),I311)</f>
        <v>10101.010101010101</v>
      </c>
      <c r="J317" s="219">
        <f t="shared" ref="J317:R317" ca="1" si="147">IF($F$317=1,AVERAGE(J311,J316),J311)</f>
        <v>10305.070911131515</v>
      </c>
      <c r="K317" s="219">
        <f t="shared" ca="1" si="147"/>
        <v>10513.254161861445</v>
      </c>
      <c r="L317" s="219">
        <f t="shared" ca="1" si="147"/>
        <v>10725.643134828344</v>
      </c>
      <c r="M317" s="219">
        <f t="shared" ca="1" si="147"/>
        <v>10942.322794117805</v>
      </c>
      <c r="N317" s="219">
        <f t="shared" ca="1" si="147"/>
        <v>11163.3798202616</v>
      </c>
      <c r="O317" s="219">
        <f t="shared" ca="1" si="147"/>
        <v>11388.902644913349</v>
      </c>
      <c r="P317" s="219">
        <f t="shared" ca="1" si="147"/>
        <v>11618.981486224731</v>
      </c>
      <c r="Q317" s="219">
        <f t="shared" ca="1" si="147"/>
        <v>11853.708384936343</v>
      </c>
      <c r="R317" s="219">
        <f t="shared" ca="1" si="147"/>
        <v>12093.177241197682</v>
      </c>
    </row>
    <row r="318" spans="2:18">
      <c r="B318" s="90"/>
      <c r="C318" s="90"/>
      <c r="D318" s="120"/>
      <c r="E318" s="90"/>
      <c r="F318" s="244"/>
      <c r="G318" s="142"/>
      <c r="H318" s="78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</row>
    <row r="319" spans="2:18" outlineLevel="1">
      <c r="B319" s="143" t="s">
        <v>429</v>
      </c>
      <c r="C319" s="90"/>
      <c r="D319" s="90"/>
      <c r="E319" s="90"/>
      <c r="F319" s="90"/>
      <c r="G319" s="90"/>
      <c r="H319" s="78"/>
      <c r="I319" s="219">
        <f ca="1">+I297+I303+I315</f>
        <v>0</v>
      </c>
      <c r="J319" s="219">
        <f t="shared" ref="J319:R319" ca="1" si="148">+J297+J303+J315</f>
        <v>0</v>
      </c>
      <c r="K319" s="219">
        <f t="shared" ca="1" si="148"/>
        <v>0</v>
      </c>
      <c r="L319" s="219">
        <f t="shared" ca="1" si="148"/>
        <v>691.89945777184312</v>
      </c>
      <c r="M319" s="219">
        <f t="shared" ca="1" si="148"/>
        <v>2228.151064665698</v>
      </c>
      <c r="N319" s="219">
        <f t="shared" ca="1" si="148"/>
        <v>2143.5852284990256</v>
      </c>
      <c r="O319" s="219">
        <f t="shared" ca="1" si="148"/>
        <v>2133.2842997402281</v>
      </c>
      <c r="P319" s="219">
        <f t="shared" ca="1" si="148"/>
        <v>2024.5379458373416</v>
      </c>
      <c r="Q319" s="219">
        <f t="shared" ca="1" si="148"/>
        <v>1871.6719717353874</v>
      </c>
      <c r="R319" s="219">
        <f t="shared" ca="1" si="148"/>
        <v>1818.4012589049441</v>
      </c>
    </row>
    <row r="320" spans="2:18" outlineLevel="1">
      <c r="B320" s="90"/>
      <c r="C320" s="90"/>
      <c r="D320" s="90"/>
      <c r="E320" s="90"/>
      <c r="F320" s="90"/>
      <c r="G320" s="90"/>
      <c r="H320" s="90"/>
      <c r="I320" s="206"/>
      <c r="J320" s="206"/>
      <c r="K320" s="206"/>
      <c r="L320" s="206"/>
      <c r="M320" s="206"/>
      <c r="N320" s="24"/>
      <c r="O320" s="24"/>
      <c r="P320" s="24"/>
      <c r="Q320" s="24"/>
      <c r="R320" s="24"/>
    </row>
    <row r="321" spans="1:18" ht="15">
      <c r="B321" s="140" t="s">
        <v>430</v>
      </c>
      <c r="C321" s="90"/>
      <c r="D321" s="90"/>
      <c r="E321" s="90"/>
      <c r="F321" s="90"/>
      <c r="G321" s="90"/>
      <c r="H321" s="90"/>
      <c r="I321" s="206"/>
      <c r="J321" s="206"/>
      <c r="K321" s="206"/>
      <c r="L321" s="206"/>
      <c r="M321" s="206"/>
      <c r="N321" s="24"/>
      <c r="O321" s="24"/>
      <c r="P321" s="24"/>
      <c r="Q321" s="24"/>
      <c r="R321" s="24"/>
    </row>
    <row r="322" spans="1:18">
      <c r="B322" s="90" t="s">
        <v>198</v>
      </c>
      <c r="C322" s="90"/>
      <c r="D322" s="90" t="s">
        <v>211</v>
      </c>
      <c r="E322" s="90"/>
      <c r="F322" s="244">
        <v>0</v>
      </c>
      <c r="G322" s="142"/>
      <c r="H322" s="137"/>
      <c r="I322" s="241">
        <f ca="1">K18</f>
        <v>8000</v>
      </c>
      <c r="J322" s="217">
        <f ca="1">I325</f>
        <v>8480</v>
      </c>
      <c r="K322" s="217">
        <f t="shared" ref="K322:R322" ca="1" si="149">J325</f>
        <v>8988.7999999999993</v>
      </c>
      <c r="L322" s="217">
        <f t="shared" ca="1" si="149"/>
        <v>9528.1279999999988</v>
      </c>
      <c r="M322" s="217">
        <f t="shared" ca="1" si="149"/>
        <v>10099.815679999998</v>
      </c>
      <c r="N322" s="217">
        <f t="shared" ca="1" si="149"/>
        <v>10705.804620799998</v>
      </c>
      <c r="O322" s="217">
        <f t="shared" ca="1" si="149"/>
        <v>11348.152898047998</v>
      </c>
      <c r="P322" s="217">
        <f t="shared" ca="1" si="149"/>
        <v>12029.042071930879</v>
      </c>
      <c r="Q322" s="217">
        <f t="shared" ca="1" si="149"/>
        <v>12750.784596246731</v>
      </c>
      <c r="R322" s="217">
        <f t="shared" ca="1" si="149"/>
        <v>13515.831672021535</v>
      </c>
    </row>
    <row r="323" spans="1:18">
      <c r="B323" s="120" t="s">
        <v>212</v>
      </c>
      <c r="C323" s="90"/>
      <c r="D323" s="90"/>
      <c r="E323" s="90"/>
      <c r="F323" s="243">
        <f ca="1">K38</f>
        <v>0.06</v>
      </c>
      <c r="G323" s="90"/>
      <c r="H323" s="78"/>
      <c r="I323" s="219">
        <f ca="1">I359</f>
        <v>480</v>
      </c>
      <c r="J323" s="219">
        <f t="shared" ref="J323:R323" ca="1" si="150">J359</f>
        <v>508.79999999999995</v>
      </c>
      <c r="K323" s="219">
        <f t="shared" ca="1" si="150"/>
        <v>539.32799999999997</v>
      </c>
      <c r="L323" s="219">
        <f t="shared" ca="1" si="150"/>
        <v>571.68767999999989</v>
      </c>
      <c r="M323" s="219">
        <f t="shared" ca="1" si="150"/>
        <v>605.9889407999998</v>
      </c>
      <c r="N323" s="219">
        <f t="shared" ca="1" si="150"/>
        <v>642.34827724799982</v>
      </c>
      <c r="O323" s="219">
        <f t="shared" ca="1" si="150"/>
        <v>680.88917388287985</v>
      </c>
      <c r="P323" s="219">
        <f t="shared" ca="1" si="150"/>
        <v>721.74252431585273</v>
      </c>
      <c r="Q323" s="219">
        <f t="shared" ca="1" si="150"/>
        <v>765.04707577480383</v>
      </c>
      <c r="R323" s="219">
        <f t="shared" ca="1" si="150"/>
        <v>810.94990032129203</v>
      </c>
    </row>
    <row r="324" spans="1:18">
      <c r="B324" s="90" t="s">
        <v>203</v>
      </c>
      <c r="C324" s="90"/>
      <c r="D324" s="90" t="s">
        <v>210</v>
      </c>
      <c r="E324" s="90"/>
      <c r="F324" s="244">
        <v>0</v>
      </c>
      <c r="G324" s="142"/>
      <c r="H324" s="80"/>
      <c r="I324" s="219">
        <f>IF($F$324=1,-MIN(I319,SUM(I322:I323)),0)</f>
        <v>0</v>
      </c>
      <c r="J324" s="219">
        <f t="shared" ref="J324:R324" si="151">IF($F$324=1,-MIN(J319,SUM(J322:J323)),0)</f>
        <v>0</v>
      </c>
      <c r="K324" s="219">
        <f t="shared" si="151"/>
        <v>0</v>
      </c>
      <c r="L324" s="219">
        <f t="shared" si="151"/>
        <v>0</v>
      </c>
      <c r="M324" s="219">
        <f t="shared" si="151"/>
        <v>0</v>
      </c>
      <c r="N324" s="219">
        <f t="shared" si="151"/>
        <v>0</v>
      </c>
      <c r="O324" s="219">
        <f t="shared" si="151"/>
        <v>0</v>
      </c>
      <c r="P324" s="219">
        <f t="shared" si="151"/>
        <v>0</v>
      </c>
      <c r="Q324" s="219">
        <f t="shared" si="151"/>
        <v>0</v>
      </c>
      <c r="R324" s="219">
        <f t="shared" si="151"/>
        <v>0</v>
      </c>
    </row>
    <row r="325" spans="1:18">
      <c r="B325" s="147" t="s">
        <v>205</v>
      </c>
      <c r="C325" s="91"/>
      <c r="D325" s="91"/>
      <c r="E325" s="91"/>
      <c r="F325" s="91"/>
      <c r="G325" s="91"/>
      <c r="H325" s="84"/>
      <c r="I325" s="222">
        <f ca="1">SUM(I322:I324)</f>
        <v>8480</v>
      </c>
      <c r="J325" s="222">
        <f t="shared" ref="J325:R325" ca="1" si="152">SUM(J322:J324)</f>
        <v>8988.7999999999993</v>
      </c>
      <c r="K325" s="222">
        <f t="shared" ca="1" si="152"/>
        <v>9528.1279999999988</v>
      </c>
      <c r="L325" s="222">
        <f t="shared" ca="1" si="152"/>
        <v>10099.815679999998</v>
      </c>
      <c r="M325" s="222">
        <f t="shared" ca="1" si="152"/>
        <v>10705.804620799998</v>
      </c>
      <c r="N325" s="222">
        <f t="shared" ca="1" si="152"/>
        <v>11348.152898047998</v>
      </c>
      <c r="O325" s="222">
        <f t="shared" ca="1" si="152"/>
        <v>12029.042071930879</v>
      </c>
      <c r="P325" s="222">
        <f t="shared" ca="1" si="152"/>
        <v>12750.784596246731</v>
      </c>
      <c r="Q325" s="222">
        <f t="shared" ca="1" si="152"/>
        <v>13515.831672021535</v>
      </c>
      <c r="R325" s="222">
        <f t="shared" ca="1" si="152"/>
        <v>14326.781572342827</v>
      </c>
    </row>
    <row r="326" spans="1:18">
      <c r="B326" s="90"/>
      <c r="C326" s="90"/>
      <c r="D326" s="120"/>
      <c r="E326" s="90"/>
      <c r="F326" s="244"/>
      <c r="G326" s="142"/>
      <c r="H326" s="78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</row>
    <row r="327" spans="1:18" ht="15">
      <c r="B327" s="233" t="s">
        <v>168</v>
      </c>
      <c r="C327" s="90"/>
      <c r="D327" s="120"/>
      <c r="E327" s="90"/>
      <c r="F327" s="142"/>
      <c r="G327" s="142"/>
      <c r="H327" s="78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</row>
    <row r="328" spans="1:18">
      <c r="B328" s="90" t="s">
        <v>198</v>
      </c>
      <c r="C328" s="90"/>
      <c r="D328" s="120"/>
      <c r="E328" s="90"/>
      <c r="F328" s="142"/>
      <c r="G328" s="142"/>
      <c r="H328" s="78"/>
      <c r="I328" s="219">
        <f ca="1">H182</f>
        <v>475</v>
      </c>
      <c r="J328" s="219">
        <f ca="1">I330</f>
        <v>380</v>
      </c>
      <c r="K328" s="219">
        <f t="shared" ref="K328:R328" ca="1" si="153">J330</f>
        <v>285</v>
      </c>
      <c r="L328" s="219">
        <f t="shared" ca="1" si="153"/>
        <v>190</v>
      </c>
      <c r="M328" s="219">
        <f t="shared" ca="1" si="153"/>
        <v>95</v>
      </c>
      <c r="N328" s="219">
        <f t="shared" ca="1" si="153"/>
        <v>0</v>
      </c>
      <c r="O328" s="219">
        <f t="shared" ca="1" si="153"/>
        <v>0</v>
      </c>
      <c r="P328" s="219">
        <f t="shared" ca="1" si="153"/>
        <v>0</v>
      </c>
      <c r="Q328" s="219">
        <f t="shared" ca="1" si="153"/>
        <v>0</v>
      </c>
      <c r="R328" s="219">
        <f t="shared" ca="1" si="153"/>
        <v>0</v>
      </c>
    </row>
    <row r="329" spans="1:18">
      <c r="B329" s="90" t="s">
        <v>267</v>
      </c>
      <c r="C329" s="90"/>
      <c r="D329" s="139"/>
      <c r="E329" s="122"/>
      <c r="F329" s="234"/>
      <c r="G329" s="234"/>
      <c r="H329" s="235"/>
      <c r="I329" s="245">
        <f t="shared" ref="I329:R329" ca="1" si="154">-MIN(I328,$I328/$K$49)</f>
        <v>-95</v>
      </c>
      <c r="J329" s="245">
        <f t="shared" ca="1" si="154"/>
        <v>-95</v>
      </c>
      <c r="K329" s="245">
        <f t="shared" ca="1" si="154"/>
        <v>-95</v>
      </c>
      <c r="L329" s="245">
        <f t="shared" ca="1" si="154"/>
        <v>-95</v>
      </c>
      <c r="M329" s="245">
        <f t="shared" ca="1" si="154"/>
        <v>-95</v>
      </c>
      <c r="N329" s="245">
        <f t="shared" ca="1" si="154"/>
        <v>0</v>
      </c>
      <c r="O329" s="245">
        <f t="shared" ca="1" si="154"/>
        <v>0</v>
      </c>
      <c r="P329" s="245">
        <f t="shared" ca="1" si="154"/>
        <v>0</v>
      </c>
      <c r="Q329" s="245">
        <f t="shared" ca="1" si="154"/>
        <v>0</v>
      </c>
      <c r="R329" s="245">
        <f t="shared" ca="1" si="154"/>
        <v>0</v>
      </c>
    </row>
    <row r="330" spans="1:18">
      <c r="B330" s="90" t="s">
        <v>205</v>
      </c>
      <c r="C330" s="90"/>
      <c r="D330" s="120"/>
      <c r="E330" s="90"/>
      <c r="F330" s="142"/>
      <c r="G330" s="142"/>
      <c r="H330" s="78"/>
      <c r="I330" s="219">
        <f ca="1">SUM(I328:I329)</f>
        <v>380</v>
      </c>
      <c r="J330" s="219">
        <f t="shared" ref="J330:R330" ca="1" si="155">SUM(J328:J329)</f>
        <v>285</v>
      </c>
      <c r="K330" s="219">
        <f t="shared" ca="1" si="155"/>
        <v>190</v>
      </c>
      <c r="L330" s="219">
        <f t="shared" ca="1" si="155"/>
        <v>95</v>
      </c>
      <c r="M330" s="219">
        <f t="shared" ca="1" si="155"/>
        <v>0</v>
      </c>
      <c r="N330" s="219">
        <f t="shared" ca="1" si="155"/>
        <v>0</v>
      </c>
      <c r="O330" s="219">
        <f t="shared" ca="1" si="155"/>
        <v>0</v>
      </c>
      <c r="P330" s="219">
        <f t="shared" ca="1" si="155"/>
        <v>0</v>
      </c>
      <c r="Q330" s="219">
        <f t="shared" ca="1" si="155"/>
        <v>0</v>
      </c>
      <c r="R330" s="219">
        <f t="shared" ca="1" si="155"/>
        <v>0</v>
      </c>
    </row>
    <row r="331" spans="1:18" ht="4.9000000000000004" customHeight="1">
      <c r="B331" s="122"/>
      <c r="C331" s="122"/>
      <c r="D331" s="139"/>
      <c r="E331" s="122"/>
      <c r="F331" s="146"/>
      <c r="G331" s="146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</row>
    <row r="333" spans="1:18" ht="15">
      <c r="A333" s="55" t="s">
        <v>51</v>
      </c>
      <c r="B333" s="42" t="s">
        <v>214</v>
      </c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</row>
    <row r="335" spans="1:18" ht="15.75" thickBot="1">
      <c r="B335" s="193"/>
      <c r="C335" s="192"/>
      <c r="D335" s="192"/>
      <c r="E335" s="192"/>
      <c r="F335" s="192"/>
      <c r="G335" s="44"/>
      <c r="H335" s="44"/>
      <c r="I335" s="236">
        <f t="shared" ref="I335:R335" si="156">I278</f>
        <v>43100</v>
      </c>
      <c r="J335" s="236">
        <f t="shared" si="156"/>
        <v>43465</v>
      </c>
      <c r="K335" s="236">
        <f t="shared" si="156"/>
        <v>43830</v>
      </c>
      <c r="L335" s="236">
        <f t="shared" si="156"/>
        <v>44196</v>
      </c>
      <c r="M335" s="236">
        <f t="shared" si="156"/>
        <v>44561</v>
      </c>
      <c r="N335" s="236">
        <f t="shared" si="156"/>
        <v>44926</v>
      </c>
      <c r="O335" s="236">
        <f t="shared" si="156"/>
        <v>45291</v>
      </c>
      <c r="P335" s="236">
        <f t="shared" si="156"/>
        <v>45657</v>
      </c>
      <c r="Q335" s="236">
        <f t="shared" si="156"/>
        <v>46022</v>
      </c>
      <c r="R335" s="236">
        <f t="shared" si="156"/>
        <v>46387</v>
      </c>
    </row>
    <row r="336" spans="1:18" ht="15" outlineLevel="1">
      <c r="B336" s="91"/>
      <c r="C336" s="91"/>
      <c r="D336" s="91"/>
      <c r="E336" s="91"/>
      <c r="F336" s="91"/>
      <c r="G336" s="91"/>
      <c r="H336" s="148"/>
      <c r="I336" s="148"/>
      <c r="J336" s="148"/>
      <c r="K336" s="148"/>
      <c r="L336" s="148"/>
      <c r="M336" s="148"/>
    </row>
    <row r="337" spans="2:18" outlineLevel="1">
      <c r="B337" s="89" t="s">
        <v>268</v>
      </c>
      <c r="C337" s="90"/>
      <c r="D337" s="90"/>
      <c r="E337" s="90"/>
      <c r="F337" s="90"/>
      <c r="G337" s="90"/>
      <c r="H337" s="149"/>
      <c r="I337" s="274">
        <f ca="1">K50</f>
        <v>7.4999999999999997E-3</v>
      </c>
      <c r="J337" s="152">
        <f ca="1">I337</f>
        <v>7.4999999999999997E-3</v>
      </c>
      <c r="K337" s="152">
        <f t="shared" ref="K337:R337" ca="1" si="157">J337</f>
        <v>7.4999999999999997E-3</v>
      </c>
      <c r="L337" s="152">
        <f t="shared" ca="1" si="157"/>
        <v>7.4999999999999997E-3</v>
      </c>
      <c r="M337" s="152">
        <f t="shared" ca="1" si="157"/>
        <v>7.4999999999999997E-3</v>
      </c>
      <c r="N337" s="152">
        <f t="shared" ca="1" si="157"/>
        <v>7.4999999999999997E-3</v>
      </c>
      <c r="O337" s="152">
        <f t="shared" ca="1" si="157"/>
        <v>7.4999999999999997E-3</v>
      </c>
      <c r="P337" s="152">
        <f t="shared" ca="1" si="157"/>
        <v>7.4999999999999997E-3</v>
      </c>
      <c r="Q337" s="152">
        <f t="shared" ca="1" si="157"/>
        <v>7.4999999999999997E-3</v>
      </c>
      <c r="R337" s="152">
        <f t="shared" ca="1" si="157"/>
        <v>7.4999999999999997E-3</v>
      </c>
    </row>
    <row r="338" spans="2:18" ht="15" outlineLevel="1">
      <c r="B338" s="90"/>
      <c r="C338" s="90"/>
      <c r="D338" s="90"/>
      <c r="E338" s="90"/>
      <c r="F338" s="90"/>
      <c r="G338" s="90"/>
      <c r="H338" s="150"/>
      <c r="I338" s="150"/>
      <c r="J338" s="150"/>
      <c r="K338" s="150"/>
      <c r="L338" s="150"/>
      <c r="M338" s="150"/>
    </row>
    <row r="339" spans="2:18" ht="15" outlineLevel="1">
      <c r="B339" s="12" t="s">
        <v>215</v>
      </c>
      <c r="C339" s="90"/>
      <c r="D339" s="90"/>
      <c r="E339" s="90"/>
      <c r="F339" s="90"/>
      <c r="G339" s="90"/>
      <c r="H339" s="150"/>
      <c r="I339" s="150"/>
      <c r="J339" s="150"/>
      <c r="K339" s="150"/>
      <c r="L339" s="150"/>
      <c r="M339" s="150"/>
    </row>
    <row r="340" spans="2:18" outlineLevel="1">
      <c r="B340" s="89" t="s">
        <v>63</v>
      </c>
      <c r="C340" s="90"/>
      <c r="D340" s="90"/>
      <c r="E340" s="90"/>
      <c r="F340" s="90"/>
      <c r="G340" s="90"/>
      <c r="H340" s="151"/>
      <c r="I340" s="152">
        <f ca="1">K21</f>
        <v>4.2500000000000003E-2</v>
      </c>
      <c r="J340" s="152">
        <f ca="1">I340</f>
        <v>4.2500000000000003E-2</v>
      </c>
      <c r="K340" s="152">
        <f t="shared" ref="K340:R340" ca="1" si="158">J340</f>
        <v>4.2500000000000003E-2</v>
      </c>
      <c r="L340" s="152">
        <f t="shared" ca="1" si="158"/>
        <v>4.2500000000000003E-2</v>
      </c>
      <c r="M340" s="152">
        <f t="shared" ca="1" si="158"/>
        <v>4.2500000000000003E-2</v>
      </c>
      <c r="N340" s="152">
        <f t="shared" ca="1" si="158"/>
        <v>4.2500000000000003E-2</v>
      </c>
      <c r="O340" s="152">
        <f t="shared" ca="1" si="158"/>
        <v>4.2500000000000003E-2</v>
      </c>
      <c r="P340" s="152">
        <f t="shared" ca="1" si="158"/>
        <v>4.2500000000000003E-2</v>
      </c>
      <c r="Q340" s="152">
        <f t="shared" ca="1" si="158"/>
        <v>4.2500000000000003E-2</v>
      </c>
      <c r="R340" s="152">
        <f t="shared" ca="1" si="158"/>
        <v>4.2500000000000003E-2</v>
      </c>
    </row>
    <row r="341" spans="2:18" outlineLevel="1">
      <c r="B341" s="89" t="s">
        <v>143</v>
      </c>
      <c r="C341" s="90"/>
      <c r="D341" s="90"/>
      <c r="E341" s="90"/>
      <c r="F341" s="90"/>
      <c r="G341" s="90"/>
      <c r="H341" s="151"/>
      <c r="I341" s="152">
        <f ca="1">K27</f>
        <v>4.2500000000000003E-2</v>
      </c>
      <c r="J341" s="152">
        <f ca="1">I341</f>
        <v>4.2500000000000003E-2</v>
      </c>
      <c r="K341" s="152">
        <f t="shared" ref="K341:R341" ca="1" si="159">J341</f>
        <v>4.2500000000000003E-2</v>
      </c>
      <c r="L341" s="152">
        <f t="shared" ca="1" si="159"/>
        <v>4.2500000000000003E-2</v>
      </c>
      <c r="M341" s="152">
        <f t="shared" ca="1" si="159"/>
        <v>4.2500000000000003E-2</v>
      </c>
      <c r="N341" s="152">
        <f t="shared" ca="1" si="159"/>
        <v>4.2500000000000003E-2</v>
      </c>
      <c r="O341" s="152">
        <f t="shared" ca="1" si="159"/>
        <v>4.2500000000000003E-2</v>
      </c>
      <c r="P341" s="152">
        <f t="shared" ca="1" si="159"/>
        <v>4.2500000000000003E-2</v>
      </c>
      <c r="Q341" s="152">
        <f t="shared" ca="1" si="159"/>
        <v>4.2500000000000003E-2</v>
      </c>
      <c r="R341" s="152">
        <f t="shared" ca="1" si="159"/>
        <v>4.2500000000000003E-2</v>
      </c>
    </row>
    <row r="342" spans="2:18" ht="15" outlineLevel="1">
      <c r="B342" s="89"/>
      <c r="C342" s="90"/>
      <c r="D342" s="90"/>
      <c r="E342" s="90"/>
      <c r="F342" s="90"/>
      <c r="G342" s="90"/>
      <c r="H342" s="153"/>
      <c r="I342" s="153"/>
      <c r="J342" s="153"/>
      <c r="K342" s="153"/>
      <c r="L342" s="153"/>
      <c r="M342" s="153"/>
    </row>
    <row r="343" spans="2:18" ht="15" outlineLevel="1">
      <c r="B343" s="12" t="s">
        <v>216</v>
      </c>
      <c r="C343" s="90"/>
      <c r="D343" s="90"/>
      <c r="E343" s="90"/>
      <c r="F343" s="90"/>
      <c r="G343" s="90"/>
      <c r="H343" s="153"/>
      <c r="I343" s="153"/>
      <c r="J343" s="153"/>
      <c r="K343" s="153"/>
      <c r="L343" s="153"/>
      <c r="M343" s="153"/>
    </row>
    <row r="344" spans="2:18" outlineLevel="1">
      <c r="B344" s="89" t="s">
        <v>63</v>
      </c>
      <c r="C344" s="90"/>
      <c r="D344" s="90"/>
      <c r="E344" s="90"/>
      <c r="F344" s="90"/>
      <c r="G344" s="90"/>
      <c r="H344" s="152"/>
      <c r="I344" s="152">
        <f ca="1">I$337+I340</f>
        <v>0.05</v>
      </c>
      <c r="J344" s="152">
        <f t="shared" ref="J344:R344" ca="1" si="160">J$337+J340</f>
        <v>0.05</v>
      </c>
      <c r="K344" s="152">
        <f t="shared" ca="1" si="160"/>
        <v>0.05</v>
      </c>
      <c r="L344" s="152">
        <f t="shared" ca="1" si="160"/>
        <v>0.05</v>
      </c>
      <c r="M344" s="152">
        <f t="shared" ca="1" si="160"/>
        <v>0.05</v>
      </c>
      <c r="N344" s="152">
        <f t="shared" ca="1" si="160"/>
        <v>0.05</v>
      </c>
      <c r="O344" s="152">
        <f t="shared" ca="1" si="160"/>
        <v>0.05</v>
      </c>
      <c r="P344" s="152">
        <f t="shared" ca="1" si="160"/>
        <v>0.05</v>
      </c>
      <c r="Q344" s="152">
        <f t="shared" ca="1" si="160"/>
        <v>0.05</v>
      </c>
      <c r="R344" s="152">
        <f t="shared" ca="1" si="160"/>
        <v>0.05</v>
      </c>
    </row>
    <row r="345" spans="2:18" outlineLevel="1">
      <c r="B345" s="89" t="s">
        <v>143</v>
      </c>
      <c r="C345" s="90"/>
      <c r="D345" s="90"/>
      <c r="E345" s="90"/>
      <c r="F345" s="90"/>
      <c r="G345" s="90"/>
      <c r="H345" s="152"/>
      <c r="I345" s="152">
        <f ca="1">I$337+I341</f>
        <v>0.05</v>
      </c>
      <c r="J345" s="152">
        <f t="shared" ref="J345:R345" ca="1" si="161">J$337+J341</f>
        <v>0.05</v>
      </c>
      <c r="K345" s="152">
        <f t="shared" ca="1" si="161"/>
        <v>0.05</v>
      </c>
      <c r="L345" s="152">
        <f t="shared" ca="1" si="161"/>
        <v>0.05</v>
      </c>
      <c r="M345" s="152">
        <f t="shared" ca="1" si="161"/>
        <v>0.05</v>
      </c>
      <c r="N345" s="152">
        <f t="shared" ca="1" si="161"/>
        <v>0.05</v>
      </c>
      <c r="O345" s="152">
        <f t="shared" ca="1" si="161"/>
        <v>0.05</v>
      </c>
      <c r="P345" s="152">
        <f t="shared" ca="1" si="161"/>
        <v>0.05</v>
      </c>
      <c r="Q345" s="152">
        <f t="shared" ca="1" si="161"/>
        <v>0.05</v>
      </c>
      <c r="R345" s="152">
        <f t="shared" ca="1" si="161"/>
        <v>0.05</v>
      </c>
    </row>
    <row r="346" spans="2:18" outlineLevel="1">
      <c r="B346" s="89" t="s">
        <v>217</v>
      </c>
      <c r="C346" s="90"/>
      <c r="D346" s="90"/>
      <c r="E346" s="90"/>
      <c r="F346" s="90"/>
      <c r="G346" s="90"/>
      <c r="H346" s="152"/>
      <c r="I346" s="152">
        <f ca="1">K32</f>
        <v>0.1</v>
      </c>
      <c r="J346" s="152">
        <f ca="1">I346</f>
        <v>0.1</v>
      </c>
      <c r="K346" s="152">
        <f t="shared" ref="K346:R346" ca="1" si="162">J346</f>
        <v>0.1</v>
      </c>
      <c r="L346" s="152">
        <f t="shared" ca="1" si="162"/>
        <v>0.1</v>
      </c>
      <c r="M346" s="152">
        <f t="shared" ca="1" si="162"/>
        <v>0.1</v>
      </c>
      <c r="N346" s="152">
        <f t="shared" ca="1" si="162"/>
        <v>0.1</v>
      </c>
      <c r="O346" s="152">
        <f t="shared" ca="1" si="162"/>
        <v>0.1</v>
      </c>
      <c r="P346" s="152">
        <f t="shared" ca="1" si="162"/>
        <v>0.1</v>
      </c>
      <c r="Q346" s="152">
        <f t="shared" ca="1" si="162"/>
        <v>0.1</v>
      </c>
      <c r="R346" s="152">
        <f t="shared" ca="1" si="162"/>
        <v>0.1</v>
      </c>
    </row>
    <row r="347" spans="2:18" outlineLevel="1">
      <c r="B347" s="89" t="s">
        <v>218</v>
      </c>
      <c r="C347" s="90"/>
      <c r="D347" s="90"/>
      <c r="E347" s="90"/>
      <c r="F347" s="90"/>
      <c r="G347" s="90"/>
      <c r="H347" s="152"/>
      <c r="I347" s="152">
        <f ca="1">K33</f>
        <v>0.02</v>
      </c>
      <c r="J347" s="152">
        <f ca="1">I347</f>
        <v>0.02</v>
      </c>
      <c r="K347" s="152">
        <f t="shared" ref="K347:R347" ca="1" si="163">J347</f>
        <v>0.02</v>
      </c>
      <c r="L347" s="152">
        <f t="shared" ca="1" si="163"/>
        <v>0.02</v>
      </c>
      <c r="M347" s="152">
        <f t="shared" ca="1" si="163"/>
        <v>0.02</v>
      </c>
      <c r="N347" s="152">
        <f t="shared" ca="1" si="163"/>
        <v>0.02</v>
      </c>
      <c r="O347" s="152">
        <f t="shared" ca="1" si="163"/>
        <v>0.02</v>
      </c>
      <c r="P347" s="152">
        <f t="shared" ca="1" si="163"/>
        <v>0.02</v>
      </c>
      <c r="Q347" s="152">
        <f t="shared" ca="1" si="163"/>
        <v>0.02</v>
      </c>
      <c r="R347" s="152">
        <f t="shared" ca="1" si="163"/>
        <v>0.02</v>
      </c>
    </row>
    <row r="348" spans="2:18" outlineLevel="1">
      <c r="B348" s="89" t="s">
        <v>435</v>
      </c>
      <c r="C348" s="90"/>
      <c r="D348" s="90"/>
      <c r="E348" s="90"/>
      <c r="F348" s="90"/>
      <c r="G348" s="90"/>
      <c r="H348" s="152"/>
      <c r="I348" s="152">
        <f ca="1">K37</f>
        <v>0.02</v>
      </c>
      <c r="J348" s="152">
        <f t="shared" ref="J348:R349" ca="1" si="164">I348</f>
        <v>0.02</v>
      </c>
      <c r="K348" s="152">
        <f t="shared" ca="1" si="164"/>
        <v>0.02</v>
      </c>
      <c r="L348" s="152">
        <f t="shared" ca="1" si="164"/>
        <v>0.02</v>
      </c>
      <c r="M348" s="152">
        <f t="shared" ca="1" si="164"/>
        <v>0.02</v>
      </c>
      <c r="N348" s="152">
        <f t="shared" ca="1" si="164"/>
        <v>0.02</v>
      </c>
      <c r="O348" s="152">
        <f t="shared" ca="1" si="164"/>
        <v>0.02</v>
      </c>
      <c r="P348" s="152">
        <f t="shared" ca="1" si="164"/>
        <v>0.02</v>
      </c>
      <c r="Q348" s="152">
        <f t="shared" ca="1" si="164"/>
        <v>0.02</v>
      </c>
      <c r="R348" s="152">
        <f t="shared" ca="1" si="164"/>
        <v>0.02</v>
      </c>
    </row>
    <row r="349" spans="2:18" outlineLevel="1">
      <c r="B349" s="89" t="s">
        <v>434</v>
      </c>
      <c r="C349" s="90"/>
      <c r="D349" s="90"/>
      <c r="E349" s="90"/>
      <c r="F349" s="90"/>
      <c r="G349" s="90"/>
      <c r="H349" s="152"/>
      <c r="I349" s="152">
        <f ca="1">K38</f>
        <v>0.06</v>
      </c>
      <c r="J349" s="152">
        <f t="shared" ca="1" si="164"/>
        <v>0.06</v>
      </c>
      <c r="K349" s="152">
        <f t="shared" ca="1" si="164"/>
        <v>0.06</v>
      </c>
      <c r="L349" s="152">
        <f t="shared" ca="1" si="164"/>
        <v>0.06</v>
      </c>
      <c r="M349" s="152">
        <f t="shared" ca="1" si="164"/>
        <v>0.06</v>
      </c>
      <c r="N349" s="152">
        <f t="shared" ca="1" si="164"/>
        <v>0.06</v>
      </c>
      <c r="O349" s="152">
        <f t="shared" ca="1" si="164"/>
        <v>0.06</v>
      </c>
      <c r="P349" s="152">
        <f t="shared" ca="1" si="164"/>
        <v>0.06</v>
      </c>
      <c r="Q349" s="152">
        <f t="shared" ca="1" si="164"/>
        <v>0.06</v>
      </c>
      <c r="R349" s="152">
        <f t="shared" ca="1" si="164"/>
        <v>0.06</v>
      </c>
    </row>
    <row r="350" spans="2:18" outlineLevel="1"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</row>
    <row r="351" spans="2:18" ht="15" outlineLevel="1">
      <c r="B351" s="12" t="s">
        <v>219</v>
      </c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</row>
    <row r="352" spans="2:18">
      <c r="B352" s="154" t="s">
        <v>63</v>
      </c>
      <c r="C352" s="91"/>
      <c r="D352" s="91"/>
      <c r="E352" s="91"/>
      <c r="F352" s="91"/>
      <c r="G352" s="84"/>
      <c r="H352" s="84"/>
      <c r="I352" s="222">
        <f t="shared" ref="I352:R352" ca="1" si="165">IF(Circ=0,0,I340*I292)</f>
        <v>25.796981782108453</v>
      </c>
      <c r="J352" s="222">
        <f t="shared" ca="1" si="165"/>
        <v>4.5469817821084506</v>
      </c>
      <c r="K352" s="222">
        <f t="shared" ca="1" si="165"/>
        <v>0</v>
      </c>
      <c r="L352" s="222">
        <f t="shared" ca="1" si="165"/>
        <v>0</v>
      </c>
      <c r="M352" s="222">
        <f t="shared" ca="1" si="165"/>
        <v>0</v>
      </c>
      <c r="N352" s="222">
        <f t="shared" ca="1" si="165"/>
        <v>0</v>
      </c>
      <c r="O352" s="222">
        <f t="shared" ca="1" si="165"/>
        <v>0</v>
      </c>
      <c r="P352" s="222">
        <f t="shared" ca="1" si="165"/>
        <v>0</v>
      </c>
      <c r="Q352" s="222">
        <f t="shared" ca="1" si="165"/>
        <v>0</v>
      </c>
      <c r="R352" s="222">
        <f t="shared" ca="1" si="165"/>
        <v>0</v>
      </c>
    </row>
    <row r="353" spans="2:18">
      <c r="B353" s="89" t="s">
        <v>84</v>
      </c>
      <c r="C353" s="90"/>
      <c r="D353" s="90"/>
      <c r="E353" s="90"/>
      <c r="F353" s="90"/>
      <c r="G353" s="126"/>
      <c r="H353" s="126"/>
      <c r="I353" s="219">
        <f t="shared" ref="I353:R353" ca="1" si="166">IF(Circ=0,0,($K$24-I292)*$K$22)</f>
        <v>14.465060966810769</v>
      </c>
      <c r="J353" s="219">
        <f t="shared" ca="1" si="166"/>
        <v>16.965060966810771</v>
      </c>
      <c r="K353" s="219">
        <f t="shared" ca="1" si="166"/>
        <v>17.5</v>
      </c>
      <c r="L353" s="219">
        <f t="shared" ca="1" si="166"/>
        <v>17.5</v>
      </c>
      <c r="M353" s="219">
        <f t="shared" ca="1" si="166"/>
        <v>17.5</v>
      </c>
      <c r="N353" s="219">
        <f t="shared" ca="1" si="166"/>
        <v>17.5</v>
      </c>
      <c r="O353" s="219">
        <f t="shared" ca="1" si="166"/>
        <v>17.5</v>
      </c>
      <c r="P353" s="219">
        <f t="shared" ca="1" si="166"/>
        <v>17.5</v>
      </c>
      <c r="Q353" s="219">
        <f t="shared" ca="1" si="166"/>
        <v>17.5</v>
      </c>
      <c r="R353" s="219">
        <f t="shared" ca="1" si="166"/>
        <v>17.5</v>
      </c>
    </row>
    <row r="354" spans="2:18">
      <c r="B354" s="89" t="s">
        <v>143</v>
      </c>
      <c r="C354" s="90"/>
      <c r="D354" s="90"/>
      <c r="E354" s="90"/>
      <c r="F354" s="90"/>
      <c r="G354" s="78"/>
      <c r="H354" s="78"/>
      <c r="I354" s="219">
        <f t="shared" ref="I354:R354" ca="1" si="167">I345*I306</f>
        <v>364.34939033189232</v>
      </c>
      <c r="J354" s="219">
        <f t="shared" ca="1" si="167"/>
        <v>275.02252115176674</v>
      </c>
      <c r="K354" s="219">
        <f t="shared" ca="1" si="167"/>
        <v>155.90170589120567</v>
      </c>
      <c r="L354" s="219">
        <f t="shared" ca="1" si="167"/>
        <v>45.228575071331285</v>
      </c>
      <c r="M354" s="219">
        <f t="shared" ca="1" si="167"/>
        <v>0</v>
      </c>
      <c r="N354" s="219">
        <f t="shared" ca="1" si="167"/>
        <v>0</v>
      </c>
      <c r="O354" s="219">
        <f t="shared" ca="1" si="167"/>
        <v>0</v>
      </c>
      <c r="P354" s="219">
        <f t="shared" ca="1" si="167"/>
        <v>0</v>
      </c>
      <c r="Q354" s="219">
        <f t="shared" ca="1" si="167"/>
        <v>0</v>
      </c>
      <c r="R354" s="219">
        <f t="shared" ca="1" si="167"/>
        <v>0</v>
      </c>
    </row>
    <row r="355" spans="2:18" hidden="1" outlineLevel="1">
      <c r="B355" s="89" t="s">
        <v>271</v>
      </c>
      <c r="C355" s="90"/>
      <c r="D355" s="90"/>
      <c r="E355" s="90"/>
      <c r="F355" s="90"/>
      <c r="G355" s="78"/>
      <c r="H355" s="78"/>
      <c r="I355" s="207"/>
      <c r="J355" s="219"/>
      <c r="K355" s="219"/>
      <c r="L355" s="219"/>
      <c r="M355" s="219"/>
      <c r="N355" s="219"/>
      <c r="O355" s="219"/>
      <c r="P355" s="219"/>
      <c r="Q355" s="219"/>
      <c r="R355" s="219"/>
    </row>
    <row r="356" spans="2:18" collapsed="1">
      <c r="B356" s="89" t="s">
        <v>217</v>
      </c>
      <c r="C356" s="90"/>
      <c r="D356" s="90"/>
      <c r="E356" s="90"/>
      <c r="F356" s="90"/>
      <c r="G356" s="78"/>
      <c r="H356" s="78"/>
      <c r="I356" s="219">
        <f t="shared" ref="I356:R356" ca="1" si="168">IF(Circ=0,0,I317*I346)</f>
        <v>1010.1010101010102</v>
      </c>
      <c r="J356" s="219">
        <f t="shared" ca="1" si="168"/>
        <v>1030.5070911131515</v>
      </c>
      <c r="K356" s="219">
        <f t="shared" ca="1" si="168"/>
        <v>1051.3254161861446</v>
      </c>
      <c r="L356" s="219">
        <f t="shared" ca="1" si="168"/>
        <v>1072.5643134828345</v>
      </c>
      <c r="M356" s="219">
        <f t="shared" ca="1" si="168"/>
        <v>1094.2322794117806</v>
      </c>
      <c r="N356" s="219">
        <f t="shared" ca="1" si="168"/>
        <v>1116.33798202616</v>
      </c>
      <c r="O356" s="219">
        <f t="shared" ca="1" si="168"/>
        <v>1138.8902644913348</v>
      </c>
      <c r="P356" s="219">
        <f t="shared" ca="1" si="168"/>
        <v>1161.8981486224732</v>
      </c>
      <c r="Q356" s="219">
        <f t="shared" ca="1" si="168"/>
        <v>1185.3708384936342</v>
      </c>
      <c r="R356" s="219">
        <f t="shared" ca="1" si="168"/>
        <v>1209.3177241197682</v>
      </c>
    </row>
    <row r="357" spans="2:18">
      <c r="B357" s="89" t="s">
        <v>218</v>
      </c>
      <c r="C357" s="90"/>
      <c r="D357" s="90"/>
      <c r="E357" s="90"/>
      <c r="F357" s="90"/>
      <c r="G357" s="78"/>
      <c r="H357" s="78"/>
      <c r="I357" s="219">
        <f t="shared" ref="I357:R357" ca="1" si="169">IF(Circ=0,0,I317*I347)</f>
        <v>202.02020202020202</v>
      </c>
      <c r="J357" s="219">
        <f t="shared" ca="1" si="169"/>
        <v>206.10141822263031</v>
      </c>
      <c r="K357" s="219">
        <f t="shared" ca="1" si="169"/>
        <v>210.26508323722891</v>
      </c>
      <c r="L357" s="219">
        <f t="shared" ca="1" si="169"/>
        <v>214.51286269656688</v>
      </c>
      <c r="M357" s="219">
        <f t="shared" ca="1" si="169"/>
        <v>218.84645588235611</v>
      </c>
      <c r="N357" s="219">
        <f t="shared" ca="1" si="169"/>
        <v>223.26759640523201</v>
      </c>
      <c r="O357" s="219">
        <f t="shared" ca="1" si="169"/>
        <v>227.77805289826699</v>
      </c>
      <c r="P357" s="219">
        <f t="shared" ca="1" si="169"/>
        <v>232.37962972449463</v>
      </c>
      <c r="Q357" s="219">
        <f t="shared" ca="1" si="169"/>
        <v>237.07416769872685</v>
      </c>
      <c r="R357" s="219">
        <f t="shared" ca="1" si="169"/>
        <v>241.86354482395365</v>
      </c>
    </row>
    <row r="358" spans="2:18">
      <c r="B358" s="89" t="s">
        <v>435</v>
      </c>
      <c r="C358" s="90"/>
      <c r="D358" s="90"/>
      <c r="E358" s="90"/>
      <c r="F358" s="90"/>
      <c r="G358" s="78"/>
      <c r="H358" s="78"/>
      <c r="I358" s="219">
        <f t="shared" ref="I358:R358" ca="1" si="170">IF(Circ=0,0,I322*I348)</f>
        <v>160</v>
      </c>
      <c r="J358" s="219">
        <f t="shared" ca="1" si="170"/>
        <v>169.6</v>
      </c>
      <c r="K358" s="219">
        <f t="shared" ca="1" si="170"/>
        <v>179.77599999999998</v>
      </c>
      <c r="L358" s="219">
        <f t="shared" ca="1" si="170"/>
        <v>190.56255999999999</v>
      </c>
      <c r="M358" s="219">
        <f t="shared" ca="1" si="170"/>
        <v>201.99631359999995</v>
      </c>
      <c r="N358" s="219">
        <f t="shared" ca="1" si="170"/>
        <v>214.11609241599996</v>
      </c>
      <c r="O358" s="219">
        <f t="shared" ca="1" si="170"/>
        <v>226.96305796095996</v>
      </c>
      <c r="P358" s="219">
        <f t="shared" ca="1" si="170"/>
        <v>240.58084143861757</v>
      </c>
      <c r="Q358" s="219">
        <f t="shared" ca="1" si="170"/>
        <v>255.01569192493463</v>
      </c>
      <c r="R358" s="219">
        <f t="shared" ca="1" si="170"/>
        <v>270.31663344043073</v>
      </c>
    </row>
    <row r="359" spans="2:18">
      <c r="B359" s="89" t="s">
        <v>434</v>
      </c>
      <c r="C359" s="90"/>
      <c r="D359" s="90"/>
      <c r="E359" s="90"/>
      <c r="F359" s="90"/>
      <c r="G359" s="78"/>
      <c r="H359" s="78"/>
      <c r="I359" s="219">
        <f t="shared" ref="I359:R359" ca="1" si="171">IF(Circ=0,0,I322*I349)</f>
        <v>480</v>
      </c>
      <c r="J359" s="219">
        <f t="shared" ca="1" si="171"/>
        <v>508.79999999999995</v>
      </c>
      <c r="K359" s="219">
        <f t="shared" ca="1" si="171"/>
        <v>539.32799999999997</v>
      </c>
      <c r="L359" s="219">
        <f t="shared" ca="1" si="171"/>
        <v>571.68767999999989</v>
      </c>
      <c r="M359" s="219">
        <f t="shared" ca="1" si="171"/>
        <v>605.9889407999998</v>
      </c>
      <c r="N359" s="219">
        <f t="shared" ca="1" si="171"/>
        <v>642.34827724799982</v>
      </c>
      <c r="O359" s="219">
        <f t="shared" ca="1" si="171"/>
        <v>680.88917388287985</v>
      </c>
      <c r="P359" s="219">
        <f t="shared" ca="1" si="171"/>
        <v>721.74252431585273</v>
      </c>
      <c r="Q359" s="219">
        <f t="shared" ca="1" si="171"/>
        <v>765.04707577480383</v>
      </c>
      <c r="R359" s="219">
        <f t="shared" ca="1" si="171"/>
        <v>810.94990032129203</v>
      </c>
    </row>
    <row r="360" spans="2:18">
      <c r="B360" s="129" t="s">
        <v>443</v>
      </c>
      <c r="C360" s="94"/>
      <c r="D360" s="94"/>
      <c r="E360" s="94"/>
      <c r="F360" s="94"/>
      <c r="G360" s="94"/>
      <c r="H360" s="79"/>
      <c r="I360" s="205">
        <f ca="1">SUM(I352:I357)</f>
        <v>1616.7326452020238</v>
      </c>
      <c r="J360" s="205">
        <f t="shared" ref="J360:R360" ca="1" si="172">SUM(J352:J357)</f>
        <v>1533.1430732364679</v>
      </c>
      <c r="K360" s="205">
        <f t="shared" ca="1" si="172"/>
        <v>1434.9922053145792</v>
      </c>
      <c r="L360" s="205">
        <f t="shared" ca="1" si="172"/>
        <v>1349.8057512507326</v>
      </c>
      <c r="M360" s="205">
        <f t="shared" ca="1" si="172"/>
        <v>1330.5787352941368</v>
      </c>
      <c r="N360" s="205">
        <f t="shared" ca="1" si="172"/>
        <v>1357.1055784313921</v>
      </c>
      <c r="O360" s="205">
        <f t="shared" ca="1" si="172"/>
        <v>1384.1683173896017</v>
      </c>
      <c r="P360" s="205">
        <f t="shared" ca="1" si="172"/>
        <v>1411.7777783469678</v>
      </c>
      <c r="Q360" s="205">
        <f t="shared" ca="1" si="172"/>
        <v>1439.945006192361</v>
      </c>
      <c r="R360" s="205">
        <f t="shared" ca="1" si="172"/>
        <v>1468.6812689437218</v>
      </c>
    </row>
    <row r="361" spans="2:18">
      <c r="B361" s="89"/>
      <c r="C361" s="90"/>
      <c r="D361" s="90"/>
      <c r="E361" s="90"/>
      <c r="F361" s="90"/>
      <c r="G361" s="90"/>
      <c r="H361" s="78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</row>
    <row r="362" spans="2:18">
      <c r="B362" s="89" t="s">
        <v>112</v>
      </c>
      <c r="C362" s="90"/>
      <c r="D362" s="90"/>
      <c r="E362" s="90"/>
      <c r="F362" s="90"/>
      <c r="G362" s="90"/>
      <c r="H362" s="78"/>
      <c r="I362" s="219">
        <f ca="1">I352+I353+I354+I356+I358</f>
        <v>1574.7124431818218</v>
      </c>
      <c r="J362" s="219">
        <f t="shared" ref="J362:R362" ca="1" si="173">J352+J353+J354+J356+J358</f>
        <v>1496.6416550138374</v>
      </c>
      <c r="K362" s="219">
        <f t="shared" ca="1" si="173"/>
        <v>1404.5031220773503</v>
      </c>
      <c r="L362" s="219">
        <f t="shared" ca="1" si="173"/>
        <v>1325.8554485541658</v>
      </c>
      <c r="M362" s="219">
        <f t="shared" ca="1" si="173"/>
        <v>1313.7285930117805</v>
      </c>
      <c r="N362" s="219">
        <f t="shared" ca="1" si="173"/>
        <v>1347.9540744421599</v>
      </c>
      <c r="O362" s="219">
        <f t="shared" ca="1" si="173"/>
        <v>1383.3533224522948</v>
      </c>
      <c r="P362" s="219">
        <f t="shared" ca="1" si="173"/>
        <v>1419.9789900610908</v>
      </c>
      <c r="Q362" s="219">
        <f t="shared" ca="1" si="173"/>
        <v>1457.8865304185688</v>
      </c>
      <c r="R362" s="219">
        <f t="shared" ca="1" si="173"/>
        <v>1497.1343575601989</v>
      </c>
    </row>
    <row r="363" spans="2:18">
      <c r="B363" s="89" t="s">
        <v>427</v>
      </c>
      <c r="C363" s="90"/>
      <c r="D363" s="90"/>
      <c r="E363" s="90"/>
      <c r="F363" s="90"/>
      <c r="G363" s="90"/>
      <c r="H363" s="78"/>
      <c r="I363" s="429">
        <f ca="1">I362/(I288+I306+I317+I325)</f>
        <v>5.8609221594943681E-2</v>
      </c>
      <c r="J363" s="428"/>
      <c r="K363" s="428"/>
      <c r="L363" s="428"/>
      <c r="M363" s="428"/>
      <c r="N363" s="219"/>
      <c r="O363" s="219"/>
      <c r="P363" s="219"/>
      <c r="Q363" s="219"/>
      <c r="R363" s="219"/>
    </row>
    <row r="364" spans="2:18">
      <c r="B364" s="89"/>
      <c r="C364" s="90"/>
      <c r="D364" s="90"/>
      <c r="E364" s="90"/>
      <c r="F364" s="90"/>
      <c r="G364" s="90"/>
      <c r="H364" s="78"/>
      <c r="I364" s="219"/>
      <c r="J364" s="219"/>
      <c r="K364" s="219"/>
      <c r="L364" s="219"/>
      <c r="M364" s="219"/>
      <c r="N364" s="24"/>
      <c r="O364" s="24"/>
      <c r="P364" s="24"/>
      <c r="Q364" s="24"/>
      <c r="R364" s="24"/>
    </row>
    <row r="365" spans="2:18" ht="15">
      <c r="B365" s="140" t="s">
        <v>220</v>
      </c>
      <c r="C365" s="90"/>
      <c r="D365" s="90"/>
      <c r="E365" s="90"/>
      <c r="F365" s="90"/>
      <c r="G365" s="90"/>
      <c r="H365" s="78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</row>
    <row r="366" spans="2:18">
      <c r="B366" s="154" t="s">
        <v>195</v>
      </c>
      <c r="C366" s="91"/>
      <c r="D366" s="91"/>
      <c r="E366" s="91"/>
      <c r="F366" s="91"/>
      <c r="G366" s="84"/>
      <c r="H366" s="84"/>
      <c r="I366" s="222">
        <f t="shared" ref="I366:R366" si="174">I271</f>
        <v>0</v>
      </c>
      <c r="J366" s="222">
        <f t="shared" ca="1" si="174"/>
        <v>0</v>
      </c>
      <c r="K366" s="222">
        <f t="shared" ca="1" si="174"/>
        <v>0</v>
      </c>
      <c r="L366" s="222">
        <f t="shared" ca="1" si="174"/>
        <v>0</v>
      </c>
      <c r="M366" s="222">
        <f t="shared" ca="1" si="174"/>
        <v>0</v>
      </c>
      <c r="N366" s="222">
        <f t="shared" ca="1" si="174"/>
        <v>0</v>
      </c>
      <c r="O366" s="222">
        <f t="shared" ca="1" si="174"/>
        <v>0</v>
      </c>
      <c r="P366" s="222">
        <f t="shared" ca="1" si="174"/>
        <v>0</v>
      </c>
      <c r="Q366" s="222">
        <f t="shared" ca="1" si="174"/>
        <v>0</v>
      </c>
      <c r="R366" s="222">
        <f t="shared" ca="1" si="174"/>
        <v>0</v>
      </c>
    </row>
    <row r="367" spans="2:18">
      <c r="B367" s="89" t="s">
        <v>197</v>
      </c>
      <c r="C367" s="90"/>
      <c r="D367" s="90"/>
      <c r="E367" s="90"/>
      <c r="F367" s="90"/>
      <c r="G367" s="78"/>
      <c r="H367" s="78"/>
      <c r="I367" s="219">
        <f t="shared" ref="I367:R367" ca="1" si="175">I273</f>
        <v>0</v>
      </c>
      <c r="J367" s="219">
        <f t="shared" ca="1" si="175"/>
        <v>0</v>
      </c>
      <c r="K367" s="219">
        <f t="shared" ca="1" si="175"/>
        <v>0</v>
      </c>
      <c r="L367" s="219">
        <f t="shared" ca="1" si="175"/>
        <v>0</v>
      </c>
      <c r="M367" s="219">
        <f t="shared" ca="1" si="175"/>
        <v>0</v>
      </c>
      <c r="N367" s="219">
        <f t="shared" ca="1" si="175"/>
        <v>0</v>
      </c>
      <c r="O367" s="219">
        <f t="shared" ca="1" si="175"/>
        <v>0</v>
      </c>
      <c r="P367" s="219">
        <f t="shared" ca="1" si="175"/>
        <v>0</v>
      </c>
      <c r="Q367" s="219">
        <f t="shared" ca="1" si="175"/>
        <v>0</v>
      </c>
      <c r="R367" s="219">
        <f t="shared" ca="1" si="175"/>
        <v>-1.1823431123048067E-11</v>
      </c>
    </row>
    <row r="368" spans="2:18">
      <c r="B368" s="155" t="s">
        <v>221</v>
      </c>
      <c r="C368" s="94"/>
      <c r="D368" s="94"/>
      <c r="E368" s="94"/>
      <c r="F368" s="94"/>
      <c r="G368" s="79"/>
      <c r="H368" s="79"/>
      <c r="I368" s="205">
        <f ca="1">AVERAGE(I366:I367)</f>
        <v>0</v>
      </c>
      <c r="J368" s="205">
        <f t="shared" ref="J368:R368" ca="1" si="176">AVERAGE(J366:J367)</f>
        <v>0</v>
      </c>
      <c r="K368" s="205">
        <f t="shared" ca="1" si="176"/>
        <v>0</v>
      </c>
      <c r="L368" s="205">
        <f t="shared" ca="1" si="176"/>
        <v>0</v>
      </c>
      <c r="M368" s="205">
        <f t="shared" ca="1" si="176"/>
        <v>0</v>
      </c>
      <c r="N368" s="205">
        <f t="shared" ca="1" si="176"/>
        <v>0</v>
      </c>
      <c r="O368" s="205">
        <f t="shared" ca="1" si="176"/>
        <v>0</v>
      </c>
      <c r="P368" s="205">
        <f t="shared" ca="1" si="176"/>
        <v>0</v>
      </c>
      <c r="Q368" s="205">
        <f t="shared" ca="1" si="176"/>
        <v>0</v>
      </c>
      <c r="R368" s="205">
        <f t="shared" ca="1" si="176"/>
        <v>-5.9117155615240335E-12</v>
      </c>
    </row>
    <row r="369" spans="1:18">
      <c r="B369" s="143"/>
      <c r="C369" s="90"/>
      <c r="D369" s="90"/>
      <c r="E369" s="90"/>
      <c r="F369" s="90"/>
      <c r="G369" s="90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</row>
    <row r="370" spans="1:18">
      <c r="B370" s="143" t="s">
        <v>222</v>
      </c>
      <c r="C370" s="90"/>
      <c r="D370" s="90"/>
      <c r="E370" s="90"/>
      <c r="F370" s="90"/>
      <c r="G370" s="158"/>
      <c r="H370" s="156"/>
      <c r="I370" s="156">
        <f ca="1">$K$48</f>
        <v>0.01</v>
      </c>
      <c r="J370" s="156">
        <f ca="1">I370</f>
        <v>0.01</v>
      </c>
      <c r="K370" s="156">
        <f t="shared" ref="K370:R370" ca="1" si="177">J370</f>
        <v>0.01</v>
      </c>
      <c r="L370" s="156">
        <f t="shared" ca="1" si="177"/>
        <v>0.01</v>
      </c>
      <c r="M370" s="156">
        <f t="shared" ca="1" si="177"/>
        <v>0.01</v>
      </c>
      <c r="N370" s="156">
        <f t="shared" ca="1" si="177"/>
        <v>0.01</v>
      </c>
      <c r="O370" s="156">
        <f t="shared" ca="1" si="177"/>
        <v>0.01</v>
      </c>
      <c r="P370" s="156">
        <f t="shared" ca="1" si="177"/>
        <v>0.01</v>
      </c>
      <c r="Q370" s="156">
        <f t="shared" ca="1" si="177"/>
        <v>0.01</v>
      </c>
      <c r="R370" s="156">
        <f t="shared" ca="1" si="177"/>
        <v>0.01</v>
      </c>
    </row>
    <row r="371" spans="1:18">
      <c r="B371" s="155" t="s">
        <v>220</v>
      </c>
      <c r="C371" s="94"/>
      <c r="D371" s="94"/>
      <c r="E371" s="94"/>
      <c r="F371" s="94"/>
      <c r="G371" s="79"/>
      <c r="H371" s="79"/>
      <c r="I371" s="248">
        <f ca="1">-I368*I370</f>
        <v>0</v>
      </c>
      <c r="J371" s="248">
        <f t="shared" ref="J371:R371" ca="1" si="178">-J368*J370</f>
        <v>0</v>
      </c>
      <c r="K371" s="248">
        <f t="shared" ca="1" si="178"/>
        <v>0</v>
      </c>
      <c r="L371" s="248">
        <f t="shared" ca="1" si="178"/>
        <v>0</v>
      </c>
      <c r="M371" s="248">
        <f t="shared" ca="1" si="178"/>
        <v>0</v>
      </c>
      <c r="N371" s="248">
        <f t="shared" ca="1" si="178"/>
        <v>0</v>
      </c>
      <c r="O371" s="248">
        <f t="shared" ca="1" si="178"/>
        <v>0</v>
      </c>
      <c r="P371" s="248">
        <f t="shared" ca="1" si="178"/>
        <v>0</v>
      </c>
      <c r="Q371" s="248">
        <f t="shared" ca="1" si="178"/>
        <v>0</v>
      </c>
      <c r="R371" s="248">
        <f t="shared" ca="1" si="178"/>
        <v>5.9117155615240337E-14</v>
      </c>
    </row>
    <row r="372" spans="1:18" ht="4.9000000000000004" customHeight="1">
      <c r="B372" s="157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</row>
    <row r="374" spans="1:18" ht="15">
      <c r="A374" s="55" t="s">
        <v>51</v>
      </c>
      <c r="B374" s="42" t="s">
        <v>280</v>
      </c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</row>
    <row r="376" spans="1:18">
      <c r="B376" s="25" t="s">
        <v>293</v>
      </c>
      <c r="I376" s="24">
        <f ca="1">SUM(I308,I312,I315,I324)</f>
        <v>0</v>
      </c>
      <c r="J376" s="24">
        <f t="shared" ref="J376:R376" ca="1" si="179">SUM(J308,J312,J315,J324)</f>
        <v>0</v>
      </c>
      <c r="K376" s="24">
        <f t="shared" ca="1" si="179"/>
        <v>0</v>
      </c>
      <c r="L376" s="24">
        <f t="shared" ca="1" si="179"/>
        <v>691.89945777184312</v>
      </c>
      <c r="M376" s="24">
        <f t="shared" ca="1" si="179"/>
        <v>2228.151064665698</v>
      </c>
      <c r="N376" s="24">
        <f t="shared" ca="1" si="179"/>
        <v>2143.5852284990256</v>
      </c>
      <c r="O376" s="24">
        <f t="shared" ca="1" si="179"/>
        <v>2133.2842997402281</v>
      </c>
      <c r="P376" s="24">
        <f t="shared" ca="1" si="179"/>
        <v>2024.5379458373416</v>
      </c>
      <c r="Q376" s="24">
        <f t="shared" ca="1" si="179"/>
        <v>1871.6719717353874</v>
      </c>
      <c r="R376" s="24">
        <f t="shared" ca="1" si="179"/>
        <v>1818.4012589049441</v>
      </c>
    </row>
    <row r="377" spans="1:18">
      <c r="B377" s="25" t="s">
        <v>294</v>
      </c>
      <c r="I377" s="261">
        <v>1</v>
      </c>
      <c r="J377" s="258">
        <f>I377</f>
        <v>1</v>
      </c>
      <c r="K377" s="258">
        <f t="shared" ref="K377:R377" si="180">J377</f>
        <v>1</v>
      </c>
      <c r="L377" s="258">
        <f t="shared" si="180"/>
        <v>1</v>
      </c>
      <c r="M377" s="258">
        <f t="shared" si="180"/>
        <v>1</v>
      </c>
      <c r="N377" s="258">
        <f t="shared" si="180"/>
        <v>1</v>
      </c>
      <c r="O377" s="258">
        <f t="shared" si="180"/>
        <v>1</v>
      </c>
      <c r="P377" s="258">
        <f t="shared" si="180"/>
        <v>1</v>
      </c>
      <c r="Q377" s="258">
        <f t="shared" si="180"/>
        <v>1</v>
      </c>
      <c r="R377" s="258">
        <f t="shared" si="180"/>
        <v>1</v>
      </c>
    </row>
    <row r="378" spans="1:18">
      <c r="I378" s="24">
        <f ca="1">I376*I377</f>
        <v>0</v>
      </c>
      <c r="J378" s="24">
        <f t="shared" ref="J378:R378" ca="1" si="181">J376*J377</f>
        <v>0</v>
      </c>
      <c r="K378" s="24">
        <f t="shared" ca="1" si="181"/>
        <v>0</v>
      </c>
      <c r="L378" s="24">
        <f t="shared" ca="1" si="181"/>
        <v>691.89945777184312</v>
      </c>
      <c r="M378" s="24">
        <f t="shared" ca="1" si="181"/>
        <v>2228.151064665698</v>
      </c>
      <c r="N378" s="24">
        <f t="shared" ca="1" si="181"/>
        <v>2143.5852284990256</v>
      </c>
      <c r="O378" s="24">
        <f t="shared" ca="1" si="181"/>
        <v>2133.2842997402281</v>
      </c>
      <c r="P378" s="24">
        <f t="shared" ca="1" si="181"/>
        <v>2024.5379458373416</v>
      </c>
      <c r="Q378" s="24">
        <f t="shared" ca="1" si="181"/>
        <v>1871.6719717353874</v>
      </c>
      <c r="R378" s="24">
        <f t="shared" ca="1" si="181"/>
        <v>1818.4012589049441</v>
      </c>
    </row>
    <row r="380" spans="1:18" ht="15">
      <c r="A380" s="55" t="s">
        <v>51</v>
      </c>
      <c r="B380" s="42" t="s">
        <v>223</v>
      </c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</row>
    <row r="382" spans="1:18" ht="15.75" thickBot="1">
      <c r="B382" s="197" t="s">
        <v>224</v>
      </c>
      <c r="C382" s="192"/>
      <c r="D382" s="192"/>
      <c r="E382" s="192"/>
      <c r="F382" s="44"/>
      <c r="G382" s="44"/>
      <c r="H382" s="44"/>
      <c r="I382" s="236">
        <f t="shared" ref="I382:R382" si="182">I335</f>
        <v>43100</v>
      </c>
      <c r="J382" s="236">
        <f t="shared" si="182"/>
        <v>43465</v>
      </c>
      <c r="K382" s="236">
        <f t="shared" si="182"/>
        <v>43830</v>
      </c>
      <c r="L382" s="236">
        <f t="shared" si="182"/>
        <v>44196</v>
      </c>
      <c r="M382" s="236">
        <f t="shared" si="182"/>
        <v>44561</v>
      </c>
      <c r="N382" s="236">
        <f t="shared" si="182"/>
        <v>44926</v>
      </c>
      <c r="O382" s="236">
        <f t="shared" si="182"/>
        <v>45291</v>
      </c>
      <c r="P382" s="236">
        <f t="shared" si="182"/>
        <v>45657</v>
      </c>
      <c r="Q382" s="236">
        <f t="shared" si="182"/>
        <v>46022</v>
      </c>
      <c r="R382" s="236">
        <f t="shared" si="182"/>
        <v>46387</v>
      </c>
    </row>
    <row r="383" spans="1:18">
      <c r="B383" s="90"/>
      <c r="C383" s="90"/>
      <c r="D383" s="90"/>
      <c r="E383" s="90"/>
      <c r="F383" s="90"/>
      <c r="G383" s="90"/>
      <c r="H383" s="90"/>
      <c r="I383" s="91"/>
      <c r="J383" s="91"/>
      <c r="K383" s="91"/>
      <c r="L383" s="91"/>
      <c r="M383" s="91"/>
    </row>
    <row r="384" spans="1:18">
      <c r="B384" s="90" t="s">
        <v>198</v>
      </c>
      <c r="C384" s="90"/>
      <c r="D384" s="90"/>
      <c r="E384" s="90"/>
      <c r="F384" s="90"/>
      <c r="G384" s="90"/>
      <c r="H384" s="78"/>
      <c r="I384" s="241">
        <f ca="1">H201</f>
        <v>15100</v>
      </c>
      <c r="J384" s="219">
        <f ca="1">I387</f>
        <v>16604.463747553662</v>
      </c>
      <c r="K384" s="219">
        <f t="shared" ref="K384:R384" ca="1" si="183">J387</f>
        <v>18277.331571619728</v>
      </c>
      <c r="L384" s="219">
        <f t="shared" ca="1" si="183"/>
        <v>19902.343581337922</v>
      </c>
      <c r="M384" s="219">
        <f t="shared" ca="1" si="183"/>
        <v>20685.519063960361</v>
      </c>
      <c r="N384" s="219">
        <f t="shared" ca="1" si="183"/>
        <v>19799.172608078006</v>
      </c>
      <c r="O384" s="219">
        <f t="shared" ca="1" si="183"/>
        <v>18978.405011672774</v>
      </c>
      <c r="P384" s="219">
        <f t="shared" ca="1" si="183"/>
        <v>18128.126958774508</v>
      </c>
      <c r="Q384" s="219">
        <f t="shared" ca="1" si="183"/>
        <v>17248.247329050013</v>
      </c>
      <c r="R384" s="219">
        <f t="shared" ca="1" si="183"/>
        <v>16338.673161351286</v>
      </c>
    </row>
    <row r="385" spans="1:18">
      <c r="B385" s="90" t="s">
        <v>155</v>
      </c>
      <c r="C385" s="90"/>
      <c r="D385" s="90"/>
      <c r="E385" s="90"/>
      <c r="F385" s="90"/>
      <c r="G385" s="90"/>
      <c r="H385" s="78"/>
      <c r="I385" s="219">
        <f t="shared" ref="I385:R385" ca="1" si="184">I143</f>
        <v>1955.1673547979763</v>
      </c>
      <c r="J385" s="219">
        <f t="shared" ca="1" si="184"/>
        <v>1990.300676763532</v>
      </c>
      <c r="K385" s="219">
        <f t="shared" ca="1" si="184"/>
        <v>2040.6202946854207</v>
      </c>
      <c r="L385" s="219">
        <f t="shared" ca="1" si="184"/>
        <v>2095.1447487492683</v>
      </c>
      <c r="M385" s="219">
        <f t="shared" ca="1" si="184"/>
        <v>2113.1217647058638</v>
      </c>
      <c r="N385" s="219">
        <f t="shared" ca="1" si="184"/>
        <v>2158.8749215686089</v>
      </c>
      <c r="O385" s="219">
        <f t="shared" ca="1" si="184"/>
        <v>2130.5621826103993</v>
      </c>
      <c r="P385" s="219">
        <f t="shared" ca="1" si="184"/>
        <v>2101.7027216530332</v>
      </c>
      <c r="Q385" s="219">
        <f t="shared" ca="1" si="184"/>
        <v>2072.2854938076398</v>
      </c>
      <c r="R385" s="219">
        <f t="shared" ca="1" si="184"/>
        <v>2042.2992310562781</v>
      </c>
    </row>
    <row r="386" spans="1:18">
      <c r="B386" s="90" t="s">
        <v>437</v>
      </c>
      <c r="C386" s="90"/>
      <c r="D386" s="90"/>
      <c r="E386" s="90"/>
      <c r="F386" s="90"/>
      <c r="G386" s="90"/>
      <c r="H386" s="128"/>
      <c r="I386" s="272">
        <f ca="1">SUM(I266:I268)+I324</f>
        <v>-450.70360724431691</v>
      </c>
      <c r="J386" s="272">
        <f t="shared" ref="J386:R386" ca="1" si="185">SUM(J266:J268)+J324</f>
        <v>-317.43285269746434</v>
      </c>
      <c r="K386" s="272">
        <f t="shared" ca="1" si="185"/>
        <v>-415.60828496722684</v>
      </c>
      <c r="L386" s="272">
        <f t="shared" ca="1" si="185"/>
        <v>-1311.9692661268311</v>
      </c>
      <c r="M386" s="272">
        <f t="shared" ca="1" si="185"/>
        <v>-2999.46822058822</v>
      </c>
      <c r="N386" s="272">
        <f t="shared" ca="1" si="185"/>
        <v>-2979.6425179738408</v>
      </c>
      <c r="O386" s="272">
        <f t="shared" ca="1" si="185"/>
        <v>-2980.840235508666</v>
      </c>
      <c r="P386" s="272">
        <f t="shared" ca="1" si="185"/>
        <v>-2981.5823513775276</v>
      </c>
      <c r="Q386" s="272">
        <f t="shared" ca="1" si="185"/>
        <v>-2981.8596615063661</v>
      </c>
      <c r="R386" s="272">
        <f t="shared" ca="1" si="185"/>
        <v>-2981.6627758802438</v>
      </c>
    </row>
    <row r="387" spans="1:18">
      <c r="B387" s="94" t="s">
        <v>205</v>
      </c>
      <c r="C387" s="94"/>
      <c r="D387" s="94"/>
      <c r="E387" s="94"/>
      <c r="F387" s="94"/>
      <c r="G387" s="94"/>
      <c r="H387" s="79"/>
      <c r="I387" s="205">
        <f t="shared" ref="I387:R387" ca="1" si="186">SUM(I384:I386)</f>
        <v>16604.463747553662</v>
      </c>
      <c r="J387" s="205">
        <f t="shared" ca="1" si="186"/>
        <v>18277.331571619728</v>
      </c>
      <c r="K387" s="205">
        <f t="shared" ca="1" si="186"/>
        <v>19902.343581337922</v>
      </c>
      <c r="L387" s="205">
        <f t="shared" ca="1" si="186"/>
        <v>20685.519063960361</v>
      </c>
      <c r="M387" s="205">
        <f t="shared" ca="1" si="186"/>
        <v>19799.172608078006</v>
      </c>
      <c r="N387" s="205">
        <f t="shared" ca="1" si="186"/>
        <v>18978.405011672774</v>
      </c>
      <c r="O387" s="205">
        <f t="shared" ca="1" si="186"/>
        <v>18128.126958774508</v>
      </c>
      <c r="P387" s="205">
        <f t="shared" ca="1" si="186"/>
        <v>17248.247329050013</v>
      </c>
      <c r="Q387" s="205">
        <f t="shared" ca="1" si="186"/>
        <v>16338.673161351289</v>
      </c>
      <c r="R387" s="205">
        <f t="shared" ca="1" si="186"/>
        <v>15399.309616527318</v>
      </c>
    </row>
    <row r="388" spans="1:18" ht="4.9000000000000004" customHeight="1"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</row>
    <row r="389" spans="1:18"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</row>
    <row r="390" spans="1:18" ht="15.75" thickBot="1">
      <c r="B390" s="197" t="s">
        <v>225</v>
      </c>
      <c r="C390" s="192"/>
      <c r="D390" s="192"/>
      <c r="E390" s="192"/>
      <c r="F390" s="44"/>
      <c r="G390" s="44"/>
      <c r="H390" s="192"/>
      <c r="I390" s="236">
        <f t="shared" ref="I390:R390" si="187">I382</f>
        <v>43100</v>
      </c>
      <c r="J390" s="236">
        <f t="shared" si="187"/>
        <v>43465</v>
      </c>
      <c r="K390" s="236">
        <f t="shared" si="187"/>
        <v>43830</v>
      </c>
      <c r="L390" s="236">
        <f t="shared" si="187"/>
        <v>44196</v>
      </c>
      <c r="M390" s="236">
        <f t="shared" si="187"/>
        <v>44561</v>
      </c>
      <c r="N390" s="236">
        <f t="shared" si="187"/>
        <v>44926</v>
      </c>
      <c r="O390" s="236">
        <f t="shared" si="187"/>
        <v>45291</v>
      </c>
      <c r="P390" s="236">
        <f t="shared" si="187"/>
        <v>45657</v>
      </c>
      <c r="Q390" s="236">
        <f t="shared" si="187"/>
        <v>46022</v>
      </c>
      <c r="R390" s="236">
        <f t="shared" si="187"/>
        <v>46387</v>
      </c>
    </row>
    <row r="391" spans="1:18">
      <c r="B391" s="90"/>
      <c r="C391" s="90"/>
      <c r="D391" s="90"/>
      <c r="E391" s="90"/>
      <c r="F391" s="90"/>
      <c r="G391" s="90"/>
      <c r="H391" s="90"/>
      <c r="I391" s="91"/>
      <c r="J391" s="91"/>
      <c r="K391" s="91"/>
      <c r="L391" s="91"/>
      <c r="M391" s="91"/>
    </row>
    <row r="392" spans="1:18">
      <c r="B392" s="90" t="s">
        <v>198</v>
      </c>
      <c r="C392" s="90"/>
      <c r="D392" s="90"/>
      <c r="E392" s="90"/>
      <c r="F392" s="90"/>
      <c r="G392" s="119"/>
      <c r="H392" s="102"/>
      <c r="I392" s="241">
        <f>H178</f>
        <v>6600</v>
      </c>
      <c r="J392" s="219">
        <f ca="1">I395</f>
        <v>6415</v>
      </c>
      <c r="K392" s="219">
        <f t="shared" ref="K392:R392" ca="1" si="188">J395</f>
        <v>6180</v>
      </c>
      <c r="L392" s="219">
        <f t="shared" ca="1" si="188"/>
        <v>5657.5</v>
      </c>
      <c r="M392" s="219">
        <f t="shared" ca="1" si="188"/>
        <v>5110</v>
      </c>
      <c r="N392" s="219">
        <f t="shared" ca="1" si="188"/>
        <v>4537.5</v>
      </c>
      <c r="O392" s="219">
        <f t="shared" ca="1" si="188"/>
        <v>3940</v>
      </c>
      <c r="P392" s="219">
        <f t="shared" ca="1" si="188"/>
        <v>3317.5</v>
      </c>
      <c r="Q392" s="219">
        <f t="shared" ca="1" si="188"/>
        <v>2670</v>
      </c>
      <c r="R392" s="219">
        <f t="shared" ca="1" si="188"/>
        <v>1997.5</v>
      </c>
    </row>
    <row r="393" spans="1:18">
      <c r="B393" s="9" t="s">
        <v>226</v>
      </c>
      <c r="C393" s="90"/>
      <c r="D393" s="90"/>
      <c r="E393" s="90"/>
      <c r="F393" s="90"/>
      <c r="G393" s="119"/>
      <c r="H393" s="102"/>
      <c r="I393" s="219">
        <f t="shared" ref="I393:R393" ca="1" si="189">-I146</f>
        <v>-685</v>
      </c>
      <c r="J393" s="219">
        <f t="shared" ca="1" si="189"/>
        <v>-735</v>
      </c>
      <c r="K393" s="219">
        <f t="shared" ca="1" si="189"/>
        <v>-772.5</v>
      </c>
      <c r="L393" s="219">
        <f t="shared" ca="1" si="189"/>
        <v>-797.5</v>
      </c>
      <c r="M393" s="219">
        <f t="shared" ca="1" si="189"/>
        <v>-822.5</v>
      </c>
      <c r="N393" s="219">
        <f t="shared" ca="1" si="189"/>
        <v>-847.5</v>
      </c>
      <c r="O393" s="219">
        <f t="shared" ca="1" si="189"/>
        <v>-872.5</v>
      </c>
      <c r="P393" s="219">
        <f t="shared" ca="1" si="189"/>
        <v>-897.5</v>
      </c>
      <c r="Q393" s="219">
        <f t="shared" ca="1" si="189"/>
        <v>-922.5</v>
      </c>
      <c r="R393" s="219">
        <f t="shared" ca="1" si="189"/>
        <v>-947.5</v>
      </c>
    </row>
    <row r="394" spans="1:18">
      <c r="B394" s="9" t="s">
        <v>227</v>
      </c>
      <c r="C394" s="90"/>
      <c r="D394" s="90"/>
      <c r="E394" s="90"/>
      <c r="F394" s="90"/>
      <c r="G394" s="119"/>
      <c r="H394" s="102"/>
      <c r="I394" s="219">
        <f ca="1">I509</f>
        <v>500</v>
      </c>
      <c r="J394" s="219">
        <f t="shared" ref="J394:R394" ca="1" si="190">J509</f>
        <v>500</v>
      </c>
      <c r="K394" s="219">
        <f t="shared" ca="1" si="190"/>
        <v>250</v>
      </c>
      <c r="L394" s="219">
        <f t="shared" ca="1" si="190"/>
        <v>250</v>
      </c>
      <c r="M394" s="219">
        <f t="shared" ca="1" si="190"/>
        <v>250</v>
      </c>
      <c r="N394" s="219">
        <f t="shared" ca="1" si="190"/>
        <v>250</v>
      </c>
      <c r="O394" s="219">
        <f t="shared" ca="1" si="190"/>
        <v>250</v>
      </c>
      <c r="P394" s="219">
        <f t="shared" ca="1" si="190"/>
        <v>250</v>
      </c>
      <c r="Q394" s="219">
        <f t="shared" ca="1" si="190"/>
        <v>250</v>
      </c>
      <c r="R394" s="219">
        <f t="shared" ca="1" si="190"/>
        <v>250</v>
      </c>
    </row>
    <row r="395" spans="1:18">
      <c r="B395" s="159" t="s">
        <v>205</v>
      </c>
      <c r="C395" s="94"/>
      <c r="D395" s="94"/>
      <c r="E395" s="94"/>
      <c r="F395" s="94"/>
      <c r="G395" s="160"/>
      <c r="H395" s="109"/>
      <c r="I395" s="205">
        <f ca="1">SUM(I392:I394)</f>
        <v>6415</v>
      </c>
      <c r="J395" s="205">
        <f t="shared" ref="J395:R395" ca="1" si="191">SUM(J392:J394)</f>
        <v>6180</v>
      </c>
      <c r="K395" s="205">
        <f t="shared" ca="1" si="191"/>
        <v>5657.5</v>
      </c>
      <c r="L395" s="205">
        <f t="shared" ca="1" si="191"/>
        <v>5110</v>
      </c>
      <c r="M395" s="205">
        <f t="shared" ca="1" si="191"/>
        <v>4537.5</v>
      </c>
      <c r="N395" s="205">
        <f t="shared" ca="1" si="191"/>
        <v>3940</v>
      </c>
      <c r="O395" s="205">
        <f t="shared" ca="1" si="191"/>
        <v>3317.5</v>
      </c>
      <c r="P395" s="205">
        <f t="shared" ca="1" si="191"/>
        <v>2670</v>
      </c>
      <c r="Q395" s="205">
        <f t="shared" ca="1" si="191"/>
        <v>1997.5</v>
      </c>
      <c r="R395" s="205">
        <f t="shared" ca="1" si="191"/>
        <v>1300</v>
      </c>
    </row>
    <row r="396" spans="1:18" ht="4.9000000000000004" customHeight="1"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</row>
    <row r="398" spans="1:18" ht="15">
      <c r="A398" s="55" t="s">
        <v>51</v>
      </c>
      <c r="B398" s="42" t="s">
        <v>242</v>
      </c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</row>
    <row r="400" spans="1:18" ht="15">
      <c r="B400" s="25" t="s">
        <v>228</v>
      </c>
      <c r="D400" s="240" t="s">
        <v>229</v>
      </c>
      <c r="E400" s="162"/>
      <c r="F400" s="162"/>
      <c r="G400" s="162"/>
      <c r="L400" s="166"/>
      <c r="M400" s="167"/>
      <c r="N400" s="167"/>
      <c r="O400" s="167"/>
      <c r="P400" s="167"/>
      <c r="Q400" s="167"/>
      <c r="R400" s="167"/>
    </row>
    <row r="401" spans="2:18" ht="15.75" thickBot="1">
      <c r="E401" s="162"/>
      <c r="F401" s="162"/>
      <c r="G401" s="162"/>
      <c r="I401" s="236">
        <v>42736</v>
      </c>
      <c r="J401" s="236">
        <f>EOMONTH(I401,12)</f>
        <v>43131</v>
      </c>
      <c r="K401" s="236">
        <f t="shared" ref="K401:R401" si="192">EOMONTH(J401,12)</f>
        <v>43496</v>
      </c>
      <c r="L401" s="236">
        <f t="shared" si="192"/>
        <v>43861</v>
      </c>
      <c r="M401" s="236">
        <f t="shared" si="192"/>
        <v>44227</v>
      </c>
      <c r="N401" s="236">
        <f t="shared" si="192"/>
        <v>44592</v>
      </c>
      <c r="O401" s="236">
        <f t="shared" si="192"/>
        <v>44957</v>
      </c>
      <c r="P401" s="236">
        <f t="shared" si="192"/>
        <v>45322</v>
      </c>
      <c r="Q401" s="236">
        <f t="shared" si="192"/>
        <v>45688</v>
      </c>
      <c r="R401" s="236">
        <f t="shared" si="192"/>
        <v>46053</v>
      </c>
    </row>
    <row r="402" spans="2:18" ht="15">
      <c r="B402" s="25" t="s">
        <v>230</v>
      </c>
      <c r="E402" s="163" t="s">
        <v>231</v>
      </c>
      <c r="F402" s="24">
        <f>G95</f>
        <v>3300</v>
      </c>
      <c r="G402" s="163" t="s">
        <v>232</v>
      </c>
      <c r="H402" s="168">
        <v>10</v>
      </c>
      <c r="I402" s="24">
        <f>$F402/$H402</f>
        <v>330</v>
      </c>
      <c r="J402" s="24">
        <f>+MIN($F402-SUM($I402:I402),$F402/$H402)</f>
        <v>330</v>
      </c>
      <c r="K402" s="24">
        <f>+MIN($F402-SUM($I402:J402),$F402/$H402)</f>
        <v>330</v>
      </c>
      <c r="L402" s="24">
        <f>+MIN($F402-SUM($I402:K402),$F402/$H402)</f>
        <v>330</v>
      </c>
      <c r="M402" s="24">
        <f>+MIN($F402-SUM($I402:L402),$F402/$H402)</f>
        <v>330</v>
      </c>
      <c r="N402" s="24">
        <f>+MIN($F402-SUM($I402:M402),$F402/$H402)</f>
        <v>330</v>
      </c>
      <c r="O402" s="24">
        <f>+MIN($F402-SUM($I402:N402),$F402/$H402)</f>
        <v>330</v>
      </c>
      <c r="P402" s="24">
        <f>+MIN($F402-SUM($I402:O402),$F402/$H402)</f>
        <v>330</v>
      </c>
      <c r="Q402" s="24">
        <f>+MIN($F402-SUM($I402:P402),$F402/$H402)</f>
        <v>330</v>
      </c>
      <c r="R402" s="24">
        <f>+MIN($F402-SUM($I402:Q402),$F402/$H402)</f>
        <v>330</v>
      </c>
    </row>
    <row r="403" spans="2:18">
      <c r="L403" s="161"/>
      <c r="M403" s="161"/>
      <c r="N403" s="161"/>
      <c r="O403" s="161"/>
      <c r="P403" s="161"/>
      <c r="Q403" s="161"/>
      <c r="R403" s="161"/>
    </row>
    <row r="404" spans="2:18" ht="15">
      <c r="G404" s="164" t="s">
        <v>233</v>
      </c>
      <c r="H404" s="164" t="s">
        <v>234</v>
      </c>
      <c r="L404" s="161"/>
      <c r="M404" s="161"/>
      <c r="N404" s="161"/>
      <c r="O404" s="161"/>
      <c r="P404" s="161"/>
      <c r="Q404" s="161"/>
      <c r="R404" s="161"/>
    </row>
    <row r="405" spans="2:18">
      <c r="G405" s="165">
        <f>I401</f>
        <v>42736</v>
      </c>
      <c r="H405" s="24">
        <f ca="1">-I257</f>
        <v>500</v>
      </c>
      <c r="I405" s="24">
        <f ca="1">+IF(Mid_Year="Yes",0.5*$H405/$H402,$H405/$H402)</f>
        <v>25</v>
      </c>
      <c r="J405" s="24">
        <f ca="1">+MIN($H405-SUM($I405:I405),$H405/$H402)</f>
        <v>50</v>
      </c>
      <c r="K405" s="24">
        <f ca="1">+MIN($H405-SUM($I405:J405),$H405/$H$402)</f>
        <v>50</v>
      </c>
      <c r="L405" s="24">
        <f ca="1">+MIN($H405-SUM($I405:K405),$H405/$H$402)</f>
        <v>50</v>
      </c>
      <c r="M405" s="24">
        <f ca="1">+MIN($H405-SUM($I405:L405),$H405/$H$402)</f>
        <v>50</v>
      </c>
      <c r="N405" s="24">
        <f ca="1">+MIN($H405-SUM($I405:M405),$H405/$H$402)</f>
        <v>50</v>
      </c>
      <c r="O405" s="24">
        <f ca="1">+MIN($H405-SUM($I405:N405),$H405/$H$402)</f>
        <v>50</v>
      </c>
      <c r="P405" s="24">
        <f ca="1">+MIN($H405-SUM($I405:O405),$H405/$H$402)</f>
        <v>50</v>
      </c>
      <c r="Q405" s="24">
        <f ca="1">+MIN($H405-SUM($I405:P405),$H405/$H$402)</f>
        <v>50</v>
      </c>
      <c r="R405" s="24">
        <f ca="1">+MIN($H405-SUM($I405:Q405),$H405/$H$402)</f>
        <v>50</v>
      </c>
    </row>
    <row r="406" spans="2:18">
      <c r="G406" s="165">
        <f>J401</f>
        <v>43131</v>
      </c>
      <c r="H406" s="24">
        <f ca="1">-J257</f>
        <v>500</v>
      </c>
      <c r="J406" s="24">
        <f ca="1">+IF(Mid_Year="Yes",0.5*$H406/$H$402,$H406/$H$402)</f>
        <v>25</v>
      </c>
      <c r="K406" s="24">
        <f ca="1">+MIN($H406-SUM($I406:J406),$H406/$H$402)</f>
        <v>50</v>
      </c>
      <c r="L406" s="24">
        <f ca="1">+MIN($H406-SUM($I406:K406),$H406/$H$402)</f>
        <v>50</v>
      </c>
      <c r="M406" s="24">
        <f ca="1">+MIN($H406-SUM($I406:L406),$H406/$H$402)</f>
        <v>50</v>
      </c>
      <c r="N406" s="24">
        <f ca="1">+MIN($H406-SUM($I406:M406),$H406/$H$402)</f>
        <v>50</v>
      </c>
      <c r="O406" s="24">
        <f ca="1">+MIN($H406-SUM($I406:N406),$H406/$H$402)</f>
        <v>50</v>
      </c>
      <c r="P406" s="24">
        <f ca="1">+MIN($H406-SUM($I406:O406),$H406/$H$402)</f>
        <v>50</v>
      </c>
      <c r="Q406" s="24">
        <f ca="1">+MIN($H406-SUM($I406:P406),$H406/$H$402)</f>
        <v>50</v>
      </c>
      <c r="R406" s="24">
        <f ca="1">+MIN($H406-SUM($I406:Q406),$H406/$H$402)</f>
        <v>50</v>
      </c>
    </row>
    <row r="407" spans="2:18">
      <c r="G407" s="165">
        <f>+K401</f>
        <v>43496</v>
      </c>
      <c r="H407" s="24">
        <f ca="1">-+K257</f>
        <v>250</v>
      </c>
      <c r="K407" s="24">
        <f ca="1">+IF(Mid_Year="Yes",0.5*$H407/$H$402,$H407/$H$402)</f>
        <v>12.5</v>
      </c>
      <c r="L407" s="24">
        <f ca="1">+MIN($H407-SUM($I407:K407),$H407/$H$402)</f>
        <v>25</v>
      </c>
      <c r="M407" s="24">
        <f ca="1">+MIN($H407-SUM($I407:L407),$H407/$H$402)</f>
        <v>25</v>
      </c>
      <c r="N407" s="24">
        <f ca="1">+MIN($H407-SUM($I407:M407),$H407/$H$402)</f>
        <v>25</v>
      </c>
      <c r="O407" s="24">
        <f ca="1">+MIN($H407-SUM($I407:N407),$H407/$H$402)</f>
        <v>25</v>
      </c>
      <c r="P407" s="24">
        <f ca="1">+MIN($H407-SUM($I407:O407),$H407/$H$402)</f>
        <v>25</v>
      </c>
      <c r="Q407" s="24">
        <f ca="1">+MIN($H407-SUM($I407:P407),$H407/$H$402)</f>
        <v>25</v>
      </c>
      <c r="R407" s="24">
        <f ca="1">+MIN($H407-SUM($I407:Q407),$H407/$H$402)</f>
        <v>25</v>
      </c>
    </row>
    <row r="408" spans="2:18">
      <c r="G408" s="165">
        <f>+L401</f>
        <v>43861</v>
      </c>
      <c r="H408" s="24">
        <f ca="1">-+L257</f>
        <v>250</v>
      </c>
      <c r="L408" s="24">
        <f ca="1">+IF(Mid_Year="Yes",0.5*$H408/$H$402,$H408/$H$402)</f>
        <v>12.5</v>
      </c>
      <c r="M408" s="24">
        <f ca="1">+MIN($H408-SUM($I408:L408),$H408/$H$402)</f>
        <v>25</v>
      </c>
      <c r="N408" s="24">
        <f ca="1">+MIN($H408-SUM($I408:M408),$H408/$H$402)</f>
        <v>25</v>
      </c>
      <c r="O408" s="24">
        <f ca="1">+MIN($H408-SUM($I408:N408),$H408/$H$402)</f>
        <v>25</v>
      </c>
      <c r="P408" s="24">
        <f ca="1">+MIN($H408-SUM($I408:O408),$H408/$H$402)</f>
        <v>25</v>
      </c>
      <c r="Q408" s="24">
        <f ca="1">+MIN($H408-SUM($I408:P408),$H408/$H$402)</f>
        <v>25</v>
      </c>
      <c r="R408" s="24">
        <f ca="1">+MIN($H408-SUM($I408:Q408),$H408/$H$402)</f>
        <v>25</v>
      </c>
    </row>
    <row r="409" spans="2:18">
      <c r="G409" s="165">
        <f>+M401</f>
        <v>44227</v>
      </c>
      <c r="H409" s="24">
        <f ca="1">-+M257</f>
        <v>250</v>
      </c>
      <c r="L409" s="24"/>
      <c r="M409" s="24">
        <f ca="1">+IF(Mid_Year="Yes",0.5*$H409/$H$402,$H409/$H$402)</f>
        <v>12.5</v>
      </c>
      <c r="N409" s="24">
        <f ca="1">+MIN($H409-SUM($I409:M409),$H409/$H$402)</f>
        <v>25</v>
      </c>
      <c r="O409" s="24">
        <f ca="1">+MIN($H409-SUM($I409:N409),$H409/$H$402)</f>
        <v>25</v>
      </c>
      <c r="P409" s="24">
        <f ca="1">+MIN($H409-SUM($I409:O409),$H409/$H$402)</f>
        <v>25</v>
      </c>
      <c r="Q409" s="24">
        <f ca="1">+MIN($H409-SUM($I409:P409),$H409/$H$402)</f>
        <v>25</v>
      </c>
      <c r="R409" s="24">
        <f ca="1">+MIN($H409-SUM($I409:Q409),$H409/$H$402)</f>
        <v>25</v>
      </c>
    </row>
    <row r="410" spans="2:18">
      <c r="G410" s="165">
        <f>+N401</f>
        <v>44592</v>
      </c>
      <c r="H410" s="24">
        <f ca="1">-+N257</f>
        <v>250</v>
      </c>
      <c r="L410" s="24"/>
      <c r="M410" s="24"/>
      <c r="N410" s="24">
        <f ca="1">+IF(Mid_Year="Yes",0.5*$H410/$H$402,$H410/$H$402)</f>
        <v>12.5</v>
      </c>
      <c r="O410" s="24">
        <f ca="1">+MIN($H410-SUM($I410:N410),$H410/$H$402)</f>
        <v>25</v>
      </c>
      <c r="P410" s="24">
        <f ca="1">+MIN($H410-SUM($I410:O410),$H410/$H$402)</f>
        <v>25</v>
      </c>
      <c r="Q410" s="24">
        <f ca="1">+MIN($H410-SUM($I410:P410),$H410/$H$402)</f>
        <v>25</v>
      </c>
      <c r="R410" s="24">
        <f ca="1">+MIN($H410-SUM($I410:Q410),$H410/$H$402)</f>
        <v>25</v>
      </c>
    </row>
    <row r="411" spans="2:18">
      <c r="G411" s="165">
        <f>+O401</f>
        <v>44957</v>
      </c>
      <c r="H411" s="24">
        <f ca="1">-+O257</f>
        <v>250</v>
      </c>
      <c r="L411" s="24"/>
      <c r="M411" s="24"/>
      <c r="N411" s="24"/>
      <c r="O411" s="24">
        <f ca="1">+IF(Mid_Year="Yes",0.5*$H411/$H$402,$H411/$H$402)</f>
        <v>12.5</v>
      </c>
      <c r="P411" s="24">
        <f ca="1">+MIN($H411-SUM($I411:O411),$H411/$H$402)</f>
        <v>25</v>
      </c>
      <c r="Q411" s="24">
        <f ca="1">+MIN($H411-SUM($I411:P411),$H411/$H$402)</f>
        <v>25</v>
      </c>
      <c r="R411" s="24">
        <f ca="1">+MIN($H411-SUM($I411:Q411),$H411/$H$402)</f>
        <v>25</v>
      </c>
    </row>
    <row r="412" spans="2:18">
      <c r="G412" s="165">
        <f>+P401</f>
        <v>45322</v>
      </c>
      <c r="H412" s="24">
        <f ca="1">-+P257</f>
        <v>250</v>
      </c>
      <c r="L412" s="24"/>
      <c r="M412" s="24"/>
      <c r="N412" s="24"/>
      <c r="O412" s="24"/>
      <c r="P412" s="24">
        <f ca="1">+IF(Mid_Year="Yes",0.5*$H412/$H$402,$H412/$H$402)</f>
        <v>12.5</v>
      </c>
      <c r="Q412" s="24">
        <f ca="1">+MIN($H412-SUM($I412:P412),$H412/$H$402)</f>
        <v>25</v>
      </c>
      <c r="R412" s="24">
        <f ca="1">+MIN($H412-SUM($I412:Q412),$H412/$H$402)</f>
        <v>25</v>
      </c>
    </row>
    <row r="413" spans="2:18">
      <c r="G413" s="165">
        <f>+Q401</f>
        <v>45688</v>
      </c>
      <c r="H413" s="24">
        <f ca="1">-+Q257</f>
        <v>250</v>
      </c>
      <c r="L413" s="24"/>
      <c r="M413" s="24"/>
      <c r="N413" s="24"/>
      <c r="O413" s="24"/>
      <c r="P413" s="24"/>
      <c r="Q413" s="24">
        <f ca="1">+IF(Mid_Year="Yes",0.5*$H413/$H$402,$H413/$H$402)</f>
        <v>12.5</v>
      </c>
      <c r="R413" s="24">
        <f ca="1">+MIN($H413-SUM($I413:Q413),$H413/$H$402)</f>
        <v>25</v>
      </c>
    </row>
    <row r="414" spans="2:18">
      <c r="G414" s="165">
        <f>+R401</f>
        <v>46053</v>
      </c>
      <c r="H414" s="24">
        <f ca="1">-+R257</f>
        <v>250</v>
      </c>
      <c r="I414" s="61"/>
      <c r="J414" s="61"/>
      <c r="K414" s="61"/>
      <c r="L414" s="61"/>
      <c r="M414" s="61"/>
      <c r="N414" s="61"/>
      <c r="O414" s="61"/>
      <c r="P414" s="61"/>
      <c r="Q414" s="61"/>
      <c r="R414" s="61">
        <f ca="1">+IF(Mid_Year="Yes",0.5*$H414/$H$402,$H414/$H$402)</f>
        <v>12.5</v>
      </c>
    </row>
    <row r="415" spans="2:18">
      <c r="B415" s="25" t="s">
        <v>235</v>
      </c>
      <c r="E415" s="162"/>
      <c r="F415" s="162"/>
      <c r="G415" s="162"/>
      <c r="I415" s="30">
        <f ca="1">SUM(I402:I414)</f>
        <v>355</v>
      </c>
      <c r="J415" s="30">
        <f t="shared" ref="J415:R415" ca="1" si="193">SUM(J402:J414)</f>
        <v>405</v>
      </c>
      <c r="K415" s="30">
        <f t="shared" ca="1" si="193"/>
        <v>442.5</v>
      </c>
      <c r="L415" s="30">
        <f t="shared" ca="1" si="193"/>
        <v>467.5</v>
      </c>
      <c r="M415" s="30">
        <f t="shared" ca="1" si="193"/>
        <v>492.5</v>
      </c>
      <c r="N415" s="30">
        <f t="shared" ca="1" si="193"/>
        <v>517.5</v>
      </c>
      <c r="O415" s="30">
        <f t="shared" ca="1" si="193"/>
        <v>542.5</v>
      </c>
      <c r="P415" s="30">
        <f t="shared" ca="1" si="193"/>
        <v>567.5</v>
      </c>
      <c r="Q415" s="30">
        <f t="shared" ca="1" si="193"/>
        <v>592.5</v>
      </c>
      <c r="R415" s="30">
        <f t="shared" ca="1" si="193"/>
        <v>617.5</v>
      </c>
    </row>
    <row r="417" spans="2:20">
      <c r="B417" s="67" t="s">
        <v>236</v>
      </c>
      <c r="E417" s="162"/>
      <c r="F417" s="162"/>
      <c r="G417" s="162"/>
    </row>
    <row r="418" spans="2:20" ht="15">
      <c r="B418" s="25" t="s">
        <v>239</v>
      </c>
      <c r="E418" s="163" t="s">
        <v>241</v>
      </c>
      <c r="F418" s="396">
        <f>-$F$41</f>
        <v>3300</v>
      </c>
      <c r="G418" s="163" t="s">
        <v>232</v>
      </c>
      <c r="H418" s="168">
        <v>10</v>
      </c>
      <c r="I418" s="30">
        <f>F418/H418</f>
        <v>330</v>
      </c>
      <c r="J418" s="24">
        <f>+MIN($F418-SUM($I418:I418),$F418/$H418)</f>
        <v>330</v>
      </c>
      <c r="K418" s="24">
        <f>+MIN($F418-SUM($I418:J418),$F418/$H418)</f>
        <v>330</v>
      </c>
      <c r="L418" s="24">
        <f>+MIN($F418-SUM($I418:K418),$F418/$H418)</f>
        <v>330</v>
      </c>
      <c r="M418" s="24">
        <f>+MIN($F418-SUM($I418:L418),$F418/$H418)</f>
        <v>330</v>
      </c>
      <c r="N418" s="24">
        <f>+MIN($F418-SUM($I418:M418),$F418/$H418)</f>
        <v>330</v>
      </c>
      <c r="O418" s="24">
        <f>+MIN($F418-SUM($I418:N418),$F418/$H418)</f>
        <v>330</v>
      </c>
      <c r="P418" s="24">
        <f>+MIN($F418-SUM($I418:O418),$F418/$H418)</f>
        <v>330</v>
      </c>
      <c r="Q418" s="24">
        <f>+MIN($F418-SUM($I418:P418),$F418/$H418)</f>
        <v>330</v>
      </c>
      <c r="R418" s="24">
        <f>+MIN($F418-SUM($I418:Q418),$F418/$H418)</f>
        <v>330</v>
      </c>
    </row>
    <row r="419" spans="2:20" ht="15">
      <c r="B419" s="25" t="s">
        <v>240</v>
      </c>
      <c r="E419" s="163" t="s">
        <v>241</v>
      </c>
      <c r="F419" s="309">
        <v>0</v>
      </c>
      <c r="G419" s="163" t="s">
        <v>232</v>
      </c>
      <c r="H419" s="309">
        <v>0</v>
      </c>
      <c r="I419" s="30">
        <v>0</v>
      </c>
      <c r="J419" s="30">
        <v>0</v>
      </c>
      <c r="K419" s="30">
        <v>0</v>
      </c>
      <c r="L419" s="30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</row>
    <row r="420" spans="2:20" ht="11.25" customHeight="1">
      <c r="E420" s="20"/>
      <c r="G420" s="163"/>
      <c r="L420" s="24"/>
      <c r="M420" s="24"/>
      <c r="N420" s="24"/>
      <c r="O420" s="24"/>
      <c r="P420" s="24"/>
      <c r="Q420" s="24"/>
      <c r="R420" s="24"/>
    </row>
    <row r="421" spans="2:20" ht="15">
      <c r="B421" s="67" t="s">
        <v>237</v>
      </c>
      <c r="E421" s="20"/>
      <c r="G421" s="163"/>
      <c r="L421" s="24"/>
      <c r="M421" s="24"/>
      <c r="N421" s="24"/>
      <c r="O421" s="24"/>
      <c r="P421" s="24"/>
      <c r="Q421" s="24"/>
      <c r="R421" s="24"/>
      <c r="T421" s="162"/>
    </row>
    <row r="422" spans="2:20" ht="15">
      <c r="B422" s="25" t="s">
        <v>230</v>
      </c>
      <c r="E422" s="163" t="s">
        <v>241</v>
      </c>
      <c r="F422" s="38">
        <f>F402</f>
        <v>3300</v>
      </c>
      <c r="G422" s="163" t="s">
        <v>232</v>
      </c>
      <c r="H422" s="168">
        <v>7</v>
      </c>
      <c r="I422" s="271">
        <f t="shared" ref="I422:R422" si="194">$F422*INDEX($B$440:$R$442,MATCH($H$422,$B$440:$B$442,0),MATCH(I$438,$B$438:$R$438,0))</f>
        <v>471.57</v>
      </c>
      <c r="J422" s="271">
        <f t="shared" si="194"/>
        <v>808.17000000000007</v>
      </c>
      <c r="K422" s="271">
        <f t="shared" si="194"/>
        <v>577.16999999999996</v>
      </c>
      <c r="L422" s="271">
        <f t="shared" si="194"/>
        <v>412.17</v>
      </c>
      <c r="M422" s="271">
        <f t="shared" si="194"/>
        <v>294.69</v>
      </c>
      <c r="N422" s="271">
        <f t="shared" si="194"/>
        <v>294.36</v>
      </c>
      <c r="O422" s="271">
        <f t="shared" si="194"/>
        <v>294.69</v>
      </c>
      <c r="P422" s="271">
        <f t="shared" si="194"/>
        <v>147.18</v>
      </c>
      <c r="Q422" s="271">
        <f t="shared" si="194"/>
        <v>0</v>
      </c>
      <c r="R422" s="271">
        <f t="shared" si="194"/>
        <v>0</v>
      </c>
    </row>
    <row r="423" spans="2:20" ht="15">
      <c r="B423" s="25" t="s">
        <v>239</v>
      </c>
      <c r="E423" s="163" t="s">
        <v>241</v>
      </c>
      <c r="F423" s="38">
        <f>-F41</f>
        <v>3300</v>
      </c>
      <c r="G423" s="163" t="s">
        <v>232</v>
      </c>
      <c r="H423" s="168">
        <v>7</v>
      </c>
      <c r="I423" s="271">
        <f t="shared" ref="I423:R423" si="195">IF(Deal_Type="Stock",0,$F423*INDEX($B$440:$R$442,MATCH($H$423,$B$440:$B$442,0),MATCH(I$438,$B$438:$R$438,0)))</f>
        <v>471.57</v>
      </c>
      <c r="J423" s="271">
        <f t="shared" si="195"/>
        <v>808.17000000000007</v>
      </c>
      <c r="K423" s="271">
        <f t="shared" si="195"/>
        <v>577.16999999999996</v>
      </c>
      <c r="L423" s="271">
        <f t="shared" si="195"/>
        <v>412.17</v>
      </c>
      <c r="M423" s="271">
        <f t="shared" si="195"/>
        <v>294.69</v>
      </c>
      <c r="N423" s="271">
        <f t="shared" si="195"/>
        <v>294.36</v>
      </c>
      <c r="O423" s="271">
        <f t="shared" si="195"/>
        <v>294.69</v>
      </c>
      <c r="P423" s="271">
        <f t="shared" si="195"/>
        <v>147.18</v>
      </c>
      <c r="Q423" s="271">
        <f t="shared" si="195"/>
        <v>0</v>
      </c>
      <c r="R423" s="271">
        <f t="shared" si="195"/>
        <v>0</v>
      </c>
    </row>
    <row r="424" spans="2:20" ht="15">
      <c r="B424" s="25" t="s">
        <v>234</v>
      </c>
      <c r="E424" s="163"/>
      <c r="F424" s="24"/>
      <c r="G424" s="163" t="s">
        <v>232</v>
      </c>
      <c r="H424" s="168">
        <v>7</v>
      </c>
      <c r="I424" s="24">
        <f ca="1">I437</f>
        <v>71.45</v>
      </c>
      <c r="J424" s="24">
        <f t="shared" ref="J424:R424" ca="1" si="196">J437</f>
        <v>193.9</v>
      </c>
      <c r="K424" s="24">
        <f t="shared" ca="1" si="196"/>
        <v>245.625</v>
      </c>
      <c r="L424" s="24">
        <f t="shared" ca="1" si="196"/>
        <v>246.85</v>
      </c>
      <c r="M424" s="24">
        <f t="shared" ca="1" si="196"/>
        <v>247.77499999999998</v>
      </c>
      <c r="N424" s="24">
        <f t="shared" ca="1" si="196"/>
        <v>261.14999999999998</v>
      </c>
      <c r="O424" s="24">
        <f t="shared" ca="1" si="196"/>
        <v>283.47500000000002</v>
      </c>
      <c r="P424" s="24">
        <f t="shared" ca="1" si="196"/>
        <v>283.47500000000002</v>
      </c>
      <c r="Q424" s="24">
        <f t="shared" ca="1" si="196"/>
        <v>261.14999999999998</v>
      </c>
      <c r="R424" s="24">
        <f t="shared" ca="1" si="196"/>
        <v>250</v>
      </c>
    </row>
    <row r="425" spans="2:20" ht="15">
      <c r="E425" s="163"/>
      <c r="F425" s="24"/>
      <c r="G425" s="163"/>
      <c r="H425" s="168"/>
      <c r="I425" s="24"/>
      <c r="J425" s="24"/>
      <c r="K425" s="24"/>
      <c r="L425" s="24"/>
      <c r="M425" s="24"/>
      <c r="N425" s="24"/>
      <c r="O425" s="24"/>
      <c r="P425" s="24"/>
      <c r="Q425" s="24"/>
      <c r="R425" s="24"/>
    </row>
    <row r="426" spans="2:20" ht="15">
      <c r="E426" s="163"/>
      <c r="F426" s="24"/>
      <c r="G426" s="164" t="str">
        <f t="shared" ref="G426:G436" si="197">G404</f>
        <v>Year</v>
      </c>
      <c r="H426" s="164" t="str">
        <f t="shared" ref="H426:H436" si="198">H404</f>
        <v>CapEx</v>
      </c>
      <c r="L426" s="161"/>
      <c r="M426" s="161"/>
      <c r="N426" s="161"/>
      <c r="O426" s="161"/>
      <c r="P426" s="161"/>
      <c r="Q426" s="161"/>
      <c r="R426" s="161"/>
    </row>
    <row r="427" spans="2:20" ht="15">
      <c r="E427" s="163"/>
      <c r="F427" s="24"/>
      <c r="G427" s="165">
        <f t="shared" si="197"/>
        <v>42736</v>
      </c>
      <c r="H427" s="24">
        <f t="shared" ca="1" si="198"/>
        <v>500</v>
      </c>
      <c r="I427" s="271">
        <f t="shared" ref="I427:R427" ca="1" si="199">$H427*INDEX($B$440:$R$442,MATCH($H$424,$B$440:$B$442),MATCH(I$438,$B$438:$R$438,0))</f>
        <v>71.45</v>
      </c>
      <c r="J427" s="271">
        <f t="shared" ca="1" si="199"/>
        <v>122.45</v>
      </c>
      <c r="K427" s="271">
        <f t="shared" ca="1" si="199"/>
        <v>87.45</v>
      </c>
      <c r="L427" s="271">
        <f t="shared" ca="1" si="199"/>
        <v>62.449999999999996</v>
      </c>
      <c r="M427" s="271">
        <f t="shared" ca="1" si="199"/>
        <v>44.650000000000006</v>
      </c>
      <c r="N427" s="271">
        <f t="shared" ca="1" si="199"/>
        <v>44.6</v>
      </c>
      <c r="O427" s="271">
        <f t="shared" ca="1" si="199"/>
        <v>44.650000000000006</v>
      </c>
      <c r="P427" s="271">
        <f t="shared" ca="1" si="199"/>
        <v>22.3</v>
      </c>
      <c r="Q427" s="271">
        <f t="shared" ca="1" si="199"/>
        <v>0</v>
      </c>
      <c r="R427" s="271">
        <f t="shared" ca="1" si="199"/>
        <v>0</v>
      </c>
    </row>
    <row r="428" spans="2:20" ht="15">
      <c r="E428" s="163"/>
      <c r="F428" s="24"/>
      <c r="G428" s="165">
        <f t="shared" si="197"/>
        <v>43131</v>
      </c>
      <c r="H428" s="24">
        <f t="shared" ca="1" si="198"/>
        <v>500</v>
      </c>
      <c r="I428" s="271"/>
      <c r="J428" s="271">
        <f t="shared" ref="J428:R428" ca="1" si="200">$H428*INDEX($B$440:$R$442,MATCH($H$424,$B$440:$B$442),MATCH(I$438,$B$438:$R$438,0))</f>
        <v>71.45</v>
      </c>
      <c r="K428" s="271">
        <f t="shared" ca="1" si="200"/>
        <v>122.45</v>
      </c>
      <c r="L428" s="271">
        <f t="shared" ca="1" si="200"/>
        <v>87.45</v>
      </c>
      <c r="M428" s="271">
        <f t="shared" ca="1" si="200"/>
        <v>62.449999999999996</v>
      </c>
      <c r="N428" s="271">
        <f t="shared" ca="1" si="200"/>
        <v>44.650000000000006</v>
      </c>
      <c r="O428" s="271">
        <f t="shared" ca="1" si="200"/>
        <v>44.6</v>
      </c>
      <c r="P428" s="271">
        <f t="shared" ca="1" si="200"/>
        <v>44.650000000000006</v>
      </c>
      <c r="Q428" s="271">
        <f t="shared" ca="1" si="200"/>
        <v>22.3</v>
      </c>
      <c r="R428" s="271">
        <f t="shared" ca="1" si="200"/>
        <v>0</v>
      </c>
    </row>
    <row r="429" spans="2:20" ht="15">
      <c r="E429" s="163"/>
      <c r="F429" s="24"/>
      <c r="G429" s="165">
        <f t="shared" si="197"/>
        <v>43496</v>
      </c>
      <c r="H429" s="24">
        <f t="shared" ca="1" si="198"/>
        <v>250</v>
      </c>
      <c r="I429" s="271"/>
      <c r="J429" s="271"/>
      <c r="K429" s="271">
        <f t="shared" ref="K429:R429" ca="1" si="201">$H429*INDEX($B$440:$R$442,MATCH($H$424,$B$440:$B$442),MATCH(I$438,$B$438:$R$438,0))</f>
        <v>35.725000000000001</v>
      </c>
      <c r="L429" s="271">
        <f t="shared" ca="1" si="201"/>
        <v>61.225000000000001</v>
      </c>
      <c r="M429" s="271">
        <f t="shared" ca="1" si="201"/>
        <v>43.725000000000001</v>
      </c>
      <c r="N429" s="271">
        <f t="shared" ca="1" si="201"/>
        <v>31.224999999999998</v>
      </c>
      <c r="O429" s="271">
        <f t="shared" ca="1" si="201"/>
        <v>22.325000000000003</v>
      </c>
      <c r="P429" s="271">
        <f t="shared" ca="1" si="201"/>
        <v>22.3</v>
      </c>
      <c r="Q429" s="271">
        <f t="shared" ca="1" si="201"/>
        <v>22.325000000000003</v>
      </c>
      <c r="R429" s="271">
        <f t="shared" ca="1" si="201"/>
        <v>11.15</v>
      </c>
    </row>
    <row r="430" spans="2:20" ht="15">
      <c r="E430" s="163"/>
      <c r="F430" s="24"/>
      <c r="G430" s="165">
        <f t="shared" si="197"/>
        <v>43861</v>
      </c>
      <c r="H430" s="24">
        <f t="shared" ca="1" si="198"/>
        <v>250</v>
      </c>
      <c r="I430" s="271"/>
      <c r="J430" s="271"/>
      <c r="K430" s="271"/>
      <c r="L430" s="271">
        <f t="shared" ref="L430:R430" ca="1" si="202">$H430*INDEX($B$440:$R$442,MATCH($H$424,$B$440:$B$442),MATCH(I$438,$B$438:$R$438,0))</f>
        <v>35.725000000000001</v>
      </c>
      <c r="M430" s="271">
        <f t="shared" ca="1" si="202"/>
        <v>61.225000000000001</v>
      </c>
      <c r="N430" s="271">
        <f t="shared" ca="1" si="202"/>
        <v>43.725000000000001</v>
      </c>
      <c r="O430" s="271">
        <f t="shared" ca="1" si="202"/>
        <v>31.224999999999998</v>
      </c>
      <c r="P430" s="271">
        <f t="shared" ca="1" si="202"/>
        <v>22.325000000000003</v>
      </c>
      <c r="Q430" s="271">
        <f t="shared" ca="1" si="202"/>
        <v>22.3</v>
      </c>
      <c r="R430" s="271">
        <f t="shared" ca="1" si="202"/>
        <v>22.325000000000003</v>
      </c>
    </row>
    <row r="431" spans="2:20" ht="15">
      <c r="E431" s="163"/>
      <c r="F431" s="24"/>
      <c r="G431" s="165">
        <f t="shared" si="197"/>
        <v>44227</v>
      </c>
      <c r="H431" s="24">
        <f t="shared" ca="1" si="198"/>
        <v>250</v>
      </c>
      <c r="I431" s="271"/>
      <c r="J431" s="271"/>
      <c r="K431" s="271"/>
      <c r="L431" s="271"/>
      <c r="M431" s="271">
        <f t="shared" ref="M431:R431" ca="1" si="203">$H431*INDEX($B$440:$R$442,MATCH($H$424,$B$440:$B$442),MATCH(I$438,$B$438:$R$438,0))</f>
        <v>35.725000000000001</v>
      </c>
      <c r="N431" s="271">
        <f t="shared" ca="1" si="203"/>
        <v>61.225000000000001</v>
      </c>
      <c r="O431" s="271">
        <f t="shared" ca="1" si="203"/>
        <v>43.725000000000001</v>
      </c>
      <c r="P431" s="271">
        <f t="shared" ca="1" si="203"/>
        <v>31.224999999999998</v>
      </c>
      <c r="Q431" s="271">
        <f t="shared" ca="1" si="203"/>
        <v>22.325000000000003</v>
      </c>
      <c r="R431" s="271">
        <f t="shared" ca="1" si="203"/>
        <v>22.3</v>
      </c>
    </row>
    <row r="432" spans="2:20" ht="15">
      <c r="E432" s="163"/>
      <c r="F432" s="24"/>
      <c r="G432" s="165">
        <f t="shared" si="197"/>
        <v>44592</v>
      </c>
      <c r="H432" s="24">
        <f t="shared" ca="1" si="198"/>
        <v>250</v>
      </c>
      <c r="I432" s="271"/>
      <c r="J432" s="271"/>
      <c r="K432" s="271"/>
      <c r="L432" s="271"/>
      <c r="M432" s="271"/>
      <c r="N432" s="271">
        <f ca="1">$H432*INDEX($B$440:$R$442,MATCH($H$424,$B$440:$B$442),MATCH(I$438,$B$438:$R$438,0))</f>
        <v>35.725000000000001</v>
      </c>
      <c r="O432" s="271">
        <f ca="1">$H432*INDEX($B$440:$R$442,MATCH($H$424,$B$440:$B$442),MATCH(J$438,$B$438:$R$438,0))</f>
        <v>61.225000000000001</v>
      </c>
      <c r="P432" s="271">
        <f ca="1">$H432*INDEX($B$440:$R$442,MATCH($H$424,$B$440:$B$442),MATCH(K$438,$B$438:$R$438,0))</f>
        <v>43.725000000000001</v>
      </c>
      <c r="Q432" s="271">
        <f ca="1">$H432*INDEX($B$440:$R$442,MATCH($H$424,$B$440:$B$442),MATCH(L$438,$B$438:$R$438,0))</f>
        <v>31.224999999999998</v>
      </c>
      <c r="R432" s="271">
        <f ca="1">$H432*INDEX($B$440:$R$442,MATCH($H$424,$B$440:$B$442),MATCH(M$438,$B$438:$R$438,0))</f>
        <v>22.325000000000003</v>
      </c>
    </row>
    <row r="433" spans="1:48" ht="15">
      <c r="E433" s="163"/>
      <c r="F433" s="24"/>
      <c r="G433" s="165">
        <f t="shared" si="197"/>
        <v>44957</v>
      </c>
      <c r="H433" s="24">
        <f t="shared" ca="1" si="198"/>
        <v>250</v>
      </c>
      <c r="I433" s="271"/>
      <c r="J433" s="271"/>
      <c r="K433" s="271"/>
      <c r="L433" s="271"/>
      <c r="M433" s="271"/>
      <c r="N433" s="271"/>
      <c r="O433" s="271">
        <f ca="1">$H433*INDEX($B$440:$R$442,MATCH($H$424,$B$440:$B$442),MATCH(I$438,$B$438:$R$438,0))</f>
        <v>35.725000000000001</v>
      </c>
      <c r="P433" s="271">
        <f ca="1">$H433*INDEX($B$440:$R$442,MATCH($H$424,$B$440:$B$442),MATCH(J$438,$B$438:$R$438,0))</f>
        <v>61.225000000000001</v>
      </c>
      <c r="Q433" s="271">
        <f ca="1">$H433*INDEX($B$440:$R$442,MATCH($H$424,$B$440:$B$442),MATCH(K$438,$B$438:$R$438,0))</f>
        <v>43.725000000000001</v>
      </c>
      <c r="R433" s="271">
        <f ca="1">$H433*INDEX($B$440:$R$442,MATCH($H$424,$B$440:$B$442),MATCH(L$438,$B$438:$R$438,0))</f>
        <v>31.224999999999998</v>
      </c>
    </row>
    <row r="434" spans="1:48" ht="15">
      <c r="E434" s="163"/>
      <c r="F434" s="24"/>
      <c r="G434" s="165">
        <f t="shared" si="197"/>
        <v>45322</v>
      </c>
      <c r="H434" s="24">
        <f t="shared" ca="1" si="198"/>
        <v>250</v>
      </c>
      <c r="I434" s="271"/>
      <c r="J434" s="271"/>
      <c r="K434" s="271"/>
      <c r="L434" s="271"/>
      <c r="M434" s="271"/>
      <c r="N434" s="271"/>
      <c r="O434" s="271"/>
      <c r="P434" s="271">
        <f ca="1">$H434*INDEX($B$440:$R$442,MATCH($H$424,$B$440:$B$442),MATCH(I$438,$B$438:$R$438,0))</f>
        <v>35.725000000000001</v>
      </c>
      <c r="Q434" s="271">
        <f ca="1">$H434*INDEX($B$440:$R$442,MATCH($H$424,$B$440:$B$442),MATCH(J$438,$B$438:$R$438,0))</f>
        <v>61.225000000000001</v>
      </c>
      <c r="R434" s="271">
        <f ca="1">$H434*INDEX($B$440:$R$442,MATCH($H$424,$B$440:$B$442),MATCH(K$438,$B$438:$R$438,0))</f>
        <v>43.725000000000001</v>
      </c>
    </row>
    <row r="435" spans="1:48" ht="15">
      <c r="E435" s="163"/>
      <c r="F435" s="24"/>
      <c r="G435" s="165">
        <f t="shared" si="197"/>
        <v>45688</v>
      </c>
      <c r="H435" s="24">
        <f t="shared" ca="1" si="198"/>
        <v>250</v>
      </c>
      <c r="I435" s="271"/>
      <c r="J435" s="271"/>
      <c r="K435" s="271"/>
      <c r="L435" s="271"/>
      <c r="M435" s="271"/>
      <c r="N435" s="271"/>
      <c r="O435" s="271"/>
      <c r="P435" s="271"/>
      <c r="Q435" s="271">
        <f ca="1">$H435*INDEX($B$440:$R$442,MATCH($H$424,$B$440:$B$442),MATCH(I$438,$B$438:$R$438,0))</f>
        <v>35.725000000000001</v>
      </c>
      <c r="R435" s="271">
        <f ca="1">$H435*INDEX($B$440:$R$442,MATCH($H$424,$B$440:$B$442),MATCH(J$438,$B$438:$R$438,0))</f>
        <v>61.225000000000001</v>
      </c>
    </row>
    <row r="436" spans="1:48" ht="15">
      <c r="E436" s="163"/>
      <c r="F436" s="24"/>
      <c r="G436" s="165">
        <f t="shared" si="197"/>
        <v>46053</v>
      </c>
      <c r="H436" s="24">
        <f t="shared" ca="1" si="198"/>
        <v>250</v>
      </c>
      <c r="I436" s="256"/>
      <c r="J436" s="256"/>
      <c r="K436" s="256"/>
      <c r="L436" s="256"/>
      <c r="M436" s="256"/>
      <c r="N436" s="256"/>
      <c r="O436" s="256"/>
      <c r="P436" s="256"/>
      <c r="Q436" s="256"/>
      <c r="R436" s="256">
        <f ca="1">$H436*INDEX($B$440:$R$442,MATCH($H$424,$B$440:$B$442),MATCH(I$438,$B$438:$R$438,0))</f>
        <v>35.725000000000001</v>
      </c>
    </row>
    <row r="437" spans="1:48" ht="15">
      <c r="E437" s="163"/>
      <c r="F437" s="24"/>
      <c r="G437" s="162"/>
      <c r="I437" s="30">
        <f ca="1">SUM(I427:I436)</f>
        <v>71.45</v>
      </c>
      <c r="J437" s="30">
        <f t="shared" ref="J437:R437" ca="1" si="204">SUM(J427:J436)</f>
        <v>193.9</v>
      </c>
      <c r="K437" s="30">
        <f t="shared" ca="1" si="204"/>
        <v>245.625</v>
      </c>
      <c r="L437" s="30">
        <f t="shared" ca="1" si="204"/>
        <v>246.85</v>
      </c>
      <c r="M437" s="30">
        <f t="shared" ca="1" si="204"/>
        <v>247.77499999999998</v>
      </c>
      <c r="N437" s="30">
        <f t="shared" ca="1" si="204"/>
        <v>261.14999999999998</v>
      </c>
      <c r="O437" s="30">
        <f t="shared" ca="1" si="204"/>
        <v>283.47500000000002</v>
      </c>
      <c r="P437" s="30">
        <f t="shared" ca="1" si="204"/>
        <v>283.47500000000002</v>
      </c>
      <c r="Q437" s="30">
        <f t="shared" ca="1" si="204"/>
        <v>261.14999999999998</v>
      </c>
      <c r="R437" s="30">
        <f t="shared" ca="1" si="204"/>
        <v>250</v>
      </c>
    </row>
    <row r="438" spans="1:48" ht="16.5" hidden="1" customHeight="1" outlineLevel="1" thickBot="1">
      <c r="B438" s="262" t="s">
        <v>296</v>
      </c>
      <c r="E438" s="163"/>
      <c r="F438" s="24"/>
      <c r="G438" s="163"/>
      <c r="H438" s="168"/>
      <c r="I438" s="236" t="s">
        <v>298</v>
      </c>
      <c r="J438" s="236" t="s">
        <v>299</v>
      </c>
      <c r="K438" s="236" t="s">
        <v>300</v>
      </c>
      <c r="L438" s="236" t="s">
        <v>301</v>
      </c>
      <c r="M438" s="236" t="s">
        <v>302</v>
      </c>
      <c r="N438" s="236" t="s">
        <v>303</v>
      </c>
      <c r="O438" s="236" t="s">
        <v>304</v>
      </c>
      <c r="P438" s="236" t="s">
        <v>305</v>
      </c>
      <c r="Q438" s="236" t="s">
        <v>306</v>
      </c>
      <c r="R438" s="236" t="s">
        <v>307</v>
      </c>
      <c r="S438" s="236" t="s">
        <v>308</v>
      </c>
      <c r="T438" s="236"/>
      <c r="U438" s="236"/>
      <c r="V438" s="236" t="s">
        <v>309</v>
      </c>
      <c r="W438" s="236" t="s">
        <v>310</v>
      </c>
      <c r="X438" s="236" t="s">
        <v>311</v>
      </c>
      <c r="Y438" s="236" t="s">
        <v>312</v>
      </c>
      <c r="Z438" s="236" t="s">
        <v>313</v>
      </c>
      <c r="AA438" s="236" t="s">
        <v>314</v>
      </c>
      <c r="AB438" s="236" t="s">
        <v>315</v>
      </c>
      <c r="AC438" s="236" t="s">
        <v>316</v>
      </c>
      <c r="AD438" s="236" t="s">
        <v>317</v>
      </c>
      <c r="AE438" s="236" t="s">
        <v>318</v>
      </c>
      <c r="AF438" s="236" t="s">
        <v>319</v>
      </c>
      <c r="AG438" s="236" t="s">
        <v>320</v>
      </c>
      <c r="AH438" s="236" t="s">
        <v>321</v>
      </c>
      <c r="AI438" s="236" t="s">
        <v>322</v>
      </c>
      <c r="AJ438" s="236" t="s">
        <v>323</v>
      </c>
      <c r="AK438" s="236" t="s">
        <v>324</v>
      </c>
      <c r="AL438" s="236" t="s">
        <v>325</v>
      </c>
      <c r="AM438" s="236" t="s">
        <v>326</v>
      </c>
      <c r="AN438" s="236" t="s">
        <v>327</v>
      </c>
      <c r="AO438" s="236" t="s">
        <v>328</v>
      </c>
      <c r="AP438" s="236" t="s">
        <v>329</v>
      </c>
      <c r="AQ438" s="236" t="s">
        <v>330</v>
      </c>
      <c r="AR438" s="236" t="s">
        <v>331</v>
      </c>
      <c r="AS438" s="236" t="s">
        <v>332</v>
      </c>
      <c r="AT438" s="236" t="s">
        <v>333</v>
      </c>
      <c r="AU438" s="236" t="s">
        <v>334</v>
      </c>
      <c r="AV438" s="236" t="s">
        <v>335</v>
      </c>
    </row>
    <row r="439" spans="1:48" ht="15" hidden="1" outlineLevel="1">
      <c r="B439" s="47" t="s">
        <v>297</v>
      </c>
      <c r="E439" s="163"/>
      <c r="F439" s="24"/>
      <c r="G439" s="163"/>
      <c r="H439" s="168"/>
      <c r="I439" s="263"/>
      <c r="J439" s="263"/>
      <c r="K439" s="263"/>
      <c r="L439" s="263"/>
      <c r="M439" s="263"/>
      <c r="N439" s="263"/>
      <c r="O439" s="263"/>
      <c r="P439" s="263"/>
      <c r="Q439" s="263"/>
      <c r="R439" s="263"/>
      <c r="S439" s="263"/>
      <c r="T439" s="263"/>
      <c r="U439" s="263"/>
      <c r="V439" s="263"/>
      <c r="W439" s="263"/>
      <c r="X439" s="263"/>
      <c r="Y439" s="263"/>
      <c r="Z439" s="263"/>
      <c r="AA439" s="263"/>
      <c r="AB439" s="263"/>
      <c r="AC439" s="263"/>
      <c r="AD439" s="263"/>
      <c r="AE439" s="263"/>
      <c r="AF439" s="263"/>
      <c r="AG439" s="263"/>
      <c r="AH439" s="263"/>
      <c r="AI439" s="263"/>
      <c r="AJ439" s="263"/>
      <c r="AK439" s="263"/>
      <c r="AL439" s="263"/>
      <c r="AM439" s="263"/>
      <c r="AN439" s="263"/>
      <c r="AO439" s="263"/>
      <c r="AP439" s="263"/>
      <c r="AQ439" s="263"/>
      <c r="AR439" s="263"/>
      <c r="AS439" s="263"/>
      <c r="AT439" s="263"/>
      <c r="AU439" s="263"/>
      <c r="AV439" s="263"/>
    </row>
    <row r="440" spans="1:48" ht="15" hidden="1" outlineLevel="1">
      <c r="A440" s="267"/>
      <c r="B440" s="270">
        <v>5</v>
      </c>
      <c r="C440" s="269"/>
      <c r="E440" s="163"/>
      <c r="F440" s="24"/>
      <c r="G440" s="163"/>
      <c r="H440" s="168"/>
      <c r="I440" s="264">
        <v>0.2</v>
      </c>
      <c r="J440" s="264">
        <v>0.32</v>
      </c>
      <c r="K440" s="264">
        <v>0.192</v>
      </c>
      <c r="L440" s="264">
        <v>0.1152</v>
      </c>
      <c r="M440" s="264">
        <v>0.1152</v>
      </c>
      <c r="N440" s="264">
        <v>5.7599999999999998E-2</v>
      </c>
      <c r="O440" s="265"/>
      <c r="P440" s="265"/>
      <c r="Q440" s="265"/>
      <c r="R440" s="265"/>
      <c r="S440" s="265"/>
      <c r="T440" s="265"/>
      <c r="U440" s="265"/>
      <c r="V440" s="265"/>
      <c r="W440" s="265"/>
      <c r="X440" s="265"/>
      <c r="Y440" s="265"/>
      <c r="Z440" s="265"/>
      <c r="AA440" s="265"/>
      <c r="AB440" s="265"/>
      <c r="AC440" s="265"/>
      <c r="AD440" s="265"/>
      <c r="AE440" s="265"/>
      <c r="AF440" s="265"/>
      <c r="AG440" s="265"/>
      <c r="AH440" s="265"/>
      <c r="AI440" s="265"/>
      <c r="AJ440" s="265"/>
      <c r="AK440" s="265"/>
      <c r="AL440" s="265"/>
      <c r="AM440" s="265"/>
      <c r="AN440" s="265"/>
      <c r="AO440" s="265"/>
      <c r="AP440" s="265"/>
      <c r="AQ440" s="265"/>
      <c r="AR440" s="265"/>
      <c r="AS440" s="265"/>
      <c r="AT440" s="265"/>
      <c r="AU440" s="265"/>
      <c r="AV440" s="265"/>
    </row>
    <row r="441" spans="1:48" ht="15" hidden="1" outlineLevel="1">
      <c r="B441" s="270">
        <v>7</v>
      </c>
      <c r="C441" s="268"/>
      <c r="E441" s="163"/>
      <c r="F441" s="24"/>
      <c r="G441" s="163"/>
      <c r="H441" s="168"/>
      <c r="I441" s="266">
        <v>0.1429</v>
      </c>
      <c r="J441" s="266">
        <v>0.24490000000000001</v>
      </c>
      <c r="K441" s="266">
        <v>0.1749</v>
      </c>
      <c r="L441" s="266">
        <v>0.1249</v>
      </c>
      <c r="M441" s="266">
        <v>8.9300000000000004E-2</v>
      </c>
      <c r="N441" s="266">
        <v>8.9200000000000002E-2</v>
      </c>
      <c r="O441" s="266">
        <v>8.9300000000000004E-2</v>
      </c>
      <c r="P441" s="266">
        <v>4.4600000000000001E-2</v>
      </c>
      <c r="Q441" s="265"/>
      <c r="R441" s="265"/>
      <c r="S441" s="265"/>
      <c r="T441" s="265"/>
      <c r="U441" s="265"/>
      <c r="V441" s="265"/>
      <c r="W441" s="265"/>
      <c r="X441" s="265"/>
      <c r="Y441" s="265"/>
      <c r="Z441" s="265"/>
      <c r="AA441" s="265"/>
      <c r="AB441" s="265"/>
      <c r="AC441" s="265"/>
      <c r="AD441" s="265"/>
      <c r="AE441" s="265"/>
      <c r="AF441" s="265"/>
      <c r="AG441" s="265"/>
      <c r="AH441" s="265"/>
      <c r="AI441" s="265"/>
      <c r="AJ441" s="265"/>
      <c r="AK441" s="265"/>
      <c r="AL441" s="265"/>
      <c r="AM441" s="265"/>
      <c r="AN441" s="265"/>
      <c r="AO441" s="265"/>
      <c r="AP441" s="265"/>
      <c r="AQ441" s="265"/>
      <c r="AR441" s="265"/>
      <c r="AS441" s="265"/>
      <c r="AT441" s="265"/>
      <c r="AU441" s="265"/>
      <c r="AV441" s="265"/>
    </row>
    <row r="442" spans="1:48" ht="15" hidden="1" outlineLevel="1">
      <c r="B442" s="270">
        <v>39</v>
      </c>
      <c r="C442" s="268"/>
      <c r="E442" s="163"/>
      <c r="F442" s="24"/>
      <c r="G442" s="163"/>
      <c r="H442" s="168"/>
      <c r="I442" s="266">
        <f>1/39/2</f>
        <v>1.282051282051282E-2</v>
      </c>
      <c r="J442" s="266">
        <f t="shared" ref="J442:AT442" si="205">1/39</f>
        <v>2.564102564102564E-2</v>
      </c>
      <c r="K442" s="266">
        <f t="shared" si="205"/>
        <v>2.564102564102564E-2</v>
      </c>
      <c r="L442" s="266">
        <f t="shared" si="205"/>
        <v>2.564102564102564E-2</v>
      </c>
      <c r="M442" s="266">
        <f t="shared" si="205"/>
        <v>2.564102564102564E-2</v>
      </c>
      <c r="N442" s="266">
        <f t="shared" si="205"/>
        <v>2.564102564102564E-2</v>
      </c>
      <c r="O442" s="266">
        <f t="shared" si="205"/>
        <v>2.564102564102564E-2</v>
      </c>
      <c r="P442" s="266">
        <f t="shared" si="205"/>
        <v>2.564102564102564E-2</v>
      </c>
      <c r="Q442" s="266">
        <f t="shared" si="205"/>
        <v>2.564102564102564E-2</v>
      </c>
      <c r="R442" s="266">
        <f t="shared" si="205"/>
        <v>2.564102564102564E-2</v>
      </c>
      <c r="S442" s="266">
        <f t="shared" si="205"/>
        <v>2.564102564102564E-2</v>
      </c>
      <c r="T442" s="266"/>
      <c r="U442" s="266"/>
      <c r="V442" s="266">
        <f t="shared" si="205"/>
        <v>2.564102564102564E-2</v>
      </c>
      <c r="W442" s="266">
        <f t="shared" si="205"/>
        <v>2.564102564102564E-2</v>
      </c>
      <c r="X442" s="266">
        <f t="shared" si="205"/>
        <v>2.564102564102564E-2</v>
      </c>
      <c r="Y442" s="266">
        <f t="shared" si="205"/>
        <v>2.564102564102564E-2</v>
      </c>
      <c r="Z442" s="266">
        <f t="shared" si="205"/>
        <v>2.564102564102564E-2</v>
      </c>
      <c r="AA442" s="266">
        <f t="shared" si="205"/>
        <v>2.564102564102564E-2</v>
      </c>
      <c r="AB442" s="266">
        <f t="shared" si="205"/>
        <v>2.564102564102564E-2</v>
      </c>
      <c r="AC442" s="266">
        <f t="shared" si="205"/>
        <v>2.564102564102564E-2</v>
      </c>
      <c r="AD442" s="266">
        <f t="shared" si="205"/>
        <v>2.564102564102564E-2</v>
      </c>
      <c r="AE442" s="266">
        <f t="shared" si="205"/>
        <v>2.564102564102564E-2</v>
      </c>
      <c r="AF442" s="266">
        <f t="shared" si="205"/>
        <v>2.564102564102564E-2</v>
      </c>
      <c r="AG442" s="266">
        <f t="shared" si="205"/>
        <v>2.564102564102564E-2</v>
      </c>
      <c r="AH442" s="266">
        <f t="shared" si="205"/>
        <v>2.564102564102564E-2</v>
      </c>
      <c r="AI442" s="266">
        <f t="shared" si="205"/>
        <v>2.564102564102564E-2</v>
      </c>
      <c r="AJ442" s="266">
        <f t="shared" si="205"/>
        <v>2.564102564102564E-2</v>
      </c>
      <c r="AK442" s="266">
        <f t="shared" si="205"/>
        <v>2.564102564102564E-2</v>
      </c>
      <c r="AL442" s="266">
        <f t="shared" si="205"/>
        <v>2.564102564102564E-2</v>
      </c>
      <c r="AM442" s="266">
        <f t="shared" si="205"/>
        <v>2.564102564102564E-2</v>
      </c>
      <c r="AN442" s="266">
        <f t="shared" si="205"/>
        <v>2.564102564102564E-2</v>
      </c>
      <c r="AO442" s="266">
        <f t="shared" si="205"/>
        <v>2.564102564102564E-2</v>
      </c>
      <c r="AP442" s="266">
        <f t="shared" si="205"/>
        <v>2.564102564102564E-2</v>
      </c>
      <c r="AQ442" s="266">
        <f t="shared" si="205"/>
        <v>2.564102564102564E-2</v>
      </c>
      <c r="AR442" s="266">
        <f t="shared" si="205"/>
        <v>2.564102564102564E-2</v>
      </c>
      <c r="AS442" s="266">
        <f t="shared" si="205"/>
        <v>2.564102564102564E-2</v>
      </c>
      <c r="AT442" s="266">
        <f t="shared" si="205"/>
        <v>2.564102564102564E-2</v>
      </c>
      <c r="AU442" s="266">
        <f>1/39</f>
        <v>2.564102564102564E-2</v>
      </c>
      <c r="AV442" s="266">
        <f>1/39/2</f>
        <v>1.282051282051282E-2</v>
      </c>
    </row>
    <row r="443" spans="1:48" ht="15" collapsed="1">
      <c r="E443" s="163"/>
      <c r="F443" s="24"/>
      <c r="G443" s="163"/>
      <c r="H443" s="168"/>
      <c r="I443" s="24"/>
      <c r="J443" s="24"/>
      <c r="K443" s="24"/>
      <c r="L443" s="24"/>
      <c r="M443" s="24"/>
      <c r="N443" s="24"/>
      <c r="O443" s="24"/>
      <c r="P443" s="24"/>
      <c r="Q443" s="24"/>
      <c r="R443" s="24"/>
    </row>
    <row r="444" spans="1:48" ht="15">
      <c r="B444" s="25" t="s">
        <v>240</v>
      </c>
      <c r="E444" s="163" t="s">
        <v>241</v>
      </c>
      <c r="F444" s="309">
        <v>0</v>
      </c>
      <c r="G444" s="163" t="s">
        <v>232</v>
      </c>
      <c r="H444" s="309">
        <v>0</v>
      </c>
      <c r="I444" s="24"/>
      <c r="J444" s="24"/>
      <c r="K444" s="24"/>
      <c r="L444" s="24"/>
      <c r="M444" s="24"/>
      <c r="N444" s="24"/>
      <c r="O444" s="24"/>
      <c r="P444" s="24"/>
      <c r="Q444" s="24"/>
      <c r="R444" s="24"/>
    </row>
    <row r="445" spans="1:48" ht="15">
      <c r="B445" s="25" t="s">
        <v>238</v>
      </c>
      <c r="E445" s="163" t="s">
        <v>241</v>
      </c>
      <c r="F445" s="38">
        <f ca="1">F42</f>
        <v>21740</v>
      </c>
      <c r="G445" s="163" t="s">
        <v>232</v>
      </c>
      <c r="H445" s="168">
        <v>15</v>
      </c>
      <c r="I445" s="24">
        <f ca="1">IF(Deal_Type="Stock",0,F445/H445)</f>
        <v>1449.3333333333333</v>
      </c>
      <c r="J445" s="24">
        <f ca="1">IF(Deal_Type="stock",0,MIN($F445-SUM($I445:I445),$F445/$H445))</f>
        <v>1449.3333333333333</v>
      </c>
      <c r="K445" s="24">
        <f ca="1">IF(Deal_Type="stock",0,MIN($F445-SUM($I445:J445),$F445/$H445))</f>
        <v>1449.3333333333333</v>
      </c>
      <c r="L445" s="24">
        <f ca="1">IF(Deal_Type="stock",0,MIN($F445-SUM($I445:K445),$F445/$H445))</f>
        <v>1449.3333333333333</v>
      </c>
      <c r="M445" s="24">
        <f ca="1">IF(Deal_Type="stock",0,MIN($F445-SUM($I445:L445),$F445/$H445))</f>
        <v>1449.3333333333333</v>
      </c>
      <c r="N445" s="24">
        <f ca="1">IF(Deal_Type="stock",0,MIN($F445-SUM($I445:M445),$F445/$H445))</f>
        <v>1449.3333333333333</v>
      </c>
      <c r="O445" s="24">
        <f ca="1">IF(Deal_Type="stock",0,MIN($F445-SUM($I445:N445),$F445/$H445))</f>
        <v>1449.3333333333333</v>
      </c>
      <c r="P445" s="24">
        <f ca="1">IF(Deal_Type="stock",0,MIN($F445-SUM($I445:O445),$F445/$H445))</f>
        <v>1449.3333333333333</v>
      </c>
      <c r="Q445" s="24">
        <f ca="1">IF(Deal_Type="stock",0,MIN($F445-SUM($I445:P445),$F445/$H445))</f>
        <v>1449.3333333333333</v>
      </c>
      <c r="R445" s="24">
        <f ca="1">IF(Deal_Type="stock",0,MIN($F445-SUM($I445:Q445),$F445/$H445))</f>
        <v>1449.3333333333333</v>
      </c>
    </row>
    <row r="446" spans="1:48" ht="4.9000000000000004" customHeight="1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8" spans="1:48" ht="15">
      <c r="A448" s="55" t="s">
        <v>51</v>
      </c>
      <c r="B448" s="42" t="s">
        <v>243</v>
      </c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</row>
    <row r="450" spans="2:18" ht="15.75" thickBot="1">
      <c r="B450" s="193"/>
      <c r="C450" s="192"/>
      <c r="D450" s="192"/>
      <c r="E450" s="192"/>
      <c r="F450" s="192"/>
      <c r="G450" s="192"/>
      <c r="H450" s="44"/>
      <c r="I450" s="236">
        <f t="shared" ref="I450:R450" si="206">I401</f>
        <v>42736</v>
      </c>
      <c r="J450" s="236">
        <f t="shared" si="206"/>
        <v>43131</v>
      </c>
      <c r="K450" s="236">
        <f t="shared" si="206"/>
        <v>43496</v>
      </c>
      <c r="L450" s="236">
        <f t="shared" si="206"/>
        <v>43861</v>
      </c>
      <c r="M450" s="236">
        <f t="shared" si="206"/>
        <v>44227</v>
      </c>
      <c r="N450" s="236">
        <f t="shared" si="206"/>
        <v>44592</v>
      </c>
      <c r="O450" s="236">
        <f t="shared" si="206"/>
        <v>44957</v>
      </c>
      <c r="P450" s="236">
        <f t="shared" si="206"/>
        <v>45322</v>
      </c>
      <c r="Q450" s="236">
        <f t="shared" si="206"/>
        <v>45688</v>
      </c>
      <c r="R450" s="236">
        <f t="shared" si="206"/>
        <v>46053</v>
      </c>
    </row>
    <row r="451" spans="2:18">
      <c r="B451" s="90"/>
      <c r="C451" s="90"/>
      <c r="D451" s="90"/>
      <c r="E451" s="90"/>
      <c r="F451" s="90"/>
      <c r="G451" s="90"/>
      <c r="H451" s="90"/>
      <c r="I451" s="91"/>
      <c r="J451" s="91"/>
      <c r="K451" s="91"/>
      <c r="L451" s="91"/>
      <c r="M451" s="91"/>
    </row>
    <row r="452" spans="2:18">
      <c r="B452" s="169" t="s">
        <v>244</v>
      </c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</row>
    <row r="453" spans="2:18">
      <c r="B453" s="90" t="s">
        <v>245</v>
      </c>
      <c r="C453" s="90"/>
      <c r="D453" s="90"/>
      <c r="E453" s="90"/>
      <c r="F453" s="90"/>
      <c r="G453" s="90"/>
      <c r="H453" s="126"/>
      <c r="I453" s="252">
        <f t="shared" ref="I453:R453" ca="1" si="207">I138</f>
        <v>2310.2673547979762</v>
      </c>
      <c r="J453" s="252">
        <f t="shared" ca="1" si="207"/>
        <v>2345.4819267635321</v>
      </c>
      <c r="K453" s="252">
        <f t="shared" ca="1" si="207"/>
        <v>2395.2577946854208</v>
      </c>
      <c r="L453" s="252">
        <f t="shared" ca="1" si="207"/>
        <v>2449.4842487492683</v>
      </c>
      <c r="M453" s="252">
        <f t="shared" ca="1" si="207"/>
        <v>2468.7112647058639</v>
      </c>
      <c r="N453" s="252">
        <f t="shared" ca="1" si="207"/>
        <v>2519.5844215686088</v>
      </c>
      <c r="O453" s="252">
        <f t="shared" ca="1" si="207"/>
        <v>2492.5216826103992</v>
      </c>
      <c r="P453" s="252">
        <f t="shared" ca="1" si="207"/>
        <v>2464.9122216530332</v>
      </c>
      <c r="Q453" s="252">
        <f t="shared" ca="1" si="207"/>
        <v>2436.7449938076397</v>
      </c>
      <c r="R453" s="252">
        <f t="shared" ca="1" si="207"/>
        <v>2408.0087310562781</v>
      </c>
    </row>
    <row r="454" spans="2:18">
      <c r="B454" s="90"/>
      <c r="C454" s="90"/>
      <c r="D454" s="90"/>
      <c r="E454" s="90"/>
      <c r="F454" s="90"/>
      <c r="G454" s="90"/>
      <c r="H454" s="126"/>
      <c r="I454" s="95"/>
      <c r="J454" s="95"/>
      <c r="K454" s="95"/>
      <c r="L454" s="95"/>
      <c r="M454" s="95"/>
    </row>
    <row r="455" spans="2:18">
      <c r="B455" s="90" t="s">
        <v>273</v>
      </c>
      <c r="C455" s="90"/>
      <c r="D455" s="90"/>
      <c r="E455" s="90"/>
      <c r="F455" s="90"/>
      <c r="G455" s="90"/>
      <c r="H455" s="170"/>
      <c r="I455" s="206">
        <f t="shared" ref="I455:R455" si="208">I419</f>
        <v>0</v>
      </c>
      <c r="J455" s="206">
        <f t="shared" si="208"/>
        <v>0</v>
      </c>
      <c r="K455" s="206">
        <f t="shared" si="208"/>
        <v>0</v>
      </c>
      <c r="L455" s="206">
        <f t="shared" si="208"/>
        <v>0</v>
      </c>
      <c r="M455" s="206">
        <f t="shared" si="208"/>
        <v>0</v>
      </c>
      <c r="N455" s="206">
        <f t="shared" si="208"/>
        <v>0</v>
      </c>
      <c r="O455" s="206">
        <f t="shared" si="208"/>
        <v>0</v>
      </c>
      <c r="P455" s="206">
        <f t="shared" si="208"/>
        <v>0</v>
      </c>
      <c r="Q455" s="206">
        <f t="shared" si="208"/>
        <v>0</v>
      </c>
      <c r="R455" s="206">
        <f t="shared" si="208"/>
        <v>0</v>
      </c>
    </row>
    <row r="456" spans="2:18" s="46" customFormat="1" ht="12.75" customHeight="1">
      <c r="B456" s="90" t="s">
        <v>274</v>
      </c>
      <c r="C456" s="90"/>
      <c r="D456" s="90"/>
      <c r="E456" s="90"/>
      <c r="F456" s="90"/>
      <c r="G456" s="90"/>
      <c r="H456" s="126"/>
      <c r="I456" s="255">
        <f t="shared" ref="I456:R456" ca="1" si="209">SUM(I402,I415,I418)</f>
        <v>1015</v>
      </c>
      <c r="J456" s="255">
        <f t="shared" ca="1" si="209"/>
        <v>1065</v>
      </c>
      <c r="K456" s="255">
        <f t="shared" ca="1" si="209"/>
        <v>1102.5</v>
      </c>
      <c r="L456" s="255">
        <f t="shared" ca="1" si="209"/>
        <v>1127.5</v>
      </c>
      <c r="M456" s="255">
        <f t="shared" ca="1" si="209"/>
        <v>1152.5</v>
      </c>
      <c r="N456" s="255">
        <f t="shared" ca="1" si="209"/>
        <v>1177.5</v>
      </c>
      <c r="O456" s="255">
        <f t="shared" ca="1" si="209"/>
        <v>1202.5</v>
      </c>
      <c r="P456" s="255">
        <f t="shared" ca="1" si="209"/>
        <v>1227.5</v>
      </c>
      <c r="Q456" s="255">
        <f t="shared" ca="1" si="209"/>
        <v>1252.5</v>
      </c>
      <c r="R456" s="255">
        <f t="shared" ca="1" si="209"/>
        <v>1277.5</v>
      </c>
    </row>
    <row r="457" spans="2:18" s="46" customFormat="1" ht="12.75" customHeight="1">
      <c r="B457" s="90" t="s">
        <v>295</v>
      </c>
      <c r="C457" s="90"/>
      <c r="D457" s="90"/>
      <c r="E457" s="90"/>
      <c r="F457" s="90"/>
      <c r="G457" s="90"/>
      <c r="H457" s="126"/>
      <c r="I457" s="255">
        <f ca="1">-SUM(I422:I424)</f>
        <v>-1014.59</v>
      </c>
      <c r="J457" s="255">
        <f t="shared" ref="J457:R457" ca="1" si="210">-SUM(J422:J424)</f>
        <v>-1810.2400000000002</v>
      </c>
      <c r="K457" s="255">
        <f t="shared" ca="1" si="210"/>
        <v>-1399.9649999999999</v>
      </c>
      <c r="L457" s="255">
        <f t="shared" ca="1" si="210"/>
        <v>-1071.19</v>
      </c>
      <c r="M457" s="255">
        <f t="shared" ca="1" si="210"/>
        <v>-837.15499999999997</v>
      </c>
      <c r="N457" s="255">
        <f t="shared" ca="1" si="210"/>
        <v>-849.87</v>
      </c>
      <c r="O457" s="255">
        <f t="shared" ca="1" si="210"/>
        <v>-872.85500000000002</v>
      </c>
      <c r="P457" s="255">
        <f t="shared" ca="1" si="210"/>
        <v>-577.83500000000004</v>
      </c>
      <c r="Q457" s="255">
        <f t="shared" ca="1" si="210"/>
        <v>-261.14999999999998</v>
      </c>
      <c r="R457" s="255">
        <f t="shared" ca="1" si="210"/>
        <v>-250</v>
      </c>
    </row>
    <row r="458" spans="2:18">
      <c r="B458" s="90" t="s">
        <v>272</v>
      </c>
      <c r="C458" s="90"/>
      <c r="D458" s="90"/>
      <c r="E458" s="90"/>
      <c r="F458" s="90"/>
      <c r="G458" s="90"/>
      <c r="H458" s="95"/>
      <c r="I458" s="256">
        <f ca="1">-I445</f>
        <v>-1449.3333333333333</v>
      </c>
      <c r="J458" s="256">
        <f t="shared" ref="J458:R458" ca="1" si="211">-J445</f>
        <v>-1449.3333333333333</v>
      </c>
      <c r="K458" s="256">
        <f t="shared" ca="1" si="211"/>
        <v>-1449.3333333333333</v>
      </c>
      <c r="L458" s="256">
        <f t="shared" ca="1" si="211"/>
        <v>-1449.3333333333333</v>
      </c>
      <c r="M458" s="256">
        <f t="shared" ca="1" si="211"/>
        <v>-1449.3333333333333</v>
      </c>
      <c r="N458" s="256">
        <f t="shared" ca="1" si="211"/>
        <v>-1449.3333333333333</v>
      </c>
      <c r="O458" s="256">
        <f t="shared" ca="1" si="211"/>
        <v>-1449.3333333333333</v>
      </c>
      <c r="P458" s="256">
        <f t="shared" ca="1" si="211"/>
        <v>-1449.3333333333333</v>
      </c>
      <c r="Q458" s="256">
        <f t="shared" ca="1" si="211"/>
        <v>-1449.3333333333333</v>
      </c>
      <c r="R458" s="256">
        <f t="shared" ca="1" si="211"/>
        <v>-1449.3333333333333</v>
      </c>
    </row>
    <row r="459" spans="2:18">
      <c r="B459" s="13" t="s">
        <v>246</v>
      </c>
      <c r="C459" s="90"/>
      <c r="D459" s="90"/>
      <c r="E459" s="90"/>
      <c r="F459" s="90"/>
      <c r="G459" s="90"/>
      <c r="H459" s="95"/>
      <c r="I459" s="255">
        <f ca="1">SUM(I453,I455:I458)</f>
        <v>861.34402146464276</v>
      </c>
      <c r="J459" s="255">
        <f t="shared" ref="J459:R459" ca="1" si="212">SUM(J453,J455:J458)</f>
        <v>150.90859343019861</v>
      </c>
      <c r="K459" s="255">
        <f t="shared" ca="1" si="212"/>
        <v>648.45946135208737</v>
      </c>
      <c r="L459" s="255">
        <f t="shared" ca="1" si="212"/>
        <v>1056.460915415935</v>
      </c>
      <c r="M459" s="255">
        <f t="shared" ca="1" si="212"/>
        <v>1334.7229313725309</v>
      </c>
      <c r="N459" s="255">
        <f t="shared" ca="1" si="212"/>
        <v>1397.8810882352757</v>
      </c>
      <c r="O459" s="255">
        <f t="shared" ca="1" si="212"/>
        <v>1372.833349277066</v>
      </c>
      <c r="P459" s="255">
        <f t="shared" ca="1" si="212"/>
        <v>1665.2438883196999</v>
      </c>
      <c r="Q459" s="255">
        <f t="shared" ca="1" si="212"/>
        <v>1978.7616604743064</v>
      </c>
      <c r="R459" s="255">
        <f t="shared" ca="1" si="212"/>
        <v>1986.1753977229448</v>
      </c>
    </row>
    <row r="460" spans="2:18">
      <c r="B460" s="13"/>
      <c r="C460" s="90"/>
      <c r="D460" s="90"/>
      <c r="E460" s="90"/>
      <c r="F460" s="90"/>
      <c r="G460" s="90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</row>
    <row r="461" spans="2:18">
      <c r="B461" s="25" t="s">
        <v>275</v>
      </c>
      <c r="C461" s="90"/>
      <c r="D461" s="90"/>
      <c r="E461" s="90"/>
      <c r="F461" s="90"/>
      <c r="G461" s="90"/>
      <c r="H461" s="95"/>
      <c r="I461" s="273">
        <f>$R$15</f>
        <v>0.45</v>
      </c>
      <c r="J461" s="260">
        <f>I461</f>
        <v>0.45</v>
      </c>
      <c r="K461" s="260">
        <f t="shared" ref="K461:R461" si="213">J461</f>
        <v>0.45</v>
      </c>
      <c r="L461" s="260">
        <f t="shared" si="213"/>
        <v>0.45</v>
      </c>
      <c r="M461" s="260">
        <f t="shared" si="213"/>
        <v>0.45</v>
      </c>
      <c r="N461" s="260">
        <f t="shared" si="213"/>
        <v>0.45</v>
      </c>
      <c r="O461" s="260">
        <f t="shared" si="213"/>
        <v>0.45</v>
      </c>
      <c r="P461" s="260">
        <f t="shared" si="213"/>
        <v>0.45</v>
      </c>
      <c r="Q461" s="260">
        <f t="shared" si="213"/>
        <v>0.45</v>
      </c>
      <c r="R461" s="260">
        <f t="shared" si="213"/>
        <v>0.45</v>
      </c>
    </row>
    <row r="462" spans="2:18">
      <c r="B462" s="13"/>
      <c r="C462" s="90"/>
      <c r="D462" s="90"/>
      <c r="E462" s="90"/>
      <c r="F462" s="90"/>
      <c r="G462" s="90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</row>
    <row r="463" spans="2:18">
      <c r="B463" s="25" t="s">
        <v>276</v>
      </c>
      <c r="C463" s="90"/>
      <c r="D463" s="90"/>
      <c r="E463" s="90"/>
      <c r="F463" s="90"/>
      <c r="G463" s="90"/>
      <c r="H463" s="95"/>
      <c r="I463" s="255">
        <f ca="1">I459*I461</f>
        <v>387.60480965908926</v>
      </c>
      <c r="J463" s="255">
        <f t="shared" ref="J463:R463" ca="1" si="214">J459*J461</f>
        <v>67.908867043589382</v>
      </c>
      <c r="K463" s="255">
        <f t="shared" ca="1" si="214"/>
        <v>291.80675760843934</v>
      </c>
      <c r="L463" s="255">
        <f t="shared" ca="1" si="214"/>
        <v>475.40741193717076</v>
      </c>
      <c r="M463" s="255">
        <f t="shared" ca="1" si="214"/>
        <v>600.62531911763892</v>
      </c>
      <c r="N463" s="255">
        <f t="shared" ca="1" si="214"/>
        <v>629.04648970587402</v>
      </c>
      <c r="O463" s="255">
        <f t="shared" ca="1" si="214"/>
        <v>617.77500717467967</v>
      </c>
      <c r="P463" s="255">
        <f t="shared" ca="1" si="214"/>
        <v>749.359749743865</v>
      </c>
      <c r="Q463" s="255">
        <f t="shared" ca="1" si="214"/>
        <v>890.44274721343788</v>
      </c>
      <c r="R463" s="255">
        <f t="shared" ca="1" si="214"/>
        <v>893.77892897532513</v>
      </c>
    </row>
    <row r="464" spans="2:18">
      <c r="B464" s="13"/>
      <c r="C464" s="90"/>
      <c r="D464" s="90"/>
      <c r="E464" s="90"/>
      <c r="F464" s="90"/>
      <c r="G464" s="90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</row>
    <row r="465" spans="2:20" ht="15">
      <c r="B465" s="171" t="s">
        <v>249</v>
      </c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</row>
    <row r="466" spans="2:20">
      <c r="B466" s="120" t="s">
        <v>250</v>
      </c>
      <c r="C466" s="90"/>
      <c r="D466" s="90"/>
      <c r="E466" s="90"/>
      <c r="F466" s="90"/>
      <c r="G466" s="90"/>
      <c r="H466" s="102"/>
      <c r="I466" s="257">
        <v>0</v>
      </c>
      <c r="J466" s="255">
        <f ca="1">I469</f>
        <v>0</v>
      </c>
      <c r="K466" s="255">
        <f t="shared" ref="K466:R466" ca="1" si="215">J469</f>
        <v>0</v>
      </c>
      <c r="L466" s="255">
        <f t="shared" ca="1" si="215"/>
        <v>0</v>
      </c>
      <c r="M466" s="255">
        <f t="shared" ca="1" si="215"/>
        <v>0</v>
      </c>
      <c r="N466" s="255">
        <f t="shared" ca="1" si="215"/>
        <v>0</v>
      </c>
      <c r="O466" s="255">
        <f t="shared" ca="1" si="215"/>
        <v>0</v>
      </c>
      <c r="P466" s="255">
        <f t="shared" ca="1" si="215"/>
        <v>0</v>
      </c>
      <c r="Q466" s="255">
        <f t="shared" ca="1" si="215"/>
        <v>0</v>
      </c>
      <c r="R466" s="255">
        <f t="shared" ca="1" si="215"/>
        <v>0</v>
      </c>
    </row>
    <row r="467" spans="2:20">
      <c r="B467" s="120" t="s">
        <v>251</v>
      </c>
      <c r="C467" s="90"/>
      <c r="D467" s="90"/>
      <c r="E467" s="90"/>
      <c r="F467" s="90"/>
      <c r="G467" s="90"/>
      <c r="H467" s="119"/>
      <c r="I467" s="255">
        <f ca="1">IF(I463&lt;0,-I463,0)</f>
        <v>0</v>
      </c>
      <c r="J467" s="255">
        <f ca="1">IF(J463&lt;0,-J463,0)</f>
        <v>0</v>
      </c>
      <c r="K467" s="255">
        <f t="shared" ref="K467:R467" ca="1" si="216">IF(K463&lt;0,-K463,0)</f>
        <v>0</v>
      </c>
      <c r="L467" s="255">
        <f t="shared" ca="1" si="216"/>
        <v>0</v>
      </c>
      <c r="M467" s="255">
        <f t="shared" ca="1" si="216"/>
        <v>0</v>
      </c>
      <c r="N467" s="255">
        <f t="shared" ca="1" si="216"/>
        <v>0</v>
      </c>
      <c r="O467" s="255">
        <f t="shared" ca="1" si="216"/>
        <v>0</v>
      </c>
      <c r="P467" s="255">
        <f t="shared" ca="1" si="216"/>
        <v>0</v>
      </c>
      <c r="Q467" s="255">
        <f t="shared" ca="1" si="216"/>
        <v>0</v>
      </c>
      <c r="R467" s="255">
        <f t="shared" ca="1" si="216"/>
        <v>0</v>
      </c>
    </row>
    <row r="468" spans="2:20">
      <c r="B468" s="139" t="s">
        <v>252</v>
      </c>
      <c r="C468" s="122"/>
      <c r="D468" s="122"/>
      <c r="E468" s="122"/>
      <c r="F468" s="122"/>
      <c r="G468" s="122"/>
      <c r="H468" s="173"/>
      <c r="I468" s="256">
        <f ca="1">IF(I463&gt;0,-MIN(I463,SUM(I466:I467)),0)</f>
        <v>0</v>
      </c>
      <c r="J468" s="256">
        <f ca="1">IF(J463&gt;0,-MIN(J463,SUM(J466:J467)),0)</f>
        <v>0</v>
      </c>
      <c r="K468" s="256">
        <f t="shared" ref="K468:R468" ca="1" si="217">IF(K463&gt;0,-MIN(K463,SUM(K466:K467)),0)</f>
        <v>0</v>
      </c>
      <c r="L468" s="256">
        <f t="shared" ca="1" si="217"/>
        <v>0</v>
      </c>
      <c r="M468" s="256">
        <f t="shared" ca="1" si="217"/>
        <v>0</v>
      </c>
      <c r="N468" s="256">
        <f t="shared" ca="1" si="217"/>
        <v>0</v>
      </c>
      <c r="O468" s="256">
        <f t="shared" ca="1" si="217"/>
        <v>0</v>
      </c>
      <c r="P468" s="256">
        <f t="shared" ca="1" si="217"/>
        <v>0</v>
      </c>
      <c r="Q468" s="256">
        <f t="shared" ca="1" si="217"/>
        <v>0</v>
      </c>
      <c r="R468" s="256">
        <f t="shared" ca="1" si="217"/>
        <v>0</v>
      </c>
    </row>
    <row r="469" spans="2:20">
      <c r="B469" s="120" t="s">
        <v>253</v>
      </c>
      <c r="C469" s="90"/>
      <c r="D469" s="90"/>
      <c r="E469" s="90"/>
      <c r="F469" s="90"/>
      <c r="G469" s="90"/>
      <c r="H469" s="119"/>
      <c r="I469" s="255">
        <f ca="1">SUM(I466:I468)</f>
        <v>0</v>
      </c>
      <c r="J469" s="255">
        <f ca="1">SUM(J466:J468)</f>
        <v>0</v>
      </c>
      <c r="K469" s="255">
        <f t="shared" ref="K469:R469" ca="1" si="218">SUM(K466:K468)</f>
        <v>0</v>
      </c>
      <c r="L469" s="255">
        <f t="shared" ca="1" si="218"/>
        <v>0</v>
      </c>
      <c r="M469" s="255">
        <f t="shared" ca="1" si="218"/>
        <v>0</v>
      </c>
      <c r="N469" s="255">
        <f t="shared" ca="1" si="218"/>
        <v>0</v>
      </c>
      <c r="O469" s="255">
        <f t="shared" ca="1" si="218"/>
        <v>0</v>
      </c>
      <c r="P469" s="255">
        <f t="shared" ca="1" si="218"/>
        <v>0</v>
      </c>
      <c r="Q469" s="255">
        <f t="shared" ca="1" si="218"/>
        <v>0</v>
      </c>
      <c r="R469" s="255">
        <f t="shared" ca="1" si="218"/>
        <v>0</v>
      </c>
    </row>
    <row r="470" spans="2:20"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</row>
    <row r="471" spans="2:20">
      <c r="B471" s="172" t="s">
        <v>277</v>
      </c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</row>
    <row r="472" spans="2:20">
      <c r="B472" s="120" t="s">
        <v>278</v>
      </c>
      <c r="C472" s="90"/>
      <c r="D472" s="90"/>
      <c r="E472" s="90"/>
      <c r="F472" s="90"/>
      <c r="G472" s="90"/>
      <c r="H472" s="95"/>
      <c r="I472" s="255">
        <f ca="1">I459</f>
        <v>861.34402146464276</v>
      </c>
      <c r="J472" s="255">
        <f t="shared" ref="J472:R472" ca="1" si="219">J459</f>
        <v>150.90859343019861</v>
      </c>
      <c r="K472" s="255">
        <f t="shared" ca="1" si="219"/>
        <v>648.45946135208737</v>
      </c>
      <c r="L472" s="255">
        <f t="shared" ca="1" si="219"/>
        <v>1056.460915415935</v>
      </c>
      <c r="M472" s="255">
        <f t="shared" ca="1" si="219"/>
        <v>1334.7229313725309</v>
      </c>
      <c r="N472" s="255">
        <f t="shared" ca="1" si="219"/>
        <v>1397.8810882352757</v>
      </c>
      <c r="O472" s="255">
        <f t="shared" ca="1" si="219"/>
        <v>1372.833349277066</v>
      </c>
      <c r="P472" s="255">
        <f t="shared" ca="1" si="219"/>
        <v>1665.2438883196999</v>
      </c>
      <c r="Q472" s="255">
        <f t="shared" ca="1" si="219"/>
        <v>1978.7616604743064</v>
      </c>
      <c r="R472" s="255">
        <f t="shared" ca="1" si="219"/>
        <v>1986.1753977229448</v>
      </c>
    </row>
    <row r="473" spans="2:20">
      <c r="B473" s="120" t="s">
        <v>279</v>
      </c>
      <c r="C473" s="90"/>
      <c r="D473" s="90"/>
      <c r="E473" s="90"/>
      <c r="F473" s="90"/>
      <c r="G473" s="90"/>
      <c r="H473" s="174"/>
      <c r="I473" s="256">
        <f ca="1">I468</f>
        <v>0</v>
      </c>
      <c r="J473" s="256">
        <f t="shared" ref="J473:R473" ca="1" si="220">J468</f>
        <v>0</v>
      </c>
      <c r="K473" s="256">
        <f t="shared" ca="1" si="220"/>
        <v>0</v>
      </c>
      <c r="L473" s="256">
        <f t="shared" ca="1" si="220"/>
        <v>0</v>
      </c>
      <c r="M473" s="256">
        <f t="shared" ca="1" si="220"/>
        <v>0</v>
      </c>
      <c r="N473" s="256">
        <f t="shared" ca="1" si="220"/>
        <v>0</v>
      </c>
      <c r="O473" s="256">
        <f t="shared" ca="1" si="220"/>
        <v>0</v>
      </c>
      <c r="P473" s="256">
        <f t="shared" ca="1" si="220"/>
        <v>0</v>
      </c>
      <c r="Q473" s="256">
        <f t="shared" ca="1" si="220"/>
        <v>0</v>
      </c>
      <c r="R473" s="256">
        <f t="shared" ca="1" si="220"/>
        <v>0</v>
      </c>
    </row>
    <row r="474" spans="2:20">
      <c r="B474" s="138" t="s">
        <v>247</v>
      </c>
      <c r="C474" s="91"/>
      <c r="D474" s="91"/>
      <c r="E474" s="91"/>
      <c r="F474" s="91"/>
      <c r="G474" s="91"/>
      <c r="H474" s="95"/>
      <c r="I474" s="255">
        <f ca="1">SUM(I472:I473)</f>
        <v>861.34402146464276</v>
      </c>
      <c r="J474" s="255">
        <f t="shared" ref="J474:R474" ca="1" si="221">SUM(J472:J473)</f>
        <v>150.90859343019861</v>
      </c>
      <c r="K474" s="255">
        <f t="shared" ca="1" si="221"/>
        <v>648.45946135208737</v>
      </c>
      <c r="L474" s="255">
        <f t="shared" ca="1" si="221"/>
        <v>1056.460915415935</v>
      </c>
      <c r="M474" s="255">
        <f t="shared" ca="1" si="221"/>
        <v>1334.7229313725309</v>
      </c>
      <c r="N474" s="255">
        <f t="shared" ca="1" si="221"/>
        <v>1397.8810882352757</v>
      </c>
      <c r="O474" s="255">
        <f t="shared" ca="1" si="221"/>
        <v>1372.833349277066</v>
      </c>
      <c r="P474" s="255">
        <f t="shared" ca="1" si="221"/>
        <v>1665.2438883196999</v>
      </c>
      <c r="Q474" s="255">
        <f t="shared" ca="1" si="221"/>
        <v>1978.7616604743064</v>
      </c>
      <c r="R474" s="255">
        <f t="shared" ca="1" si="221"/>
        <v>1986.1753977229448</v>
      </c>
    </row>
    <row r="475" spans="2:20">
      <c r="B475" s="139" t="s">
        <v>275</v>
      </c>
      <c r="C475" s="122"/>
      <c r="D475" s="122"/>
      <c r="E475" s="122"/>
      <c r="F475" s="122"/>
      <c r="G475" s="122"/>
      <c r="H475" s="174"/>
      <c r="I475" s="258">
        <f>I461</f>
        <v>0.45</v>
      </c>
      <c r="J475" s="258">
        <f t="shared" ref="J475:R475" si="222">J461</f>
        <v>0.45</v>
      </c>
      <c r="K475" s="258">
        <f t="shared" si="222"/>
        <v>0.45</v>
      </c>
      <c r="L475" s="258">
        <f t="shared" si="222"/>
        <v>0.45</v>
      </c>
      <c r="M475" s="258">
        <f t="shared" si="222"/>
        <v>0.45</v>
      </c>
      <c r="N475" s="258">
        <f t="shared" si="222"/>
        <v>0.45</v>
      </c>
      <c r="O475" s="258">
        <f t="shared" si="222"/>
        <v>0.45</v>
      </c>
      <c r="P475" s="258">
        <f t="shared" si="222"/>
        <v>0.45</v>
      </c>
      <c r="Q475" s="258">
        <f t="shared" si="222"/>
        <v>0.45</v>
      </c>
      <c r="R475" s="258">
        <f t="shared" si="222"/>
        <v>0.45</v>
      </c>
    </row>
    <row r="476" spans="2:20">
      <c r="B476" s="120" t="s">
        <v>248</v>
      </c>
      <c r="C476" s="90"/>
      <c r="D476" s="90"/>
      <c r="E476" s="90"/>
      <c r="F476" s="90"/>
      <c r="G476" s="90"/>
      <c r="H476" s="95"/>
      <c r="I476" s="255">
        <f ca="1">I474*I475</f>
        <v>387.60480965908926</v>
      </c>
      <c r="J476" s="255">
        <f t="shared" ref="J476:R476" ca="1" si="223">J474*J475</f>
        <v>67.908867043589382</v>
      </c>
      <c r="K476" s="255">
        <f t="shared" ca="1" si="223"/>
        <v>291.80675760843934</v>
      </c>
      <c r="L476" s="255">
        <f t="shared" ca="1" si="223"/>
        <v>475.40741193717076</v>
      </c>
      <c r="M476" s="255">
        <f t="shared" ca="1" si="223"/>
        <v>600.62531911763892</v>
      </c>
      <c r="N476" s="255">
        <f t="shared" ca="1" si="223"/>
        <v>629.04648970587402</v>
      </c>
      <c r="O476" s="255">
        <f t="shared" ca="1" si="223"/>
        <v>617.77500717467967</v>
      </c>
      <c r="P476" s="255">
        <f t="shared" ca="1" si="223"/>
        <v>749.359749743865</v>
      </c>
      <c r="Q476" s="255">
        <f t="shared" ca="1" si="223"/>
        <v>890.44274721343788</v>
      </c>
      <c r="R476" s="255">
        <f t="shared" ca="1" si="223"/>
        <v>893.77892897532513</v>
      </c>
    </row>
    <row r="477" spans="2:20" ht="12.75" customHeight="1"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</row>
    <row r="478" spans="2:20">
      <c r="B478" s="120" t="s">
        <v>153</v>
      </c>
      <c r="C478" s="90"/>
      <c r="D478" s="90"/>
      <c r="E478" s="90"/>
      <c r="F478" s="90"/>
      <c r="G478" s="90"/>
      <c r="H478" s="95"/>
      <c r="I478" s="255">
        <f ca="1">I476</f>
        <v>387.60480965908926</v>
      </c>
      <c r="J478" s="255">
        <f t="shared" ref="J478:R478" ca="1" si="224">J476</f>
        <v>67.908867043589382</v>
      </c>
      <c r="K478" s="255">
        <f t="shared" ca="1" si="224"/>
        <v>291.80675760843934</v>
      </c>
      <c r="L478" s="255">
        <f t="shared" ca="1" si="224"/>
        <v>475.40741193717076</v>
      </c>
      <c r="M478" s="255">
        <f t="shared" ca="1" si="224"/>
        <v>600.62531911763892</v>
      </c>
      <c r="N478" s="255">
        <f t="shared" ca="1" si="224"/>
        <v>629.04648970587402</v>
      </c>
      <c r="O478" s="255">
        <f t="shared" ca="1" si="224"/>
        <v>617.77500717467967</v>
      </c>
      <c r="P478" s="255">
        <f t="shared" ca="1" si="224"/>
        <v>749.359749743865</v>
      </c>
      <c r="Q478" s="255">
        <f t="shared" ca="1" si="224"/>
        <v>890.44274721343788</v>
      </c>
      <c r="R478" s="255">
        <f t="shared" ca="1" si="224"/>
        <v>893.77892897532513</v>
      </c>
      <c r="T478" s="48"/>
    </row>
    <row r="479" spans="2:20">
      <c r="B479" s="120" t="s">
        <v>154</v>
      </c>
      <c r="C479" s="90"/>
      <c r="D479" s="90"/>
      <c r="E479" s="90"/>
      <c r="F479" s="90"/>
      <c r="G479" s="90"/>
      <c r="H479" s="95"/>
      <c r="I479" s="255">
        <f ca="1">I463-I478</f>
        <v>0</v>
      </c>
      <c r="J479" s="255">
        <f t="shared" ref="J479:R479" ca="1" si="225">J463-J478</f>
        <v>0</v>
      </c>
      <c r="K479" s="255">
        <f t="shared" ca="1" si="225"/>
        <v>0</v>
      </c>
      <c r="L479" s="255">
        <f t="shared" ca="1" si="225"/>
        <v>0</v>
      </c>
      <c r="M479" s="255">
        <f t="shared" ca="1" si="225"/>
        <v>0</v>
      </c>
      <c r="N479" s="255">
        <f t="shared" ca="1" si="225"/>
        <v>0</v>
      </c>
      <c r="O479" s="255">
        <f t="shared" ca="1" si="225"/>
        <v>0</v>
      </c>
      <c r="P479" s="255">
        <f t="shared" ca="1" si="225"/>
        <v>0</v>
      </c>
      <c r="Q479" s="255">
        <f t="shared" ca="1" si="225"/>
        <v>0</v>
      </c>
      <c r="R479" s="255">
        <f t="shared" ca="1" si="225"/>
        <v>0</v>
      </c>
      <c r="T479" s="48"/>
    </row>
    <row r="480" spans="2:20">
      <c r="B480" s="120"/>
      <c r="C480" s="90"/>
      <c r="D480" s="90"/>
      <c r="E480" s="90"/>
      <c r="F480" s="90"/>
      <c r="G480" s="90"/>
      <c r="H480" s="95"/>
      <c r="I480" s="255"/>
      <c r="J480" s="255"/>
      <c r="K480" s="255"/>
      <c r="L480" s="255"/>
      <c r="M480" s="255"/>
      <c r="N480" s="255"/>
      <c r="O480" s="255"/>
      <c r="P480" s="255"/>
      <c r="Q480" s="255"/>
      <c r="R480" s="255"/>
    </row>
    <row r="481" spans="1:20">
      <c r="B481" s="120" t="s">
        <v>283</v>
      </c>
      <c r="C481" s="90"/>
      <c r="D481" s="90"/>
      <c r="E481" s="90"/>
      <c r="F481" s="90"/>
      <c r="G481" s="90"/>
      <c r="H481" s="95"/>
      <c r="I481" s="257">
        <v>0</v>
      </c>
      <c r="J481" s="255">
        <f ca="1">I484</f>
        <v>96.901202414772342</v>
      </c>
      <c r="K481" s="255">
        <f t="shared" ref="K481:R481" ca="1" si="226">J484</f>
        <v>16.977216760897363</v>
      </c>
      <c r="L481" s="255">
        <f t="shared" ca="1" si="226"/>
        <v>72.951689402109821</v>
      </c>
      <c r="M481" s="255">
        <f t="shared" ca="1" si="226"/>
        <v>118.85185298429275</v>
      </c>
      <c r="N481" s="255">
        <f t="shared" ca="1" si="226"/>
        <v>150.15632977940982</v>
      </c>
      <c r="O481" s="255">
        <f t="shared" ca="1" si="226"/>
        <v>157.26162242646853</v>
      </c>
      <c r="P481" s="255">
        <f t="shared" ca="1" si="226"/>
        <v>154.44375179366989</v>
      </c>
      <c r="Q481" s="255">
        <f t="shared" ca="1" si="226"/>
        <v>187.33993743596625</v>
      </c>
      <c r="R481" s="255">
        <f t="shared" ca="1" si="226"/>
        <v>222.61068680335939</v>
      </c>
    </row>
    <row r="482" spans="1:20">
      <c r="B482" s="120" t="s">
        <v>284</v>
      </c>
      <c r="C482" s="90"/>
      <c r="D482" s="90"/>
      <c r="E482" s="90"/>
      <c r="F482" s="90"/>
      <c r="G482" s="90"/>
      <c r="H482" s="95"/>
      <c r="I482" s="255">
        <f ca="1">I478</f>
        <v>387.60480965908926</v>
      </c>
      <c r="J482" s="255">
        <f ca="1">J478</f>
        <v>67.908867043589382</v>
      </c>
      <c r="K482" s="255">
        <f t="shared" ref="K482:R482" ca="1" si="227">K478</f>
        <v>291.80675760843934</v>
      </c>
      <c r="L482" s="255">
        <f t="shared" ca="1" si="227"/>
        <v>475.40741193717076</v>
      </c>
      <c r="M482" s="255">
        <f t="shared" ca="1" si="227"/>
        <v>600.62531911763892</v>
      </c>
      <c r="N482" s="255">
        <f t="shared" ca="1" si="227"/>
        <v>629.04648970587402</v>
      </c>
      <c r="O482" s="255">
        <f t="shared" ca="1" si="227"/>
        <v>617.77500717467967</v>
      </c>
      <c r="P482" s="255">
        <f t="shared" ca="1" si="227"/>
        <v>749.359749743865</v>
      </c>
      <c r="Q482" s="255">
        <f t="shared" ca="1" si="227"/>
        <v>890.44274721343788</v>
      </c>
      <c r="R482" s="255">
        <f t="shared" ca="1" si="227"/>
        <v>893.77892897532513</v>
      </c>
    </row>
    <row r="483" spans="1:20">
      <c r="B483" s="139" t="s">
        <v>285</v>
      </c>
      <c r="C483" s="122"/>
      <c r="D483" s="122"/>
      <c r="E483" s="122"/>
      <c r="F483" s="122"/>
      <c r="G483" s="122"/>
      <c r="H483" s="175"/>
      <c r="I483" s="256">
        <f ca="1">-I482/4*3</f>
        <v>-290.70360724431691</v>
      </c>
      <c r="J483" s="256">
        <f ca="1">-J481-J482/4*3</f>
        <v>-147.83285269746438</v>
      </c>
      <c r="K483" s="256">
        <f t="shared" ref="K483:R483" ca="1" si="228">-K481-K482/4*3</f>
        <v>-235.83228496722688</v>
      </c>
      <c r="L483" s="256">
        <f t="shared" ca="1" si="228"/>
        <v>-429.50724835498789</v>
      </c>
      <c r="M483" s="256">
        <f t="shared" ca="1" si="228"/>
        <v>-569.32084232252191</v>
      </c>
      <c r="N483" s="256">
        <f t="shared" ca="1" si="228"/>
        <v>-621.94119705881531</v>
      </c>
      <c r="O483" s="256">
        <f t="shared" ca="1" si="228"/>
        <v>-620.59287780747832</v>
      </c>
      <c r="P483" s="256">
        <f t="shared" ca="1" si="228"/>
        <v>-716.46356410156864</v>
      </c>
      <c r="Q483" s="256">
        <f t="shared" ca="1" si="228"/>
        <v>-855.17199784604463</v>
      </c>
      <c r="R483" s="256">
        <f t="shared" ca="1" si="228"/>
        <v>-892.94488353485326</v>
      </c>
      <c r="T483" s="48"/>
    </row>
    <row r="484" spans="1:20">
      <c r="B484" s="120" t="s">
        <v>286</v>
      </c>
      <c r="C484" s="90"/>
      <c r="D484" s="90"/>
      <c r="E484" s="90"/>
      <c r="F484" s="90"/>
      <c r="G484" s="90"/>
      <c r="H484" s="95"/>
      <c r="I484" s="255">
        <f ca="1">SUM(I481:I483)</f>
        <v>96.901202414772342</v>
      </c>
      <c r="J484" s="255">
        <f ca="1">SUM(J481:J483)</f>
        <v>16.977216760897363</v>
      </c>
      <c r="K484" s="255">
        <f t="shared" ref="K484:R484" ca="1" si="229">SUM(K481:K483)</f>
        <v>72.951689402109821</v>
      </c>
      <c r="L484" s="255">
        <f t="shared" ca="1" si="229"/>
        <v>118.85185298429275</v>
      </c>
      <c r="M484" s="255">
        <f t="shared" ca="1" si="229"/>
        <v>150.15632977940982</v>
      </c>
      <c r="N484" s="255">
        <f t="shared" ca="1" si="229"/>
        <v>157.26162242646853</v>
      </c>
      <c r="O484" s="255">
        <f t="shared" ca="1" si="229"/>
        <v>154.44375179366989</v>
      </c>
      <c r="P484" s="255">
        <f t="shared" ca="1" si="229"/>
        <v>187.33993743596625</v>
      </c>
      <c r="Q484" s="255">
        <f t="shared" ca="1" si="229"/>
        <v>222.61068680335939</v>
      </c>
      <c r="R484" s="255">
        <f t="shared" ca="1" si="229"/>
        <v>223.44473224383114</v>
      </c>
      <c r="T484" s="48"/>
    </row>
    <row r="485" spans="1:20">
      <c r="B485" s="120"/>
      <c r="C485" s="90"/>
      <c r="D485" s="90"/>
      <c r="E485" s="90"/>
      <c r="F485" s="90"/>
      <c r="G485" s="90"/>
      <c r="H485" s="95"/>
      <c r="I485" s="255"/>
      <c r="J485" s="255"/>
      <c r="K485" s="255"/>
      <c r="L485" s="255"/>
      <c r="M485" s="255"/>
      <c r="N485" s="255"/>
      <c r="O485" s="255"/>
      <c r="P485" s="255"/>
      <c r="Q485" s="255"/>
      <c r="R485" s="255"/>
    </row>
    <row r="486" spans="1:20" ht="4.9000000000000004" customHeight="1">
      <c r="B486" s="139"/>
      <c r="C486" s="122"/>
      <c r="D486" s="122"/>
      <c r="E486" s="122"/>
      <c r="F486" s="122"/>
      <c r="G486" s="122"/>
      <c r="H486" s="122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</row>
    <row r="488" spans="1:20" ht="15">
      <c r="A488" s="55" t="s">
        <v>51</v>
      </c>
      <c r="B488" s="42" t="s">
        <v>254</v>
      </c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</row>
    <row r="490" spans="1:20">
      <c r="B490" s="183">
        <v>1</v>
      </c>
    </row>
    <row r="491" spans="1:20" ht="15.75" thickBot="1">
      <c r="B491" s="192"/>
      <c r="C491" s="192"/>
      <c r="D491" s="192"/>
      <c r="E491" s="192"/>
      <c r="F491" s="192"/>
      <c r="G491" s="44"/>
      <c r="H491" s="44"/>
      <c r="I491" s="236">
        <f t="shared" ref="I491:R491" si="230">I450</f>
        <v>42736</v>
      </c>
      <c r="J491" s="236">
        <f t="shared" si="230"/>
        <v>43131</v>
      </c>
      <c r="K491" s="236">
        <f t="shared" si="230"/>
        <v>43496</v>
      </c>
      <c r="L491" s="236">
        <f t="shared" si="230"/>
        <v>43861</v>
      </c>
      <c r="M491" s="236">
        <f t="shared" si="230"/>
        <v>44227</v>
      </c>
      <c r="N491" s="236">
        <f t="shared" si="230"/>
        <v>44592</v>
      </c>
      <c r="O491" s="236">
        <f t="shared" si="230"/>
        <v>44957</v>
      </c>
      <c r="P491" s="236">
        <f t="shared" si="230"/>
        <v>45322</v>
      </c>
      <c r="Q491" s="236">
        <f t="shared" si="230"/>
        <v>45688</v>
      </c>
      <c r="R491" s="236">
        <f t="shared" si="230"/>
        <v>46053</v>
      </c>
    </row>
    <row r="492" spans="1:20" ht="15">
      <c r="B492" s="90"/>
      <c r="C492" s="90"/>
      <c r="D492" s="90"/>
      <c r="E492" s="90"/>
      <c r="F492" s="90"/>
      <c r="G492" s="90"/>
      <c r="H492" s="153"/>
      <c r="I492" s="148"/>
      <c r="J492" s="148"/>
      <c r="K492" s="148"/>
      <c r="L492" s="148"/>
      <c r="M492" s="148"/>
    </row>
    <row r="493" spans="1:20" ht="15">
      <c r="B493" s="90"/>
      <c r="C493" s="90"/>
      <c r="D493" s="90"/>
      <c r="E493" s="90"/>
      <c r="F493" s="90"/>
      <c r="G493" s="90"/>
      <c r="H493" s="153"/>
      <c r="I493" s="153"/>
      <c r="J493" s="153"/>
      <c r="K493" s="153"/>
      <c r="L493" s="153"/>
      <c r="M493" s="153"/>
    </row>
    <row r="494" spans="1:20">
      <c r="B494" s="90"/>
      <c r="C494" s="90"/>
      <c r="D494" s="90"/>
      <c r="E494" s="176" t="str">
        <f ca="1">"Active Case: "&amp;OFFSET(E494,D495,0)</f>
        <v>Active Case: No Growth</v>
      </c>
      <c r="F494" s="98"/>
      <c r="G494" s="177"/>
      <c r="H494" s="177"/>
      <c r="I494" s="177">
        <f ca="1">OFFSET(I494,$D495,0)</f>
        <v>0</v>
      </c>
      <c r="J494" s="177">
        <f t="shared" ref="J494:R494" ca="1" si="231">OFFSET(J494,$D495,0)</f>
        <v>0</v>
      </c>
      <c r="K494" s="177">
        <f t="shared" ca="1" si="231"/>
        <v>0</v>
      </c>
      <c r="L494" s="177">
        <f t="shared" ca="1" si="231"/>
        <v>0</v>
      </c>
      <c r="M494" s="177">
        <f t="shared" ca="1" si="231"/>
        <v>0</v>
      </c>
      <c r="N494" s="177">
        <f t="shared" ca="1" si="231"/>
        <v>0</v>
      </c>
      <c r="O494" s="177">
        <f t="shared" ca="1" si="231"/>
        <v>0</v>
      </c>
      <c r="P494" s="177">
        <f t="shared" ca="1" si="231"/>
        <v>0</v>
      </c>
      <c r="Q494" s="177">
        <f t="shared" ca="1" si="231"/>
        <v>0</v>
      </c>
      <c r="R494" s="177">
        <f t="shared" ca="1" si="231"/>
        <v>0</v>
      </c>
    </row>
    <row r="495" spans="1:20">
      <c r="B495" s="181" t="s">
        <v>255</v>
      </c>
      <c r="C495" s="182"/>
      <c r="D495" s="178">
        <f>$B$490</f>
        <v>1</v>
      </c>
      <c r="E495" s="397" t="s">
        <v>444</v>
      </c>
      <c r="F495" s="90"/>
      <c r="G495" s="179"/>
      <c r="H495" s="179"/>
      <c r="I495" s="184">
        <v>0</v>
      </c>
      <c r="J495" s="184">
        <v>0</v>
      </c>
      <c r="K495" s="184">
        <v>0</v>
      </c>
      <c r="L495" s="184">
        <v>0</v>
      </c>
      <c r="M495" s="184">
        <v>0</v>
      </c>
      <c r="N495" s="184">
        <v>0</v>
      </c>
      <c r="O495" s="184">
        <v>0</v>
      </c>
      <c r="P495" s="184">
        <v>0</v>
      </c>
      <c r="Q495" s="184">
        <v>0</v>
      </c>
      <c r="R495" s="184">
        <v>0</v>
      </c>
    </row>
    <row r="496" spans="1:20" ht="15">
      <c r="B496" s="90"/>
      <c r="C496" s="90"/>
      <c r="D496" s="90"/>
      <c r="E496" s="397" t="s">
        <v>256</v>
      </c>
      <c r="F496" s="90"/>
      <c r="G496" s="90"/>
      <c r="H496" s="153"/>
      <c r="I496" s="184">
        <v>0.09</v>
      </c>
      <c r="J496" s="184">
        <v>0.11</v>
      </c>
      <c r="K496" s="184">
        <v>0.08</v>
      </c>
      <c r="L496" s="184">
        <v>7.0000000000000007E-2</v>
      </c>
      <c r="M496" s="184">
        <v>0.05</v>
      </c>
      <c r="N496" s="184">
        <v>0.05</v>
      </c>
      <c r="O496" s="184">
        <v>0.04</v>
      </c>
      <c r="P496" s="184">
        <v>0.03</v>
      </c>
      <c r="Q496" s="184">
        <v>0.03</v>
      </c>
      <c r="R496" s="184">
        <v>0.03</v>
      </c>
    </row>
    <row r="497" spans="2:18" ht="15">
      <c r="B497" s="90"/>
      <c r="C497" s="90"/>
      <c r="D497" s="90"/>
      <c r="E497" s="397" t="s">
        <v>428</v>
      </c>
      <c r="F497" s="90"/>
      <c r="G497" s="90"/>
      <c r="H497" s="153"/>
      <c r="I497" s="184">
        <v>0.13</v>
      </c>
      <c r="J497" s="184">
        <v>0.15</v>
      </c>
      <c r="K497" s="184">
        <v>0.2</v>
      </c>
      <c r="L497" s="184">
        <v>0.15</v>
      </c>
      <c r="M497" s="184">
        <v>0.12</v>
      </c>
      <c r="N497" s="184">
        <v>0.08</v>
      </c>
      <c r="O497" s="184">
        <v>0.06</v>
      </c>
      <c r="P497" s="184">
        <v>0.05</v>
      </c>
      <c r="Q497" s="184">
        <v>0.05</v>
      </c>
      <c r="R497" s="184">
        <v>0.05</v>
      </c>
    </row>
    <row r="498" spans="2:18" ht="15">
      <c r="B498" s="90"/>
      <c r="C498" s="90"/>
      <c r="D498" s="90"/>
      <c r="E498" s="122"/>
      <c r="F498" s="122"/>
      <c r="G498" s="122"/>
      <c r="H498" s="180"/>
      <c r="I498" s="180"/>
      <c r="J498" s="180"/>
      <c r="K498" s="180"/>
      <c r="L498" s="180"/>
      <c r="M498" s="180"/>
    </row>
    <row r="499" spans="2:18">
      <c r="B499" s="90"/>
      <c r="C499" s="90"/>
      <c r="D499" s="90"/>
      <c r="E499" s="176" t="str">
        <f ca="1">"Active Case: "&amp;OFFSET(E499,D500,0)</f>
        <v>Active Case: No Growth</v>
      </c>
      <c r="F499" s="98"/>
      <c r="G499" s="177"/>
      <c r="H499" s="177"/>
      <c r="I499" s="177">
        <f ca="1">OFFSET(I499,$D500,0)</f>
        <v>0.65</v>
      </c>
      <c r="J499" s="177">
        <f t="shared" ref="J499:R499" ca="1" si="232">OFFSET(J499,$D500,0)</f>
        <v>0.65249999999999997</v>
      </c>
      <c r="K499" s="177">
        <f t="shared" ca="1" si="232"/>
        <v>0.65500000000000003</v>
      </c>
      <c r="L499" s="177">
        <f t="shared" ca="1" si="232"/>
        <v>0.65659999999999996</v>
      </c>
      <c r="M499" s="177">
        <f t="shared" ca="1" si="232"/>
        <v>0.65659999999999996</v>
      </c>
      <c r="N499" s="177">
        <f t="shared" ca="1" si="232"/>
        <v>0.65659999999999996</v>
      </c>
      <c r="O499" s="177">
        <f t="shared" ca="1" si="232"/>
        <v>0.65659999999999996</v>
      </c>
      <c r="P499" s="177">
        <f t="shared" ca="1" si="232"/>
        <v>0.65659999999999996</v>
      </c>
      <c r="Q499" s="177">
        <f t="shared" ca="1" si="232"/>
        <v>0.65659999999999996</v>
      </c>
      <c r="R499" s="177">
        <f t="shared" ca="1" si="232"/>
        <v>0.65659999999999996</v>
      </c>
    </row>
    <row r="500" spans="2:18">
      <c r="B500" s="182" t="s">
        <v>257</v>
      </c>
      <c r="C500" s="98"/>
      <c r="D500" s="178">
        <f>$B$490</f>
        <v>1</v>
      </c>
      <c r="E500" s="90" t="str">
        <f>$E495</f>
        <v>No Growth</v>
      </c>
      <c r="F500" s="90"/>
      <c r="G500" s="179"/>
      <c r="H500" s="179"/>
      <c r="I500" s="184">
        <v>0.65</v>
      </c>
      <c r="J500" s="184">
        <v>0.65249999999999997</v>
      </c>
      <c r="K500" s="184">
        <v>0.65500000000000003</v>
      </c>
      <c r="L500" s="184">
        <v>0.65659999999999996</v>
      </c>
      <c r="M500" s="184">
        <v>0.65659999999999996</v>
      </c>
      <c r="N500" s="184">
        <v>0.65659999999999996</v>
      </c>
      <c r="O500" s="184">
        <v>0.65659999999999996</v>
      </c>
      <c r="P500" s="184">
        <v>0.65659999999999996</v>
      </c>
      <c r="Q500" s="184">
        <v>0.65659999999999996</v>
      </c>
      <c r="R500" s="184">
        <v>0.65659999999999996</v>
      </c>
    </row>
    <row r="501" spans="2:18">
      <c r="B501" s="90"/>
      <c r="C501" s="90"/>
      <c r="D501" s="90"/>
      <c r="E501" s="90" t="str">
        <f>$E496</f>
        <v>Base Case</v>
      </c>
      <c r="F501" s="90"/>
      <c r="G501" s="90"/>
      <c r="H501" s="90"/>
      <c r="I501" s="184">
        <v>0.65100000000000002</v>
      </c>
      <c r="J501" s="184">
        <v>0.65249999999999997</v>
      </c>
      <c r="K501" s="184">
        <v>0.65249999999999997</v>
      </c>
      <c r="L501" s="184">
        <v>0.65249999999999997</v>
      </c>
      <c r="M501" s="184">
        <v>0.65249999999999997</v>
      </c>
      <c r="N501" s="184">
        <v>0.65249999999999997</v>
      </c>
      <c r="O501" s="184">
        <v>0.65249999999999997</v>
      </c>
      <c r="P501" s="184">
        <v>0.65249999999999997</v>
      </c>
      <c r="Q501" s="184">
        <v>0.65249999999999997</v>
      </c>
      <c r="R501" s="184">
        <v>0.65249999999999997</v>
      </c>
    </row>
    <row r="502" spans="2:18">
      <c r="B502" s="90"/>
      <c r="C502" s="90"/>
      <c r="D502" s="90"/>
      <c r="E502" s="90" t="str">
        <f>$E497</f>
        <v>Growth</v>
      </c>
      <c r="F502" s="90"/>
      <c r="G502" s="90"/>
      <c r="H502" s="90"/>
      <c r="I502" s="184">
        <v>0.65</v>
      </c>
      <c r="J502" s="184">
        <v>0.65</v>
      </c>
      <c r="K502" s="184">
        <v>0.65</v>
      </c>
      <c r="L502" s="184">
        <v>0.65</v>
      </c>
      <c r="M502" s="184">
        <v>0.65</v>
      </c>
      <c r="N502" s="184">
        <v>0.65</v>
      </c>
      <c r="O502" s="184">
        <v>0.65</v>
      </c>
      <c r="P502" s="184">
        <v>0.65</v>
      </c>
      <c r="Q502" s="184">
        <v>0.65</v>
      </c>
      <c r="R502" s="184">
        <v>0.65</v>
      </c>
    </row>
    <row r="503" spans="2:18"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</row>
    <row r="504" spans="2:18">
      <c r="B504" s="90"/>
      <c r="C504" s="90"/>
      <c r="D504" s="90"/>
      <c r="E504" s="176" t="str">
        <f ca="1">"Active Case: "&amp;OFFSET(E504,D505,0)</f>
        <v>Active Case: No Growth</v>
      </c>
      <c r="F504" s="98"/>
      <c r="G504" s="177"/>
      <c r="H504" s="177"/>
      <c r="I504" s="177">
        <f ca="1">OFFSET(I504,$D505,0)</f>
        <v>0.13</v>
      </c>
      <c r="J504" s="177">
        <f t="shared" ref="J504:R504" ca="1" si="233">OFFSET(J504,$D505,0)</f>
        <v>0.13</v>
      </c>
      <c r="K504" s="177">
        <f t="shared" ca="1" si="233"/>
        <v>0.13</v>
      </c>
      <c r="L504" s="177">
        <f t="shared" ca="1" si="233"/>
        <v>0.13</v>
      </c>
      <c r="M504" s="177">
        <f t="shared" ca="1" si="233"/>
        <v>0.13</v>
      </c>
      <c r="N504" s="177">
        <f t="shared" ca="1" si="233"/>
        <v>0.126</v>
      </c>
      <c r="O504" s="177">
        <f t="shared" ca="1" si="233"/>
        <v>0.126</v>
      </c>
      <c r="P504" s="177">
        <f t="shared" ca="1" si="233"/>
        <v>0.126</v>
      </c>
      <c r="Q504" s="177">
        <f t="shared" ca="1" si="233"/>
        <v>0.126</v>
      </c>
      <c r="R504" s="177">
        <f t="shared" ca="1" si="233"/>
        <v>0.126</v>
      </c>
    </row>
    <row r="505" spans="2:18">
      <c r="B505" s="182" t="s">
        <v>259</v>
      </c>
      <c r="C505" s="98"/>
      <c r="D505" s="178">
        <f>$B$490</f>
        <v>1</v>
      </c>
      <c r="E505" s="90" t="str">
        <f>$E500</f>
        <v>No Growth</v>
      </c>
      <c r="F505" s="90"/>
      <c r="G505" s="179"/>
      <c r="H505" s="179"/>
      <c r="I505" s="184">
        <v>0.13</v>
      </c>
      <c r="J505" s="184">
        <v>0.13</v>
      </c>
      <c r="K505" s="184">
        <v>0.13</v>
      </c>
      <c r="L505" s="184">
        <v>0.13</v>
      </c>
      <c r="M505" s="184">
        <v>0.13</v>
      </c>
      <c r="N505" s="184">
        <v>0.126</v>
      </c>
      <c r="O505" s="184">
        <v>0.126</v>
      </c>
      <c r="P505" s="184">
        <v>0.126</v>
      </c>
      <c r="Q505" s="184">
        <v>0.126</v>
      </c>
      <c r="R505" s="184">
        <v>0.126</v>
      </c>
    </row>
    <row r="506" spans="2:18">
      <c r="B506" s="90"/>
      <c r="C506" s="90"/>
      <c r="D506" s="90"/>
      <c r="E506" s="90" t="str">
        <f>$E501</f>
        <v>Base Case</v>
      </c>
      <c r="F506" s="90"/>
      <c r="G506" s="90"/>
      <c r="H506" s="90"/>
      <c r="I506" s="184">
        <v>0.13250000000000001</v>
      </c>
      <c r="J506" s="184">
        <v>0.13250000000000001</v>
      </c>
      <c r="K506" s="184">
        <v>0.13250000000000001</v>
      </c>
      <c r="L506" s="184">
        <v>0.13250000000000001</v>
      </c>
      <c r="M506" s="184">
        <v>0.13250000000000001</v>
      </c>
      <c r="N506" s="184">
        <v>0.12</v>
      </c>
      <c r="O506" s="184">
        <v>0.12</v>
      </c>
      <c r="P506" s="184">
        <v>0.12</v>
      </c>
      <c r="Q506" s="184">
        <v>0.12</v>
      </c>
      <c r="R506" s="184">
        <v>0.12</v>
      </c>
    </row>
    <row r="507" spans="2:18">
      <c r="B507" s="90"/>
      <c r="C507" s="90"/>
      <c r="D507" s="90"/>
      <c r="E507" s="90" t="str">
        <f>$E502</f>
        <v>Growth</v>
      </c>
      <c r="F507" s="90"/>
      <c r="G507" s="90"/>
      <c r="H507" s="90"/>
      <c r="I507" s="184">
        <v>0.13</v>
      </c>
      <c r="J507" s="184">
        <v>0.125</v>
      </c>
      <c r="K507" s="184">
        <v>0.125</v>
      </c>
      <c r="L507" s="184">
        <v>0.12</v>
      </c>
      <c r="M507" s="184">
        <v>0.11</v>
      </c>
      <c r="N507" s="184">
        <v>0.11</v>
      </c>
      <c r="O507" s="184">
        <v>0.11</v>
      </c>
      <c r="P507" s="184">
        <v>0.11</v>
      </c>
      <c r="Q507" s="184">
        <v>0.11</v>
      </c>
      <c r="R507" s="184">
        <v>0.11</v>
      </c>
    </row>
    <row r="508" spans="2:18"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</row>
    <row r="509" spans="2:18">
      <c r="B509" s="90"/>
      <c r="C509" s="90"/>
      <c r="D509" s="90"/>
      <c r="E509" s="176" t="str">
        <f ca="1">"Active Case: "&amp;OFFSET(E509,D510,0)</f>
        <v>Active Case: No Growth</v>
      </c>
      <c r="F509" s="98"/>
      <c r="G509" s="177"/>
      <c r="H509" s="177"/>
      <c r="I509" s="401">
        <f ca="1">OFFSET(I509,$D510,0)</f>
        <v>500</v>
      </c>
      <c r="J509" s="401">
        <f t="shared" ref="J509:R509" ca="1" si="234">OFFSET(J509,$D510,0)</f>
        <v>500</v>
      </c>
      <c r="K509" s="401">
        <f t="shared" ca="1" si="234"/>
        <v>250</v>
      </c>
      <c r="L509" s="401">
        <f t="shared" ca="1" si="234"/>
        <v>250</v>
      </c>
      <c r="M509" s="401">
        <f t="shared" ca="1" si="234"/>
        <v>250</v>
      </c>
      <c r="N509" s="401">
        <f t="shared" ca="1" si="234"/>
        <v>250</v>
      </c>
      <c r="O509" s="401">
        <f t="shared" ca="1" si="234"/>
        <v>250</v>
      </c>
      <c r="P509" s="401">
        <f t="shared" ca="1" si="234"/>
        <v>250</v>
      </c>
      <c r="Q509" s="401">
        <f t="shared" ca="1" si="234"/>
        <v>250</v>
      </c>
      <c r="R509" s="401">
        <f t="shared" ca="1" si="234"/>
        <v>250</v>
      </c>
    </row>
    <row r="510" spans="2:18">
      <c r="B510" s="182" t="s">
        <v>258</v>
      </c>
      <c r="C510" s="98"/>
      <c r="D510" s="178">
        <f>$B$490</f>
        <v>1</v>
      </c>
      <c r="E510" s="90" t="str">
        <f>$E505</f>
        <v>No Growth</v>
      </c>
      <c r="F510" s="90"/>
      <c r="G510" s="179"/>
      <c r="H510" s="179"/>
      <c r="I510" s="402">
        <v>500</v>
      </c>
      <c r="J510" s="402">
        <v>500</v>
      </c>
      <c r="K510" s="402">
        <v>250</v>
      </c>
      <c r="L510" s="402">
        <v>250</v>
      </c>
      <c r="M510" s="402">
        <v>250</v>
      </c>
      <c r="N510" s="402">
        <v>250</v>
      </c>
      <c r="O510" s="402">
        <v>250</v>
      </c>
      <c r="P510" s="402">
        <v>250</v>
      </c>
      <c r="Q510" s="402">
        <v>250</v>
      </c>
      <c r="R510" s="402">
        <v>250</v>
      </c>
    </row>
    <row r="511" spans="2:18">
      <c r="E511" s="90" t="str">
        <f>$E506</f>
        <v>Base Case</v>
      </c>
      <c r="I511" s="402">
        <v>750</v>
      </c>
      <c r="J511" s="402">
        <v>1500</v>
      </c>
      <c r="K511" s="402">
        <v>1500</v>
      </c>
      <c r="L511" s="402">
        <v>1500</v>
      </c>
      <c r="M511" s="402">
        <v>1000</v>
      </c>
      <c r="N511" s="402">
        <v>500</v>
      </c>
      <c r="O511" s="402">
        <v>500</v>
      </c>
      <c r="P511" s="402">
        <v>500</v>
      </c>
      <c r="Q511" s="402">
        <v>500</v>
      </c>
      <c r="R511" s="402">
        <v>500</v>
      </c>
    </row>
    <row r="512" spans="2:18">
      <c r="E512" s="90" t="str">
        <f>$E507</f>
        <v>Growth</v>
      </c>
      <c r="I512" s="402">
        <v>750</v>
      </c>
      <c r="J512" s="402">
        <v>1500</v>
      </c>
      <c r="K512" s="402">
        <v>2000</v>
      </c>
      <c r="L512" s="402">
        <v>1750</v>
      </c>
      <c r="M512" s="402">
        <v>1250</v>
      </c>
      <c r="N512" s="402">
        <v>1000</v>
      </c>
      <c r="O512" s="402">
        <v>1000</v>
      </c>
      <c r="P512" s="402">
        <v>1000</v>
      </c>
      <c r="Q512" s="402">
        <v>1000</v>
      </c>
      <c r="R512" s="402">
        <v>1000</v>
      </c>
    </row>
    <row r="514" spans="2:18">
      <c r="B514" s="90"/>
      <c r="C514" s="90"/>
      <c r="D514" s="90"/>
      <c r="E514" s="176" t="str">
        <f ca="1">"Active Case: "&amp;OFFSET(E514,D515,0)</f>
        <v>Active Case: No Growth</v>
      </c>
      <c r="F514" s="98"/>
      <c r="G514" s="177"/>
      <c r="H514" s="177"/>
      <c r="I514" s="404">
        <f ca="1">OFFSET(I514,$D515,0)</f>
        <v>0</v>
      </c>
    </row>
    <row r="515" spans="2:18">
      <c r="B515" s="182" t="s">
        <v>418</v>
      </c>
      <c r="C515" s="98"/>
      <c r="D515" s="178">
        <f>$B$490</f>
        <v>1</v>
      </c>
      <c r="E515" s="90" t="str">
        <f>$E510</f>
        <v>No Growth</v>
      </c>
      <c r="F515" s="90"/>
      <c r="G515" s="179"/>
      <c r="H515" s="179"/>
      <c r="I515" s="403">
        <v>0</v>
      </c>
    </row>
    <row r="516" spans="2:18">
      <c r="E516" s="90" t="str">
        <f>$E511</f>
        <v>Base Case</v>
      </c>
      <c r="I516" s="403">
        <v>0</v>
      </c>
    </row>
    <row r="517" spans="2:18">
      <c r="E517" s="90" t="str">
        <f>$E512</f>
        <v>Growth</v>
      </c>
      <c r="I517" s="403">
        <v>0</v>
      </c>
      <c r="J517" s="41"/>
      <c r="K517" s="41"/>
      <c r="L517" s="41"/>
      <c r="M517" s="41"/>
    </row>
    <row r="519" spans="2:18">
      <c r="B519" s="90"/>
      <c r="C519" s="90"/>
      <c r="D519" s="90"/>
      <c r="E519" s="176" t="str">
        <f ca="1">OFFSET(E519,D520,0)</f>
        <v>12.5 Year</v>
      </c>
      <c r="F519" s="98"/>
      <c r="G519" s="177"/>
      <c r="H519" s="177"/>
      <c r="I519" s="404">
        <f ca="1">OFFSET(I519,$D520,0)</f>
        <v>0.08</v>
      </c>
      <c r="J519" s="404">
        <f t="shared" ref="J519:O519" ca="1" si="235">OFFSET(J519,$D520,0)</f>
        <v>0.08</v>
      </c>
      <c r="K519" s="404">
        <f t="shared" ca="1" si="235"/>
        <v>0.08</v>
      </c>
      <c r="L519" s="404">
        <f t="shared" ca="1" si="235"/>
        <v>0.08</v>
      </c>
      <c r="M519" s="404">
        <f t="shared" ca="1" si="235"/>
        <v>0.08</v>
      </c>
      <c r="N519" s="404">
        <f t="shared" ca="1" si="235"/>
        <v>0.08</v>
      </c>
      <c r="O519" s="404">
        <f t="shared" ca="1" si="235"/>
        <v>0.08</v>
      </c>
      <c r="P519" s="404">
        <f ca="1">OFFSET(P519,$D520,0)</f>
        <v>0.08</v>
      </c>
      <c r="Q519" s="404">
        <f ca="1">OFFSET(Q519,$D520,0)</f>
        <v>0.08</v>
      </c>
      <c r="R519" s="404">
        <f ca="1">OFFSET(R519,$D520,0)</f>
        <v>0.08</v>
      </c>
    </row>
    <row r="520" spans="2:18">
      <c r="B520" s="182" t="s">
        <v>423</v>
      </c>
      <c r="C520" s="98"/>
      <c r="D520" s="178">
        <f>D304</f>
        <v>3</v>
      </c>
      <c r="E520" s="90" t="s">
        <v>493</v>
      </c>
      <c r="F520" s="90"/>
      <c r="G520" s="179"/>
      <c r="H520" s="179"/>
      <c r="I520" s="421">
        <v>0.1</v>
      </c>
      <c r="J520" s="421">
        <v>0.1</v>
      </c>
      <c r="K520" s="421">
        <v>0.125</v>
      </c>
      <c r="L520" s="421">
        <v>0.125</v>
      </c>
      <c r="M520" s="421">
        <v>0.15</v>
      </c>
      <c r="N520" s="421">
        <v>0.2</v>
      </c>
      <c r="O520" s="421">
        <v>0.2</v>
      </c>
      <c r="P520" s="421">
        <v>0</v>
      </c>
      <c r="Q520" s="421">
        <v>0</v>
      </c>
      <c r="R520" s="421">
        <v>0</v>
      </c>
    </row>
    <row r="521" spans="2:18">
      <c r="E521" s="90" t="s">
        <v>491</v>
      </c>
      <c r="I521" s="421">
        <v>0.1</v>
      </c>
      <c r="J521" s="421">
        <v>0.1</v>
      </c>
      <c r="K521" s="421">
        <v>0.1</v>
      </c>
      <c r="L521" s="421">
        <v>0.1</v>
      </c>
      <c r="M521" s="421">
        <v>0.1</v>
      </c>
      <c r="N521" s="421">
        <v>0.1</v>
      </c>
      <c r="O521" s="421">
        <v>0.1</v>
      </c>
      <c r="P521" s="421">
        <v>0.1</v>
      </c>
      <c r="Q521" s="421">
        <v>0.1</v>
      </c>
      <c r="R521" s="421">
        <v>0.1</v>
      </c>
    </row>
    <row r="522" spans="2:18">
      <c r="E522" s="90" t="s">
        <v>494</v>
      </c>
      <c r="I522" s="421">
        <v>0.08</v>
      </c>
      <c r="J522" s="421">
        <v>0.08</v>
      </c>
      <c r="K522" s="421">
        <v>0.08</v>
      </c>
      <c r="L522" s="421">
        <v>0.08</v>
      </c>
      <c r="M522" s="421">
        <v>0.08</v>
      </c>
      <c r="N522" s="421">
        <v>0.08</v>
      </c>
      <c r="O522" s="421">
        <v>0.08</v>
      </c>
      <c r="P522" s="421">
        <v>0.08</v>
      </c>
      <c r="Q522" s="421">
        <v>0.08</v>
      </c>
      <c r="R522" s="421">
        <v>0.08</v>
      </c>
    </row>
  </sheetData>
  <dataConsolidate/>
  <dataValidations disablePrompts="1" count="3">
    <dataValidation type="list" allowBlank="1" showInputMessage="1" showErrorMessage="1" sqref="R17">
      <formula1>$X$8:$X$9</formula1>
    </dataValidation>
    <dataValidation type="list" allowBlank="1" showInputMessage="1" showErrorMessage="1" sqref="R9">
      <formula1>$X$6:$X$7</formula1>
    </dataValidation>
    <dataValidation type="list" allowBlank="1" showInputMessage="1" showErrorMessage="1" sqref="H422:H424">
      <formula1>$B$440:$B$442</formula1>
    </dataValidation>
  </dataValidations>
  <hyperlinks>
    <hyperlink ref="B438" r:id="rId1"/>
  </hyperlinks>
  <pageMargins left="0.7" right="0.7" top="0.75" bottom="0.75" header="0.3" footer="0.3"/>
  <pageSetup orientation="portrait" r:id="rId2"/>
  <ignoredErrors>
    <ignoredError sqref="H168" formula="1"/>
  </ignoredErrors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343C"/>
  </sheetPr>
  <dimension ref="A1"/>
  <sheetViews>
    <sheetView zoomScale="80" zoomScaleNormal="80"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zoomScale="80" zoomScaleNormal="80" workbookViewId="0"/>
  </sheetViews>
  <sheetFormatPr defaultColWidth="8.85546875" defaultRowHeight="16.5" outlineLevelRow="1"/>
  <cols>
    <col min="1" max="1" width="2.7109375" style="15" customWidth="1"/>
    <col min="2" max="3" width="12.7109375" style="15" customWidth="1"/>
    <col min="4" max="13" width="12.85546875" style="15" customWidth="1"/>
    <col min="14" max="15" width="12.5703125" style="15" customWidth="1"/>
    <col min="16" max="25" width="10.5703125" style="15" customWidth="1"/>
    <col min="26" max="16384" width="8.85546875" style="15"/>
  </cols>
  <sheetData>
    <row r="1" spans="1:22" ht="21" thickBot="1">
      <c r="A1" s="17" t="str">
        <f>Cover!$B$17</f>
        <v>Gamma Engineering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2">
      <c r="A2" s="25" t="s">
        <v>336</v>
      </c>
    </row>
    <row r="4" spans="1:22">
      <c r="A4" s="55" t="s">
        <v>51</v>
      </c>
      <c r="B4" s="330" t="s">
        <v>336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</row>
    <row r="5" spans="1:22" s="25" customFormat="1" ht="13.5">
      <c r="H5" s="25">
        <v>0</v>
      </c>
      <c r="I5" s="25">
        <v>1</v>
      </c>
      <c r="J5" s="25">
        <v>2</v>
      </c>
      <c r="K5" s="25">
        <v>3</v>
      </c>
      <c r="L5" s="25">
        <v>4</v>
      </c>
      <c r="M5" s="25">
        <v>5</v>
      </c>
    </row>
    <row r="6" spans="1:22" s="25" customFormat="1" ht="15.75" outlineLevel="1" thickBot="1">
      <c r="H6" s="310">
        <v>42735</v>
      </c>
      <c r="I6" s="236">
        <f>EOMONTH(H6,12)</f>
        <v>43100</v>
      </c>
      <c r="J6" s="236">
        <f>EOMONTH(I6,12)</f>
        <v>43465</v>
      </c>
      <c r="K6" s="236">
        <f>EOMONTH(J6,12)</f>
        <v>43830</v>
      </c>
      <c r="L6" s="236">
        <f>EOMONTH(K6,12)</f>
        <v>44196</v>
      </c>
      <c r="M6" s="236">
        <f>EOMONTH(L6,12)</f>
        <v>44561</v>
      </c>
    </row>
    <row r="7" spans="1:22" s="25" customFormat="1" ht="15.75" thickBot="1">
      <c r="B7" s="192"/>
      <c r="C7" s="192"/>
      <c r="D7" s="192"/>
      <c r="E7" s="192"/>
      <c r="F7" s="192"/>
      <c r="G7" s="192"/>
      <c r="H7" s="192"/>
      <c r="I7" s="420" t="s">
        <v>298</v>
      </c>
      <c r="J7" s="420" t="s">
        <v>299</v>
      </c>
      <c r="K7" s="420" t="s">
        <v>300</v>
      </c>
      <c r="L7" s="420" t="s">
        <v>301</v>
      </c>
      <c r="M7" s="420" t="s">
        <v>302</v>
      </c>
    </row>
    <row r="8" spans="1:22" s="25" customFormat="1" ht="13.5">
      <c r="B8" s="90"/>
      <c r="C8" s="90"/>
      <c r="D8" s="90"/>
      <c r="E8" s="90"/>
      <c r="F8" s="90"/>
      <c r="G8" s="90"/>
      <c r="H8" s="90"/>
      <c r="I8" s="91"/>
      <c r="J8" s="91"/>
      <c r="K8" s="90"/>
      <c r="L8" s="90"/>
      <c r="M8" s="90"/>
    </row>
    <row r="9" spans="1:22" s="25" customFormat="1" ht="13.5">
      <c r="B9" s="90" t="s">
        <v>81</v>
      </c>
      <c r="C9" s="90"/>
      <c r="D9" s="90"/>
      <c r="E9" s="90"/>
      <c r="F9" s="90"/>
      <c r="G9" s="275"/>
      <c r="H9" s="276"/>
      <c r="I9" s="413">
        <v>6.5</v>
      </c>
      <c r="J9" s="284">
        <f>I9</f>
        <v>6.5</v>
      </c>
      <c r="K9" s="284">
        <f>J9</f>
        <v>6.5</v>
      </c>
      <c r="L9" s="284">
        <f>K9</f>
        <v>6.5</v>
      </c>
      <c r="M9" s="284">
        <f>L9</f>
        <v>6.5</v>
      </c>
    </row>
    <row r="10" spans="1:22" s="25" customFormat="1" ht="13.5">
      <c r="B10" s="122" t="s">
        <v>110</v>
      </c>
      <c r="C10" s="122"/>
      <c r="D10" s="122"/>
      <c r="E10" s="122"/>
      <c r="F10" s="122"/>
      <c r="G10" s="175"/>
      <c r="H10" s="277"/>
      <c r="I10" s="278">
        <f ca="1">Model!I152</f>
        <v>4586.8999999999996</v>
      </c>
      <c r="J10" s="278">
        <f ca="1">Model!J152</f>
        <v>4588.4437500000004</v>
      </c>
      <c r="K10" s="278">
        <f ca="1">Model!K152</f>
        <v>4578.1125000000002</v>
      </c>
      <c r="L10" s="278">
        <f ca="1">Model!L152</f>
        <v>4572.4505000000008</v>
      </c>
      <c r="M10" s="278">
        <f ca="1">Model!M152+Model!M151</f>
        <v>4951.7900000000009</v>
      </c>
      <c r="O10" s="360"/>
      <c r="P10" s="360"/>
      <c r="Q10" s="360"/>
      <c r="R10" s="360"/>
      <c r="S10" s="360"/>
    </row>
    <row r="11" spans="1:22" s="25" customFormat="1" ht="15">
      <c r="B11" s="12" t="s">
        <v>337</v>
      </c>
      <c r="C11" s="12"/>
      <c r="D11" s="12"/>
      <c r="E11" s="12"/>
      <c r="F11" s="90"/>
      <c r="G11" s="96"/>
      <c r="H11" s="96"/>
      <c r="I11" s="246">
        <f ca="1">I9*I10</f>
        <v>29814.85</v>
      </c>
      <c r="J11" s="246">
        <f ca="1">J9*J10</f>
        <v>29824.884375000001</v>
      </c>
      <c r="K11" s="246">
        <f ca="1">K9*K10</f>
        <v>29757.731250000001</v>
      </c>
      <c r="L11" s="246">
        <f ca="1">L9*L10</f>
        <v>29720.928250000004</v>
      </c>
      <c r="M11" s="246">
        <f ca="1">M9*M10</f>
        <v>32186.635000000006</v>
      </c>
      <c r="P11" s="360"/>
      <c r="Q11" s="360"/>
      <c r="T11" s="285"/>
    </row>
    <row r="12" spans="1:22" s="25" customFormat="1" ht="13.5">
      <c r="B12" s="120" t="s">
        <v>338</v>
      </c>
      <c r="C12" s="90"/>
      <c r="D12" s="90"/>
      <c r="E12" s="90"/>
      <c r="F12" s="90"/>
      <c r="G12" s="95"/>
      <c r="H12" s="128"/>
      <c r="I12" s="204">
        <f ca="1">-Model!I195</f>
        <v>-16989.971428571585</v>
      </c>
      <c r="J12" s="204">
        <f ca="1">-Model!J195</f>
        <v>-14835.046853037806</v>
      </c>
      <c r="K12" s="204">
        <f ca="1">-Model!K195</f>
        <v>-12427.529706333313</v>
      </c>
      <c r="L12" s="204">
        <f ca="1">-Model!L195</f>
        <v>-10832.899566176628</v>
      </c>
      <c r="M12" s="204">
        <f ca="1">-Model!M195</f>
        <v>-11051.746022058984</v>
      </c>
      <c r="R12" s="204"/>
    </row>
    <row r="13" spans="1:22" s="25" customFormat="1" ht="13.5">
      <c r="B13" s="120" t="s">
        <v>439</v>
      </c>
      <c r="C13" s="90"/>
      <c r="D13" s="90"/>
      <c r="E13" s="90"/>
      <c r="F13" s="90"/>
      <c r="G13" s="95"/>
      <c r="H13" s="128"/>
      <c r="I13" s="204">
        <f ca="1">-Model!I325</f>
        <v>-8480</v>
      </c>
      <c r="J13" s="204">
        <f ca="1">-Model!J325</f>
        <v>-8988.7999999999993</v>
      </c>
      <c r="K13" s="204">
        <f ca="1">-Model!K325</f>
        <v>-9528.1279999999988</v>
      </c>
      <c r="L13" s="204">
        <f ca="1">-Model!L325</f>
        <v>-10099.815679999998</v>
      </c>
      <c r="M13" s="204">
        <f ca="1">-Model!M325</f>
        <v>-10705.804620799998</v>
      </c>
      <c r="R13" s="204"/>
    </row>
    <row r="14" spans="1:22" s="25" customFormat="1" ht="13.5">
      <c r="B14" s="120" t="s">
        <v>339</v>
      </c>
      <c r="C14" s="90"/>
      <c r="D14" s="90"/>
      <c r="E14" s="90"/>
      <c r="F14" s="90"/>
      <c r="G14" s="95"/>
      <c r="H14" s="128"/>
      <c r="I14" s="204">
        <v>0</v>
      </c>
      <c r="J14" s="204">
        <v>0</v>
      </c>
      <c r="K14" s="204">
        <v>0</v>
      </c>
      <c r="L14" s="204">
        <v>0</v>
      </c>
      <c r="M14" s="204">
        <v>0</v>
      </c>
      <c r="T14" s="24"/>
    </row>
    <row r="15" spans="1:22" s="25" customFormat="1" ht="15">
      <c r="B15" s="279" t="s">
        <v>371</v>
      </c>
      <c r="C15" s="280"/>
      <c r="D15" s="280"/>
      <c r="E15" s="280"/>
      <c r="F15" s="98"/>
      <c r="G15" s="281"/>
      <c r="H15" s="281"/>
      <c r="I15" s="282">
        <f ca="1">SUM(I11:I14)</f>
        <v>4344.8785714284131</v>
      </c>
      <c r="J15" s="282">
        <f ca="1">SUM(J11:J14)</f>
        <v>6001.0375219621965</v>
      </c>
      <c r="K15" s="282">
        <f ca="1">SUM(K11:K14)</f>
        <v>7802.0735436666891</v>
      </c>
      <c r="L15" s="282">
        <f ca="1">SUM(L11:L14)</f>
        <v>8788.213003823379</v>
      </c>
      <c r="M15" s="282">
        <f ca="1">SUM(M11:M14)</f>
        <v>10429.084357141026</v>
      </c>
      <c r="O15" s="360"/>
      <c r="P15" s="46"/>
      <c r="Q15" s="46"/>
      <c r="R15" s="526"/>
      <c r="S15" s="526"/>
      <c r="T15" s="526"/>
      <c r="U15" s="526"/>
      <c r="V15" s="526"/>
    </row>
    <row r="16" spans="1:22" s="25" customFormat="1" ht="15">
      <c r="B16" s="171"/>
      <c r="C16" s="12"/>
      <c r="D16" s="12"/>
      <c r="E16" s="12"/>
      <c r="F16" s="90"/>
      <c r="G16" s="311"/>
      <c r="H16" s="311"/>
      <c r="I16" s="353"/>
      <c r="J16" s="353"/>
      <c r="K16" s="353"/>
      <c r="L16" s="353"/>
      <c r="M16" s="353"/>
      <c r="P16" s="46"/>
      <c r="Q16" s="46"/>
      <c r="R16" s="306"/>
      <c r="S16" s="306"/>
      <c r="T16" s="306"/>
      <c r="U16" s="306"/>
      <c r="V16" s="306"/>
    </row>
    <row r="17" spans="2:22" s="25" customFormat="1" ht="15">
      <c r="B17" s="171" t="s">
        <v>377</v>
      </c>
      <c r="C17" s="12"/>
      <c r="D17" s="356">
        <f>Model!R29</f>
        <v>0.7</v>
      </c>
      <c r="E17" s="12"/>
      <c r="F17" s="90"/>
      <c r="G17" s="311"/>
      <c r="H17" s="311"/>
      <c r="I17" s="217">
        <f ca="1">I$15*$D17</f>
        <v>3041.414999999889</v>
      </c>
      <c r="J17" s="217">
        <f ca="1">J15*$D$17</f>
        <v>4200.726265373537</v>
      </c>
      <c r="K17" s="217">
        <f ca="1">K15*$D$17</f>
        <v>5461.4514805666822</v>
      </c>
      <c r="L17" s="217">
        <f ca="1">L15*$D$17</f>
        <v>6151.7491026763646</v>
      </c>
      <c r="M17" s="217">
        <f ca="1">M15*$D$17</f>
        <v>7300.3590499987176</v>
      </c>
      <c r="P17" s="46"/>
      <c r="Q17" s="46"/>
      <c r="R17" s="306"/>
      <c r="S17" s="306"/>
      <c r="T17" s="306"/>
      <c r="U17" s="306"/>
      <c r="V17" s="306"/>
    </row>
    <row r="18" spans="2:22" s="25" customFormat="1" ht="15">
      <c r="B18" s="171" t="s">
        <v>496</v>
      </c>
      <c r="C18" s="12"/>
      <c r="D18" s="356">
        <f>Model!R28</f>
        <v>0.3</v>
      </c>
      <c r="E18" s="12"/>
      <c r="F18" s="90"/>
      <c r="G18" s="311"/>
      <c r="H18" s="311"/>
      <c r="I18" s="217">
        <f ca="1">I$15*$D18</f>
        <v>1303.4635714285239</v>
      </c>
      <c r="J18" s="217">
        <f ca="1">J$15*$D18</f>
        <v>1800.3112565886588</v>
      </c>
      <c r="K18" s="217">
        <f ca="1">K$15*$D18</f>
        <v>2340.6220631000065</v>
      </c>
      <c r="L18" s="217">
        <f ca="1">L$15*$D18</f>
        <v>2636.4639011470135</v>
      </c>
      <c r="M18" s="217">
        <f ca="1">M$15*$D18</f>
        <v>3128.7253071423079</v>
      </c>
      <c r="P18" s="46"/>
      <c r="Q18" s="46"/>
      <c r="R18" s="436"/>
      <c r="S18" s="436"/>
      <c r="T18" s="436"/>
      <c r="U18" s="436"/>
      <c r="V18" s="436"/>
    </row>
    <row r="19" spans="2:22" s="25" customFormat="1" ht="15">
      <c r="B19" s="171" t="s">
        <v>417</v>
      </c>
      <c r="C19" s="90"/>
      <c r="D19" s="405">
        <v>0</v>
      </c>
      <c r="E19" s="90"/>
      <c r="F19" s="90"/>
      <c r="G19" s="90"/>
      <c r="H19" s="90"/>
      <c r="I19" s="217">
        <f ca="1">I15*$D$19</f>
        <v>0</v>
      </c>
      <c r="J19" s="217">
        <f ca="1">J15*$D$19</f>
        <v>0</v>
      </c>
      <c r="K19" s="217">
        <f ca="1">K15*$D$19</f>
        <v>0</v>
      </c>
      <c r="L19" s="217">
        <f ca="1">L15*$D$19</f>
        <v>0</v>
      </c>
      <c r="M19" s="217">
        <f ca="1">M15*$D$19</f>
        <v>0</v>
      </c>
      <c r="P19" s="46"/>
      <c r="Q19" s="46"/>
      <c r="R19" s="354"/>
      <c r="S19" s="46"/>
      <c r="T19" s="46"/>
      <c r="U19" s="46"/>
      <c r="V19" s="46"/>
    </row>
    <row r="20" spans="2:22" s="25" customFormat="1" ht="15">
      <c r="B20" s="171" t="s">
        <v>441</v>
      </c>
      <c r="C20" s="90"/>
      <c r="D20" s="405">
        <f>D17</f>
        <v>0.7</v>
      </c>
      <c r="E20" s="90"/>
      <c r="F20" s="90"/>
      <c r="G20" s="90"/>
      <c r="H20" s="90"/>
      <c r="I20" s="217"/>
      <c r="J20" s="217"/>
      <c r="K20" s="217"/>
      <c r="L20" s="217"/>
      <c r="M20" s="217"/>
      <c r="P20" s="46"/>
      <c r="Q20" s="355"/>
      <c r="R20" s="46"/>
      <c r="S20" s="46"/>
      <c r="T20" s="46"/>
      <c r="U20" s="46"/>
      <c r="V20" s="46"/>
    </row>
    <row r="21" spans="2:22" s="25" customFormat="1" ht="15">
      <c r="B21" s="171"/>
      <c r="C21" s="90"/>
      <c r="D21" s="518"/>
      <c r="E21" s="90"/>
      <c r="F21" s="90"/>
      <c r="G21" s="90"/>
      <c r="H21" s="90"/>
      <c r="I21" s="217"/>
      <c r="J21" s="217"/>
      <c r="K21" s="217"/>
      <c r="L21" s="217"/>
      <c r="M21" s="217"/>
      <c r="P21" s="46"/>
      <c r="Q21" s="355"/>
      <c r="R21" s="46"/>
      <c r="S21" s="46"/>
      <c r="T21" s="46"/>
      <c r="U21" s="46"/>
      <c r="V21" s="46"/>
    </row>
    <row r="22" spans="2:22" s="25" customFormat="1" ht="15">
      <c r="B22" s="283" t="s">
        <v>344</v>
      </c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spans="2:22" s="25" customFormat="1" ht="13.5">
      <c r="B23" s="334" t="s">
        <v>378</v>
      </c>
      <c r="C23" s="98"/>
      <c r="D23" s="98"/>
      <c r="E23" s="98"/>
      <c r="F23" s="98"/>
      <c r="G23" s="98"/>
      <c r="H23" s="98"/>
      <c r="I23" s="335">
        <f ca="1">I15</f>
        <v>4344.8785714284131</v>
      </c>
      <c r="J23" s="335">
        <f ca="1">J15</f>
        <v>6001.0375219621965</v>
      </c>
      <c r="K23" s="335">
        <f ca="1">K15</f>
        <v>7802.0735436666891</v>
      </c>
      <c r="L23" s="335">
        <f ca="1">L15</f>
        <v>8788.213003823379</v>
      </c>
      <c r="M23" s="335">
        <f ca="1">M17</f>
        <v>7300.3590499987176</v>
      </c>
    </row>
    <row r="24" spans="2:22" s="25" customFormat="1" ht="13.5">
      <c r="B24" s="120" t="s">
        <v>379</v>
      </c>
      <c r="C24" s="90"/>
      <c r="D24" s="90"/>
      <c r="E24" s="90"/>
      <c r="F24" s="90"/>
      <c r="G24" s="90"/>
      <c r="H24" s="90"/>
      <c r="I24" s="336"/>
      <c r="J24" s="336"/>
      <c r="K24" s="336"/>
      <c r="L24" s="336"/>
      <c r="M24" s="347">
        <f ca="1">+(M23/(Model!$D$27))^(1/M5)-1</f>
        <v>5.5812671254806823E-3</v>
      </c>
      <c r="N24" s="25" t="s">
        <v>384</v>
      </c>
    </row>
    <row r="25" spans="2:22" s="25" customFormat="1" ht="13.5">
      <c r="B25" s="139" t="s">
        <v>380</v>
      </c>
      <c r="C25" s="122"/>
      <c r="D25" s="122"/>
      <c r="E25" s="122"/>
      <c r="F25" s="122"/>
      <c r="G25" s="122"/>
      <c r="H25" s="122"/>
      <c r="I25" s="337"/>
      <c r="J25" s="337"/>
      <c r="K25" s="337"/>
      <c r="L25" s="337"/>
      <c r="M25" s="337">
        <f ca="1">$M$23/(Model!$D$27)</f>
        <v>1.0282195845068616</v>
      </c>
    </row>
    <row r="26" spans="2:22" s="25" customFormat="1" ht="13.5">
      <c r="B26" s="120"/>
      <c r="C26" s="90"/>
      <c r="D26" s="90"/>
      <c r="E26" s="90"/>
      <c r="F26" s="90"/>
      <c r="G26" s="90"/>
      <c r="H26" s="90"/>
      <c r="I26" s="255"/>
      <c r="J26" s="255"/>
      <c r="K26" s="255"/>
      <c r="L26" s="255"/>
      <c r="M26" s="255"/>
    </row>
    <row r="27" spans="2:22" s="25" customFormat="1" ht="15">
      <c r="B27" s="283" t="s">
        <v>413</v>
      </c>
      <c r="C27" s="122"/>
      <c r="D27" s="122"/>
      <c r="E27" s="122"/>
      <c r="F27" s="122"/>
      <c r="G27" s="122"/>
      <c r="H27" s="122"/>
      <c r="I27" s="408"/>
      <c r="J27" s="408"/>
      <c r="K27" s="408"/>
      <c r="L27" s="408"/>
      <c r="M27" s="408"/>
    </row>
    <row r="28" spans="2:22" s="25" customFormat="1" ht="13.5">
      <c r="B28" s="139" t="s">
        <v>381</v>
      </c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</row>
    <row r="29" spans="2:22" s="25" customFormat="1" ht="13.5">
      <c r="B29" s="120" t="s">
        <v>382</v>
      </c>
      <c r="C29" s="90"/>
      <c r="D29" s="90"/>
      <c r="E29" s="90"/>
      <c r="F29" s="90"/>
      <c r="G29" s="90"/>
      <c r="H29" s="90"/>
      <c r="I29" s="336"/>
      <c r="J29" s="336"/>
      <c r="K29" s="336"/>
      <c r="L29" s="336"/>
      <c r="M29" s="347">
        <f ca="1">+XIRR($H$38:$M$38,$H$6:$M$6)</f>
        <v>5.7740923762321469E-2</v>
      </c>
      <c r="N29" s="25" t="s">
        <v>385</v>
      </c>
      <c r="R29" s="46"/>
      <c r="S29" s="46"/>
      <c r="T29" s="46"/>
      <c r="U29" s="46"/>
      <c r="V29" s="46"/>
    </row>
    <row r="30" spans="2:22" s="25" customFormat="1" ht="13.5">
      <c r="B30" s="139" t="s">
        <v>380</v>
      </c>
      <c r="C30" s="122"/>
      <c r="D30" s="122"/>
      <c r="E30" s="122"/>
      <c r="F30" s="122"/>
      <c r="G30" s="122"/>
      <c r="H30" s="122"/>
      <c r="I30" s="337"/>
      <c r="J30" s="337"/>
      <c r="K30" s="337"/>
      <c r="L30" s="337"/>
      <c r="M30" s="337">
        <f ca="1">$M$38/(Model!$D$27)</f>
        <v>1.2211522032669087</v>
      </c>
      <c r="R30" s="46"/>
      <c r="S30" s="46"/>
      <c r="T30" s="46"/>
      <c r="U30" s="46"/>
      <c r="V30" s="46"/>
    </row>
    <row r="31" spans="2:22" s="25" customFormat="1" ht="13.5">
      <c r="B31" s="12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R31" s="46"/>
      <c r="S31" s="46"/>
      <c r="T31" s="46"/>
      <c r="U31" s="46"/>
      <c r="V31" s="46"/>
    </row>
    <row r="32" spans="2:22" s="25" customFormat="1" ht="13.5">
      <c r="B32" s="120"/>
      <c r="C32" s="90"/>
      <c r="D32" s="90"/>
      <c r="E32" s="90"/>
      <c r="F32" s="90"/>
      <c r="G32" s="338" t="s">
        <v>383</v>
      </c>
      <c r="H32" s="90"/>
      <c r="I32" s="333"/>
      <c r="J32" s="333"/>
      <c r="K32" s="333"/>
      <c r="L32" s="333"/>
      <c r="M32" s="339">
        <f ca="1">-M72</f>
        <v>-858.32947146936408</v>
      </c>
      <c r="N32" s="360"/>
      <c r="O32" s="360"/>
    </row>
    <row r="33" spans="2:14" s="25" customFormat="1" ht="13.5">
      <c r="B33" s="120"/>
      <c r="C33" s="90"/>
      <c r="D33" s="90"/>
      <c r="E33" s="90"/>
      <c r="F33" s="90"/>
      <c r="G33" s="340" t="s">
        <v>377</v>
      </c>
      <c r="H33" s="256">
        <f ca="1">-(Model!D27+Model!D25)</f>
        <v>-7100</v>
      </c>
      <c r="I33" s="341">
        <f ca="1">I17</f>
        <v>3041.414999999889</v>
      </c>
      <c r="J33" s="341">
        <f ca="1">J17</f>
        <v>4200.726265373537</v>
      </c>
      <c r="K33" s="341">
        <f ca="1">K17</f>
        <v>5461.4514805666822</v>
      </c>
      <c r="L33" s="341">
        <f ca="1">L17</f>
        <v>6151.7491026763646</v>
      </c>
      <c r="M33" s="341">
        <f ca="1">M17</f>
        <v>7300.3590499987176</v>
      </c>
    </row>
    <row r="34" spans="2:14" s="25" customFormat="1" ht="13.5">
      <c r="B34" s="120"/>
      <c r="C34" s="90"/>
      <c r="D34" s="90"/>
      <c r="E34" s="90"/>
      <c r="F34" s="90"/>
      <c r="G34" s="342">
        <v>42735</v>
      </c>
      <c r="H34" s="333">
        <f ca="1">H33</f>
        <v>-7100</v>
      </c>
      <c r="I34" s="333">
        <f ca="1">I33</f>
        <v>3041.414999999889</v>
      </c>
      <c r="J34" s="333"/>
      <c r="K34" s="90"/>
      <c r="L34" s="90"/>
      <c r="M34" s="90"/>
    </row>
    <row r="35" spans="2:14" s="25" customFormat="1" ht="13.5">
      <c r="B35" s="120"/>
      <c r="C35" s="90"/>
      <c r="D35" s="90"/>
      <c r="E35" s="90"/>
      <c r="F35" s="90"/>
      <c r="G35" s="343">
        <v>43100</v>
      </c>
      <c r="H35" s="333">
        <f ca="1">H34</f>
        <v>-7100</v>
      </c>
      <c r="I35" s="206">
        <f ca="1">$I$57</f>
        <v>0</v>
      </c>
      <c r="J35" s="333">
        <f ca="1">J33</f>
        <v>4200.726265373537</v>
      </c>
      <c r="K35" s="333"/>
      <c r="L35" s="90"/>
      <c r="M35" s="90"/>
    </row>
    <row r="36" spans="2:14" s="25" customFormat="1" ht="13.5">
      <c r="B36" s="120"/>
      <c r="C36" s="90"/>
      <c r="D36" s="90"/>
      <c r="E36" s="90"/>
      <c r="F36" s="90"/>
      <c r="G36" s="343">
        <v>43465</v>
      </c>
      <c r="H36" s="333">
        <f ca="1">H35</f>
        <v>-7100</v>
      </c>
      <c r="I36" s="206">
        <f ca="1">$I$57</f>
        <v>0</v>
      </c>
      <c r="J36" s="206">
        <f ca="1">$J$57</f>
        <v>0</v>
      </c>
      <c r="K36" s="333">
        <f ca="1">K33</f>
        <v>5461.4514805666822</v>
      </c>
      <c r="L36" s="333"/>
      <c r="M36" s="90"/>
    </row>
    <row r="37" spans="2:14" s="25" customFormat="1" ht="13.5">
      <c r="B37" s="120"/>
      <c r="C37" s="90"/>
      <c r="D37" s="90"/>
      <c r="E37" s="90"/>
      <c r="F37" s="90"/>
      <c r="G37" s="343">
        <v>43830</v>
      </c>
      <c r="H37" s="333">
        <f ca="1">H36</f>
        <v>-7100</v>
      </c>
      <c r="I37" s="206">
        <f ca="1">$I$57</f>
        <v>0</v>
      </c>
      <c r="J37" s="206">
        <f ca="1">$J$57</f>
        <v>0</v>
      </c>
      <c r="K37" s="206">
        <f ca="1">$K$57</f>
        <v>0</v>
      </c>
      <c r="L37" s="333">
        <f ca="1">L33</f>
        <v>6151.7491026763646</v>
      </c>
      <c r="M37" s="333"/>
    </row>
    <row r="38" spans="2:14" s="25" customFormat="1" ht="13.5">
      <c r="B38" s="120"/>
      <c r="C38" s="90"/>
      <c r="D38" s="90"/>
      <c r="E38" s="90"/>
      <c r="F38" s="90"/>
      <c r="G38" s="343">
        <v>44196</v>
      </c>
      <c r="H38" s="333">
        <f ca="1">H37</f>
        <v>-7100</v>
      </c>
      <c r="I38" s="206">
        <f ca="1">$I$57</f>
        <v>0</v>
      </c>
      <c r="J38" s="206">
        <f ca="1">$J$57</f>
        <v>0</v>
      </c>
      <c r="K38" s="206">
        <f ca="1">$K$57</f>
        <v>0</v>
      </c>
      <c r="L38" s="206">
        <f ca="1">$L$57</f>
        <v>691.89945777184312</v>
      </c>
      <c r="M38" s="333">
        <f ca="1">SUM(M32:M37)+$M$57</f>
        <v>8670.1806431950517</v>
      </c>
      <c r="N38" s="344"/>
    </row>
    <row r="39" spans="2:14" s="25" customFormat="1" ht="13.5">
      <c r="B39" s="12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</row>
    <row r="40" spans="2:14" s="25" customFormat="1" ht="15">
      <c r="B40" s="283" t="s">
        <v>387</v>
      </c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</row>
    <row r="41" spans="2:14" s="25" customFormat="1" ht="13.5">
      <c r="B41" s="139" t="s">
        <v>381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</row>
    <row r="42" spans="2:14" s="25" customFormat="1" ht="13.5">
      <c r="B42" s="120" t="s">
        <v>382</v>
      </c>
      <c r="C42" s="90"/>
      <c r="D42" s="90"/>
      <c r="E42" s="90"/>
      <c r="F42" s="90"/>
      <c r="G42" s="90"/>
      <c r="H42" s="90"/>
      <c r="I42" s="336"/>
      <c r="J42" s="336"/>
      <c r="K42" s="336"/>
      <c r="L42" s="336"/>
      <c r="M42" s="347">
        <f ca="1">+XIRR($H$51:$M$51,$H$6:$M$6)</f>
        <v>8.6628869175910964E-2</v>
      </c>
      <c r="N42" s="25" t="s">
        <v>385</v>
      </c>
    </row>
    <row r="43" spans="2:14" s="25" customFormat="1" ht="13.5">
      <c r="B43" s="139" t="s">
        <v>380</v>
      </c>
      <c r="C43" s="122"/>
      <c r="D43" s="122"/>
      <c r="E43" s="122"/>
      <c r="F43" s="122"/>
      <c r="G43" s="122"/>
      <c r="H43" s="122"/>
      <c r="I43" s="337"/>
      <c r="J43" s="337"/>
      <c r="K43" s="337"/>
      <c r="L43" s="337"/>
      <c r="M43" s="337">
        <f ca="1">(SUM(I51:L51)+M51)/(Model!$D$27)</f>
        <v>1.4835658994193601</v>
      </c>
    </row>
    <row r="44" spans="2:14" s="25" customFormat="1" ht="13.5">
      <c r="B44" s="12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</row>
    <row r="45" spans="2:14" s="25" customFormat="1" ht="13.5">
      <c r="B45" s="120"/>
      <c r="C45" s="90"/>
      <c r="D45" s="90"/>
      <c r="E45" s="90"/>
      <c r="F45" s="90"/>
      <c r="G45" s="338" t="s">
        <v>383</v>
      </c>
      <c r="H45" s="90"/>
      <c r="I45" s="333"/>
      <c r="J45" s="333"/>
      <c r="K45" s="333"/>
      <c r="L45" s="333"/>
      <c r="M45" s="339"/>
    </row>
    <row r="46" spans="2:14" s="25" customFormat="1" ht="13.5">
      <c r="B46" s="120"/>
      <c r="C46" s="90"/>
      <c r="D46" s="90"/>
      <c r="E46" s="90"/>
      <c r="F46" s="90"/>
      <c r="G46" s="340" t="s">
        <v>377</v>
      </c>
      <c r="H46" s="256">
        <f ca="1">H38</f>
        <v>-7100</v>
      </c>
      <c r="I46" s="256">
        <f ca="1">I33</f>
        <v>3041.414999999889</v>
      </c>
      <c r="J46" s="256">
        <f ca="1">J33</f>
        <v>4200.726265373537</v>
      </c>
      <c r="K46" s="256">
        <f ca="1">K33</f>
        <v>5461.4514805666822</v>
      </c>
      <c r="L46" s="256">
        <f ca="1">L33</f>
        <v>6151.7491026763646</v>
      </c>
      <c r="M46" s="256">
        <f ca="1">M33</f>
        <v>7300.3590499987176</v>
      </c>
    </row>
    <row r="47" spans="2:14" s="25" customFormat="1" ht="13.5">
      <c r="B47" s="120"/>
      <c r="C47" s="90"/>
      <c r="D47" s="90"/>
      <c r="E47" s="90"/>
      <c r="F47" s="90"/>
      <c r="G47" s="342">
        <f>G34</f>
        <v>42735</v>
      </c>
      <c r="H47" s="333">
        <f ca="1">H46</f>
        <v>-7100</v>
      </c>
      <c r="I47" s="252">
        <f ca="1">I34</f>
        <v>3041.414999999889</v>
      </c>
      <c r="J47" s="333"/>
      <c r="K47" s="90"/>
      <c r="L47" s="90"/>
      <c r="M47" s="90"/>
    </row>
    <row r="48" spans="2:14" s="25" customFormat="1" ht="13.5">
      <c r="B48" s="120"/>
      <c r="C48" s="90"/>
      <c r="D48" s="90"/>
      <c r="E48" s="90"/>
      <c r="F48" s="90"/>
      <c r="G48" s="343">
        <f>G35</f>
        <v>43100</v>
      </c>
      <c r="H48" s="333">
        <f ca="1">H47</f>
        <v>-7100</v>
      </c>
      <c r="I48" s="206">
        <f ca="1">$I$59</f>
        <v>203.49252507102182</v>
      </c>
      <c r="J48" s="252">
        <f ca="1">J35</f>
        <v>4200.726265373537</v>
      </c>
      <c r="K48" s="333"/>
      <c r="L48" s="90"/>
      <c r="M48" s="90"/>
    </row>
    <row r="49" spans="2:14" s="25" customFormat="1" ht="13.5">
      <c r="B49" s="120"/>
      <c r="C49" s="90"/>
      <c r="D49" s="90"/>
      <c r="E49" s="90"/>
      <c r="F49" s="90"/>
      <c r="G49" s="343">
        <f>G36</f>
        <v>43465</v>
      </c>
      <c r="H49" s="333">
        <f ca="1">H48</f>
        <v>-7100</v>
      </c>
      <c r="I49" s="206">
        <f ca="1">$I$59</f>
        <v>203.49252507102182</v>
      </c>
      <c r="J49" s="206">
        <f ca="1">$J$59</f>
        <v>103.48299688822506</v>
      </c>
      <c r="K49" s="252">
        <f ca="1">K36</f>
        <v>5461.4514805666822</v>
      </c>
      <c r="L49" s="333"/>
      <c r="M49" s="90"/>
    </row>
    <row r="50" spans="2:14" s="25" customFormat="1" ht="13.5">
      <c r="B50" s="120"/>
      <c r="C50" s="90"/>
      <c r="D50" s="90"/>
      <c r="E50" s="90"/>
      <c r="F50" s="90"/>
      <c r="G50" s="343">
        <f>G37</f>
        <v>43830</v>
      </c>
      <c r="H50" s="333">
        <f ca="1">H49</f>
        <v>-7100</v>
      </c>
      <c r="I50" s="206">
        <f ca="1">$I$59</f>
        <v>203.49252507102182</v>
      </c>
      <c r="J50" s="206">
        <f ca="1">$J$59</f>
        <v>103.48299688822506</v>
      </c>
      <c r="K50" s="206">
        <f ca="1">$K$59</f>
        <v>165.08259947705881</v>
      </c>
      <c r="L50" s="252">
        <f ca="1">L37</f>
        <v>6151.7491026763646</v>
      </c>
      <c r="M50" s="333"/>
    </row>
    <row r="51" spans="2:14" s="25" customFormat="1" ht="13.5">
      <c r="B51" s="120"/>
      <c r="C51" s="90"/>
      <c r="D51" s="90"/>
      <c r="E51" s="90"/>
      <c r="F51" s="90"/>
      <c r="G51" s="343">
        <f>G38</f>
        <v>44196</v>
      </c>
      <c r="H51" s="333">
        <f ca="1">H50</f>
        <v>-7100</v>
      </c>
      <c r="I51" s="206">
        <f ca="1">$I$59</f>
        <v>203.49252507102182</v>
      </c>
      <c r="J51" s="206">
        <f ca="1">$J$59</f>
        <v>103.48299688822506</v>
      </c>
      <c r="K51" s="206">
        <f ca="1">$K$59</f>
        <v>165.08259947705881</v>
      </c>
      <c r="L51" s="206">
        <f ca="1">L59</f>
        <v>992.55453162033461</v>
      </c>
      <c r="M51" s="252">
        <f ca="1">SUM(M32:M33)+M56+M57</f>
        <v>9068.7052328208174</v>
      </c>
      <c r="N51" s="344"/>
    </row>
    <row r="52" spans="2:14" s="25" customFormat="1" ht="13.5">
      <c r="B52" s="12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</row>
    <row r="53" spans="2:14" s="25" customFormat="1" ht="13.5">
      <c r="B53" s="12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</row>
    <row r="54" spans="2:14" s="25" customFormat="1" ht="15">
      <c r="B54" s="283" t="s">
        <v>386</v>
      </c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</row>
    <row r="55" spans="2:14" s="25" customFormat="1" ht="13.5">
      <c r="B55" s="13" t="s">
        <v>342</v>
      </c>
      <c r="C55" s="90"/>
      <c r="D55" s="90"/>
      <c r="E55" s="90"/>
      <c r="F55" s="90"/>
      <c r="G55" s="90"/>
      <c r="H55" s="206">
        <f ca="1">H38</f>
        <v>-7100</v>
      </c>
      <c r="J55" s="90"/>
      <c r="K55" s="90"/>
      <c r="L55" s="90"/>
      <c r="M55" s="90"/>
    </row>
    <row r="56" spans="2:14" s="25" customFormat="1" ht="13.5">
      <c r="B56" s="120" t="s">
        <v>281</v>
      </c>
      <c r="C56" s="90"/>
      <c r="D56" s="90"/>
      <c r="E56" s="90"/>
      <c r="F56" s="90"/>
      <c r="G56" s="90"/>
      <c r="H56" s="207"/>
      <c r="I56" s="204">
        <f ca="1">-Model!I266*$D$20</f>
        <v>203.49252507102182</v>
      </c>
      <c r="J56" s="204">
        <f ca="1">-Model!J266*$D$20</f>
        <v>103.48299688822506</v>
      </c>
      <c r="K56" s="204">
        <f ca="1">-Model!K266*$D$20</f>
        <v>165.08259947705881</v>
      </c>
      <c r="L56" s="204">
        <f ca="1">-Model!L266*$D$20</f>
        <v>300.6550738484915</v>
      </c>
      <c r="M56" s="204">
        <f ca="1">-Model!M266*$D$20</f>
        <v>398.52458962576532</v>
      </c>
    </row>
    <row r="57" spans="2:14" s="25" customFormat="1" ht="13.5">
      <c r="B57" s="120" t="s">
        <v>341</v>
      </c>
      <c r="C57" s="90"/>
      <c r="D57" s="90"/>
      <c r="E57" s="90"/>
      <c r="F57" s="90"/>
      <c r="G57" s="90"/>
      <c r="H57" s="206"/>
      <c r="I57" s="204">
        <f ca="1">-Model!I267</f>
        <v>0</v>
      </c>
      <c r="J57" s="204">
        <f ca="1">-Model!J267</f>
        <v>0</v>
      </c>
      <c r="K57" s="204">
        <f ca="1">-Model!K267</f>
        <v>0</v>
      </c>
      <c r="L57" s="204">
        <f ca="1">-Model!L267</f>
        <v>691.89945777184312</v>
      </c>
      <c r="M57" s="204">
        <f ca="1">-Model!M267</f>
        <v>2228.151064665698</v>
      </c>
    </row>
    <row r="58" spans="2:14" s="25" customFormat="1" ht="13.5">
      <c r="B58" s="120" t="s">
        <v>343</v>
      </c>
      <c r="C58" s="90"/>
      <c r="D58" s="90"/>
      <c r="E58" s="90"/>
      <c r="F58" s="90"/>
      <c r="G58" s="95"/>
      <c r="H58" s="128"/>
      <c r="I58" s="204"/>
      <c r="J58" s="204"/>
      <c r="K58" s="204"/>
      <c r="L58" s="204"/>
      <c r="M58" s="217">
        <f ca="1">M17</f>
        <v>7300.3590499987176</v>
      </c>
    </row>
    <row r="59" spans="2:14" s="25" customFormat="1" ht="15">
      <c r="B59" s="313" t="s">
        <v>375</v>
      </c>
      <c r="C59" s="85"/>
      <c r="D59" s="85"/>
      <c r="E59" s="85"/>
      <c r="F59" s="91"/>
      <c r="G59" s="314"/>
      <c r="H59" s="315">
        <f t="shared" ref="H59:M59" ca="1" si="0">SUM(H55:H58)</f>
        <v>-7100</v>
      </c>
      <c r="I59" s="315">
        <f t="shared" ca="1" si="0"/>
        <v>203.49252507102182</v>
      </c>
      <c r="J59" s="315">
        <f t="shared" ca="1" si="0"/>
        <v>103.48299688822506</v>
      </c>
      <c r="K59" s="315">
        <f t="shared" ca="1" si="0"/>
        <v>165.08259947705881</v>
      </c>
      <c r="L59" s="315">
        <f t="shared" ca="1" si="0"/>
        <v>992.55453162033461</v>
      </c>
      <c r="M59" s="315">
        <f t="shared" ca="1" si="0"/>
        <v>9927.0347042901813</v>
      </c>
    </row>
    <row r="60" spans="2:14" s="25" customFormat="1" ht="15">
      <c r="B60" s="171" t="s">
        <v>376</v>
      </c>
      <c r="C60" s="90"/>
      <c r="D60" s="90"/>
      <c r="E60" s="90"/>
      <c r="F60" s="90"/>
      <c r="G60" s="90"/>
      <c r="H60" s="255">
        <f ca="1">H56-H59</f>
        <v>7100</v>
      </c>
      <c r="I60" s="255">
        <f ca="1">I56-I59</f>
        <v>0</v>
      </c>
      <c r="J60" s="255">
        <f ca="1">J56-J59</f>
        <v>0</v>
      </c>
      <c r="K60" s="255">
        <f ca="1">K56-K59</f>
        <v>0</v>
      </c>
      <c r="L60" s="255">
        <f ca="1">L56-L59</f>
        <v>-691.89945777184312</v>
      </c>
      <c r="M60" s="255">
        <f ca="1">M59-M56</f>
        <v>9528.5101146644156</v>
      </c>
    </row>
    <row r="61" spans="2:14" s="25" customFormat="1" ht="13.5">
      <c r="B61" s="12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</row>
    <row r="62" spans="2:14" s="25" customFormat="1" ht="15">
      <c r="B62" s="283" t="s">
        <v>340</v>
      </c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</row>
    <row r="63" spans="2:14" s="25" customFormat="1" ht="13.5">
      <c r="B63" s="13" t="s">
        <v>342</v>
      </c>
      <c r="C63" s="90"/>
      <c r="D63" s="90"/>
      <c r="E63" s="90"/>
      <c r="F63" s="90"/>
      <c r="G63" s="90"/>
      <c r="H63" s="206">
        <f ca="1">H55</f>
        <v>-7100</v>
      </c>
      <c r="I63" s="90"/>
      <c r="J63" s="90"/>
      <c r="K63" s="90"/>
      <c r="L63" s="90"/>
      <c r="M63" s="90"/>
    </row>
    <row r="64" spans="2:14" s="25" customFormat="1" ht="13.5">
      <c r="B64" s="13" t="s">
        <v>346</v>
      </c>
      <c r="C64" s="90"/>
      <c r="D64" s="90"/>
      <c r="E64" s="90"/>
      <c r="F64" s="90"/>
      <c r="G64" s="90"/>
      <c r="H64" s="286"/>
      <c r="I64" s="206"/>
      <c r="J64" s="206"/>
      <c r="K64" s="206"/>
      <c r="L64" s="206"/>
      <c r="M64" s="206"/>
    </row>
    <row r="65" spans="2:14" s="25" customFormat="1" ht="13.5">
      <c r="B65" s="120" t="s">
        <v>281</v>
      </c>
      <c r="C65" s="90"/>
      <c r="D65" s="90"/>
      <c r="E65" s="90"/>
      <c r="F65" s="90"/>
      <c r="G65" s="90"/>
      <c r="H65" s="206"/>
      <c r="I65" s="206">
        <f t="shared" ref="I65:M66" ca="1" si="1">I56</f>
        <v>203.49252507102182</v>
      </c>
      <c r="J65" s="206">
        <f t="shared" ca="1" si="1"/>
        <v>103.48299688822506</v>
      </c>
      <c r="K65" s="206">
        <f t="shared" ca="1" si="1"/>
        <v>165.08259947705881</v>
      </c>
      <c r="L65" s="206">
        <f t="shared" ca="1" si="1"/>
        <v>300.6550738484915</v>
      </c>
      <c r="M65" s="206">
        <f t="shared" ca="1" si="1"/>
        <v>398.52458962576532</v>
      </c>
    </row>
    <row r="66" spans="2:14" s="25" customFormat="1" ht="13.5">
      <c r="B66" s="120" t="s">
        <v>341</v>
      </c>
      <c r="C66" s="90"/>
      <c r="D66" s="90"/>
      <c r="E66" s="90"/>
      <c r="F66" s="90"/>
      <c r="G66" s="90"/>
      <c r="H66" s="206"/>
      <c r="I66" s="206">
        <f t="shared" ca="1" si="1"/>
        <v>0</v>
      </c>
      <c r="J66" s="206">
        <f t="shared" ca="1" si="1"/>
        <v>0</v>
      </c>
      <c r="K66" s="206">
        <f t="shared" ca="1" si="1"/>
        <v>0</v>
      </c>
      <c r="L66" s="206">
        <f t="shared" ca="1" si="1"/>
        <v>691.89945777184312</v>
      </c>
      <c r="M66" s="206">
        <f t="shared" ca="1" si="1"/>
        <v>2228.151064665698</v>
      </c>
    </row>
    <row r="67" spans="2:14" s="25" customFormat="1" ht="13.5">
      <c r="B67" s="139" t="s">
        <v>343</v>
      </c>
      <c r="C67" s="122"/>
      <c r="D67" s="122"/>
      <c r="E67" s="122"/>
      <c r="F67" s="122"/>
      <c r="G67" s="175"/>
      <c r="H67" s="277"/>
      <c r="I67" s="278"/>
      <c r="J67" s="278"/>
      <c r="K67" s="278"/>
      <c r="L67" s="278"/>
      <c r="M67" s="345">
        <f ca="1">M58</f>
        <v>7300.3590499987176</v>
      </c>
      <c r="N67" s="24"/>
    </row>
    <row r="68" spans="2:14" s="25" customFormat="1" ht="15">
      <c r="B68" s="283" t="s">
        <v>347</v>
      </c>
      <c r="C68" s="111"/>
      <c r="D68" s="111"/>
      <c r="E68" s="111"/>
      <c r="F68" s="122"/>
      <c r="G68" s="288"/>
      <c r="H68" s="289">
        <f ca="1">SUM(H63:H67)</f>
        <v>-7100</v>
      </c>
      <c r="I68" s="289">
        <f ca="1">H68+SUM(I63:I67)</f>
        <v>-6896.5074749289779</v>
      </c>
      <c r="J68" s="289">
        <f ca="1">I68+SUM(J63:J67)</f>
        <v>-6793.0244780407529</v>
      </c>
      <c r="K68" s="289">
        <f ca="1">J68+SUM(K63:K67)</f>
        <v>-6627.9418785636944</v>
      </c>
      <c r="L68" s="289">
        <f ca="1">K68+SUM(L63:L67)</f>
        <v>-5635.3873469433602</v>
      </c>
      <c r="M68" s="289">
        <f ca="1">L68+SUM(M63:M67)</f>
        <v>4291.6473573468211</v>
      </c>
      <c r="N68" s="360"/>
    </row>
    <row r="69" spans="2:14" s="25" customFormat="1" ht="13.5">
      <c r="B69" s="12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</row>
    <row r="70" spans="2:14" s="25" customFormat="1" ht="13.5">
      <c r="B70" s="120" t="s">
        <v>345</v>
      </c>
      <c r="C70" s="90"/>
      <c r="D70" s="90"/>
      <c r="E70" s="90"/>
      <c r="F70" s="90"/>
      <c r="G70" s="90"/>
      <c r="H70" s="286">
        <f ca="1">+IF(H68&lt;0,1,IF(G68&gt;0,1-Model!$K$45,(ABS(G68)/(ABS(G68)+H68))+H68/(ABS(G68)+H68)*(1-Model!$K$45)))</f>
        <v>1</v>
      </c>
      <c r="I70" s="286">
        <f ca="1">+IF(I68&lt;0,1,IF(H68&gt;0,1-Model!$K$45,(ABS(H68)/(ABS(H68)+I68))+I68/(ABS(H68)+I68)*(1-Model!$K$45)))</f>
        <v>1</v>
      </c>
      <c r="J70" s="286">
        <f ca="1">+IF(J68&lt;0,1,IF(I68&gt;0,1-Model!$K$45,(ABS(I68)/(ABS(I68)+J68))+J68/(ABS(I68)+J68)*(1-Model!$K$45)))</f>
        <v>1</v>
      </c>
      <c r="K70" s="286">
        <f ca="1">+IF(K68&lt;0,1,IF(J68&gt;0,1-Model!$K$45,(ABS(J68)/(ABS(J68)+K68))+K68/(ABS(J68)+K68)*(1-Model!$K$45)))</f>
        <v>1</v>
      </c>
      <c r="L70" s="286">
        <f ca="1">+IF(L68&lt;0,1,IF(K68&gt;0,1-Model!$K$45,(ABS(K68)/(ABS(K68)+L68))+L68/(ABS(K68)+L68)*(1-Model!$K$45)))</f>
        <v>1</v>
      </c>
      <c r="M70" s="434">
        <v>0.8</v>
      </c>
    </row>
    <row r="71" spans="2:14" s="25" customFormat="1" ht="13.5">
      <c r="B71" s="120"/>
      <c r="C71" s="90"/>
      <c r="D71" s="90"/>
      <c r="E71" s="90"/>
      <c r="F71" s="90"/>
      <c r="G71" s="90"/>
      <c r="H71" s="286"/>
      <c r="I71" s="286"/>
      <c r="J71" s="286"/>
      <c r="K71" s="286"/>
      <c r="L71" s="286"/>
      <c r="M71" s="286"/>
    </row>
    <row r="72" spans="2:14" s="25" customFormat="1" ht="15">
      <c r="B72" s="287" t="s">
        <v>348</v>
      </c>
      <c r="C72" s="90"/>
      <c r="D72" s="90"/>
      <c r="E72" s="90"/>
      <c r="F72" s="90"/>
      <c r="G72" s="90"/>
      <c r="H72" s="346">
        <f ca="1">H74/H70*(1-H70)</f>
        <v>0</v>
      </c>
      <c r="I72" s="346">
        <f ca="1">I74/I70*(1-I70)</f>
        <v>0</v>
      </c>
      <c r="J72" s="346">
        <f ca="1">J74/J70*(1-J70)</f>
        <v>0</v>
      </c>
      <c r="K72" s="346">
        <f ca="1">K74/K70*(1-K70)</f>
        <v>0</v>
      </c>
      <c r="L72" s="255">
        <f ca="1">L74/L70*(1-L70)</f>
        <v>0</v>
      </c>
      <c r="M72" s="255">
        <f ca="1">M68*(1-M70)</f>
        <v>858.32947146936408</v>
      </c>
      <c r="N72" s="48"/>
    </row>
    <row r="73" spans="2:14" s="25" customFormat="1" ht="15">
      <c r="B73" s="316"/>
      <c r="C73" s="122"/>
      <c r="D73" s="122"/>
      <c r="E73" s="122"/>
      <c r="F73" s="122"/>
      <c r="G73" s="122"/>
      <c r="H73" s="256"/>
      <c r="I73" s="53"/>
      <c r="J73" s="53"/>
      <c r="K73" s="53"/>
      <c r="L73" s="53"/>
      <c r="M73" s="53"/>
    </row>
    <row r="74" spans="2:14" s="25" customFormat="1" ht="15">
      <c r="B74" s="171" t="s">
        <v>373</v>
      </c>
      <c r="C74" s="12"/>
      <c r="D74" s="12"/>
      <c r="E74" s="12"/>
      <c r="F74" s="90"/>
      <c r="G74" s="311"/>
      <c r="H74" s="312">
        <f t="shared" ref="H74:M74" ca="1" si="2">SUM(H63,H65:H67)*H70</f>
        <v>-7100</v>
      </c>
      <c r="I74" s="312">
        <f t="shared" ca="1" si="2"/>
        <v>203.49252507102182</v>
      </c>
      <c r="J74" s="312">
        <f t="shared" ca="1" si="2"/>
        <v>103.48299688822506</v>
      </c>
      <c r="K74" s="312">
        <f t="shared" ca="1" si="2"/>
        <v>165.08259947705881</v>
      </c>
      <c r="L74" s="312">
        <f t="shared" ca="1" si="2"/>
        <v>992.55453162033461</v>
      </c>
      <c r="M74" s="312">
        <f t="shared" ca="1" si="2"/>
        <v>7941.627763432145</v>
      </c>
      <c r="N74" s="360"/>
    </row>
    <row r="75" spans="2:14" s="25" customFormat="1" ht="15">
      <c r="B75" s="171" t="s">
        <v>374</v>
      </c>
      <c r="C75" s="12"/>
      <c r="D75" s="12"/>
      <c r="E75" s="12"/>
      <c r="F75" s="90"/>
      <c r="G75" s="311"/>
      <c r="H75" s="312">
        <f t="shared" ref="H75:M75" ca="1" si="3">SUM(H63,H66:H67)*H70</f>
        <v>-7100</v>
      </c>
      <c r="I75" s="312">
        <f t="shared" ca="1" si="3"/>
        <v>0</v>
      </c>
      <c r="J75" s="312">
        <f t="shared" ca="1" si="3"/>
        <v>0</v>
      </c>
      <c r="K75" s="312">
        <f t="shared" ca="1" si="3"/>
        <v>0</v>
      </c>
      <c r="L75" s="312">
        <f t="shared" ca="1" si="3"/>
        <v>691.89945777184312</v>
      </c>
      <c r="M75" s="312">
        <f t="shared" ca="1" si="3"/>
        <v>7622.8080917315328</v>
      </c>
    </row>
    <row r="76" spans="2:14" s="25" customFormat="1" ht="13.5">
      <c r="B76" s="12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</row>
  </sheetData>
  <mergeCells count="1">
    <mergeCell ref="R15:V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zoomScale="80" zoomScaleNormal="80" workbookViewId="0"/>
  </sheetViews>
  <sheetFormatPr defaultColWidth="8.85546875" defaultRowHeight="16.5"/>
  <cols>
    <col min="1" max="1" width="2.7109375" style="15" customWidth="1"/>
    <col min="2" max="3" width="15.5703125" style="15" customWidth="1"/>
    <col min="4" max="4" width="12.5703125" style="15" customWidth="1"/>
    <col min="5" max="5" width="13.5703125" style="15" customWidth="1"/>
    <col min="6" max="6" width="13.5703125" customWidth="1"/>
    <col min="7" max="7" width="2.5703125" customWidth="1"/>
    <col min="8" max="8" width="18.85546875" bestFit="1" customWidth="1"/>
    <col min="9" max="9" width="16.28515625" customWidth="1"/>
    <col min="10" max="10" width="5.5703125" customWidth="1"/>
    <col min="11" max="14" width="12.7109375" customWidth="1"/>
    <col min="15" max="15" width="9.140625" customWidth="1"/>
    <col min="16" max="16384" width="8.85546875" style="15"/>
  </cols>
  <sheetData>
    <row r="1" spans="1:15" ht="21" thickBot="1">
      <c r="A1" s="17" t="str">
        <f>Cover!$B$17</f>
        <v>Gamma Engineering</v>
      </c>
      <c r="B1" s="16"/>
      <c r="C1" s="16"/>
      <c r="D1" s="16"/>
      <c r="E1" s="16"/>
      <c r="F1" s="16"/>
      <c r="G1" s="16"/>
      <c r="H1" s="16"/>
      <c r="I1" s="16"/>
      <c r="J1" s="15"/>
      <c r="K1" s="15"/>
      <c r="L1" s="15"/>
      <c r="M1" s="15"/>
      <c r="N1" s="15"/>
      <c r="O1" s="15"/>
    </row>
    <row r="2" spans="1:15">
      <c r="A2" s="25" t="s">
        <v>361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>
      <c r="A3" s="2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>
      <c r="A4" s="55" t="s">
        <v>51</v>
      </c>
      <c r="B4" s="330" t="s">
        <v>361</v>
      </c>
      <c r="C4" s="332"/>
      <c r="D4" s="332"/>
      <c r="E4" s="332"/>
      <c r="F4" s="332"/>
      <c r="G4" s="332"/>
      <c r="H4" s="332"/>
      <c r="I4" s="332"/>
      <c r="J4" s="15"/>
      <c r="K4" s="15"/>
      <c r="L4" s="15"/>
      <c r="M4" s="15"/>
      <c r="N4" s="15"/>
      <c r="O4" s="15"/>
    </row>
    <row r="5" spans="1:15" ht="14.45" customHeight="1">
      <c r="B5" s="18"/>
      <c r="C5" s="301"/>
    </row>
    <row r="6" spans="1:15" ht="14.45" customHeight="1" thickBot="1">
      <c r="B6" s="25"/>
      <c r="C6" s="301"/>
      <c r="D6" s="306" t="s">
        <v>370</v>
      </c>
      <c r="F6" s="15"/>
      <c r="G6" s="15"/>
      <c r="H6" s="15"/>
      <c r="I6" s="15"/>
      <c r="K6" s="295" t="s">
        <v>44</v>
      </c>
    </row>
    <row r="7" spans="1:15" ht="14.45" customHeight="1" thickBot="1">
      <c r="B7" s="378" t="s">
        <v>362</v>
      </c>
      <c r="C7" s="295" t="s">
        <v>366</v>
      </c>
      <c r="D7" s="295" t="s">
        <v>44</v>
      </c>
      <c r="E7" s="295" t="s">
        <v>368</v>
      </c>
      <c r="F7" s="295" t="s">
        <v>369</v>
      </c>
      <c r="G7" s="394"/>
      <c r="H7" s="378" t="s">
        <v>363</v>
      </c>
      <c r="I7" s="295" t="s">
        <v>367</v>
      </c>
      <c r="K7" s="348">
        <f>Model!G152</f>
        <v>4875</v>
      </c>
    </row>
    <row r="8" spans="1:15" ht="15.95" customHeight="1">
      <c r="B8" s="377" t="s">
        <v>63</v>
      </c>
      <c r="C8" s="299">
        <f ca="1">Model!D20</f>
        <v>1000</v>
      </c>
      <c r="D8" s="308">
        <f ca="1">C8/$K$7</f>
        <v>0.20512820512820512</v>
      </c>
      <c r="E8" s="307">
        <f ca="1">Model!K21</f>
        <v>4.2500000000000003E-2</v>
      </c>
      <c r="F8" s="56"/>
      <c r="G8" s="56"/>
      <c r="H8" s="377" t="s">
        <v>414</v>
      </c>
      <c r="I8" s="299">
        <f ca="1">Model!F8</f>
        <v>32500</v>
      </c>
    </row>
    <row r="9" spans="1:15" ht="15.95" customHeight="1">
      <c r="B9" s="377" t="s">
        <v>64</v>
      </c>
      <c r="C9" s="379">
        <f ca="1">Model!D21</f>
        <v>8000</v>
      </c>
      <c r="D9" s="308">
        <f ca="1">C9/$K$7</f>
        <v>1.641025641025641</v>
      </c>
      <c r="E9" s="307">
        <f ca="1">Model!K27</f>
        <v>4.2500000000000003E-2</v>
      </c>
      <c r="F9" s="242">
        <f ca="1">Model!K29</f>
        <v>5</v>
      </c>
      <c r="G9" s="242"/>
      <c r="H9" s="377" t="s">
        <v>350</v>
      </c>
      <c r="I9" s="300">
        <f ca="1">SUM(Model!F9:F13)</f>
        <v>1600</v>
      </c>
    </row>
    <row r="10" spans="1:15" ht="15.95" customHeight="1">
      <c r="B10" s="377" t="s">
        <v>411</v>
      </c>
      <c r="C10" s="379">
        <f ca="1">Model!D22</f>
        <v>10000</v>
      </c>
      <c r="D10" s="308">
        <f ca="1">C10/$K$7</f>
        <v>2.0512820512820511</v>
      </c>
      <c r="E10" s="307" t="s">
        <v>492</v>
      </c>
      <c r="F10" s="242"/>
      <c r="G10" s="242"/>
      <c r="H10" s="377"/>
      <c r="I10" s="300"/>
    </row>
    <row r="11" spans="1:15" ht="15.95" customHeight="1">
      <c r="B11" s="377"/>
      <c r="C11" s="379"/>
      <c r="D11" s="308"/>
      <c r="E11" s="307"/>
      <c r="F11" s="242"/>
      <c r="G11" s="242"/>
      <c r="H11" s="377"/>
      <c r="I11" s="300"/>
    </row>
    <row r="12" spans="1:15" ht="15.95" customHeight="1">
      <c r="B12" s="377" t="s">
        <v>405</v>
      </c>
      <c r="C12" s="379">
        <f ca="1">Model!D25</f>
        <v>0</v>
      </c>
      <c r="D12" s="308">
        <f ca="1">C12/$K$7</f>
        <v>0</v>
      </c>
      <c r="E12" s="307"/>
      <c r="F12" s="242"/>
      <c r="G12" s="242"/>
      <c r="H12" s="377"/>
      <c r="I12" s="300"/>
    </row>
    <row r="13" spans="1:15" ht="15.95" customHeight="1">
      <c r="B13" s="25" t="s">
        <v>442</v>
      </c>
      <c r="C13" s="379">
        <f ca="1">Model!D26</f>
        <v>8000</v>
      </c>
      <c r="D13" s="308">
        <f ca="1">C13/$K$7</f>
        <v>1.641025641025641</v>
      </c>
      <c r="E13" s="307"/>
      <c r="F13" s="242"/>
      <c r="G13" s="242"/>
      <c r="H13" s="377"/>
      <c r="I13" s="300"/>
    </row>
    <row r="14" spans="1:15" ht="15.95" customHeight="1">
      <c r="B14" s="25" t="s">
        <v>69</v>
      </c>
      <c r="C14" s="379">
        <f ca="1">Model!D27</f>
        <v>7100</v>
      </c>
      <c r="D14" s="308">
        <f ca="1">C14/$K$7</f>
        <v>1.4564102564102563</v>
      </c>
      <c r="E14" s="56"/>
      <c r="F14" s="56"/>
      <c r="G14" s="56"/>
      <c r="H14" s="377"/>
      <c r="I14" s="382"/>
    </row>
    <row r="15" spans="1:15" ht="15.95" customHeight="1" thickBot="1">
      <c r="B15" s="32" t="s">
        <v>365</v>
      </c>
      <c r="C15" s="303">
        <f ca="1">SUM(C8:C14)</f>
        <v>34100</v>
      </c>
      <c r="D15" s="303"/>
      <c r="E15" s="303"/>
      <c r="F15" s="303"/>
      <c r="G15" s="398"/>
      <c r="H15" s="32" t="s">
        <v>57</v>
      </c>
      <c r="I15" s="303">
        <f ca="1">SUM(I8:I14)</f>
        <v>34100</v>
      </c>
    </row>
    <row r="16" spans="1:15">
      <c r="C16" s="304">
        <f ca="1">C15-I15</f>
        <v>0</v>
      </c>
      <c r="H16" s="25"/>
    </row>
    <row r="18" spans="3:3">
      <c r="C18" s="380"/>
    </row>
    <row r="19" spans="3:3">
      <c r="C19" s="381"/>
    </row>
    <row r="22" spans="3:3">
      <c r="C22" s="38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Cover</vt:lpstr>
      <vt:lpstr>Histroical Financials&gt;&gt;</vt:lpstr>
      <vt:lpstr>Balance Sheet</vt:lpstr>
      <vt:lpstr>Income Statement</vt:lpstr>
      <vt:lpstr>Financial Model&gt;&gt;</vt:lpstr>
      <vt:lpstr>Model</vt:lpstr>
      <vt:lpstr>LBO Returns&gt;&gt;</vt:lpstr>
      <vt:lpstr>Returns Analysis - 5 Year</vt:lpstr>
      <vt:lpstr>Sources &amp; Uses</vt:lpstr>
      <vt:lpstr>Outputs&gt;&gt;</vt:lpstr>
      <vt:lpstr>Returns Summary</vt:lpstr>
      <vt:lpstr>IS Summary</vt:lpstr>
      <vt:lpstr>BS Summary</vt:lpstr>
      <vt:lpstr>Compensation Adj</vt:lpstr>
      <vt:lpstr>Circ</vt:lpstr>
      <vt:lpstr>Deal_Type</vt:lpstr>
      <vt:lpstr>Mid_Year</vt:lpstr>
      <vt:lpstr>Cover!Print_Area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Sigfusson</dc:creator>
  <cp:lastModifiedBy>Steven Sigfusson</cp:lastModifiedBy>
  <cp:lastPrinted>2017-01-04T18:43:20Z</cp:lastPrinted>
  <dcterms:created xsi:type="dcterms:W3CDTF">2015-05-21T17:50:02Z</dcterms:created>
  <dcterms:modified xsi:type="dcterms:W3CDTF">2018-01-19T16:38:02Z</dcterms:modified>
</cp:coreProperties>
</file>