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ok Sharma\Downloads\"/>
    </mc:Choice>
  </mc:AlternateContent>
  <xr:revisionPtr revIDLastSave="0" documentId="13_ncr:1_{8F258243-9BE9-4AA2-BF0B-5BED55B1F8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View" sheetId="2" r:id="rId2"/>
  </sheets>
  <externalReferences>
    <externalReference r:id="rId3"/>
  </externalReferences>
  <definedNames>
    <definedName name="_xlnm._FilterDatabase" localSheetId="0" hidden="1">Data!$A$1:$Y$11</definedName>
  </definedNames>
  <calcPr calcId="181029"/>
</workbook>
</file>

<file path=xl/calcChain.xml><?xml version="1.0" encoding="utf-8"?>
<calcChain xmlns="http://schemas.openxmlformats.org/spreadsheetml/2006/main">
  <c r="I10" i="1" l="1"/>
  <c r="I9" i="1"/>
  <c r="I4" i="1"/>
  <c r="J10" i="1"/>
  <c r="J9" i="1"/>
  <c r="J4" i="1"/>
  <c r="K10" i="1"/>
  <c r="K9" i="1"/>
  <c r="K4" i="1"/>
  <c r="J11" i="1"/>
  <c r="J8" i="1"/>
  <c r="J7" i="1"/>
  <c r="J5" i="1"/>
  <c r="J3" i="1"/>
  <c r="I11" i="1"/>
  <c r="K11" i="1"/>
  <c r="K8" i="1"/>
  <c r="K7" i="1"/>
  <c r="K5" i="1"/>
  <c r="K3" i="1"/>
  <c r="J6" i="1"/>
  <c r="J2" i="1"/>
  <c r="K6" i="1"/>
  <c r="K2" i="1"/>
  <c r="D5" i="2"/>
  <c r="D12" i="2"/>
  <c r="D10" i="2"/>
  <c r="H13" i="2"/>
  <c r="H12" i="2"/>
  <c r="D9" i="2"/>
  <c r="H11" i="2"/>
  <c r="H10" i="2"/>
  <c r="D6" i="2"/>
  <c r="H9" i="2"/>
  <c r="H8" i="2"/>
  <c r="H7" i="2"/>
  <c r="D4" i="2"/>
  <c r="D15" i="2" s="1"/>
  <c r="D3" i="2"/>
  <c r="D13" i="2" l="1"/>
  <c r="D8" i="2"/>
  <c r="X3" i="1" l="1"/>
  <c r="X4" i="1"/>
  <c r="X5" i="1"/>
  <c r="X6" i="1"/>
  <c r="X7" i="1"/>
  <c r="X8" i="1"/>
  <c r="X9" i="1"/>
  <c r="X10" i="1"/>
  <c r="X11" i="1"/>
  <c r="X2" i="1"/>
</calcChain>
</file>

<file path=xl/sharedStrings.xml><?xml version="1.0" encoding="utf-8"?>
<sst xmlns="http://schemas.openxmlformats.org/spreadsheetml/2006/main" count="147" uniqueCount="94">
  <si>
    <t>AMLPM001632</t>
  </si>
  <si>
    <t>'30-59'</t>
  </si>
  <si>
    <t>AMLPM005807</t>
  </si>
  <si>
    <t>'0'</t>
  </si>
  <si>
    <t>AMLPM019085</t>
  </si>
  <si>
    <t>AMLPM014690</t>
  </si>
  <si>
    <t>'1-29'</t>
  </si>
  <si>
    <t>AMLPM010580</t>
  </si>
  <si>
    <t>AMLPM004134</t>
  </si>
  <si>
    <t>AMLPM021604</t>
  </si>
  <si>
    <t>AMLPM015454</t>
  </si>
  <si>
    <t>AMLPM011891</t>
  </si>
  <si>
    <t>AMLPM023624</t>
  </si>
  <si>
    <t>loans_open_last_6m</t>
  </si>
  <si>
    <t>last_12m_max_dpd_all_prods</t>
  </si>
  <si>
    <t>percentage_0dpd_last_12m</t>
  </si>
  <si>
    <t>ratio_loans_open_12m_36m</t>
  </si>
  <si>
    <t>highest_loan_amt_with_0dpd</t>
  </si>
  <si>
    <t>enquiries_L6M</t>
  </si>
  <si>
    <t>max_dpd_in_last_3m_OnUs</t>
  </si>
  <si>
    <t>max_dpd_last_24m</t>
  </si>
  <si>
    <t>Collection_Priority</t>
  </si>
  <si>
    <t>Collection_Score</t>
  </si>
  <si>
    <t>Collection_Action_pre_EMI</t>
  </si>
  <si>
    <t>Collection_Action_post_EMI</t>
  </si>
  <si>
    <t>Calling(-5, -3, -1) + Digital</t>
  </si>
  <si>
    <t>Calling + Field(after 5 days)</t>
  </si>
  <si>
    <t>Calling(-4, -1) + Digital</t>
  </si>
  <si>
    <t>Calling + Field (after 10 days)</t>
  </si>
  <si>
    <t>Digital</t>
  </si>
  <si>
    <t>Digital + Calling(after 5 days)</t>
  </si>
  <si>
    <t>Name</t>
  </si>
  <si>
    <t>Mobile</t>
  </si>
  <si>
    <t>LoanId</t>
  </si>
  <si>
    <t>EMI_Due_Date</t>
  </si>
  <si>
    <t>EMI_Amount</t>
  </si>
  <si>
    <t>Outstanding_Amount</t>
  </si>
  <si>
    <t>Overdue_Amount</t>
  </si>
  <si>
    <t>Borrower Details</t>
  </si>
  <si>
    <t>Select Loan ID</t>
  </si>
  <si>
    <t>MRN45384</t>
  </si>
  <si>
    <t>Dimensions</t>
  </si>
  <si>
    <t>Variable</t>
  </si>
  <si>
    <t>Value</t>
  </si>
  <si>
    <t>Collection Priority</t>
  </si>
  <si>
    <t>Bureau Score</t>
  </si>
  <si>
    <t>Loan Details  (On-us)</t>
  </si>
  <si>
    <t>Collection Trail</t>
  </si>
  <si>
    <t>High Risk</t>
  </si>
  <si>
    <t>Address</t>
  </si>
  <si>
    <t>Loan_Type</t>
  </si>
  <si>
    <t>last_contacted_date</t>
  </si>
  <si>
    <t>Calling_despo</t>
  </si>
  <si>
    <t>last_contacted_number</t>
  </si>
  <si>
    <t>Will Pay Half</t>
  </si>
  <si>
    <t>Bureau_Score</t>
  </si>
  <si>
    <t>Max_dpd_last_3m_OnUs</t>
  </si>
  <si>
    <t>Collection Score</t>
  </si>
  <si>
    <t>Action_Pre_EMI</t>
  </si>
  <si>
    <t>Action_Post_EMI</t>
  </si>
  <si>
    <t>Collection Strategy</t>
  </si>
  <si>
    <t>Off-Us Behaviour</t>
  </si>
  <si>
    <t>Calling_desposition</t>
  </si>
  <si>
    <t>Loan_Amount</t>
  </si>
  <si>
    <t>Can pay half</t>
  </si>
  <si>
    <t>Will pay full</t>
  </si>
  <si>
    <t>AJAY JAGDALE</t>
  </si>
  <si>
    <t>RANJITH N</t>
  </si>
  <si>
    <t>SAMINATHAN MUTHUPANDIAN</t>
  </si>
  <si>
    <t>Gobinda Chandra Gouda</t>
  </si>
  <si>
    <t xml:space="preserve">Sujatha </t>
  </si>
  <si>
    <t xml:space="preserve"> SATHIYAPRABU</t>
  </si>
  <si>
    <t>mubidul hussain</t>
  </si>
  <si>
    <t>AYAN DAS</t>
  </si>
  <si>
    <t>shaik Rehman</t>
  </si>
  <si>
    <t>Mukul Kharoliya</t>
  </si>
  <si>
    <t>Survey No.54/2, Tuljabhawani Nagar Nagar Road Darga Pune City Pune Maharashtra</t>
  </si>
  <si>
    <t>276/27A R.R Mandapam Mathichiyam Madurai North TAMIL NADU</t>
  </si>
  <si>
    <t>3/96 Nattukkalpalayam  Kunnamalai Namakkal Tamil Nadu</t>
  </si>
  <si>
    <t>115 New Street kumunda Ganjam Bhanjanagar ODISHA</t>
  </si>
  <si>
    <t>71/2 Vajapeyi Nagar hongasandra Vidya Jyoti school Bangalore South KARNATAKA</t>
  </si>
  <si>
    <t>16 Second Street, S M V Puram East  Villianur Commune Panchayat Puducherry Puducherry</t>
  </si>
  <si>
    <t>niz kadomoni near ASEB Colony  Dibrugarh  Dibrugarh west Dibrugarh ASSAM</t>
  </si>
  <si>
    <t xml:space="preserve">   Kharagpur(M) West Midnapore West Bengal</t>
  </si>
  <si>
    <t>4-08A  main road  near check post Nallajerla Mandalam ANDHRA PRADESH</t>
  </si>
  <si>
    <t>75 in side orcha gate uttar pradesh kallu chakki Jhansi UTTAR PRADESH</t>
  </si>
  <si>
    <t>SME</t>
  </si>
  <si>
    <t>Two Wheeler</t>
  </si>
  <si>
    <t>Personal Loan</t>
  </si>
  <si>
    <t>Home Loan</t>
  </si>
  <si>
    <t>Job Loss</t>
  </si>
  <si>
    <t>need restructuring</t>
  </si>
  <si>
    <t>30+</t>
  </si>
  <si>
    <t>Cannot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</si>
</sst>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9" formatCode="_ * #,##0_ ;_ * \-#,##0_ ;_ * &quot;-&quot;??_ ;_ 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Trebuchet MS"/>
      <family val="2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19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 vertical="center" wrapText="1"/>
    </xf>
    <xf numFmtId="15" fontId="0" fillId="0" borderId="0" xfId="0" applyNumberFormat="1"/>
    <xf numFmtId="0" fontId="21" fillId="0" borderId="0" xfId="0" applyFont="1" applyAlignment="1">
      <alignment horizontal="left" vertical="center" indent="1"/>
    </xf>
    <xf numFmtId="0" fontId="20" fillId="33" borderId="10" xfId="0" applyFont="1" applyFill="1" applyBorder="1" applyAlignment="1">
      <alignment horizontal="left" vertical="center" indent="1"/>
    </xf>
    <xf numFmtId="0" fontId="22" fillId="34" borderId="10" xfId="0" applyFont="1" applyFill="1" applyBorder="1" applyAlignment="1">
      <alignment horizontal="left" vertical="center" indent="1"/>
    </xf>
    <xf numFmtId="0" fontId="22" fillId="0" borderId="10" xfId="0" applyFont="1" applyBorder="1" applyAlignment="1">
      <alignment horizontal="left" vertical="center" indent="1"/>
    </xf>
    <xf numFmtId="0" fontId="22" fillId="35" borderId="10" xfId="0" applyFont="1" applyFill="1" applyBorder="1" applyAlignment="1">
      <alignment horizontal="left" vertical="center" indent="1"/>
    </xf>
    <xf numFmtId="0" fontId="22" fillId="36" borderId="10" xfId="0" applyFont="1" applyFill="1" applyBorder="1" applyAlignment="1">
      <alignment horizontal="left" vertical="center" indent="1"/>
    </xf>
    <xf numFmtId="0" fontId="22" fillId="37" borderId="10" xfId="0" applyFont="1" applyFill="1" applyBorder="1" applyAlignment="1">
      <alignment horizontal="left" vertical="center" indent="1"/>
    </xf>
    <xf numFmtId="0" fontId="20" fillId="33" borderId="10" xfId="0" applyFont="1" applyFill="1" applyBorder="1" applyAlignment="1">
      <alignment horizontal="left" vertical="center" wrapText="1" indent="1"/>
    </xf>
    <xf numFmtId="0" fontId="22" fillId="38" borderId="10" xfId="0" applyFont="1" applyFill="1" applyBorder="1" applyAlignment="1">
      <alignment horizontal="left" vertical="center" indent="1"/>
    </xf>
    <xf numFmtId="0" fontId="20" fillId="33" borderId="10" xfId="0" applyFont="1" applyFill="1" applyBorder="1" applyAlignment="1">
      <alignment horizontal="center" vertical="center" wrapText="1"/>
    </xf>
    <xf numFmtId="0" fontId="21" fillId="34" borderId="10" xfId="0" applyFont="1" applyFill="1" applyBorder="1" applyAlignment="1">
      <alignment horizontal="left" vertical="center" indent="1"/>
    </xf>
    <xf numFmtId="0" fontId="21" fillId="34" borderId="10" xfId="0" applyFont="1" applyFill="1" applyBorder="1" applyAlignment="1">
      <alignment horizontal="right" vertical="center" indent="1"/>
    </xf>
    <xf numFmtId="0" fontId="22" fillId="34" borderId="10" xfId="0" applyFont="1" applyFill="1" applyBorder="1" applyAlignment="1">
      <alignment horizontal="right" vertical="center" indent="1"/>
    </xf>
    <xf numFmtId="1" fontId="22" fillId="34" borderId="10" xfId="0" applyNumberFormat="1" applyFont="1" applyFill="1" applyBorder="1" applyAlignment="1">
      <alignment horizontal="right" vertical="center" indent="1"/>
    </xf>
    <xf numFmtId="0" fontId="22" fillId="36" borderId="10" xfId="0" applyFont="1" applyFill="1" applyBorder="1" applyAlignment="1">
      <alignment horizontal="right" vertical="center" indent="1"/>
    </xf>
    <xf numFmtId="169" fontId="22" fillId="36" borderId="10" xfId="42" applyNumberFormat="1" applyFont="1" applyFill="1" applyBorder="1" applyAlignment="1">
      <alignment horizontal="right" vertical="center" indent="1"/>
    </xf>
    <xf numFmtId="0" fontId="22" fillId="37" borderId="10" xfId="0" applyFont="1" applyFill="1" applyBorder="1" applyAlignment="1">
      <alignment horizontal="right" vertical="center" indent="1"/>
    </xf>
    <xf numFmtId="14" fontId="22" fillId="38" borderId="10" xfId="0" applyNumberFormat="1" applyFont="1" applyFill="1" applyBorder="1" applyAlignment="1">
      <alignment horizontal="right" vertical="center" indent="1"/>
    </xf>
    <xf numFmtId="1" fontId="22" fillId="38" borderId="10" xfId="0" applyNumberFormat="1" applyFont="1" applyFill="1" applyBorder="1" applyAlignment="1">
      <alignment horizontal="right" vertical="center" indent="1"/>
    </xf>
    <xf numFmtId="0" fontId="20" fillId="33" borderId="10" xfId="0" applyFont="1" applyFill="1" applyBorder="1" applyAlignment="1">
      <alignment vertical="center" wrapText="1"/>
    </xf>
    <xf numFmtId="0" fontId="20" fillId="33" borderId="11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1" fontId="0" fillId="0" borderId="0" xfId="0" applyNumberFormat="1"/>
    <xf numFmtId="169" fontId="0" fillId="0" borderId="0" xfId="42" applyNumberFormat="1" applyFont="1"/>
    <xf numFmtId="14" fontId="0" fillId="0" borderId="0" xfId="0" applyNumberFormat="1"/>
    <xf numFmtId="49" fontId="0" fillId="0" borderId="0" xfId="0" applyNumberFormat="1"/>
    <xf numFmtId="16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hok%20Sharma\Desktop\Projects\LTFS\EWS_V2.xlsx" TargetMode="External"/><Relationship Id="rId1" Type="http://schemas.openxmlformats.org/officeDocument/2006/relationships/externalLinkPath" Target="/Users/Ashok%20Sharma/Desktop/Projects/LTFS/EW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WS Scorecard"/>
      <sheetName val="Dummy_Data"/>
      <sheetName val="Dashboard"/>
      <sheetName val="Dashboard (2)"/>
      <sheetName val="Strategy&amp;Monitoring"/>
      <sheetName val="NPA"/>
    </sheetNames>
    <sheetDataSet>
      <sheetData sheetId="0"/>
      <sheetData sheetId="1">
        <row r="2">
          <cell r="B2" t="str">
            <v>Loan ID</v>
          </cell>
          <cell r="C2" t="str">
            <v>Name of Borrower</v>
          </cell>
          <cell r="D2" t="str">
            <v>Phone Number</v>
          </cell>
          <cell r="E2" t="str">
            <v>Address with Google map hotspot</v>
          </cell>
          <cell r="F2" t="str">
            <v>Loan type</v>
          </cell>
          <cell r="G2" t="str">
            <v>Loan amount</v>
          </cell>
          <cell r="H2" t="str">
            <v>EMI amount</v>
          </cell>
          <cell r="I2" t="str">
            <v>EMI start date</v>
          </cell>
          <cell r="J2" t="str">
            <v>total Tenor</v>
          </cell>
          <cell r="K2" t="str">
            <v>Total Amt Overdue</v>
          </cell>
          <cell r="L2" t="str">
            <v>No of EMIs overdue</v>
          </cell>
          <cell r="M2" t="str">
            <v>Total EMI amount overdue</v>
          </cell>
          <cell r="N2" t="str">
            <v>Total bounce charges</v>
          </cell>
          <cell r="O2" t="str">
            <v>Total Overdue charges</v>
          </cell>
          <cell r="P2" t="str">
            <v>Last EMI paid date</v>
          </cell>
          <cell r="Q2" t="str">
            <v>Last contacted date</v>
          </cell>
          <cell r="R2" t="str">
            <v>PTP commitment made on</v>
          </cell>
          <cell r="S2" t="str">
            <v>Details of last PTP</v>
          </cell>
          <cell r="T2" t="str">
            <v>Last number connected on</v>
          </cell>
          <cell r="U2" t="str">
            <v>Collection Priority</v>
          </cell>
          <cell r="V2" t="str">
            <v>Bureau Score</v>
          </cell>
          <cell r="W2" t="str">
            <v>Max DPD in last 12M</v>
          </cell>
          <cell r="X2" t="str">
            <v>Number of 30+ tradelines</v>
          </cell>
          <cell r="Y2" t="str">
            <v>#Unsecured loan opened in last 6M</v>
          </cell>
          <cell r="Z2" t="str">
            <v>Amount Unsecured loan opened in last 6M</v>
          </cell>
          <cell r="AA2" t="str">
            <v>Total Secure Loans</v>
          </cell>
          <cell r="AB2" t="str">
            <v>Credit enquiries in last 3M</v>
          </cell>
          <cell r="AC2" t="str">
            <v>Avg utilisation of card in last 12 months</v>
          </cell>
          <cell r="AD2" t="str">
            <v>ABB decrease</v>
          </cell>
          <cell r="AE2" t="str">
            <v>Utilities payments delayed</v>
          </cell>
          <cell r="AF2" t="str">
            <v>SIP / Premium delayed</v>
          </cell>
          <cell r="AG2" t="str">
            <v>New Loan enquiries</v>
          </cell>
          <cell r="AH2" t="str">
            <v>FOIR</v>
          </cell>
          <cell r="AI2" t="str">
            <v>ABB</v>
          </cell>
          <cell r="AJ2" t="str">
            <v>Business/Employment Vintage</v>
          </cell>
        </row>
        <row r="3">
          <cell r="B3" t="str">
            <v>MRN45384</v>
          </cell>
          <cell r="C3" t="str">
            <v>RANJIT SINGH</v>
          </cell>
          <cell r="D3">
            <v>919876970324</v>
          </cell>
          <cell r="E3" t="str">
            <v>01Nankana Market, Behru villageDevigarhNear Bus Stand</v>
          </cell>
          <cell r="F3" t="str">
            <v>BL</v>
          </cell>
          <cell r="G3">
            <v>300000</v>
          </cell>
          <cell r="H3">
            <v>14545.994414085306</v>
          </cell>
          <cell r="I3">
            <v>44501.640034722222</v>
          </cell>
          <cell r="J3">
            <v>24</v>
          </cell>
          <cell r="K3">
            <v>0</v>
          </cell>
          <cell r="L3">
            <v>0</v>
          </cell>
          <cell r="M3">
            <v>0</v>
          </cell>
          <cell r="N3">
            <v>100</v>
          </cell>
          <cell r="O3">
            <v>0</v>
          </cell>
          <cell r="P3">
            <v>44683.640034722222</v>
          </cell>
          <cell r="Q3">
            <v>44680.640034722222</v>
          </cell>
          <cell r="R3">
            <v>44680.640034722222</v>
          </cell>
          <cell r="S3" t="str">
            <v>Can pay half</v>
          </cell>
          <cell r="T3">
            <v>919876970324</v>
          </cell>
          <cell r="U3" t="str">
            <v>P1</v>
          </cell>
          <cell r="V3">
            <v>600</v>
          </cell>
          <cell r="W3">
            <v>90</v>
          </cell>
          <cell r="X3">
            <v>3</v>
          </cell>
          <cell r="Y3">
            <v>2</v>
          </cell>
          <cell r="Z3">
            <v>200000</v>
          </cell>
          <cell r="AA3">
            <v>0</v>
          </cell>
          <cell r="AB3">
            <v>3</v>
          </cell>
          <cell r="AC3" t="str">
            <v>&gt;75%</v>
          </cell>
          <cell r="AD3" t="str">
            <v>&gt;50%</v>
          </cell>
          <cell r="AE3" t="str">
            <v>&gt;=3</v>
          </cell>
          <cell r="AF3">
            <v>2</v>
          </cell>
          <cell r="AG3">
            <v>3</v>
          </cell>
          <cell r="AH3" t="str">
            <v>&gt;75%</v>
          </cell>
          <cell r="AI3">
            <v>15000</v>
          </cell>
          <cell r="AJ3" t="str">
            <v>&lt;1Yr</v>
          </cell>
        </row>
        <row r="4">
          <cell r="B4" t="str">
            <v>MRN45385</v>
          </cell>
          <cell r="C4" t="str">
            <v>HARISH KOTTE</v>
          </cell>
          <cell r="D4">
            <v>916300716094</v>
          </cell>
          <cell r="E4" t="str">
            <v>temple road,Uppununthala MandalKamsanipallyNear Grampanchayathi</v>
          </cell>
          <cell r="F4" t="str">
            <v>BL</v>
          </cell>
          <cell r="G4">
            <v>250000</v>
          </cell>
          <cell r="H4">
            <v>12121.662011737753</v>
          </cell>
          <cell r="I4">
            <v>44501.640034722222</v>
          </cell>
          <cell r="J4">
            <v>24</v>
          </cell>
          <cell r="K4">
            <v>0</v>
          </cell>
          <cell r="L4">
            <v>0</v>
          </cell>
          <cell r="M4">
            <v>0</v>
          </cell>
          <cell r="N4">
            <v>50</v>
          </cell>
          <cell r="O4">
            <v>0</v>
          </cell>
          <cell r="P4">
            <v>44683.640034722222</v>
          </cell>
          <cell r="Q4">
            <v>44679.640034722222</v>
          </cell>
          <cell r="R4">
            <v>44679.640034722222</v>
          </cell>
          <cell r="S4" t="str">
            <v>Will pay full</v>
          </cell>
          <cell r="T4">
            <v>916300716094</v>
          </cell>
          <cell r="U4" t="str">
            <v>P1</v>
          </cell>
          <cell r="V4">
            <v>650</v>
          </cell>
          <cell r="W4">
            <v>60</v>
          </cell>
          <cell r="X4">
            <v>2</v>
          </cell>
          <cell r="Y4">
            <v>1</v>
          </cell>
          <cell r="Z4">
            <v>100000</v>
          </cell>
          <cell r="AA4">
            <v>0</v>
          </cell>
          <cell r="AB4">
            <v>2</v>
          </cell>
          <cell r="AC4" t="str">
            <v>50-75%</v>
          </cell>
          <cell r="AD4" t="str">
            <v>25-50%</v>
          </cell>
          <cell r="AE4">
            <v>2</v>
          </cell>
          <cell r="AF4">
            <v>1</v>
          </cell>
          <cell r="AG4">
            <v>2</v>
          </cell>
          <cell r="AH4" t="str">
            <v>&gt;65%</v>
          </cell>
          <cell r="AI4">
            <v>20000</v>
          </cell>
          <cell r="AJ4" t="str">
            <v>&lt;1Yr</v>
          </cell>
        </row>
        <row r="5">
          <cell r="B5" t="str">
            <v>MRN45386</v>
          </cell>
          <cell r="C5" t="str">
            <v>KOLIPAKA ASHOK</v>
          </cell>
          <cell r="D5">
            <v>919700325953</v>
          </cell>
          <cell r="E5" t="str">
            <v>4-15/5Chandrampet X RoadChandrampet.SircillaNear Pochamma Temple</v>
          </cell>
          <cell r="F5" t="str">
            <v>PL</v>
          </cell>
          <cell r="G5">
            <v>15000</v>
          </cell>
          <cell r="H5">
            <v>1353.874685177354</v>
          </cell>
          <cell r="I5">
            <v>44501.640034722222</v>
          </cell>
          <cell r="J5">
            <v>12</v>
          </cell>
          <cell r="K5">
            <v>0</v>
          </cell>
          <cell r="L5">
            <v>0</v>
          </cell>
          <cell r="M5">
            <v>0</v>
          </cell>
          <cell r="N5">
            <v>20</v>
          </cell>
          <cell r="O5">
            <v>0</v>
          </cell>
          <cell r="P5">
            <v>44683.640034722222</v>
          </cell>
          <cell r="Q5">
            <v>44678.640034722222</v>
          </cell>
          <cell r="R5">
            <v>44678.640034722222</v>
          </cell>
          <cell r="S5" t="str">
            <v>Will pay full</v>
          </cell>
          <cell r="T5">
            <v>919700325953</v>
          </cell>
          <cell r="U5" t="str">
            <v>P3</v>
          </cell>
          <cell r="V5">
            <v>750</v>
          </cell>
          <cell r="W5">
            <v>30</v>
          </cell>
          <cell r="X5">
            <v>1</v>
          </cell>
          <cell r="Y5">
            <v>0</v>
          </cell>
          <cell r="Z5">
            <v>0</v>
          </cell>
          <cell r="AA5">
            <v>2</v>
          </cell>
          <cell r="AB5">
            <v>1</v>
          </cell>
          <cell r="AC5" t="str">
            <v>30-50%</v>
          </cell>
          <cell r="AD5" t="str">
            <v>10-25%</v>
          </cell>
          <cell r="AE5">
            <v>1</v>
          </cell>
          <cell r="AF5">
            <v>0</v>
          </cell>
          <cell r="AG5">
            <v>1</v>
          </cell>
          <cell r="AH5" t="str">
            <v>&lt;40%</v>
          </cell>
          <cell r="AI5">
            <v>35000</v>
          </cell>
          <cell r="AJ5" t="str">
            <v>1-2Yrs</v>
          </cell>
        </row>
        <row r="6">
          <cell r="B6" t="str">
            <v>MRN45387</v>
          </cell>
          <cell r="C6" t="str">
            <v>PULKANTI RAM CHENDAR REDDY</v>
          </cell>
          <cell r="D6">
            <v>919849751550</v>
          </cell>
          <cell r="E6" t="str">
            <v>Sangareddy main roadmardiNear government school</v>
          </cell>
          <cell r="F6" t="str">
            <v>PL</v>
          </cell>
          <cell r="G6">
            <v>200000</v>
          </cell>
          <cell r="H6">
            <v>6933.0657008388262</v>
          </cell>
          <cell r="I6">
            <v>44501.640034722222</v>
          </cell>
          <cell r="J6">
            <v>36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44683.640034722222</v>
          </cell>
          <cell r="Q6">
            <v>44678.640034722222</v>
          </cell>
          <cell r="R6">
            <v>44678.640034722222</v>
          </cell>
          <cell r="S6" t="str">
            <v>Will pay full</v>
          </cell>
          <cell r="T6">
            <v>919849751550</v>
          </cell>
          <cell r="U6" t="str">
            <v>P4</v>
          </cell>
          <cell r="V6">
            <v>800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2</v>
          </cell>
          <cell r="AB6">
            <v>1</v>
          </cell>
          <cell r="AC6" t="str">
            <v>&lt;30%</v>
          </cell>
          <cell r="AD6" t="str">
            <v>&lt;10%</v>
          </cell>
          <cell r="AE6">
            <v>0</v>
          </cell>
          <cell r="AF6">
            <v>0</v>
          </cell>
          <cell r="AG6">
            <v>1</v>
          </cell>
          <cell r="AH6" t="str">
            <v>&lt;40%</v>
          </cell>
          <cell r="AI6">
            <v>50000</v>
          </cell>
          <cell r="AJ6" t="str">
            <v>&gt;=2Yrs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"/>
  <sheetViews>
    <sheetView tabSelected="1" workbookViewId="0"/>
  </sheetViews>
  <sheetFormatPr defaultRowHeight="14.4" x14ac:dyDescent="0.3"/>
  <cols>
    <col min="1" max="1" width="13.44140625" bestFit="1" customWidth="1"/>
    <col min="2" max="3" width="13.44140625" customWidth="1"/>
    <col min="4" max="4" width="75.6640625" bestFit="1" customWidth="1"/>
    <col min="5" max="6" width="15.6640625" customWidth="1"/>
    <col min="7" max="7" width="15.6640625" bestFit="1" customWidth="1"/>
    <col min="8" max="8" width="15.6640625" customWidth="1"/>
    <col min="9" max="9" width="17.6640625" bestFit="1" customWidth="1"/>
    <col min="10" max="10" width="20.6640625" bestFit="1" customWidth="1"/>
    <col min="11" max="14" width="20.6640625" customWidth="1"/>
    <col min="15" max="15" width="18.44140625" customWidth="1"/>
    <col min="16" max="16" width="26.88671875" bestFit="1" customWidth="1"/>
    <col min="17" max="17" width="20.88671875" bestFit="1" customWidth="1"/>
    <col min="18" max="18" width="27.6640625" bestFit="1" customWidth="1"/>
    <col min="19" max="19" width="27.77734375" bestFit="1" customWidth="1"/>
    <col min="20" max="20" width="24.109375" bestFit="1" customWidth="1"/>
    <col min="21" max="21" width="11.33203125" customWidth="1"/>
    <col min="22" max="22" width="13.5546875" bestFit="1" customWidth="1"/>
    <col min="23" max="23" width="14.88671875" bestFit="1" customWidth="1"/>
    <col min="24" max="24" width="16.21875" bestFit="1" customWidth="1"/>
    <col min="25" max="25" width="25.88671875" bestFit="1" customWidth="1"/>
    <col min="26" max="26" width="28.33203125" customWidth="1"/>
  </cols>
  <sheetData>
    <row r="1" spans="1:26" x14ac:dyDescent="0.3">
      <c r="A1" t="s">
        <v>33</v>
      </c>
      <c r="B1" t="s">
        <v>31</v>
      </c>
      <c r="C1" t="s">
        <v>32</v>
      </c>
      <c r="D1" t="s">
        <v>49</v>
      </c>
      <c r="E1" t="s">
        <v>50</v>
      </c>
      <c r="F1" t="s">
        <v>63</v>
      </c>
      <c r="G1" t="s">
        <v>34</v>
      </c>
      <c r="H1" t="s">
        <v>35</v>
      </c>
      <c r="I1" t="s">
        <v>37</v>
      </c>
      <c r="J1" t="s">
        <v>36</v>
      </c>
      <c r="K1" t="s">
        <v>51</v>
      </c>
      <c r="L1" t="s">
        <v>52</v>
      </c>
      <c r="M1" t="s">
        <v>53</v>
      </c>
      <c r="N1" t="s">
        <v>55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19</v>
      </c>
      <c r="U1" t="s">
        <v>18</v>
      </c>
      <c r="V1" t="s">
        <v>20</v>
      </c>
      <c r="W1" t="s">
        <v>22</v>
      </c>
      <c r="X1" t="s">
        <v>21</v>
      </c>
      <c r="Y1" t="s">
        <v>23</v>
      </c>
      <c r="Z1" t="s">
        <v>24</v>
      </c>
    </row>
    <row r="2" spans="1:26" x14ac:dyDescent="0.3">
      <c r="A2" t="s">
        <v>0</v>
      </c>
      <c r="B2" t="s">
        <v>66</v>
      </c>
      <c r="C2" s="31">
        <v>8888857677</v>
      </c>
      <c r="D2" t="s">
        <v>76</v>
      </c>
      <c r="E2" t="s">
        <v>86</v>
      </c>
      <c r="F2" s="29">
        <v>300000</v>
      </c>
      <c r="G2" s="4">
        <v>45143</v>
      </c>
      <c r="H2" s="29">
        <v>16666.666666666668</v>
      </c>
      <c r="I2">
        <v>0</v>
      </c>
      <c r="J2" s="32">
        <f>F2*50%</f>
        <v>150000</v>
      </c>
      <c r="K2" s="30">
        <f>G2-30</f>
        <v>45113</v>
      </c>
      <c r="L2" t="s">
        <v>65</v>
      </c>
      <c r="M2" s="28">
        <v>919876970324</v>
      </c>
      <c r="N2">
        <v>800</v>
      </c>
      <c r="O2">
        <v>0</v>
      </c>
      <c r="P2">
        <v>90</v>
      </c>
      <c r="Q2">
        <v>1</v>
      </c>
      <c r="R2">
        <v>6.25E-2</v>
      </c>
      <c r="S2">
        <v>170000</v>
      </c>
      <c r="T2">
        <v>0</v>
      </c>
      <c r="U2">
        <v>3</v>
      </c>
      <c r="V2" t="s">
        <v>1</v>
      </c>
      <c r="W2">
        <v>730</v>
      </c>
      <c r="X2" t="str">
        <f>IF(W2&lt;680,"High_Risk",IF(W2&lt;725,"Medium_Risk","Self_Cure"))</f>
        <v>Self_Cure</v>
      </c>
      <c r="Y2" s="1" t="s">
        <v>29</v>
      </c>
      <c r="Z2" s="2" t="s">
        <v>30</v>
      </c>
    </row>
    <row r="3" spans="1:26" x14ac:dyDescent="0.3">
      <c r="A3" t="s">
        <v>2</v>
      </c>
      <c r="B3" t="s">
        <v>67</v>
      </c>
      <c r="C3" s="31">
        <v>9488358183</v>
      </c>
      <c r="D3" t="s">
        <v>77</v>
      </c>
      <c r="E3" t="s">
        <v>86</v>
      </c>
      <c r="F3" s="29">
        <v>250000</v>
      </c>
      <c r="G3" s="4">
        <v>45143</v>
      </c>
      <c r="H3" s="29">
        <v>10416.666666666666</v>
      </c>
      <c r="I3">
        <v>0</v>
      </c>
      <c r="J3" s="32">
        <f>F3*75%</f>
        <v>187500</v>
      </c>
      <c r="K3" s="30">
        <f>G3-15</f>
        <v>45128</v>
      </c>
      <c r="L3" t="s">
        <v>65</v>
      </c>
      <c r="M3" s="28">
        <v>916300716094</v>
      </c>
      <c r="N3">
        <v>760</v>
      </c>
      <c r="O3">
        <v>0</v>
      </c>
      <c r="P3">
        <v>30</v>
      </c>
      <c r="Q3">
        <v>0.222222222</v>
      </c>
      <c r="R3">
        <v>0.321428571</v>
      </c>
      <c r="S3">
        <v>164000</v>
      </c>
      <c r="T3">
        <v>0</v>
      </c>
      <c r="U3">
        <v>2</v>
      </c>
      <c r="V3" t="s">
        <v>3</v>
      </c>
      <c r="W3">
        <v>721</v>
      </c>
      <c r="X3" t="str">
        <f t="shared" ref="X3:X11" si="0">IF(W3&lt;680,"High_Risk",IF(W3&lt;725,"Medium_Risk","Self_Cure"))</f>
        <v>Medium_Risk</v>
      </c>
      <c r="Y3" s="3" t="s">
        <v>27</v>
      </c>
      <c r="Z3" s="3" t="s">
        <v>28</v>
      </c>
    </row>
    <row r="4" spans="1:26" x14ac:dyDescent="0.3">
      <c r="A4" t="s">
        <v>4</v>
      </c>
      <c r="B4" t="s">
        <v>68</v>
      </c>
      <c r="C4" s="31">
        <v>9698416043</v>
      </c>
      <c r="D4" t="s">
        <v>78</v>
      </c>
      <c r="E4" t="s">
        <v>88</v>
      </c>
      <c r="F4" s="29">
        <v>75000</v>
      </c>
      <c r="G4" s="4">
        <v>45143</v>
      </c>
      <c r="H4" s="29">
        <v>6250</v>
      </c>
      <c r="I4" s="32">
        <f>H4*2</f>
        <v>12500</v>
      </c>
      <c r="J4" s="32">
        <f>F4*80%</f>
        <v>60000</v>
      </c>
      <c r="K4" s="30">
        <f>G4-30</f>
        <v>45113</v>
      </c>
      <c r="L4" t="s">
        <v>93</v>
      </c>
      <c r="M4" s="28">
        <v>919700325953</v>
      </c>
      <c r="N4">
        <v>680</v>
      </c>
      <c r="O4">
        <v>0</v>
      </c>
      <c r="P4">
        <v>30</v>
      </c>
      <c r="Q4">
        <v>0.25</v>
      </c>
      <c r="R4">
        <v>0.17333333300000001</v>
      </c>
      <c r="S4">
        <v>0</v>
      </c>
      <c r="T4" t="s">
        <v>92</v>
      </c>
      <c r="U4">
        <v>1</v>
      </c>
      <c r="V4" t="s">
        <v>1</v>
      </c>
      <c r="W4">
        <v>659</v>
      </c>
      <c r="X4" t="str">
        <f t="shared" si="0"/>
        <v>High_Risk</v>
      </c>
      <c r="Y4" s="2" t="s">
        <v>25</v>
      </c>
      <c r="Z4" s="2" t="s">
        <v>26</v>
      </c>
    </row>
    <row r="5" spans="1:26" x14ac:dyDescent="0.3">
      <c r="A5" t="s">
        <v>5</v>
      </c>
      <c r="B5" t="s">
        <v>69</v>
      </c>
      <c r="C5" s="31">
        <v>8287045663</v>
      </c>
      <c r="D5" t="s">
        <v>79</v>
      </c>
      <c r="E5" t="s">
        <v>88</v>
      </c>
      <c r="F5" s="29">
        <v>200000</v>
      </c>
      <c r="G5" s="4">
        <v>45143</v>
      </c>
      <c r="H5" s="29">
        <v>16666.666666666668</v>
      </c>
      <c r="I5">
        <v>0</v>
      </c>
      <c r="J5" s="32">
        <f>F5*75%</f>
        <v>150000</v>
      </c>
      <c r="K5" s="30">
        <f>G5-25</f>
        <v>45118</v>
      </c>
      <c r="L5" t="s">
        <v>65</v>
      </c>
      <c r="M5" s="28">
        <v>919849751550</v>
      </c>
      <c r="N5">
        <v>750</v>
      </c>
      <c r="O5">
        <v>0</v>
      </c>
      <c r="P5">
        <v>30</v>
      </c>
      <c r="Q5">
        <v>0.625</v>
      </c>
      <c r="R5">
        <v>0.20512820500000001</v>
      </c>
      <c r="S5">
        <v>300000</v>
      </c>
      <c r="T5">
        <v>0</v>
      </c>
      <c r="U5">
        <v>1</v>
      </c>
      <c r="V5" t="s">
        <v>6</v>
      </c>
      <c r="W5">
        <v>719</v>
      </c>
      <c r="X5" t="str">
        <f t="shared" si="0"/>
        <v>Medium_Risk</v>
      </c>
      <c r="Y5" s="3" t="s">
        <v>27</v>
      </c>
      <c r="Z5" s="3" t="s">
        <v>28</v>
      </c>
    </row>
    <row r="6" spans="1:26" x14ac:dyDescent="0.3">
      <c r="A6" t="s">
        <v>7</v>
      </c>
      <c r="B6" t="s">
        <v>70</v>
      </c>
      <c r="C6" s="31">
        <v>9108270252</v>
      </c>
      <c r="D6" t="s">
        <v>80</v>
      </c>
      <c r="E6" s="4" t="s">
        <v>87</v>
      </c>
      <c r="F6" s="29">
        <v>150000</v>
      </c>
      <c r="G6" s="4">
        <v>45143</v>
      </c>
      <c r="H6" s="29">
        <v>8333.3333333333339</v>
      </c>
      <c r="I6">
        <v>1000</v>
      </c>
      <c r="J6" s="32">
        <f>F6*50%</f>
        <v>75000</v>
      </c>
      <c r="K6" s="30">
        <f>G6-30</f>
        <v>45113</v>
      </c>
      <c r="L6" t="s">
        <v>65</v>
      </c>
      <c r="M6" s="28">
        <v>919876970324</v>
      </c>
      <c r="N6">
        <v>850</v>
      </c>
      <c r="O6">
        <v>0</v>
      </c>
      <c r="P6">
        <v>0</v>
      </c>
      <c r="Q6">
        <v>0.571428571</v>
      </c>
      <c r="R6">
        <v>0.18421052600000001</v>
      </c>
      <c r="S6">
        <v>300000</v>
      </c>
      <c r="T6">
        <v>0</v>
      </c>
      <c r="U6">
        <v>0</v>
      </c>
      <c r="V6" t="s">
        <v>6</v>
      </c>
      <c r="W6">
        <v>725</v>
      </c>
      <c r="X6" t="str">
        <f t="shared" si="0"/>
        <v>Self_Cure</v>
      </c>
      <c r="Y6" s="1" t="s">
        <v>29</v>
      </c>
      <c r="Z6" s="2" t="s">
        <v>30</v>
      </c>
    </row>
    <row r="7" spans="1:26" x14ac:dyDescent="0.3">
      <c r="A7" t="s">
        <v>8</v>
      </c>
      <c r="B7" t="s">
        <v>71</v>
      </c>
      <c r="C7" s="31">
        <v>9092857445</v>
      </c>
      <c r="D7" t="s">
        <v>81</v>
      </c>
      <c r="E7" s="4" t="s">
        <v>87</v>
      </c>
      <c r="F7" s="29">
        <v>125000</v>
      </c>
      <c r="G7" s="4">
        <v>45143</v>
      </c>
      <c r="H7" s="29">
        <v>6944.4444444444443</v>
      </c>
      <c r="I7">
        <v>0</v>
      </c>
      <c r="J7" s="32">
        <f t="shared" ref="J7:J8" si="1">F7*75%</f>
        <v>93750</v>
      </c>
      <c r="K7" s="30">
        <f>G7-10</f>
        <v>45133</v>
      </c>
      <c r="L7" t="s">
        <v>90</v>
      </c>
      <c r="M7" s="28">
        <v>919849751550</v>
      </c>
      <c r="N7">
        <v>760</v>
      </c>
      <c r="O7">
        <v>0</v>
      </c>
      <c r="P7">
        <v>0</v>
      </c>
      <c r="Q7">
        <v>0</v>
      </c>
      <c r="R7">
        <v>0.25</v>
      </c>
      <c r="S7">
        <v>435109</v>
      </c>
      <c r="T7">
        <v>0</v>
      </c>
      <c r="U7">
        <v>0</v>
      </c>
      <c r="V7" t="s">
        <v>3</v>
      </c>
      <c r="W7">
        <v>724</v>
      </c>
      <c r="X7" t="str">
        <f t="shared" si="0"/>
        <v>Medium_Risk</v>
      </c>
      <c r="Y7" s="3" t="s">
        <v>27</v>
      </c>
      <c r="Z7" s="3" t="s">
        <v>28</v>
      </c>
    </row>
    <row r="8" spans="1:26" x14ac:dyDescent="0.3">
      <c r="A8" t="s">
        <v>9</v>
      </c>
      <c r="B8" t="s">
        <v>72</v>
      </c>
      <c r="C8" s="31">
        <v>7002423774</v>
      </c>
      <c r="D8" t="s">
        <v>82</v>
      </c>
      <c r="E8" s="4" t="s">
        <v>89</v>
      </c>
      <c r="F8" s="29">
        <v>7500000</v>
      </c>
      <c r="G8" s="4">
        <v>45143</v>
      </c>
      <c r="H8" s="29">
        <v>62500</v>
      </c>
      <c r="I8">
        <v>0</v>
      </c>
      <c r="J8" s="32">
        <f t="shared" si="1"/>
        <v>5625000</v>
      </c>
      <c r="K8" s="30">
        <f>G8-10</f>
        <v>45133</v>
      </c>
      <c r="L8" t="s">
        <v>64</v>
      </c>
      <c r="M8" s="28">
        <v>919849751550</v>
      </c>
      <c r="N8">
        <v>697</v>
      </c>
      <c r="O8">
        <v>0</v>
      </c>
      <c r="P8">
        <v>30</v>
      </c>
      <c r="Q8">
        <v>0.71428571399999996</v>
      </c>
      <c r="R8">
        <v>0.38888888900000002</v>
      </c>
      <c r="S8">
        <v>140000</v>
      </c>
      <c r="T8">
        <v>0</v>
      </c>
      <c r="U8">
        <v>3</v>
      </c>
      <c r="V8" t="s">
        <v>3</v>
      </c>
      <c r="W8">
        <v>712</v>
      </c>
      <c r="X8" t="str">
        <f t="shared" si="0"/>
        <v>Medium_Risk</v>
      </c>
      <c r="Y8" s="3" t="s">
        <v>27</v>
      </c>
      <c r="Z8" s="3" t="s">
        <v>28</v>
      </c>
    </row>
    <row r="9" spans="1:26" x14ac:dyDescent="0.3">
      <c r="A9" t="s">
        <v>10</v>
      </c>
      <c r="B9" t="s">
        <v>73</v>
      </c>
      <c r="C9" s="31">
        <v>7797136350</v>
      </c>
      <c r="D9" t="s">
        <v>83</v>
      </c>
      <c r="E9" s="4" t="s">
        <v>89</v>
      </c>
      <c r="F9" s="29">
        <v>10000000</v>
      </c>
      <c r="G9" s="4">
        <v>45143</v>
      </c>
      <c r="H9" s="29">
        <v>83333.333333333328</v>
      </c>
      <c r="I9" s="32">
        <f>H9*2</f>
        <v>166666.66666666666</v>
      </c>
      <c r="J9" s="32">
        <f t="shared" ref="J9:J10" si="2">F9*80%</f>
        <v>8000000</v>
      </c>
      <c r="K9" s="30">
        <f>G9-30</f>
        <v>45113</v>
      </c>
      <c r="L9" t="s">
        <v>90</v>
      </c>
      <c r="M9" s="28">
        <v>919700325953</v>
      </c>
      <c r="N9">
        <v>670</v>
      </c>
      <c r="O9">
        <v>0</v>
      </c>
      <c r="P9">
        <v>59</v>
      </c>
      <c r="Q9">
        <v>0.83333333300000001</v>
      </c>
      <c r="R9">
        <v>0.47619047599999997</v>
      </c>
      <c r="S9">
        <v>0</v>
      </c>
      <c r="T9" t="s">
        <v>92</v>
      </c>
      <c r="U9">
        <v>0</v>
      </c>
      <c r="V9" t="s">
        <v>1</v>
      </c>
      <c r="W9">
        <v>671</v>
      </c>
      <c r="X9" t="str">
        <f t="shared" si="0"/>
        <v>High_Risk</v>
      </c>
      <c r="Y9" s="2" t="s">
        <v>25</v>
      </c>
      <c r="Z9" s="2" t="s">
        <v>26</v>
      </c>
    </row>
    <row r="10" spans="1:26" x14ac:dyDescent="0.3">
      <c r="A10" t="s">
        <v>11</v>
      </c>
      <c r="B10" t="s">
        <v>74</v>
      </c>
      <c r="C10" s="31">
        <v>9848617353</v>
      </c>
      <c r="D10" t="s">
        <v>84</v>
      </c>
      <c r="E10" t="s">
        <v>86</v>
      </c>
      <c r="F10" s="29">
        <v>750000</v>
      </c>
      <c r="G10" s="4">
        <v>45143</v>
      </c>
      <c r="H10" s="29">
        <v>20833.333333333332</v>
      </c>
      <c r="I10" s="32">
        <f>H10*2</f>
        <v>41666.666666666664</v>
      </c>
      <c r="J10" s="32">
        <f t="shared" si="2"/>
        <v>600000</v>
      </c>
      <c r="K10" s="30">
        <f>G10-30</f>
        <v>45113</v>
      </c>
      <c r="L10" t="s">
        <v>91</v>
      </c>
      <c r="M10" s="28">
        <v>919700325953</v>
      </c>
      <c r="N10">
        <v>650</v>
      </c>
      <c r="O10">
        <v>0</v>
      </c>
      <c r="P10">
        <v>59</v>
      </c>
      <c r="Q10">
        <v>1</v>
      </c>
      <c r="R10">
        <v>0.47619047599999997</v>
      </c>
      <c r="S10">
        <v>0</v>
      </c>
      <c r="T10" t="s">
        <v>92</v>
      </c>
      <c r="U10">
        <v>0</v>
      </c>
      <c r="V10" t="s">
        <v>1</v>
      </c>
      <c r="W10">
        <v>678</v>
      </c>
      <c r="X10" t="str">
        <f t="shared" si="0"/>
        <v>High_Risk</v>
      </c>
      <c r="Y10" s="2" t="s">
        <v>25</v>
      </c>
      <c r="Z10" s="2" t="s">
        <v>26</v>
      </c>
    </row>
    <row r="11" spans="1:26" x14ac:dyDescent="0.3">
      <c r="A11" t="s">
        <v>12</v>
      </c>
      <c r="B11" t="s">
        <v>75</v>
      </c>
      <c r="C11" s="31">
        <v>9140231514</v>
      </c>
      <c r="D11" t="s">
        <v>85</v>
      </c>
      <c r="E11" t="s">
        <v>88</v>
      </c>
      <c r="F11" s="29">
        <v>300000</v>
      </c>
      <c r="G11" s="4">
        <v>45143</v>
      </c>
      <c r="H11" s="29">
        <v>25000</v>
      </c>
      <c r="I11" s="32">
        <f>H11</f>
        <v>25000</v>
      </c>
      <c r="J11" s="32">
        <f>F11*75%</f>
        <v>225000</v>
      </c>
      <c r="K11" s="30">
        <f>G11-36</f>
        <v>45107</v>
      </c>
      <c r="L11" t="s">
        <v>91</v>
      </c>
      <c r="M11" s="28">
        <v>916300716094</v>
      </c>
      <c r="N11">
        <v>640</v>
      </c>
      <c r="O11">
        <v>0</v>
      </c>
      <c r="P11">
        <v>60</v>
      </c>
      <c r="Q11">
        <v>0.21428571399999999</v>
      </c>
      <c r="R11">
        <v>0.53846153799999996</v>
      </c>
      <c r="S11">
        <v>0</v>
      </c>
      <c r="T11">
        <v>0</v>
      </c>
      <c r="U11">
        <v>3</v>
      </c>
      <c r="V11" t="s">
        <v>6</v>
      </c>
      <c r="W11">
        <v>682</v>
      </c>
      <c r="X11" t="str">
        <f t="shared" si="0"/>
        <v>Medium_Risk</v>
      </c>
      <c r="Y11" s="3" t="s">
        <v>27</v>
      </c>
      <c r="Z11" s="3" t="s">
        <v>28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2410-53BA-4220-AB7C-3E4F13EF6668}">
  <dimension ref="B2:H20"/>
  <sheetViews>
    <sheetView workbookViewId="0">
      <selection activeCell="C23" sqref="C23"/>
    </sheetView>
  </sheetViews>
  <sheetFormatPr defaultRowHeight="14.4" x14ac:dyDescent="0.3"/>
  <cols>
    <col min="1" max="1" width="3.33203125" customWidth="1"/>
    <col min="2" max="2" width="21.88671875" customWidth="1"/>
    <col min="3" max="3" width="28.44140625" customWidth="1"/>
    <col min="4" max="4" width="56.6640625" customWidth="1"/>
    <col min="5" max="5" width="3.33203125" customWidth="1"/>
    <col min="6" max="6" width="19.21875" bestFit="1" customWidth="1"/>
    <col min="7" max="7" width="44.33203125" bestFit="1" customWidth="1"/>
    <col min="8" max="8" width="26.6640625" customWidth="1"/>
  </cols>
  <sheetData>
    <row r="2" spans="2:8" ht="15.6" x14ac:dyDescent="0.3">
      <c r="B2" s="14" t="s">
        <v>38</v>
      </c>
      <c r="C2" s="15" t="s">
        <v>39</v>
      </c>
      <c r="D2" s="16" t="s">
        <v>40</v>
      </c>
      <c r="E2" s="5"/>
      <c r="F2" s="6" t="s">
        <v>41</v>
      </c>
      <c r="G2" s="6" t="s">
        <v>42</v>
      </c>
      <c r="H2" s="6" t="s">
        <v>43</v>
      </c>
    </row>
    <row r="3" spans="2:8" ht="15.6" x14ac:dyDescent="0.3">
      <c r="B3" s="14"/>
      <c r="C3" s="7" t="s">
        <v>31</v>
      </c>
      <c r="D3" s="17" t="str">
        <f>VLOOKUP($D$2,[1]Dummy_Data!$B$2:$AL$11,2,0)</f>
        <v>RANJIT SINGH</v>
      </c>
      <c r="E3" s="5"/>
      <c r="F3" s="25" t="s">
        <v>60</v>
      </c>
      <c r="G3" s="8" t="s">
        <v>57</v>
      </c>
      <c r="H3" s="8" t="s">
        <v>48</v>
      </c>
    </row>
    <row r="4" spans="2:8" ht="15.6" x14ac:dyDescent="0.3">
      <c r="B4" s="14"/>
      <c r="C4" s="7" t="s">
        <v>32</v>
      </c>
      <c r="D4" s="18">
        <f>VLOOKUP($D$2,[1]Dummy_Data!$B$2:$AL$11,3,0)</f>
        <v>919876970324</v>
      </c>
      <c r="E4" s="5"/>
      <c r="F4" s="26"/>
      <c r="G4" s="8" t="s">
        <v>44</v>
      </c>
      <c r="H4" s="8" t="s">
        <v>48</v>
      </c>
    </row>
    <row r="5" spans="2:8" ht="15.6" x14ac:dyDescent="0.3">
      <c r="B5" s="14"/>
      <c r="C5" s="7" t="s">
        <v>49</v>
      </c>
      <c r="D5" s="17" t="str">
        <f>VLOOKUP($D$2,[1]Dummy_Data!$B$2:$AL$11,5,0)</f>
        <v>BL</v>
      </c>
      <c r="E5" s="5"/>
      <c r="F5" s="26"/>
      <c r="G5" s="8" t="s">
        <v>58</v>
      </c>
      <c r="H5" s="8"/>
    </row>
    <row r="6" spans="2:8" ht="15.6" x14ac:dyDescent="0.3">
      <c r="B6" s="24" t="s">
        <v>46</v>
      </c>
      <c r="C6" s="10" t="s">
        <v>50</v>
      </c>
      <c r="D6" s="19">
        <f>VLOOKUP($D$2,[1]Dummy_Data!$B$2:$AL$11,6,0)</f>
        <v>300000</v>
      </c>
      <c r="E6" s="5"/>
      <c r="F6" s="27"/>
      <c r="G6" s="8" t="s">
        <v>59</v>
      </c>
      <c r="H6" s="8" t="s">
        <v>48</v>
      </c>
    </row>
    <row r="7" spans="2:8" ht="15.6" x14ac:dyDescent="0.3">
      <c r="B7" s="24"/>
      <c r="C7" s="10" t="s">
        <v>63</v>
      </c>
      <c r="D7" s="19"/>
      <c r="E7" s="5"/>
      <c r="F7" s="25" t="s">
        <v>61</v>
      </c>
      <c r="G7" s="8" t="s">
        <v>45</v>
      </c>
      <c r="H7" s="8">
        <f>VLOOKUP($D$2,[1]Dummy_Data!$B$2:$AL$11,22,0)</f>
        <v>90</v>
      </c>
    </row>
    <row r="8" spans="2:8" ht="15.6" x14ac:dyDescent="0.3">
      <c r="B8" s="24"/>
      <c r="C8" s="10" t="s">
        <v>34</v>
      </c>
      <c r="D8" s="20">
        <f>VLOOKUP($D$2,[1]Dummy_Data!$B$2:$AL$11,7,0)</f>
        <v>14545.994414085306</v>
      </c>
      <c r="E8" s="5"/>
      <c r="F8" s="26"/>
      <c r="G8" s="9" t="s">
        <v>13</v>
      </c>
      <c r="H8" s="8">
        <f>VLOOKUP($D$2,[1]Dummy_Data!$B$2:$AL$11,23,0)</f>
        <v>3</v>
      </c>
    </row>
    <row r="9" spans="2:8" ht="15.6" x14ac:dyDescent="0.3">
      <c r="B9" s="24"/>
      <c r="C9" s="10" t="s">
        <v>35</v>
      </c>
      <c r="D9" s="20">
        <f>VLOOKUP($D$2,[1]Dummy_Data!$B$2:$AL$11,8,0)</f>
        <v>44501.640034722222</v>
      </c>
      <c r="E9" s="5"/>
      <c r="F9" s="26"/>
      <c r="G9" s="8" t="s">
        <v>14</v>
      </c>
      <c r="H9" s="8">
        <f>VLOOKUP($D$2,[1]Dummy_Data!$B$2:$AL$11,24,0)</f>
        <v>2</v>
      </c>
    </row>
    <row r="10" spans="2:8" ht="15.6" x14ac:dyDescent="0.3">
      <c r="B10" s="24"/>
      <c r="C10" s="11" t="s">
        <v>37</v>
      </c>
      <c r="D10" s="21">
        <f>VLOOKUP($D$2,[1]Dummy_Data!$B$2:$AL$11,11,0)</f>
        <v>0</v>
      </c>
      <c r="E10" s="5"/>
      <c r="F10" s="26"/>
      <c r="G10" s="8" t="s">
        <v>15</v>
      </c>
      <c r="H10" s="8">
        <f>VLOOKUP($D$2,[1]Dummy_Data!$B$2:$AL$11,25,0)</f>
        <v>200000</v>
      </c>
    </row>
    <row r="11" spans="2:8" ht="15.6" x14ac:dyDescent="0.3">
      <c r="B11" s="24"/>
      <c r="C11" s="11" t="s">
        <v>56</v>
      </c>
      <c r="D11" s="21"/>
      <c r="E11" s="5"/>
      <c r="F11" s="26"/>
      <c r="G11" s="8" t="s">
        <v>16</v>
      </c>
      <c r="H11" s="8">
        <f>VLOOKUP($D$2,[1]Dummy_Data!$B$2:$AL$11,26,0)</f>
        <v>0</v>
      </c>
    </row>
    <row r="12" spans="2:8" ht="15.6" x14ac:dyDescent="0.3">
      <c r="B12" s="24"/>
      <c r="C12" s="11" t="s">
        <v>36</v>
      </c>
      <c r="D12" s="21">
        <f>VLOOKUP($D$2,[1]Dummy_Data!$B$2:$AL$11,12,0)</f>
        <v>0</v>
      </c>
      <c r="E12" s="5"/>
      <c r="F12" s="26"/>
      <c r="G12" s="8" t="s">
        <v>17</v>
      </c>
      <c r="H12" s="8">
        <f>VLOOKUP($D$2,[1]Dummy_Data!$B$2:$AL$11,26,0)</f>
        <v>0</v>
      </c>
    </row>
    <row r="13" spans="2:8" ht="15.6" x14ac:dyDescent="0.3">
      <c r="B13" s="12" t="s">
        <v>47</v>
      </c>
      <c r="C13" s="13" t="s">
        <v>51</v>
      </c>
      <c r="D13" s="22">
        <f>VLOOKUP($D$2,[1]Dummy_Data!$B$2:$AL$11,17,0)</f>
        <v>44680.640034722222</v>
      </c>
      <c r="E13" s="5"/>
      <c r="F13" s="27"/>
      <c r="G13" s="8" t="s">
        <v>18</v>
      </c>
      <c r="H13" s="8" t="str">
        <f>VLOOKUP($D$2,[1]Dummy_Data!$B$2:$AL$11,28,0)</f>
        <v>&gt;75%</v>
      </c>
    </row>
    <row r="14" spans="2:8" ht="15.6" x14ac:dyDescent="0.3">
      <c r="B14" s="12"/>
      <c r="C14" s="13" t="s">
        <v>62</v>
      </c>
      <c r="D14" s="22" t="s">
        <v>54</v>
      </c>
      <c r="E14" s="5"/>
      <c r="F14" s="5"/>
      <c r="G14" s="5"/>
      <c r="H14" s="5"/>
    </row>
    <row r="15" spans="2:8" ht="15.6" x14ac:dyDescent="0.3">
      <c r="B15" s="12"/>
      <c r="C15" s="13" t="s">
        <v>53</v>
      </c>
      <c r="D15" s="23">
        <f>D4</f>
        <v>919876970324</v>
      </c>
      <c r="E15" s="5"/>
      <c r="F15" s="5"/>
      <c r="G15" s="5"/>
      <c r="H15" s="5"/>
    </row>
    <row r="16" spans="2:8" ht="15.6" x14ac:dyDescent="0.3">
      <c r="E16" s="5"/>
    </row>
    <row r="17" spans="5:5" ht="15.6" x14ac:dyDescent="0.3">
      <c r="E17" s="5"/>
    </row>
    <row r="18" spans="5:5" ht="15.6" x14ac:dyDescent="0.3">
      <c r="E18" s="5"/>
    </row>
    <row r="19" spans="5:5" ht="15.6" x14ac:dyDescent="0.3">
      <c r="E19" s="5"/>
    </row>
    <row r="20" spans="5:5" ht="15.6" x14ac:dyDescent="0.3">
      <c r="E20" s="5"/>
    </row>
  </sheetData>
  <mergeCells count="4">
    <mergeCell ref="F7:F13"/>
    <mergeCell ref="B13:B15"/>
    <mergeCell ref="B2:B5"/>
    <mergeCell ref="F3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Rishu</dc:creator>
  <cp:lastModifiedBy>Ashok Sharma</cp:lastModifiedBy>
  <dcterms:created xsi:type="dcterms:W3CDTF">2022-11-16T06:28:43Z</dcterms:created>
  <dcterms:modified xsi:type="dcterms:W3CDTF">2023-06-20T08:04:02Z</dcterms:modified>
</cp:coreProperties>
</file>