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hmate\amani_dashboard_data\files\"/>
    </mc:Choice>
  </mc:AlternateContent>
  <xr:revisionPtr revIDLastSave="0" documentId="13_ncr:1_{D1F789E4-D884-4469-92C0-59F02D8051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Data!$A$1:$Y$11</definedName>
  </definedNames>
  <calcPr calcId="181029"/>
</workbook>
</file>

<file path=xl/calcChain.xml><?xml version="1.0" encoding="utf-8"?>
<calcChain xmlns="http://schemas.openxmlformats.org/spreadsheetml/2006/main">
  <c r="I10" i="1" l="1"/>
  <c r="I9" i="1"/>
  <c r="I4" i="1"/>
  <c r="J10" i="1"/>
  <c r="J9" i="1"/>
  <c r="J4" i="1"/>
  <c r="K10" i="1"/>
  <c r="K9" i="1"/>
  <c r="K4" i="1"/>
  <c r="J11" i="1"/>
  <c r="J8" i="1"/>
  <c r="J7" i="1"/>
  <c r="J5" i="1"/>
  <c r="J3" i="1"/>
  <c r="I11" i="1"/>
  <c r="K11" i="1"/>
  <c r="K8" i="1"/>
  <c r="K7" i="1"/>
  <c r="K5" i="1"/>
  <c r="K3" i="1"/>
  <c r="J6" i="1"/>
  <c r="J2" i="1"/>
  <c r="K6" i="1"/>
  <c r="K2" i="1"/>
  <c r="D5" i="2"/>
  <c r="D12" i="2"/>
  <c r="D10" i="2"/>
  <c r="H13" i="2"/>
  <c r="H12" i="2"/>
  <c r="D9" i="2"/>
  <c r="H11" i="2"/>
  <c r="H10" i="2"/>
  <c r="D6" i="2"/>
  <c r="H9" i="2"/>
  <c r="H8" i="2"/>
  <c r="H7" i="2"/>
  <c r="D4" i="2"/>
  <c r="D15" i="2" s="1"/>
  <c r="D3" i="2"/>
  <c r="D13" i="2" l="1"/>
  <c r="D8" i="2"/>
  <c r="X3" i="1" l="1"/>
  <c r="X4" i="1"/>
  <c r="X5" i="1"/>
  <c r="X6" i="1"/>
  <c r="X7" i="1"/>
  <c r="X8" i="1"/>
  <c r="X9" i="1"/>
  <c r="X10" i="1"/>
  <c r="X11" i="1"/>
  <c r="X2" i="1"/>
</calcChain>
</file>

<file path=xl/sharedStrings.xml><?xml version="1.0" encoding="utf-8"?>
<sst xmlns="http://schemas.openxmlformats.org/spreadsheetml/2006/main" count="161" uniqueCount="107">
  <si>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</si>
  <si>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</si>
  <si>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</si>
  <si>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</si>
  <si>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</si>
  <si>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</si>
  <si>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</si>
  <si>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</si>
  <si>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</si>
  <si>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</si>
  <si>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</si>
  <si>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</si>
  <si>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</si>
  <si>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loans_open_last_6m</t>
  </si>
  <si>
    <t>last_12m_max_dpd_all_prods</t>
  </si>
  <si>
    <t>percentage_0dpd_last_12m</t>
  </si>
  <si>
    <t>ratio_loans_open_12m_36m</t>
  </si>
  <si>
    <t>highest_loan_amt_with_0dpd</t>
  </si>
  <si>
    <t>enquiries_L6M</t>
  </si>
  <si>
    <t>max_dpd_in_last_3m_OnUs</t>
  </si>
  <si>
    <t>max_dpd_last_24m</t>
  </si>
  <si>
    <t>Collection_Priority</t>
  </si>
  <si>
    <t>Collection_Score</t>
  </si>
  <si>
    <t>Collection_Action_pre_EMI</t>
  </si>
  <si>
    <t>Collection_Action_post_EMI</t>
  </si>
  <si>
    <t>Calling(-5, -3, -1) + Digital</t>
  </si>
  <si>
    <t>Calling + Field(after 5 days)</t>
  </si>
  <si>
    <t>Calling(-4, -1) + Digital</t>
  </si>
  <si>
    <t>Calling + Field (after 10 days)</t>
  </si>
  <si>
    <t>Digital</t>
  </si>
  <si>
    <t>Digital + Calling(after 5 days)</t>
  </si>
  <si>
    <t>Name</t>
  </si>
  <si>
    <t>Mobile</t>
  </si>
  <si>
    <t>LoanId</t>
  </si>
  <si>
    <t>EMI_Due_Date</t>
  </si>
  <si>
    <t>EMI_Amount</t>
  </si>
  <si>
    <t>Outstanding_Amount</t>
  </si>
  <si>
    <t>Overdue_Amount</t>
  </si>
  <si>
    <t>Borrower Details</t>
  </si>
  <si>
    <t>Select Loan ID</t>
  </si>
  <si>
    <t>MRN45384</t>
  </si>
  <si>
    <t>Dimensions</t>
  </si>
  <si>
    <t>Variable</t>
  </si>
  <si>
    <t>Value</t>
  </si>
  <si>
    <t>Collection Priority</t>
  </si>
  <si>
    <t>Bureau Score</t>
  </si>
  <si>
    <t>Loan Details  (On-us)</t>
  </si>
  <si>
    <t>Collection Trail</t>
  </si>
  <si>
    <t>High Risk</t>
  </si>
  <si>
    <t>Address</t>
  </si>
  <si>
    <t>Loan_Type</t>
  </si>
  <si>
    <t>last_contacted_date</t>
  </si>
  <si>
    <t>Calling_despo</t>
  </si>
  <si>
    <t>last_contacted_number</t>
  </si>
  <si>
    <t>Will Pay Half</t>
  </si>
  <si>
    <t>Bureau_Score</t>
  </si>
  <si>
    <t>Max_dpd_last_3m_OnUs</t>
  </si>
  <si>
    <t>Collection Score</t>
  </si>
  <si>
    <t>Action_Pre_EMI</t>
  </si>
  <si>
    <t>Action_Post_EMI</t>
  </si>
  <si>
    <t>Collection Strategy</t>
  </si>
  <si>
    <t>Off-Us Behaviour</t>
  </si>
  <si>
    <t>Calling_desposition</t>
  </si>
  <si>
    <t>Loan_Amount</t>
  </si>
  <si>
    <t>Can pay half</t>
  </si>
  <si>
    <t>Will pay full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</si>
  <si>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</si>
  <si>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</si>
  <si>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</si>
  <si>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</si>
  <si>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</si>
  <si>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</si>
  <si>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</si>
  <si>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</si>
  <si>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</si>
  <si>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</si>
  <si>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Survey No.54/2, Tuljabhawani Nagar Nagar Road Darga Pune City Pune Maharashtra</t>
  </si>
  <si>
    <t>276/27A R.R Mandapam Mathichiyam Madurai North TAMIL NADU</t>
  </si>
  <si>
    <t>3/96 Nattukkalpalayam  Kunnamalai Namakkal Tamil Nadu</t>
  </si>
  <si>
    <t>115 New Street kumunda Ganjam Bhanjanagar ODISHA</t>
  </si>
  <si>
    <t>71/2 Vajapeyi Nagar hongasandra Vidya Jyoti school Bangalore South KARNATAKA</t>
  </si>
  <si>
    <t>16 Second Street, S M V Puram East  Villianur Commune Panchayat Puducherry Puducherry</t>
  </si>
  <si>
    <t>niz kadomoni near ASEB Colony  Dibrugarh  Dibrugarh west Dibrugarh ASSAM</t>
  </si>
  <si>
    <t xml:space="preserve">   Kharagpur(M) West Midnapore West Bengal</t>
  </si>
  <si>
    <t>4-08A  main road  near check post Nallajerla Mandalam ANDHRA PRADESH</t>
  </si>
  <si>
    <t>75 in side orcha gate uttar pradesh kallu chakki Jhansi UTTAR PRADESH</t>
  </si>
  <si>
    <t>SME</t>
  </si>
  <si>
    <t>Personal Loan</t>
  </si>
  <si>
    <t>Home Loan</t>
  </si>
  <si>
    <t>Job Loss</t>
  </si>
  <si>
    <t>need restructuring</t>
  </si>
  <si>
    <t>30+</t>
  </si>
  <si>
    <t>Cannot Pay</t>
  </si>
  <si>
    <t>Auto</t>
  </si>
  <si>
    <t>alternate_mobile_number</t>
  </si>
  <si>
    <t>alteranate_address</t>
  </si>
  <si>
    <t>118/216 Kavi Nagar, Pune, Maharashtra</t>
  </si>
  <si>
    <t>Flat No. 203, Sunshine Society, Naveen Marg, Raipur, Chattisgarh</t>
  </si>
  <si>
    <t>27/308 Hoshiyar Nagar Vyapak Kendra Bangalore South Karnataka</t>
  </si>
  <si>
    <t>22/3 Ghumni Bazaar, Chowk, Hisar, Haryana</t>
  </si>
  <si>
    <t>2/986 Purani Subzi Mandi, Gol Chowk, Varanasi, Uttar Pradesh</t>
  </si>
  <si>
    <t>A/237 Krishna Nagar, Mathura, Uttar Pradesh</t>
  </si>
  <si>
    <t>NA</t>
  </si>
  <si>
    <t> Mandaloi Apartments, Q City – B Block, Gachibowli, Hyderabad, Telangana 50003</t>
  </si>
  <si>
    <t xml:space="preserve">Tower D,Flat 1202, Chimes Building, Plot 61, Sector 44, Gurugram, Haryana </t>
  </si>
  <si>
    <t>latest_bank_balance</t>
  </si>
  <si>
    <t>last_EMI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</si>
</sst>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rebuchet MS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1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15" fontId="0" fillId="0" borderId="0" xfId="0" applyNumberFormat="1"/>
    <xf numFmtId="0" fontId="21" fillId="0" borderId="0" xfId="0" applyFont="1" applyAlignment="1">
      <alignment horizontal="left" vertical="center" indent="1"/>
    </xf>
    <xf numFmtId="0" fontId="20" fillId="33" borderId="10" xfId="0" applyFont="1" applyFill="1" applyBorder="1" applyAlignment="1">
      <alignment horizontal="left" vertical="center" indent="1"/>
    </xf>
    <xf numFmtId="0" fontId="22" fillId="34" borderId="10" xfId="0" applyFont="1" applyFill="1" applyBorder="1" applyAlignment="1">
      <alignment horizontal="left" vertical="center" indent="1"/>
    </xf>
    <xf numFmtId="0" fontId="22" fillId="0" borderId="10" xfId="0" applyFont="1" applyBorder="1" applyAlignment="1">
      <alignment horizontal="left" vertical="center" indent="1"/>
    </xf>
    <xf numFmtId="0" fontId="22" fillId="35" borderId="10" xfId="0" applyFont="1" applyFill="1" applyBorder="1" applyAlignment="1">
      <alignment horizontal="left" vertical="center" indent="1"/>
    </xf>
    <xf numFmtId="0" fontId="22" fillId="36" borderId="10" xfId="0" applyFont="1" applyFill="1" applyBorder="1" applyAlignment="1">
      <alignment horizontal="left" vertical="center" indent="1"/>
    </xf>
    <xf numFmtId="0" fontId="22" fillId="37" borderId="10" xfId="0" applyFont="1" applyFill="1" applyBorder="1" applyAlignment="1">
      <alignment horizontal="left" vertical="center" indent="1"/>
    </xf>
    <xf numFmtId="0" fontId="22" fillId="38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right" vertical="center" indent="1"/>
    </xf>
    <xf numFmtId="0" fontId="22" fillId="34" borderId="10" xfId="0" applyFont="1" applyFill="1" applyBorder="1" applyAlignment="1">
      <alignment horizontal="right" vertical="center" indent="1"/>
    </xf>
    <xf numFmtId="1" fontId="22" fillId="34" borderId="10" xfId="0" applyNumberFormat="1" applyFont="1" applyFill="1" applyBorder="1" applyAlignment="1">
      <alignment horizontal="right" vertical="center" indent="1"/>
    </xf>
    <xf numFmtId="0" fontId="22" fillId="36" borderId="10" xfId="0" applyFont="1" applyFill="1" applyBorder="1" applyAlignment="1">
      <alignment horizontal="right" vertical="center" indent="1"/>
    </xf>
    <xf numFmtId="165" fontId="22" fillId="36" borderId="10" xfId="42" applyNumberFormat="1" applyFont="1" applyFill="1" applyBorder="1" applyAlignment="1">
      <alignment horizontal="right" vertical="center" indent="1"/>
    </xf>
    <xf numFmtId="0" fontId="22" fillId="37" borderId="10" xfId="0" applyFont="1" applyFill="1" applyBorder="1" applyAlignment="1">
      <alignment horizontal="right" vertical="center" indent="1"/>
    </xf>
    <xf numFmtId="14" fontId="22" fillId="38" borderId="10" xfId="0" applyNumberFormat="1" applyFont="1" applyFill="1" applyBorder="1" applyAlignment="1">
      <alignment horizontal="right" vertical="center" indent="1"/>
    </xf>
    <xf numFmtId="1" fontId="22" fillId="38" borderId="10" xfId="0" applyNumberFormat="1" applyFont="1" applyFill="1" applyBorder="1" applyAlignment="1">
      <alignment horizontal="right" vertical="center" indent="1"/>
    </xf>
    <xf numFmtId="0" fontId="20" fillId="33" borderId="10" xfId="0" applyFont="1" applyFill="1" applyBorder="1" applyAlignment="1">
      <alignment vertical="center" wrapText="1"/>
    </xf>
    <xf numFmtId="1" fontId="0" fillId="0" borderId="0" xfId="0" applyNumberFormat="1"/>
    <xf numFmtId="165" fontId="0" fillId="0" borderId="0" xfId="42" applyNumberFormat="1" applyFont="1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3" fillId="0" borderId="0" xfId="0" applyFont="1"/>
    <xf numFmtId="0" fontId="0" fillId="0" borderId="0" xfId="0" applyFont="1"/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left" vertical="center" wrapText="1" indent="1"/>
    </xf>
    <xf numFmtId="0" fontId="20" fillId="33" borderId="10" xfId="0" applyFont="1" applyFill="1" applyBorder="1" applyAlignment="1">
      <alignment horizontal="center" vertical="center" wrapText="1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"/>
  <sheetViews>
    <sheetView tabSelected="1" topLeftCell="AB1" workbookViewId="0">
      <selection activeCell="AG18" sqref="AG18"/>
    </sheetView>
  </sheetViews>
  <sheetFormatPr defaultRowHeight="14.4" x14ac:dyDescent="0.3"/>
  <cols>
    <col min="1" max="1" width="13.44140625" bestFit="1" customWidth="1"/>
    <col min="2" max="3" width="13.44140625" customWidth="1"/>
    <col min="4" max="4" width="75.6640625" bestFit="1" customWidth="1"/>
    <col min="5" max="6" width="15.6640625" customWidth="1"/>
    <col min="7" max="7" width="15.6640625" bestFit="1" customWidth="1"/>
    <col min="8" max="8" width="15.6640625" customWidth="1"/>
    <col min="9" max="9" width="17.6640625" bestFit="1" customWidth="1"/>
    <col min="10" max="10" width="20.6640625" bestFit="1" customWidth="1"/>
    <col min="11" max="14" width="20.6640625" customWidth="1"/>
    <col min="15" max="15" width="18.44140625" customWidth="1"/>
    <col min="16" max="16" width="26.88671875" bestFit="1" customWidth="1"/>
    <col min="17" max="17" width="20.88671875" bestFit="1" customWidth="1"/>
    <col min="18" max="18" width="27.6640625" bestFit="1" customWidth="1"/>
    <col min="19" max="19" width="27.77734375" bestFit="1" customWidth="1"/>
    <col min="20" max="20" width="24.109375" bestFit="1" customWidth="1"/>
    <col min="21" max="21" width="11.33203125" customWidth="1"/>
    <col min="22" max="22" width="13.5546875" bestFit="1" customWidth="1"/>
    <col min="23" max="23" width="14.88671875" bestFit="1" customWidth="1"/>
    <col min="24" max="24" width="16.21875" bestFit="1" customWidth="1"/>
    <col min="25" max="25" width="25.88671875" bestFit="1" customWidth="1"/>
    <col min="26" max="26" width="28.33203125" customWidth="1"/>
    <col min="27" max="27" width="21" customWidth="1"/>
    <col min="28" max="28" width="35.21875" customWidth="1"/>
    <col min="30" max="30" width="30.33203125" customWidth="1"/>
    <col min="31" max="31" width="16.6640625" customWidth="1"/>
    <col min="35" max="35" width="13.5546875" customWidth="1"/>
  </cols>
  <sheetData>
    <row r="1" spans="1:38" x14ac:dyDescent="0.3">
      <c r="A1" t="s">
        <v>33</v>
      </c>
      <c r="B1" t="s">
        <v>31</v>
      </c>
      <c r="C1" t="s">
        <v>32</v>
      </c>
      <c r="D1" t="s">
        <v>49</v>
      </c>
      <c r="E1" t="s">
        <v>50</v>
      </c>
      <c r="F1" t="s">
        <v>63</v>
      </c>
      <c r="G1" t="s">
        <v>34</v>
      </c>
      <c r="H1" t="s">
        <v>35</v>
      </c>
      <c r="I1" t="s">
        <v>37</v>
      </c>
      <c r="J1" t="s">
        <v>36</v>
      </c>
      <c r="K1" t="s">
        <v>51</v>
      </c>
      <c r="L1" t="s">
        <v>52</v>
      </c>
      <c r="M1" t="s">
        <v>53</v>
      </c>
      <c r="N1" t="s">
        <v>55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  <c r="V1" t="s">
        <v>20</v>
      </c>
      <c r="W1" t="s">
        <v>22</v>
      </c>
      <c r="X1" t="s">
        <v>21</v>
      </c>
      <c r="Y1" t="s">
        <v>23</v>
      </c>
      <c r="Z1" t="s">
        <v>24</v>
      </c>
      <c r="AA1" t="s">
        <v>94</v>
      </c>
      <c r="AB1" t="s">
        <v>95</v>
      </c>
      <c r="AE1" t="s">
        <v>105</v>
      </c>
      <c r="AF1" t="s">
        <v>106</v>
      </c>
    </row>
    <row r="2" spans="1:38" x14ac:dyDescent="0.3">
      <c r="A2" t="s">
        <v>0</v>
      </c>
      <c r="B2" t="s">
        <v>66</v>
      </c>
      <c r="C2" s="26">
        <v>8888857677</v>
      </c>
      <c r="D2" t="s">
        <v>76</v>
      </c>
      <c r="E2" t="s">
        <v>86</v>
      </c>
      <c r="F2" s="24">
        <v>300000</v>
      </c>
      <c r="G2" s="4">
        <v>45142</v>
      </c>
      <c r="H2" s="24">
        <v>16666.666666666668</v>
      </c>
      <c r="I2">
        <v>0</v>
      </c>
      <c r="J2" s="27">
        <f>F2*50%</f>
        <v>150000</v>
      </c>
      <c r="K2" s="25">
        <f>G2-30</f>
        <v>45112</v>
      </c>
      <c r="L2" t="s">
        <v>65</v>
      </c>
      <c r="M2" s="23">
        <v>919876970324</v>
      </c>
      <c r="N2">
        <v>800</v>
      </c>
      <c r="O2">
        <v>0</v>
      </c>
      <c r="P2">
        <v>90</v>
      </c>
      <c r="Q2">
        <v>1</v>
      </c>
      <c r="R2">
        <v>6.25E-2</v>
      </c>
      <c r="S2">
        <v>170000</v>
      </c>
      <c r="T2">
        <v>0</v>
      </c>
      <c r="U2">
        <v>3</v>
      </c>
      <c r="V2" t="s">
        <v>1</v>
      </c>
      <c r="W2">
        <v>730</v>
      </c>
      <c r="X2" t="str">
        <f>IF(W2&lt;680,"High_Risk",IF(W2&lt;725,"Medium_Risk","Self_Cure"))</f>
        <v>Self_Cure</v>
      </c>
      <c r="Y2" s="1" t="s">
        <v>29</v>
      </c>
      <c r="Z2" s="2" t="s">
        <v>30</v>
      </c>
      <c r="AA2">
        <v>9026875557</v>
      </c>
      <c r="AB2" t="s">
        <v>98</v>
      </c>
      <c r="AE2">
        <v>40000</v>
      </c>
      <c r="AF2" s="35">
        <v>35449</v>
      </c>
      <c r="AI2" s="24"/>
      <c r="AL2" s="24"/>
    </row>
    <row r="3" spans="1:38" x14ac:dyDescent="0.3">
      <c r="A3" t="s">
        <v>2</v>
      </c>
      <c r="B3" t="s">
        <v>67</v>
      </c>
      <c r="C3" s="26">
        <v>9488358183</v>
      </c>
      <c r="D3" t="s">
        <v>77</v>
      </c>
      <c r="E3" t="s">
        <v>86</v>
      </c>
      <c r="F3" s="24">
        <v>250000</v>
      </c>
      <c r="G3" s="4">
        <v>45148</v>
      </c>
      <c r="H3" s="24">
        <v>10416.666666666666</v>
      </c>
      <c r="I3">
        <v>0</v>
      </c>
      <c r="J3" s="27">
        <f>F3*75%</f>
        <v>187500</v>
      </c>
      <c r="K3" s="25">
        <f>G3-15</f>
        <v>45133</v>
      </c>
      <c r="L3" t="s">
        <v>65</v>
      </c>
      <c r="M3" s="23">
        <v>916300716094</v>
      </c>
      <c r="N3">
        <v>760</v>
      </c>
      <c r="O3">
        <v>0</v>
      </c>
      <c r="P3">
        <v>30</v>
      </c>
      <c r="Q3">
        <v>0.222222222</v>
      </c>
      <c r="R3">
        <v>0.321428571</v>
      </c>
      <c r="S3">
        <v>164000</v>
      </c>
      <c r="T3">
        <v>0</v>
      </c>
      <c r="U3">
        <v>2</v>
      </c>
      <c r="V3" t="s">
        <v>3</v>
      </c>
      <c r="W3">
        <v>721</v>
      </c>
      <c r="X3" t="str">
        <f t="shared" ref="X3:X11" si="0">IF(W3&lt;680,"High_Risk",IF(W3&lt;725,"Medium_Risk","Self_Cure"))</f>
        <v>Medium_Risk</v>
      </c>
      <c r="Y3" s="3" t="s">
        <v>27</v>
      </c>
      <c r="Z3" s="3" t="s">
        <v>28</v>
      </c>
      <c r="AA3">
        <v>9582201595</v>
      </c>
      <c r="AB3" t="s">
        <v>96</v>
      </c>
      <c r="AE3">
        <v>35000</v>
      </c>
      <c r="AF3" s="35">
        <v>19871</v>
      </c>
      <c r="AI3" s="24"/>
      <c r="AL3" s="24"/>
    </row>
    <row r="4" spans="1:38" x14ac:dyDescent="0.3">
      <c r="A4" t="s">
        <v>4</v>
      </c>
      <c r="B4" t="s">
        <v>68</v>
      </c>
      <c r="C4" s="26">
        <v>9698416043</v>
      </c>
      <c r="D4" t="s">
        <v>78</v>
      </c>
      <c r="E4" t="s">
        <v>87</v>
      </c>
      <c r="F4" s="24">
        <v>75000</v>
      </c>
      <c r="G4" s="4">
        <v>45141</v>
      </c>
      <c r="H4" s="24">
        <v>6250</v>
      </c>
      <c r="I4" s="27">
        <f>H4*2</f>
        <v>12500</v>
      </c>
      <c r="J4" s="27">
        <f>F4*80%</f>
        <v>60000</v>
      </c>
      <c r="K4" s="25">
        <f>G4-30</f>
        <v>45111</v>
      </c>
      <c r="L4" t="s">
        <v>92</v>
      </c>
      <c r="M4" s="23">
        <v>919700325953</v>
      </c>
      <c r="N4">
        <v>680</v>
      </c>
      <c r="O4">
        <v>0</v>
      </c>
      <c r="P4">
        <v>30</v>
      </c>
      <c r="Q4">
        <v>0.25</v>
      </c>
      <c r="R4">
        <v>0.17333333300000001</v>
      </c>
      <c r="S4">
        <v>0</v>
      </c>
      <c r="T4" t="s">
        <v>91</v>
      </c>
      <c r="U4">
        <v>1</v>
      </c>
      <c r="V4" t="s">
        <v>1</v>
      </c>
      <c r="W4">
        <v>659</v>
      </c>
      <c r="X4" t="str">
        <f t="shared" si="0"/>
        <v>High_Risk</v>
      </c>
      <c r="Y4" s="2" t="s">
        <v>25</v>
      </c>
      <c r="Z4" s="2" t="s">
        <v>26</v>
      </c>
      <c r="AA4">
        <v>9873762826</v>
      </c>
      <c r="AB4" t="s">
        <v>97</v>
      </c>
      <c r="AE4">
        <v>10000</v>
      </c>
      <c r="AF4" s="35">
        <v>9887</v>
      </c>
      <c r="AI4" s="24"/>
      <c r="AL4" s="24"/>
    </row>
    <row r="5" spans="1:38" x14ac:dyDescent="0.3">
      <c r="A5" t="s">
        <v>5</v>
      </c>
      <c r="B5" t="s">
        <v>69</v>
      </c>
      <c r="C5" s="26">
        <v>8287045663</v>
      </c>
      <c r="D5" t="s">
        <v>79</v>
      </c>
      <c r="E5" t="s">
        <v>87</v>
      </c>
      <c r="F5" s="24">
        <v>200000</v>
      </c>
      <c r="G5" s="4">
        <v>45143</v>
      </c>
      <c r="H5" s="24">
        <v>16666.666666666668</v>
      </c>
      <c r="I5">
        <v>0</v>
      </c>
      <c r="J5" s="27">
        <f>F5*75%</f>
        <v>150000</v>
      </c>
      <c r="K5" s="25">
        <f>G5-25</f>
        <v>45118</v>
      </c>
      <c r="L5" t="s">
        <v>65</v>
      </c>
      <c r="M5" s="23">
        <v>919849751550</v>
      </c>
      <c r="N5">
        <v>750</v>
      </c>
      <c r="O5">
        <v>0</v>
      </c>
      <c r="P5">
        <v>30</v>
      </c>
      <c r="Q5">
        <v>0.625</v>
      </c>
      <c r="R5">
        <v>0.20512820500000001</v>
      </c>
      <c r="S5">
        <v>300000</v>
      </c>
      <c r="T5">
        <v>0</v>
      </c>
      <c r="U5">
        <v>1</v>
      </c>
      <c r="V5" t="s">
        <v>6</v>
      </c>
      <c r="W5">
        <v>719</v>
      </c>
      <c r="X5" t="str">
        <f t="shared" si="0"/>
        <v>Medium_Risk</v>
      </c>
      <c r="Y5" s="3" t="s">
        <v>27</v>
      </c>
      <c r="Z5" s="3" t="s">
        <v>28</v>
      </c>
      <c r="AA5">
        <v>9010455100</v>
      </c>
      <c r="AB5" t="s">
        <v>99</v>
      </c>
      <c r="AE5">
        <v>60000</v>
      </c>
      <c r="AF5" s="35">
        <v>23447</v>
      </c>
      <c r="AI5" s="24"/>
      <c r="AL5" s="24"/>
    </row>
    <row r="6" spans="1:38" x14ac:dyDescent="0.3">
      <c r="A6" t="s">
        <v>7</v>
      </c>
      <c r="B6" t="s">
        <v>70</v>
      </c>
      <c r="C6" s="26">
        <v>9108270252</v>
      </c>
      <c r="D6" t="s">
        <v>80</v>
      </c>
      <c r="E6" s="4" t="s">
        <v>93</v>
      </c>
      <c r="F6" s="24">
        <v>150000</v>
      </c>
      <c r="G6" s="4">
        <v>45150</v>
      </c>
      <c r="H6" s="24">
        <v>8333.3333333333339</v>
      </c>
      <c r="I6">
        <v>1000</v>
      </c>
      <c r="J6" s="27">
        <f>F6*50%</f>
        <v>75000</v>
      </c>
      <c r="K6" s="25">
        <f>G6-30</f>
        <v>45120</v>
      </c>
      <c r="L6" t="s">
        <v>65</v>
      </c>
      <c r="M6" s="23">
        <v>919876970324</v>
      </c>
      <c r="N6">
        <v>850</v>
      </c>
      <c r="O6">
        <v>0</v>
      </c>
      <c r="P6">
        <v>0</v>
      </c>
      <c r="Q6">
        <v>0.571428571</v>
      </c>
      <c r="R6">
        <v>0.18421052600000001</v>
      </c>
      <c r="S6">
        <v>300000</v>
      </c>
      <c r="T6">
        <v>0</v>
      </c>
      <c r="U6">
        <v>0</v>
      </c>
      <c r="V6" t="s">
        <v>6</v>
      </c>
      <c r="W6">
        <v>725</v>
      </c>
      <c r="X6" t="str">
        <f t="shared" si="0"/>
        <v>Self_Cure</v>
      </c>
      <c r="Y6" s="1" t="s">
        <v>29</v>
      </c>
      <c r="Z6" s="2" t="s">
        <v>30</v>
      </c>
      <c r="AA6">
        <v>9701579759</v>
      </c>
      <c r="AB6" t="s">
        <v>100</v>
      </c>
      <c r="AE6">
        <v>45000</v>
      </c>
      <c r="AF6" s="35">
        <v>14554</v>
      </c>
      <c r="AH6" s="4"/>
      <c r="AI6" s="24"/>
      <c r="AL6" s="24"/>
    </row>
    <row r="7" spans="1:38" x14ac:dyDescent="0.3">
      <c r="A7" t="s">
        <v>8</v>
      </c>
      <c r="B7" t="s">
        <v>71</v>
      </c>
      <c r="C7" s="26">
        <v>9092857445</v>
      </c>
      <c r="D7" t="s">
        <v>81</v>
      </c>
      <c r="E7" s="4" t="s">
        <v>93</v>
      </c>
      <c r="F7" s="24">
        <v>125000</v>
      </c>
      <c r="G7" s="4">
        <v>45150</v>
      </c>
      <c r="H7" s="24">
        <v>6944.4444444444443</v>
      </c>
      <c r="I7">
        <v>0</v>
      </c>
      <c r="J7" s="27">
        <f t="shared" ref="J7:J8" si="1">F7*75%</f>
        <v>93750</v>
      </c>
      <c r="K7" s="25">
        <f>G7-10</f>
        <v>45140</v>
      </c>
      <c r="L7" t="s">
        <v>89</v>
      </c>
      <c r="M7" s="23">
        <v>919849751550</v>
      </c>
      <c r="N7">
        <v>760</v>
      </c>
      <c r="O7">
        <v>0</v>
      </c>
      <c r="P7">
        <v>0</v>
      </c>
      <c r="Q7">
        <v>0</v>
      </c>
      <c r="R7">
        <v>0.25</v>
      </c>
      <c r="S7">
        <v>435109</v>
      </c>
      <c r="T7">
        <v>0</v>
      </c>
      <c r="U7">
        <v>0</v>
      </c>
      <c r="V7" t="s">
        <v>3</v>
      </c>
      <c r="W7">
        <v>724</v>
      </c>
      <c r="X7" t="str">
        <f t="shared" si="0"/>
        <v>Medium_Risk</v>
      </c>
      <c r="Y7" s="3" t="s">
        <v>27</v>
      </c>
      <c r="Z7" s="3" t="s">
        <v>28</v>
      </c>
      <c r="AA7">
        <v>9866650926</v>
      </c>
      <c r="AB7" t="s">
        <v>102</v>
      </c>
      <c r="AE7">
        <v>10000</v>
      </c>
      <c r="AF7" s="35">
        <v>8997</v>
      </c>
      <c r="AH7" s="4"/>
      <c r="AI7" s="24"/>
      <c r="AL7" s="24"/>
    </row>
    <row r="8" spans="1:38" x14ac:dyDescent="0.3">
      <c r="A8" t="s">
        <v>9</v>
      </c>
      <c r="B8" t="s">
        <v>72</v>
      </c>
      <c r="C8" s="26">
        <v>7002423774</v>
      </c>
      <c r="D8" t="s">
        <v>82</v>
      </c>
      <c r="E8" s="4" t="s">
        <v>88</v>
      </c>
      <c r="F8" s="24">
        <v>7500000</v>
      </c>
      <c r="G8" s="4">
        <v>45149</v>
      </c>
      <c r="H8" s="24">
        <v>62500</v>
      </c>
      <c r="I8">
        <v>0</v>
      </c>
      <c r="J8" s="27">
        <f t="shared" si="1"/>
        <v>5625000</v>
      </c>
      <c r="K8" s="25">
        <f>G8-10</f>
        <v>45139</v>
      </c>
      <c r="L8" t="s">
        <v>64</v>
      </c>
      <c r="M8" s="23">
        <v>919849751550</v>
      </c>
      <c r="N8">
        <v>697</v>
      </c>
      <c r="O8">
        <v>0</v>
      </c>
      <c r="P8">
        <v>30</v>
      </c>
      <c r="Q8">
        <v>0.71428571399999996</v>
      </c>
      <c r="R8">
        <v>0.38888888900000002</v>
      </c>
      <c r="S8">
        <v>140000</v>
      </c>
      <c r="T8">
        <v>0</v>
      </c>
      <c r="U8">
        <v>3</v>
      </c>
      <c r="V8" t="s">
        <v>3</v>
      </c>
      <c r="W8">
        <v>712</v>
      </c>
      <c r="X8" t="str">
        <f t="shared" si="0"/>
        <v>Medium_Risk</v>
      </c>
      <c r="Y8" s="3" t="s">
        <v>27</v>
      </c>
      <c r="Z8" s="3" t="s">
        <v>28</v>
      </c>
      <c r="AA8">
        <v>6283608060</v>
      </c>
      <c r="AB8" s="28" t="s">
        <v>103</v>
      </c>
      <c r="AE8">
        <v>50000</v>
      </c>
      <c r="AF8" s="35">
        <v>44339</v>
      </c>
      <c r="AH8" s="4"/>
      <c r="AI8" s="24"/>
      <c r="AL8" s="24"/>
    </row>
    <row r="9" spans="1:38" x14ac:dyDescent="0.3">
      <c r="A9" t="s">
        <v>10</v>
      </c>
      <c r="B9" t="s">
        <v>73</v>
      </c>
      <c r="C9" s="26">
        <v>7797136350</v>
      </c>
      <c r="D9" t="s">
        <v>83</v>
      </c>
      <c r="E9" s="4" t="s">
        <v>88</v>
      </c>
      <c r="F9" s="24">
        <v>10000000</v>
      </c>
      <c r="G9" s="4">
        <v>45142</v>
      </c>
      <c r="H9" s="24">
        <v>83333.333333333328</v>
      </c>
      <c r="I9" s="27">
        <f>H9*2</f>
        <v>166666.66666666666</v>
      </c>
      <c r="J9" s="27">
        <f t="shared" ref="J9:J10" si="2">F9*80%</f>
        <v>8000000</v>
      </c>
      <c r="K9" s="25">
        <f>G9-30</f>
        <v>45112</v>
      </c>
      <c r="L9" t="s">
        <v>89</v>
      </c>
      <c r="M9" s="23">
        <v>919700325953</v>
      </c>
      <c r="N9">
        <v>670</v>
      </c>
      <c r="O9">
        <v>0</v>
      </c>
      <c r="P9">
        <v>59</v>
      </c>
      <c r="Q9">
        <v>0.83333333300000001</v>
      </c>
      <c r="R9">
        <v>0.47619047599999997</v>
      </c>
      <c r="S9">
        <v>0</v>
      </c>
      <c r="T9" t="s">
        <v>91</v>
      </c>
      <c r="U9">
        <v>0</v>
      </c>
      <c r="V9" t="s">
        <v>1</v>
      </c>
      <c r="W9">
        <v>671</v>
      </c>
      <c r="X9" t="str">
        <f t="shared" si="0"/>
        <v>High_Risk</v>
      </c>
      <c r="Y9" s="2" t="s">
        <v>25</v>
      </c>
      <c r="Z9" s="2" t="s">
        <v>26</v>
      </c>
      <c r="AA9">
        <v>8600235199</v>
      </c>
      <c r="AB9" s="29" t="s">
        <v>104</v>
      </c>
      <c r="AE9">
        <v>15000</v>
      </c>
      <c r="AF9" s="35">
        <v>35449</v>
      </c>
      <c r="AH9" s="4"/>
      <c r="AI9" s="24"/>
      <c r="AL9" s="24"/>
    </row>
    <row r="10" spans="1:38" x14ac:dyDescent="0.3">
      <c r="A10" t="s">
        <v>11</v>
      </c>
      <c r="B10" t="s">
        <v>74</v>
      </c>
      <c r="C10" s="26">
        <v>9848617353</v>
      </c>
      <c r="D10" t="s">
        <v>84</v>
      </c>
      <c r="E10" t="s">
        <v>86</v>
      </c>
      <c r="F10" s="24">
        <v>750000</v>
      </c>
      <c r="G10" s="4">
        <v>45148</v>
      </c>
      <c r="H10" s="24">
        <v>20833.333333333332</v>
      </c>
      <c r="I10" s="27">
        <f>H10*2</f>
        <v>41666.666666666664</v>
      </c>
      <c r="J10" s="27">
        <f t="shared" si="2"/>
        <v>600000</v>
      </c>
      <c r="K10" s="25">
        <f>G10-30</f>
        <v>45118</v>
      </c>
      <c r="L10" t="s">
        <v>90</v>
      </c>
      <c r="M10" s="23">
        <v>919700325953</v>
      </c>
      <c r="N10">
        <v>650</v>
      </c>
      <c r="O10">
        <v>0</v>
      </c>
      <c r="P10">
        <v>59</v>
      </c>
      <c r="Q10">
        <v>1</v>
      </c>
      <c r="R10">
        <v>0.47619047599999997</v>
      </c>
      <c r="S10">
        <v>0</v>
      </c>
      <c r="T10" t="s">
        <v>91</v>
      </c>
      <c r="U10">
        <v>0</v>
      </c>
      <c r="V10" t="s">
        <v>1</v>
      </c>
      <c r="W10">
        <v>678</v>
      </c>
      <c r="X10" t="str">
        <f t="shared" si="0"/>
        <v>High_Risk</v>
      </c>
      <c r="Y10" s="2" t="s">
        <v>25</v>
      </c>
      <c r="Z10" s="2" t="s">
        <v>26</v>
      </c>
      <c r="AA10">
        <v>9873594453</v>
      </c>
      <c r="AB10" t="s">
        <v>102</v>
      </c>
      <c r="AE10">
        <v>28000</v>
      </c>
      <c r="AF10" s="35">
        <v>28568</v>
      </c>
      <c r="AI10" s="24"/>
      <c r="AL10" s="24"/>
    </row>
    <row r="11" spans="1:38" x14ac:dyDescent="0.3">
      <c r="A11" t="s">
        <v>12</v>
      </c>
      <c r="B11" t="s">
        <v>75</v>
      </c>
      <c r="C11" s="26">
        <v>9140231514</v>
      </c>
      <c r="D11" t="s">
        <v>85</v>
      </c>
      <c r="E11" t="s">
        <v>87</v>
      </c>
      <c r="F11" s="24">
        <v>300000</v>
      </c>
      <c r="G11" s="4">
        <v>45143</v>
      </c>
      <c r="H11" s="24">
        <v>25000</v>
      </c>
      <c r="I11" s="27">
        <f>H11</f>
        <v>25000</v>
      </c>
      <c r="J11" s="27">
        <f>F11*75%</f>
        <v>225000</v>
      </c>
      <c r="K11" s="25">
        <f>G11-36</f>
        <v>45107</v>
      </c>
      <c r="L11" t="s">
        <v>90</v>
      </c>
      <c r="M11" s="23">
        <v>916300716094</v>
      </c>
      <c r="N11">
        <v>640</v>
      </c>
      <c r="O11">
        <v>0</v>
      </c>
      <c r="P11">
        <v>60</v>
      </c>
      <c r="Q11">
        <v>0.21428571399999999</v>
      </c>
      <c r="R11">
        <v>0.53846153799999996</v>
      </c>
      <c r="S11">
        <v>0</v>
      </c>
      <c r="T11">
        <v>0</v>
      </c>
      <c r="U11">
        <v>3</v>
      </c>
      <c r="V11" t="s">
        <v>6</v>
      </c>
      <c r="W11">
        <v>682</v>
      </c>
      <c r="X11" t="str">
        <f t="shared" si="0"/>
        <v>Medium_Risk</v>
      </c>
      <c r="Y11" s="3" t="s">
        <v>27</v>
      </c>
      <c r="Z11" s="3" t="s">
        <v>28</v>
      </c>
      <c r="AA11">
        <v>9986533786</v>
      </c>
      <c r="AB11" t="s">
        <v>101</v>
      </c>
      <c r="AE11">
        <v>44000</v>
      </c>
      <c r="AF11" s="35">
        <v>25000</v>
      </c>
      <c r="AI11" s="24"/>
      <c r="AL11" s="24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>
      <selection activeCell="C23" sqref="C23"/>
    </sheetView>
  </sheetViews>
  <sheetFormatPr defaultRowHeight="14.4" x14ac:dyDescent="0.3"/>
  <cols>
    <col min="1" max="1" width="3.33203125" customWidth="1"/>
    <col min="2" max="2" width="21.88671875" customWidth="1"/>
    <col min="3" max="3" width="28.44140625" customWidth="1"/>
    <col min="4" max="4" width="56.6640625" customWidth="1"/>
    <col min="5" max="5" width="3.33203125" customWidth="1"/>
    <col min="6" max="6" width="19.21875" bestFit="1" customWidth="1"/>
    <col min="7" max="7" width="44.33203125" bestFit="1" customWidth="1"/>
    <col min="8" max="8" width="26.6640625" customWidth="1"/>
  </cols>
  <sheetData>
    <row r="2" spans="2:8" ht="15.6" x14ac:dyDescent="0.3">
      <c r="B2" s="34" t="s">
        <v>38</v>
      </c>
      <c r="C2" s="13" t="s">
        <v>39</v>
      </c>
      <c r="D2" s="14" t="s">
        <v>40</v>
      </c>
      <c r="E2" s="5"/>
      <c r="F2" s="6" t="s">
        <v>41</v>
      </c>
      <c r="G2" s="6" t="s">
        <v>42</v>
      </c>
      <c r="H2" s="6" t="s">
        <v>43</v>
      </c>
    </row>
    <row r="3" spans="2:8" ht="15.6" x14ac:dyDescent="0.3">
      <c r="B3" s="34"/>
      <c r="C3" s="7" t="s">
        <v>31</v>
      </c>
      <c r="D3" s="15" t="str">
        <f>VLOOKUP($D$2,[1]Dummy_Data!$B$2:$AL$11,2,0)</f>
        <v>RANJIT SINGH</v>
      </c>
      <c r="E3" s="5"/>
      <c r="F3" s="30" t="s">
        <v>60</v>
      </c>
      <c r="G3" s="8" t="s">
        <v>57</v>
      </c>
      <c r="H3" s="8" t="s">
        <v>48</v>
      </c>
    </row>
    <row r="4" spans="2:8" ht="15.6" x14ac:dyDescent="0.3">
      <c r="B4" s="34"/>
      <c r="C4" s="7" t="s">
        <v>32</v>
      </c>
      <c r="D4" s="16">
        <f>VLOOKUP($D$2,[1]Dummy_Data!$B$2:$AL$11,3,0)</f>
        <v>919876970324</v>
      </c>
      <c r="E4" s="5"/>
      <c r="F4" s="31"/>
      <c r="G4" s="8" t="s">
        <v>44</v>
      </c>
      <c r="H4" s="8" t="s">
        <v>48</v>
      </c>
    </row>
    <row r="5" spans="2:8" ht="15.6" x14ac:dyDescent="0.3">
      <c r="B5" s="34"/>
      <c r="C5" s="7" t="s">
        <v>49</v>
      </c>
      <c r="D5" s="15" t="str">
        <f>VLOOKUP($D$2,[1]Dummy_Data!$B$2:$AL$11,5,0)</f>
        <v>BL</v>
      </c>
      <c r="E5" s="5"/>
      <c r="F5" s="31"/>
      <c r="G5" s="8" t="s">
        <v>58</v>
      </c>
      <c r="H5" s="8"/>
    </row>
    <row r="6" spans="2:8" ht="15.6" x14ac:dyDescent="0.3">
      <c r="B6" s="22" t="s">
        <v>46</v>
      </c>
      <c r="C6" s="10" t="s">
        <v>50</v>
      </c>
      <c r="D6" s="17">
        <f>VLOOKUP($D$2,[1]Dummy_Data!$B$2:$AL$11,6,0)</f>
        <v>300000</v>
      </c>
      <c r="E6" s="5"/>
      <c r="F6" s="32"/>
      <c r="G6" s="8" t="s">
        <v>59</v>
      </c>
      <c r="H6" s="8" t="s">
        <v>48</v>
      </c>
    </row>
    <row r="7" spans="2:8" ht="15.6" x14ac:dyDescent="0.3">
      <c r="B7" s="22"/>
      <c r="C7" s="10" t="s">
        <v>63</v>
      </c>
      <c r="D7" s="17"/>
      <c r="E7" s="5"/>
      <c r="F7" s="30" t="s">
        <v>61</v>
      </c>
      <c r="G7" s="8" t="s">
        <v>45</v>
      </c>
      <c r="H7" s="8">
        <f>VLOOKUP($D$2,[1]Dummy_Data!$B$2:$AL$11,22,0)</f>
        <v>90</v>
      </c>
    </row>
    <row r="8" spans="2:8" ht="15.6" x14ac:dyDescent="0.3">
      <c r="B8" s="22"/>
      <c r="C8" s="10" t="s">
        <v>34</v>
      </c>
      <c r="D8" s="18">
        <f>VLOOKUP($D$2,[1]Dummy_Data!$B$2:$AL$11,7,0)</f>
        <v>14545.994414085306</v>
      </c>
      <c r="E8" s="5"/>
      <c r="F8" s="31"/>
      <c r="G8" s="9" t="s">
        <v>13</v>
      </c>
      <c r="H8" s="8">
        <f>VLOOKUP($D$2,[1]Dummy_Data!$B$2:$AL$11,23,0)</f>
        <v>3</v>
      </c>
    </row>
    <row r="9" spans="2:8" ht="15.6" x14ac:dyDescent="0.3">
      <c r="B9" s="22"/>
      <c r="C9" s="10" t="s">
        <v>35</v>
      </c>
      <c r="D9" s="18">
        <f>VLOOKUP($D$2,[1]Dummy_Data!$B$2:$AL$11,8,0)</f>
        <v>44501.640034722222</v>
      </c>
      <c r="E9" s="5"/>
      <c r="F9" s="31"/>
      <c r="G9" s="8" t="s">
        <v>14</v>
      </c>
      <c r="H9" s="8">
        <f>VLOOKUP($D$2,[1]Dummy_Data!$B$2:$AL$11,24,0)</f>
        <v>2</v>
      </c>
    </row>
    <row r="10" spans="2:8" ht="15.6" x14ac:dyDescent="0.3">
      <c r="B10" s="22"/>
      <c r="C10" s="11" t="s">
        <v>37</v>
      </c>
      <c r="D10" s="19">
        <f>VLOOKUP($D$2,[1]Dummy_Data!$B$2:$AL$11,11,0)</f>
        <v>0</v>
      </c>
      <c r="E10" s="5"/>
      <c r="F10" s="31"/>
      <c r="G10" s="8" t="s">
        <v>15</v>
      </c>
      <c r="H10" s="8">
        <f>VLOOKUP($D$2,[1]Dummy_Data!$B$2:$AL$11,25,0)</f>
        <v>200000</v>
      </c>
    </row>
    <row r="11" spans="2:8" ht="15.6" x14ac:dyDescent="0.3">
      <c r="B11" s="22"/>
      <c r="C11" s="11" t="s">
        <v>56</v>
      </c>
      <c r="D11" s="19"/>
      <c r="E11" s="5"/>
      <c r="F11" s="31"/>
      <c r="G11" s="8" t="s">
        <v>16</v>
      </c>
      <c r="H11" s="8">
        <f>VLOOKUP($D$2,[1]Dummy_Data!$B$2:$AL$11,26,0)</f>
        <v>0</v>
      </c>
    </row>
    <row r="12" spans="2:8" ht="15.6" x14ac:dyDescent="0.3">
      <c r="B12" s="22"/>
      <c r="C12" s="11" t="s">
        <v>36</v>
      </c>
      <c r="D12" s="19">
        <f>VLOOKUP($D$2,[1]Dummy_Data!$B$2:$AL$11,12,0)</f>
        <v>0</v>
      </c>
      <c r="E12" s="5"/>
      <c r="F12" s="31"/>
      <c r="G12" s="8" t="s">
        <v>17</v>
      </c>
      <c r="H12" s="8">
        <f>VLOOKUP($D$2,[1]Dummy_Data!$B$2:$AL$11,26,0)</f>
        <v>0</v>
      </c>
    </row>
    <row r="13" spans="2:8" ht="15.6" x14ac:dyDescent="0.3">
      <c r="B13" s="33" t="s">
        <v>47</v>
      </c>
      <c r="C13" s="12" t="s">
        <v>51</v>
      </c>
      <c r="D13" s="20">
        <f>VLOOKUP($D$2,[1]Dummy_Data!$B$2:$AL$11,17,0)</f>
        <v>44680.640034722222</v>
      </c>
      <c r="E13" s="5"/>
      <c r="F13" s="32"/>
      <c r="G13" s="8" t="s">
        <v>18</v>
      </c>
      <c r="H13" s="8" t="str">
        <f>VLOOKUP($D$2,[1]Dummy_Data!$B$2:$AL$11,28,0)</f>
        <v>&gt;75%</v>
      </c>
    </row>
    <row r="14" spans="2:8" ht="15.6" x14ac:dyDescent="0.3">
      <c r="B14" s="33"/>
      <c r="C14" s="12" t="s">
        <v>62</v>
      </c>
      <c r="D14" s="20" t="s">
        <v>54</v>
      </c>
      <c r="E14" s="5"/>
      <c r="F14" s="5"/>
      <c r="G14" s="5"/>
      <c r="H14" s="5"/>
    </row>
    <row r="15" spans="2:8" ht="15.6" x14ac:dyDescent="0.3">
      <c r="B15" s="33"/>
      <c r="C15" s="12" t="s">
        <v>53</v>
      </c>
      <c r="D15" s="21">
        <f>D4</f>
        <v>919876970324</v>
      </c>
      <c r="E15" s="5"/>
      <c r="F15" s="5"/>
      <c r="G15" s="5"/>
      <c r="H15" s="5"/>
    </row>
    <row r="16" spans="2:8" ht="15.6" x14ac:dyDescent="0.3">
      <c r="E16" s="5"/>
    </row>
    <row r="17" spans="5:5" ht="15.6" x14ac:dyDescent="0.3">
      <c r="E17" s="5"/>
    </row>
    <row r="18" spans="5:5" ht="15.6" x14ac:dyDescent="0.3">
      <c r="E18" s="5"/>
    </row>
    <row r="19" spans="5:5" ht="15.6" x14ac:dyDescent="0.3">
      <c r="E19" s="5"/>
    </row>
    <row r="20" spans="5:5" ht="15.6" x14ac:dyDescent="0.3">
      <c r="E20" s="5"/>
    </row>
  </sheetData>
  <mergeCells count="4">
    <mergeCell ref="F7:F13"/>
    <mergeCell ref="B13:B15"/>
    <mergeCell ref="B2:B5"/>
    <mergeCell ref="F3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Sarthak</cp:lastModifiedBy>
  <dcterms:created xsi:type="dcterms:W3CDTF">2022-11-16T06:28:43Z</dcterms:created>
  <dcterms:modified xsi:type="dcterms:W3CDTF">2023-07-11T06:14:41Z</dcterms:modified>
</cp:coreProperties>
</file>