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namsterdam/Programming/AI/tikr_standalone_app/tikr_scraper/static/"/>
    </mc:Choice>
  </mc:AlternateContent>
  <xr:revisionPtr revIDLastSave="0" documentId="13_ncr:1_{97312FD7-00BE-1842-B34D-2EFF4EA0C4A6}" xr6:coauthVersionLast="47" xr6:coauthVersionMax="47" xr10:uidLastSave="{00000000-0000-0000-0000-000000000000}"/>
  <bookViews>
    <workbookView xWindow="2300" yWindow="2320" windowWidth="26840" windowHeight="15940" xr2:uid="{F8E3A096-F889-7C49-99D8-7A84181315FC}"/>
  </bookViews>
  <sheets>
    <sheet name="Valuation Boiler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O25" i="1"/>
  <c r="D2" i="1"/>
  <c r="B3" i="1"/>
  <c r="B20" i="1"/>
  <c r="C6" i="1"/>
  <c r="D6" i="1" s="1"/>
  <c r="E6" i="1" s="1"/>
  <c r="F6" i="1" s="1"/>
  <c r="G6" i="1" s="1"/>
  <c r="D4" i="1"/>
  <c r="E4" i="1"/>
  <c r="F4" i="1"/>
  <c r="G4" i="1"/>
  <c r="H4" i="1"/>
  <c r="I4" i="1"/>
  <c r="J4" i="1"/>
  <c r="K4" i="1"/>
  <c r="L4" i="1"/>
  <c r="M4" i="1"/>
  <c r="C4" i="1"/>
  <c r="G2" i="1"/>
  <c r="H2" i="1" s="1"/>
  <c r="I2" i="1" s="1"/>
  <c r="J2" i="1" s="1"/>
  <c r="K2" i="1" s="1"/>
  <c r="L2" i="1" s="1"/>
  <c r="M2" i="1" s="1"/>
  <c r="C2" i="1"/>
  <c r="N26" i="1"/>
  <c r="N25" i="1"/>
  <c r="O15" i="1"/>
  <c r="F2" i="1"/>
  <c r="E2" i="1"/>
  <c r="C3" i="1" l="1"/>
  <c r="C5" i="1" s="1"/>
  <c r="C7" i="1" s="1"/>
  <c r="H6" i="1"/>
  <c r="I6" i="1" s="1"/>
  <c r="J6" i="1" s="1"/>
  <c r="K6" i="1" s="1"/>
  <c r="L6" i="1" s="1"/>
  <c r="M6" i="1" s="1"/>
  <c r="C8" i="1" l="1"/>
  <c r="D3" i="1"/>
  <c r="D5" i="1" s="1"/>
  <c r="C9" i="1"/>
  <c r="D8" i="1" l="1"/>
  <c r="D7" i="1"/>
  <c r="D9" i="1" s="1"/>
  <c r="E3" i="1" l="1"/>
  <c r="E5" i="1" s="1"/>
  <c r="E7" i="1" s="1"/>
  <c r="F3" i="1"/>
  <c r="F5" i="1" s="1"/>
  <c r="F7" i="1" s="1"/>
  <c r="G3" i="1"/>
  <c r="H3" i="1" s="1"/>
  <c r="H8" i="1" l="1"/>
  <c r="H5" i="1"/>
  <c r="H7" i="1" s="1"/>
  <c r="H9" i="1" s="1"/>
  <c r="I3" i="1"/>
  <c r="J3" i="1" s="1"/>
  <c r="K3" i="1" s="1"/>
  <c r="G8" i="1"/>
  <c r="G5" i="1"/>
  <c r="G7" i="1" s="1"/>
  <c r="G9" i="1" s="1"/>
  <c r="F8" i="1"/>
  <c r="F9" i="1" s="1"/>
  <c r="E8" i="1"/>
  <c r="E9" i="1" s="1"/>
  <c r="J8" i="1"/>
  <c r="I8" i="1" l="1"/>
  <c r="I5" i="1"/>
  <c r="I7" i="1" s="1"/>
  <c r="I9" i="1" s="1"/>
  <c r="J5" i="1"/>
  <c r="J7" i="1" s="1"/>
  <c r="J9" i="1" s="1"/>
  <c r="K5" i="1"/>
  <c r="K7" i="1" s="1"/>
  <c r="K8" i="1"/>
  <c r="L3" i="1"/>
  <c r="L5" i="1" l="1"/>
  <c r="L7" i="1" s="1"/>
  <c r="L8" i="1"/>
  <c r="M3" i="1"/>
  <c r="K9" i="1"/>
  <c r="B14" i="1" l="1"/>
  <c r="L9" i="1"/>
  <c r="M8" i="1"/>
  <c r="M5" i="1"/>
  <c r="M7" i="1" s="1"/>
  <c r="M9" i="1" l="1"/>
  <c r="B11" i="1" s="1"/>
  <c r="B12" i="1" s="1"/>
  <c r="B13" i="1" s="1"/>
  <c r="B15" i="1" s="1"/>
  <c r="B16" i="1" s="1"/>
  <c r="B17" i="1" s="1"/>
  <c r="B18" i="1" s="1"/>
  <c r="B19" i="1" s="1"/>
  <c r="B21" i="1" s="1"/>
</calcChain>
</file>

<file path=xl/sharedStrings.xml><?xml version="1.0" encoding="utf-8"?>
<sst xmlns="http://schemas.openxmlformats.org/spreadsheetml/2006/main" count="36" uniqueCount="36">
  <si>
    <t>Base year</t>
  </si>
  <si>
    <t>Terminal year</t>
  </si>
  <si>
    <t>Revenue growth rate</t>
  </si>
  <si>
    <t>Revenues</t>
  </si>
  <si>
    <t>EBIT (Operating) margin</t>
  </si>
  <si>
    <t>EBIT (Operating income)</t>
  </si>
  <si>
    <t>Tax rate</t>
  </si>
  <si>
    <t>EBIT(1-t)</t>
  </si>
  <si>
    <t>- Reinvestment</t>
  </si>
  <si>
    <t>FCFF</t>
  </si>
  <si>
    <t>Terminal cash flow</t>
  </si>
  <si>
    <t>Growth Rate</t>
  </si>
  <si>
    <t>Operating Margin</t>
  </si>
  <si>
    <t>Terminal value</t>
  </si>
  <si>
    <t>RiskFreeRate</t>
  </si>
  <si>
    <t>PV(Terminal value)</t>
  </si>
  <si>
    <t>Tax Effective</t>
  </si>
  <si>
    <t>PV (CF over next 10 years)</t>
  </si>
  <si>
    <t>Sales to Capital Ratio</t>
  </si>
  <si>
    <t>Sum of PV</t>
  </si>
  <si>
    <t>Tax Marginal</t>
  </si>
  <si>
    <t>Probability of failure =</t>
  </si>
  <si>
    <t>Proceeds if firm fails =</t>
  </si>
  <si>
    <t>Value of operating assets =</t>
  </si>
  <si>
    <t>- Debt</t>
  </si>
  <si>
    <t>- Minority interests</t>
  </si>
  <si>
    <t>Value of equity</t>
  </si>
  <si>
    <t>- Value of options</t>
  </si>
  <si>
    <t>Value of equity in common stock</t>
  </si>
  <si>
    <t>Number of shares</t>
  </si>
  <si>
    <t>Estimated value /share</t>
  </si>
  <si>
    <t>Price</t>
  </si>
  <si>
    <t>Price as % of value</t>
  </si>
  <si>
    <t>Revenue</t>
  </si>
  <si>
    <t>Price Currently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</si>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</sst>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m/d"/>
  </numFmts>
  <fonts count="6">
    <font>
      <sz val="12"/>
      <color theme="1"/>
      <name val="Aptos Narrow"/>
      <family val="2"/>
      <scheme val="minor"/>
    </font>
    <font>
      <i/>
      <sz val="12"/>
      <color theme="1"/>
      <name val="Times"/>
    </font>
    <font>
      <sz val="12"/>
      <color theme="1"/>
      <name val="Times"/>
    </font>
    <font>
      <sz val="10"/>
      <color theme="1"/>
      <name val="Aptos Narrow"/>
      <family val="2"/>
      <scheme val="minor"/>
    </font>
    <font>
      <sz val="12"/>
      <color rgb="FFFF0000"/>
      <name val="Times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3" fillId="0" borderId="0" xfId="0" applyNumberFormat="1" applyFont="1"/>
    <xf numFmtId="10" fontId="3" fillId="0" borderId="0" xfId="0" applyNumberFormat="1" applyFont="1"/>
    <xf numFmtId="0" fontId="2" fillId="0" borderId="1" xfId="0" applyFont="1" applyBorder="1"/>
    <xf numFmtId="3" fontId="3" fillId="0" borderId="0" xfId="0" applyNumberFormat="1" applyFont="1"/>
    <xf numFmtId="9" fontId="3" fillId="0" borderId="0" xfId="0" applyNumberFormat="1" applyFont="1"/>
    <xf numFmtId="3" fontId="2" fillId="2" borderId="2" xfId="0" applyNumberFormat="1" applyFont="1" applyFill="1" applyBorder="1" applyAlignment="1">
      <alignment horizontal="right"/>
    </xf>
    <xf numFmtId="10" fontId="2" fillId="2" borderId="2" xfId="0" applyNumberFormat="1" applyFont="1" applyFill="1" applyBorder="1" applyAlignment="1">
      <alignment horizontal="right"/>
    </xf>
    <xf numFmtId="0" fontId="2" fillId="0" borderId="3" xfId="0" applyFont="1" applyBorder="1"/>
    <xf numFmtId="3" fontId="2" fillId="2" borderId="4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0" fontId="3" fillId="0" borderId="0" xfId="0" applyFont="1"/>
    <xf numFmtId="4" fontId="2" fillId="2" borderId="4" xfId="0" applyNumberFormat="1" applyFont="1" applyFill="1" applyBorder="1" applyAlignment="1">
      <alignment horizontal="right"/>
    </xf>
    <xf numFmtId="165" fontId="3" fillId="0" borderId="0" xfId="0" applyNumberFormat="1" applyFont="1"/>
    <xf numFmtId="4" fontId="4" fillId="2" borderId="4" xfId="0" applyNumberFormat="1" applyFont="1" applyFill="1" applyBorder="1" applyAlignment="1">
      <alignment horizontal="right"/>
    </xf>
    <xf numFmtId="0" fontId="2" fillId="0" borderId="5" xfId="0" applyFont="1" applyBorder="1"/>
    <xf numFmtId="10" fontId="2" fillId="2" borderId="5" xfId="0" applyNumberFormat="1" applyFont="1" applyFill="1" applyBorder="1" applyAlignment="1">
      <alignment horizontal="right"/>
    </xf>
    <xf numFmtId="4" fontId="2" fillId="2" borderId="5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10" fontId="2" fillId="0" borderId="5" xfId="0" applyNumberFormat="1" applyFont="1" applyBorder="1"/>
    <xf numFmtId="0" fontId="0" fillId="3" borderId="0" xfId="0" applyFill="1"/>
    <xf numFmtId="0" fontId="0" fillId="3" borderId="5" xfId="0" applyFill="1" applyBorder="1"/>
    <xf numFmtId="164" fontId="5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B43E-A821-DE48-90CB-A0ED6C6B80F0}">
  <dimension ref="A1:O28"/>
  <sheetViews>
    <sheetView tabSelected="1" workbookViewId="0">
      <selection activeCell="H22" sqref="H22"/>
    </sheetView>
  </sheetViews>
  <sheetFormatPr baseColWidth="10" defaultRowHeight="16"/>
  <cols>
    <col min="1" max="1" width="27.83203125" bestFit="1" customWidth="1"/>
    <col min="12" max="12" width="6.33203125" bestFit="1" customWidth="1"/>
    <col min="14" max="14" width="19.5" bestFit="1" customWidth="1"/>
    <col min="15" max="15" width="18.83203125" customWidth="1"/>
  </cols>
  <sheetData>
    <row r="1" spans="1:15">
      <c r="A1" s="21"/>
      <c r="B1" s="22" t="s">
        <v>0</v>
      </c>
      <c r="C1" s="2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2" t="s">
        <v>1</v>
      </c>
    </row>
    <row r="2" spans="1:15">
      <c r="A2" s="23" t="s">
        <v>2</v>
      </c>
      <c r="C2" s="4">
        <f>$O$11</f>
        <v>0.04</v>
      </c>
      <c r="D2" s="4">
        <f>$O$11</f>
        <v>0.04</v>
      </c>
      <c r="E2" s="4">
        <f>$O$11</f>
        <v>0.04</v>
      </c>
      <c r="F2" s="4">
        <f>$O$11</f>
        <v>0.04</v>
      </c>
      <c r="G2" s="4">
        <f>$O$11</f>
        <v>0.04</v>
      </c>
      <c r="H2" s="4">
        <f t="shared" ref="H2:M2" si="0">G2-((G2- $O$13)/5)</f>
        <v>4.1200000000000001E-2</v>
      </c>
      <c r="I2" s="4">
        <f t="shared" si="0"/>
        <v>4.2160000000000003E-2</v>
      </c>
      <c r="J2" s="4">
        <f t="shared" si="0"/>
        <v>4.2928000000000001E-2</v>
      </c>
      <c r="K2" s="4">
        <f t="shared" si="0"/>
        <v>4.3542400000000002E-2</v>
      </c>
      <c r="L2" s="4">
        <f t="shared" si="0"/>
        <v>4.4033920000000004E-2</v>
      </c>
      <c r="M2" s="4">
        <f t="shared" si="0"/>
        <v>4.4427136000000006E-2</v>
      </c>
    </row>
    <row r="3" spans="1:15">
      <c r="A3" s="17" t="s">
        <v>3</v>
      </c>
      <c r="B3" s="13">
        <f>O18</f>
        <v>54247</v>
      </c>
      <c r="C3" s="6">
        <f t="shared" ref="C3:M3" si="1">B3*(1+C2)</f>
        <v>56416.880000000005</v>
      </c>
      <c r="D3" s="6">
        <f t="shared" si="1"/>
        <v>58673.55520000001</v>
      </c>
      <c r="E3" s="6">
        <f t="shared" si="1"/>
        <v>61020.49740800001</v>
      </c>
      <c r="F3" s="6">
        <f t="shared" si="1"/>
        <v>63461.317304320015</v>
      </c>
      <c r="G3" s="6">
        <f t="shared" si="1"/>
        <v>65999.769996492818</v>
      </c>
      <c r="H3" s="6">
        <f t="shared" si="1"/>
        <v>68718.960520348322</v>
      </c>
      <c r="I3" s="6">
        <f t="shared" si="1"/>
        <v>71616.1518958862</v>
      </c>
      <c r="J3" s="6">
        <f t="shared" si="1"/>
        <v>74690.490064472804</v>
      </c>
      <c r="K3" s="6">
        <f t="shared" si="1"/>
        <v>77942.693259056105</v>
      </c>
      <c r="L3" s="6">
        <f t="shared" si="1"/>
        <v>81374.815578609923</v>
      </c>
      <c r="M3" s="6">
        <f t="shared" si="1"/>
        <v>84990.06557729574</v>
      </c>
    </row>
    <row r="4" spans="1:15">
      <c r="A4" s="17" t="s">
        <v>4</v>
      </c>
      <c r="C4" s="7">
        <f t="shared" ref="C4:M4" si="2">$O$12</f>
        <v>0.15</v>
      </c>
      <c r="D4" s="7">
        <f t="shared" si="2"/>
        <v>0.15</v>
      </c>
      <c r="E4" s="7">
        <f t="shared" si="2"/>
        <v>0.15</v>
      </c>
      <c r="F4" s="7">
        <f t="shared" si="2"/>
        <v>0.15</v>
      </c>
      <c r="G4" s="7">
        <f t="shared" si="2"/>
        <v>0.15</v>
      </c>
      <c r="H4" s="7">
        <f t="shared" si="2"/>
        <v>0.15</v>
      </c>
      <c r="I4" s="7">
        <f t="shared" si="2"/>
        <v>0.15</v>
      </c>
      <c r="J4" s="7">
        <f t="shared" si="2"/>
        <v>0.15</v>
      </c>
      <c r="K4" s="7">
        <f t="shared" si="2"/>
        <v>0.15</v>
      </c>
      <c r="L4" s="7">
        <f t="shared" si="2"/>
        <v>0.15</v>
      </c>
      <c r="M4" s="7">
        <f t="shared" si="2"/>
        <v>0.15</v>
      </c>
    </row>
    <row r="5" spans="1:15">
      <c r="A5" s="17" t="s">
        <v>5</v>
      </c>
      <c r="B5" s="3"/>
      <c r="C5" s="6">
        <f t="shared" ref="C5:M5" si="3">C3*C4</f>
        <v>8462.5320000000011</v>
      </c>
      <c r="D5" s="6">
        <f t="shared" si="3"/>
        <v>8801.0332800000015</v>
      </c>
      <c r="E5" s="6">
        <f t="shared" si="3"/>
        <v>9153.0746112000015</v>
      </c>
      <c r="F5" s="6">
        <f t="shared" si="3"/>
        <v>9519.1975956480019</v>
      </c>
      <c r="G5" s="6">
        <f t="shared" si="3"/>
        <v>9899.965499473923</v>
      </c>
      <c r="H5" s="6">
        <f t="shared" si="3"/>
        <v>10307.844078052249</v>
      </c>
      <c r="I5" s="6">
        <f t="shared" si="3"/>
        <v>10742.42278438293</v>
      </c>
      <c r="J5" s="6">
        <f t="shared" si="3"/>
        <v>11203.57350967092</v>
      </c>
      <c r="K5" s="6">
        <f t="shared" si="3"/>
        <v>11691.403988858416</v>
      </c>
      <c r="L5" s="6">
        <f t="shared" si="3"/>
        <v>12206.222336791488</v>
      </c>
      <c r="M5" s="6">
        <f t="shared" si="3"/>
        <v>12748.509836594361</v>
      </c>
    </row>
    <row r="6" spans="1:15">
      <c r="A6" s="23" t="s">
        <v>6</v>
      </c>
      <c r="B6" s="3"/>
      <c r="C6" s="4">
        <f>O14</f>
        <v>0.12</v>
      </c>
      <c r="D6" s="4">
        <f t="shared" ref="D6:M6" si="4">C6+(($O$16-$O$14)/10)</f>
        <v>0.122</v>
      </c>
      <c r="E6" s="4">
        <f t="shared" si="4"/>
        <v>0.124</v>
      </c>
      <c r="F6" s="4">
        <f t="shared" si="4"/>
        <v>0.126</v>
      </c>
      <c r="G6" s="4">
        <f t="shared" si="4"/>
        <v>0.128</v>
      </c>
      <c r="H6" s="4">
        <f t="shared" si="4"/>
        <v>0.13</v>
      </c>
      <c r="I6" s="4">
        <f t="shared" si="4"/>
        <v>0.13200000000000001</v>
      </c>
      <c r="J6" s="4">
        <f t="shared" si="4"/>
        <v>0.13400000000000001</v>
      </c>
      <c r="K6" s="4">
        <f t="shared" si="4"/>
        <v>0.13600000000000001</v>
      </c>
      <c r="L6" s="4">
        <f t="shared" si="4"/>
        <v>0.13800000000000001</v>
      </c>
      <c r="M6" s="4">
        <f t="shared" si="4"/>
        <v>0.14000000000000001</v>
      </c>
    </row>
    <row r="7" spans="1:15">
      <c r="A7" s="17" t="s">
        <v>7</v>
      </c>
      <c r="B7" s="3"/>
      <c r="C7" s="6">
        <f t="shared" ref="C7:M7" si="5">C5*(1-C6)</f>
        <v>7447.0281600000008</v>
      </c>
      <c r="D7" s="6">
        <f t="shared" si="5"/>
        <v>7727.3072198400014</v>
      </c>
      <c r="E7" s="6">
        <f t="shared" si="5"/>
        <v>8018.0933594112012</v>
      </c>
      <c r="F7" s="6">
        <f t="shared" si="5"/>
        <v>8319.7786985963539</v>
      </c>
      <c r="G7" s="6">
        <f t="shared" si="5"/>
        <v>8632.7699155412611</v>
      </c>
      <c r="H7" s="6">
        <f t="shared" si="5"/>
        <v>8967.8243479054563</v>
      </c>
      <c r="I7" s="6">
        <f t="shared" si="5"/>
        <v>9324.4229768443838</v>
      </c>
      <c r="J7" s="6">
        <f t="shared" si="5"/>
        <v>9702.2946593750166</v>
      </c>
      <c r="K7" s="6">
        <f t="shared" si="5"/>
        <v>10101.37304637367</v>
      </c>
      <c r="L7" s="6">
        <f t="shared" si="5"/>
        <v>10521.763654314263</v>
      </c>
      <c r="M7" s="6">
        <f t="shared" si="5"/>
        <v>10963.718459471151</v>
      </c>
    </row>
    <row r="8" spans="1:15">
      <c r="A8" s="17" t="s">
        <v>8</v>
      </c>
      <c r="B8" s="3"/>
      <c r="C8" s="6">
        <f t="shared" ref="C8:M8" si="6">(C3-B3)/$O$15</f>
        <v>2169.8800000000047</v>
      </c>
      <c r="D8" s="6">
        <f t="shared" si="6"/>
        <v>2256.6752000000051</v>
      </c>
      <c r="E8" s="6">
        <f t="shared" si="6"/>
        <v>2346.9422080000004</v>
      </c>
      <c r="F8" s="6">
        <f t="shared" si="6"/>
        <v>2440.8198963200048</v>
      </c>
      <c r="G8" s="6">
        <f t="shared" si="6"/>
        <v>2538.4526921728029</v>
      </c>
      <c r="H8" s="6">
        <f t="shared" si="6"/>
        <v>2719.1905238555046</v>
      </c>
      <c r="I8" s="6">
        <f t="shared" si="6"/>
        <v>2897.1913755378773</v>
      </c>
      <c r="J8" s="6">
        <f t="shared" si="6"/>
        <v>3074.3381685866043</v>
      </c>
      <c r="K8" s="6">
        <f t="shared" si="6"/>
        <v>3252.2031945833005</v>
      </c>
      <c r="L8" s="6">
        <f t="shared" si="6"/>
        <v>3432.1223195538187</v>
      </c>
      <c r="M8" s="6">
        <f t="shared" si="6"/>
        <v>3615.2499986858165</v>
      </c>
    </row>
    <row r="9" spans="1:15">
      <c r="A9" s="10" t="s">
        <v>9</v>
      </c>
      <c r="B9" s="3"/>
      <c r="C9" s="6">
        <f t="shared" ref="C9:M9" si="7">C7-C8</f>
        <v>5277.1481599999961</v>
      </c>
      <c r="D9" s="6">
        <f t="shared" si="7"/>
        <v>5470.6320198399962</v>
      </c>
      <c r="E9" s="6">
        <f t="shared" si="7"/>
        <v>5671.1511514112008</v>
      </c>
      <c r="F9" s="6">
        <f t="shared" si="7"/>
        <v>5878.9588022763492</v>
      </c>
      <c r="G9" s="6">
        <f t="shared" si="7"/>
        <v>6094.3172233684581</v>
      </c>
      <c r="H9" s="6">
        <f t="shared" si="7"/>
        <v>6248.6338240499517</v>
      </c>
      <c r="I9" s="6">
        <f t="shared" si="7"/>
        <v>6427.2316013065065</v>
      </c>
      <c r="J9" s="6">
        <f t="shared" si="7"/>
        <v>6627.9564907884123</v>
      </c>
      <c r="K9" s="6">
        <f t="shared" si="7"/>
        <v>6849.1698517903696</v>
      </c>
      <c r="L9" s="6">
        <f t="shared" si="7"/>
        <v>7089.6413347604448</v>
      </c>
      <c r="M9" s="6">
        <f t="shared" si="7"/>
        <v>7348.4684607853342</v>
      </c>
    </row>
    <row r="10" spans="1:15">
      <c r="B10" s="3"/>
    </row>
    <row r="11" spans="1:15">
      <c r="A11" s="5" t="s">
        <v>10</v>
      </c>
      <c r="B11" s="8">
        <f>M9</f>
        <v>7348.4684607853342</v>
      </c>
      <c r="N11" s="5" t="s">
        <v>11</v>
      </c>
      <c r="O11" s="9">
        <v>0.04</v>
      </c>
    </row>
    <row r="12" spans="1:15">
      <c r="A12" s="10" t="s">
        <v>13</v>
      </c>
      <c r="B12" s="11">
        <f>B11/(O20-O13)</f>
        <v>136082.74927380247</v>
      </c>
      <c r="N12" s="5" t="s">
        <v>12</v>
      </c>
      <c r="O12" s="9">
        <v>0.15</v>
      </c>
    </row>
    <row r="13" spans="1:15">
      <c r="A13" s="10" t="s">
        <v>15</v>
      </c>
      <c r="B13" s="11">
        <f>B12/(1+O20)^10</f>
        <v>52465.79078963599</v>
      </c>
      <c r="N13" s="5" t="s">
        <v>14</v>
      </c>
      <c r="O13" s="9">
        <v>4.5999999999999999E-2</v>
      </c>
    </row>
    <row r="14" spans="1:15">
      <c r="A14" s="10" t="s">
        <v>17</v>
      </c>
      <c r="B14" s="11">
        <f>NPV(O20,C9:L9)</f>
        <v>36934.358030627598</v>
      </c>
      <c r="N14" s="5" t="s">
        <v>16</v>
      </c>
      <c r="O14" s="9">
        <v>0.12</v>
      </c>
    </row>
    <row r="15" spans="1:15">
      <c r="A15" s="10" t="s">
        <v>19</v>
      </c>
      <c r="B15" s="11">
        <f>SUM(B13:B14)</f>
        <v>89400.148820263596</v>
      </c>
      <c r="N15" s="5" t="s">
        <v>18</v>
      </c>
      <c r="O15" s="12">
        <f>1</f>
        <v>1</v>
      </c>
    </row>
    <row r="16" spans="1:15">
      <c r="A16" s="10" t="s">
        <v>23</v>
      </c>
      <c r="B16" s="11">
        <f>B15</f>
        <v>89400.148820263596</v>
      </c>
      <c r="F16" s="13"/>
      <c r="N16" s="5" t="s">
        <v>20</v>
      </c>
      <c r="O16" s="9">
        <v>0.14000000000000001</v>
      </c>
    </row>
    <row r="17" spans="1:15">
      <c r="A17" s="10" t="s">
        <v>26</v>
      </c>
      <c r="B17" s="11">
        <f>B16-O23-O24+O25+O26</f>
        <v>89400.148820263596</v>
      </c>
      <c r="E17" s="13"/>
      <c r="O17" s="24"/>
    </row>
    <row r="18" spans="1:15">
      <c r="A18" s="10" t="s">
        <v>28</v>
      </c>
      <c r="B18" s="11">
        <f>B17-O27</f>
        <v>89400.148820263596</v>
      </c>
      <c r="F18" s="7"/>
      <c r="I18" s="4"/>
      <c r="N18" s="17" t="s">
        <v>33</v>
      </c>
      <c r="O18" s="26">
        <v>54247</v>
      </c>
    </row>
    <row r="19" spans="1:15">
      <c r="A19" s="10" t="s">
        <v>30</v>
      </c>
      <c r="B19" s="16" t="e">
        <f>B18/O28</f>
        <v>#DIV/0!</v>
      </c>
      <c r="I19" s="13"/>
      <c r="N19" s="17" t="s">
        <v>34</v>
      </c>
      <c r="O19" s="25">
        <v>1</v>
      </c>
    </row>
    <row r="20" spans="1:15">
      <c r="A20" s="10" t="s">
        <v>31</v>
      </c>
      <c r="B20" s="14">
        <f>O19</f>
        <v>1</v>
      </c>
      <c r="F20" s="3"/>
      <c r="N20" s="17" t="s">
        <v>35</v>
      </c>
      <c r="O20" s="18">
        <f>10%</f>
        <v>0.1</v>
      </c>
    </row>
    <row r="21" spans="1:15">
      <c r="A21" s="10" t="s">
        <v>32</v>
      </c>
      <c r="B21" s="14" t="e">
        <f>B19/B20</f>
        <v>#DIV/0!</v>
      </c>
      <c r="F21" s="7"/>
      <c r="I21" s="13"/>
      <c r="N21" s="17" t="s">
        <v>21</v>
      </c>
      <c r="O21" s="19">
        <v>0</v>
      </c>
    </row>
    <row r="22" spans="1:15">
      <c r="F22" s="13"/>
      <c r="H22" s="15"/>
      <c r="N22" s="17" t="s">
        <v>22</v>
      </c>
      <c r="O22" s="19">
        <v>0</v>
      </c>
    </row>
    <row r="23" spans="1:15">
      <c r="F23" s="13"/>
      <c r="N23" s="17" t="s">
        <v>24</v>
      </c>
      <c r="O23" s="20">
        <v>0</v>
      </c>
    </row>
    <row r="24" spans="1:15">
      <c r="N24" s="17" t="s">
        <v>25</v>
      </c>
      <c r="O24" s="20">
        <v>0</v>
      </c>
    </row>
    <row r="25" spans="1:15">
      <c r="N25" s="17" t="str">
        <f>"+Cash"</f>
        <v>+Cash</v>
      </c>
      <c r="O25" s="20">
        <f>0</f>
        <v>0</v>
      </c>
    </row>
    <row r="26" spans="1:15">
      <c r="N26" s="17" t="str">
        <f>"+Non-operating assets"</f>
        <v>+Non-operating assets</v>
      </c>
      <c r="O26" s="20">
        <v>0</v>
      </c>
    </row>
    <row r="27" spans="1:15">
      <c r="N27" s="17" t="s">
        <v>27</v>
      </c>
      <c r="O27" s="19">
        <v>0</v>
      </c>
    </row>
    <row r="28" spans="1:15">
      <c r="N28" s="17" t="s">
        <v>29</v>
      </c>
      <c r="O28" s="2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 Boilerplate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Sky</dc:creator>
  <cp:lastModifiedBy>Milan Sky</cp:lastModifiedBy>
  <dcterms:created xsi:type="dcterms:W3CDTF">2025-01-28T14:44:15Z</dcterms:created>
  <dcterms:modified xsi:type="dcterms:W3CDTF">2025-05-30T20:13:22Z</dcterms:modified>
</cp:coreProperties>
</file>