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aseyednezhad_uu_nl/Documents/MyMac/My PhD/Sources/NOBIS Report - Biodegradation/"/>
    </mc:Choice>
  </mc:AlternateContent>
  <xr:revisionPtr revIDLastSave="3" documentId="8_{A02309BE-C1EC-F940-ADDF-422E69CFB6D0}" xr6:coauthVersionLast="47" xr6:coauthVersionMax="47" xr10:uidLastSave="{F829DD14-33EC-434B-9699-B2D53C9B1F7D}"/>
  <bookViews>
    <workbookView xWindow="-28920" yWindow="-120" windowWidth="29040" windowHeight="15840" activeTab="1" xr2:uid="{00000000-000D-0000-FFFF-FFFF00000000}"/>
  </bookViews>
  <sheets>
    <sheet name="Duurzaamheid NA VOCl" sheetId="2" r:id="rId1"/>
    <sheet name="Duurzaamheid NA BTEX" sheetId="3" r:id="rId2"/>
    <sheet name="Kwaliteit metinge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3" l="1"/>
  <c r="K32" i="3"/>
  <c r="F32" i="3"/>
  <c r="F37" i="3"/>
  <c r="F36" i="3"/>
  <c r="F35" i="3"/>
  <c r="F34" i="3"/>
  <c r="F33" i="3"/>
  <c r="C32" i="2"/>
  <c r="F37" i="2"/>
  <c r="F36" i="2"/>
  <c r="F35" i="2"/>
  <c r="F34" i="2"/>
  <c r="F33" i="2"/>
  <c r="F32" i="2"/>
  <c r="K33" i="3" l="1"/>
  <c r="K34" i="3"/>
  <c r="K35" i="3"/>
  <c r="K36" i="3"/>
  <c r="K37" i="3"/>
  <c r="V11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V10" i="3"/>
  <c r="V9" i="3"/>
  <c r="N34" i="3" s="1"/>
  <c r="Q34" i="3" s="1"/>
  <c r="K36" i="2"/>
  <c r="C36" i="2"/>
  <c r="B36" i="2"/>
  <c r="A36" i="2"/>
  <c r="K35" i="2"/>
  <c r="C35" i="2"/>
  <c r="B35" i="2"/>
  <c r="A35" i="2"/>
  <c r="K37" i="2"/>
  <c r="K34" i="2"/>
  <c r="K33" i="2"/>
  <c r="K32" i="2"/>
  <c r="V9" i="2"/>
  <c r="V10" i="2"/>
  <c r="V11" i="2"/>
  <c r="V12" i="2"/>
  <c r="V13" i="2"/>
  <c r="V14" i="2"/>
  <c r="V15" i="2"/>
  <c r="C37" i="2"/>
  <c r="C34" i="2"/>
  <c r="C33" i="2"/>
  <c r="B37" i="2"/>
  <c r="B34" i="2"/>
  <c r="B33" i="2"/>
  <c r="B32" i="2"/>
  <c r="A37" i="2"/>
  <c r="A34" i="2"/>
  <c r="A33" i="2"/>
  <c r="A32" i="2"/>
  <c r="C31" i="2"/>
  <c r="B31" i="2"/>
  <c r="A31" i="2"/>
  <c r="C22" i="1"/>
  <c r="F26" i="1"/>
  <c r="F28" i="1" s="1"/>
  <c r="G10" i="1"/>
  <c r="G11" i="1"/>
  <c r="G12" i="1"/>
  <c r="G9" i="1"/>
  <c r="G13" i="1" s="1"/>
  <c r="C24" i="1" s="1"/>
  <c r="C10" i="1"/>
  <c r="C11" i="1"/>
  <c r="C12" i="1"/>
  <c r="C13" i="1"/>
  <c r="C14" i="1"/>
  <c r="C9" i="1"/>
  <c r="F25" i="1"/>
  <c r="F27" i="1" s="1"/>
  <c r="C15" i="1" l="1"/>
  <c r="N37" i="2"/>
  <c r="Q37" i="2" s="1"/>
  <c r="N36" i="2"/>
  <c r="Q36" i="2" s="1"/>
  <c r="N35" i="3"/>
  <c r="Q35" i="3" s="1"/>
  <c r="N32" i="2"/>
  <c r="Q32" i="2" s="1"/>
  <c r="N33" i="2"/>
  <c r="Q33" i="2" s="1"/>
  <c r="N34" i="2"/>
  <c r="Q34" i="2" s="1"/>
  <c r="C23" i="1"/>
  <c r="D17" i="1"/>
  <c r="F18" i="1" s="1"/>
  <c r="N37" i="3"/>
  <c r="Q37" i="3" s="1"/>
  <c r="N35" i="2"/>
  <c r="Q35" i="2" s="1"/>
  <c r="N33" i="3"/>
  <c r="Q33" i="3" s="1"/>
  <c r="Q32" i="3"/>
  <c r="N36" i="3"/>
  <c r="Q36" i="3" s="1"/>
</calcChain>
</file>

<file path=xl/sharedStrings.xml><?xml version="1.0" encoding="utf-8"?>
<sst xmlns="http://schemas.openxmlformats.org/spreadsheetml/2006/main" count="268" uniqueCount="102">
  <si>
    <t>Kationen</t>
  </si>
  <si>
    <t>Fe(II)</t>
  </si>
  <si>
    <t>Mn(II)</t>
  </si>
  <si>
    <t>Anionen</t>
  </si>
  <si>
    <t>mg/l</t>
  </si>
  <si>
    <t>meq/l</t>
  </si>
  <si>
    <r>
      <t>Cl</t>
    </r>
    <r>
      <rPr>
        <vertAlign val="superscript"/>
        <sz val="10"/>
        <rFont val="Arial"/>
        <family val="2"/>
      </rPr>
      <t>-</t>
    </r>
  </si>
  <si>
    <r>
      <t>Na</t>
    </r>
    <r>
      <rPr>
        <vertAlign val="superscript"/>
        <sz val="10"/>
        <rFont val="Arial"/>
        <family val="2"/>
      </rPr>
      <t>+</t>
    </r>
  </si>
  <si>
    <r>
      <t>K</t>
    </r>
    <r>
      <rPr>
        <vertAlign val="superscript"/>
        <sz val="10"/>
        <rFont val="Arial"/>
        <family val="2"/>
      </rPr>
      <t>+</t>
    </r>
  </si>
  <si>
    <r>
      <t>Mg</t>
    </r>
    <r>
      <rPr>
        <vertAlign val="superscript"/>
        <sz val="10"/>
        <rFont val="Arial"/>
        <family val="2"/>
      </rPr>
      <t>2+</t>
    </r>
  </si>
  <si>
    <r>
      <t>Ca</t>
    </r>
    <r>
      <rPr>
        <vertAlign val="superscript"/>
        <sz val="10"/>
        <rFont val="Arial"/>
        <family val="2"/>
      </rPr>
      <t>2+</t>
    </r>
  </si>
  <si>
    <r>
      <t>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</si>
  <si>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r>
      <t>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</si>
  <si>
    <r>
      <t>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</si>
  <si>
    <t>Totaal</t>
  </si>
  <si>
    <t xml:space="preserve">Electro Neutrality (%) = </t>
  </si>
  <si>
    <t>Indicatie onbekende ionen of analysefouten</t>
  </si>
  <si>
    <t xml:space="preserve">Geleidbaarheid </t>
  </si>
  <si>
    <t>µS/cm</t>
  </si>
  <si>
    <t>Ionsterkte afgeleid</t>
  </si>
  <si>
    <t>Ionsterkte berekend</t>
  </si>
  <si>
    <t>meg/l (EC/100)</t>
  </si>
  <si>
    <t>meq/l (som kationen)</t>
  </si>
  <si>
    <t>meq/l (som anionen)</t>
  </si>
  <si>
    <t>Controle op kwaliteit bemonstering</t>
  </si>
  <si>
    <t>Ionenbalans</t>
  </si>
  <si>
    <t xml:space="preserve">Electro Neutrality (%) obv kationen = </t>
  </si>
  <si>
    <t xml:space="preserve">Electro Neutrality (%) obv anionen = </t>
  </si>
  <si>
    <t>obv kationen</t>
  </si>
  <si>
    <t>obv anionen</t>
  </si>
  <si>
    <t>Reductiereacties</t>
  </si>
  <si>
    <t>Zuurstof</t>
  </si>
  <si>
    <t>Nitraat</t>
  </si>
  <si>
    <t>Sulfaat</t>
  </si>
  <si>
    <t>PER</t>
  </si>
  <si>
    <t>TRI</t>
  </si>
  <si>
    <t>CIS</t>
  </si>
  <si>
    <t>VC</t>
  </si>
  <si>
    <t>Oxidatiereacties</t>
  </si>
  <si>
    <t>DOC</t>
  </si>
  <si>
    <t>DOC (gecorr.)</t>
  </si>
  <si>
    <t>:</t>
  </si>
  <si>
    <t>+</t>
  </si>
  <si>
    <t>H+</t>
  </si>
  <si>
    <r>
      <t>H</t>
    </r>
    <r>
      <rPr>
        <vertAlign val="superscript"/>
        <sz val="10"/>
        <rFont val="Arial"/>
        <family val="2"/>
      </rPr>
      <t>+</t>
    </r>
  </si>
  <si>
    <r>
      <t>e</t>
    </r>
    <r>
      <rPr>
        <vertAlign val="superscript"/>
        <sz val="10"/>
        <rFont val="Arial"/>
        <family val="2"/>
      </rPr>
      <t>-</t>
    </r>
  </si>
  <si>
    <t>O2</t>
  </si>
  <si>
    <t>NO3-</t>
  </si>
  <si>
    <t>SO42-</t>
  </si>
  <si>
    <t>C2Cl4</t>
  </si>
  <si>
    <t>C2HCl3</t>
  </si>
  <si>
    <t>C2H2Cl2</t>
  </si>
  <si>
    <t>C2H3Cl</t>
  </si>
  <si>
    <t>H2O</t>
  </si>
  <si>
    <t>C2H4</t>
  </si>
  <si>
    <t>N2</t>
  </si>
  <si>
    <t>HS-</t>
  </si>
  <si>
    <t>Cl-</t>
  </si>
  <si>
    <t>C</t>
  </si>
  <si>
    <t>CO2</t>
  </si>
  <si>
    <t>e-</t>
  </si>
  <si>
    <t>Metingen</t>
  </si>
  <si>
    <t>Locatie</t>
  </si>
  <si>
    <t>Filternr.</t>
  </si>
  <si>
    <t>Diepte (m-mv)</t>
  </si>
  <si>
    <t>Zuurstof (mg/l)</t>
  </si>
  <si>
    <t>Nitraat (mg/l)</t>
  </si>
  <si>
    <t>Sulfaat (mg/l)</t>
  </si>
  <si>
    <t>PER (µg/l)</t>
  </si>
  <si>
    <t>TRI (µg/l)</t>
  </si>
  <si>
    <t>CIS (µg/l)</t>
  </si>
  <si>
    <t>VC (µg/l)</t>
  </si>
  <si>
    <t>Berekeningen elektronenbalans</t>
  </si>
  <si>
    <t>Som acceptoren (mmol e-/l)</t>
  </si>
  <si>
    <t>DOC (mg/l)</t>
  </si>
  <si>
    <t>Molmassa's</t>
  </si>
  <si>
    <t>,,</t>
  </si>
  <si>
    <t>mg/mmol</t>
  </si>
  <si>
    <t>Som donor (mmol e-/l)</t>
  </si>
  <si>
    <t>e-Balans</t>
  </si>
  <si>
    <t>Legenda</t>
  </si>
  <si>
    <t>=invullen</t>
  </si>
  <si>
    <t>=wordt berekend</t>
  </si>
  <si>
    <t>Conclusie</t>
  </si>
  <si>
    <r>
      <t xml:space="preserve">Ionsterkte, extra controle </t>
    </r>
    <r>
      <rPr>
        <b/>
        <sz val="8"/>
        <rFont val="Arial"/>
        <family val="2"/>
      </rPr>
      <t>(toepasbaar tot 2.000 µS/cm)</t>
    </r>
  </si>
  <si>
    <t>Bron</t>
  </si>
  <si>
    <t>benzeen</t>
  </si>
  <si>
    <t>tolueen</t>
  </si>
  <si>
    <t>ethylbenzeen</t>
  </si>
  <si>
    <t>xylenen</t>
  </si>
  <si>
    <t>benzeen (µg/l)</t>
  </si>
  <si>
    <t>tolueen (µg/l)</t>
  </si>
  <si>
    <t>ethylbenzeen (µg/l)</t>
  </si>
  <si>
    <t>xylenen (µg/l)</t>
  </si>
  <si>
    <t>Referentie</t>
  </si>
  <si>
    <t>Pluim</t>
  </si>
  <si>
    <t>C6H6</t>
  </si>
  <si>
    <t>C7H8</t>
  </si>
  <si>
    <t>C8H10</t>
  </si>
  <si>
    <t>Oxidatiereacties (met zuurstof als voorbeeld acceptor)</t>
  </si>
  <si>
    <t xml:space="preserve">Bepaling duurzaamheid NA VOCl op basis van balans elektronacceptoren / elektrondonor (DOC) </t>
  </si>
  <si>
    <t>Bepaling duurzaamheid NA BTEX op basis van balans elektronacceptoren / elektrondonor (BTEX)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</si>
</sst>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quotePrefix="1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7" fillId="0" borderId="1" xfId="0" applyFont="1" applyBorder="1"/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1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0" fontId="2" fillId="0" borderId="4" xfId="0" applyFont="1" applyBorder="1"/>
    <xf numFmtId="9" fontId="0" fillId="2" borderId="4" xfId="1" applyFont="1" applyFill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9" fontId="0" fillId="2" borderId="5" xfId="1" applyFont="1" applyFill="1" applyBorder="1" applyAlignment="1">
      <alignment horizontal="center"/>
    </xf>
    <xf numFmtId="0" fontId="7" fillId="0" borderId="4" xfId="0" applyFont="1" applyBorder="1"/>
    <xf numFmtId="0" fontId="8" fillId="0" borderId="4" xfId="0" applyFont="1" applyBorder="1"/>
    <xf numFmtId="0" fontId="0" fillId="2" borderId="4" xfId="0" applyFill="1" applyBorder="1"/>
    <xf numFmtId="0" fontId="7" fillId="0" borderId="5" xfId="0" applyFont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0" applyNumberFormat="1"/>
    <xf numFmtId="0" fontId="0" fillId="3" borderId="4" xfId="0" applyFill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" fontId="0" fillId="3" borderId="4" xfId="0" quotePrefix="1" applyNumberFormat="1" applyFill="1" applyBorder="1" applyAlignment="1" applyProtection="1">
      <alignment horizontal="center"/>
      <protection locked="0"/>
    </xf>
    <xf numFmtId="0" fontId="0" fillId="3" borderId="4" xfId="0" quotePrefix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8</xdr:row>
      <xdr:rowOff>104775</xdr:rowOff>
    </xdr:from>
    <xdr:to>
      <xdr:col>10</xdr:col>
      <xdr:colOff>438150</xdr:colOff>
      <xdr:row>8</xdr:row>
      <xdr:rowOff>104775</xdr:rowOff>
    </xdr:to>
    <xdr:sp macro="" textlink="">
      <xdr:nvSpPr>
        <xdr:cNvPr id="1205" name="Line 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ShapeType="1"/>
        </xdr:cNvSpPr>
      </xdr:nvSpPr>
      <xdr:spPr bwMode="auto">
        <a:xfrm>
          <a:off x="4143375" y="162877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9</xdr:row>
      <xdr:rowOff>104775</xdr:rowOff>
    </xdr:from>
    <xdr:to>
      <xdr:col>10</xdr:col>
      <xdr:colOff>438150</xdr:colOff>
      <xdr:row>9</xdr:row>
      <xdr:rowOff>104775</xdr:rowOff>
    </xdr:to>
    <xdr:sp macro="" textlink="">
      <xdr:nvSpPr>
        <xdr:cNvPr id="1206" name="Line 2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ShapeType="1"/>
        </xdr:cNvSpPr>
      </xdr:nvSpPr>
      <xdr:spPr bwMode="auto">
        <a:xfrm>
          <a:off x="4143375" y="180975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10</xdr:row>
      <xdr:rowOff>104775</xdr:rowOff>
    </xdr:from>
    <xdr:to>
      <xdr:col>10</xdr:col>
      <xdr:colOff>438150</xdr:colOff>
      <xdr:row>10</xdr:row>
      <xdr:rowOff>104775</xdr:rowOff>
    </xdr:to>
    <xdr:sp macro="" textlink="">
      <xdr:nvSpPr>
        <xdr:cNvPr id="1207" name="Line 3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ShapeType="1"/>
        </xdr:cNvSpPr>
      </xdr:nvSpPr>
      <xdr:spPr bwMode="auto">
        <a:xfrm>
          <a:off x="4143375" y="19907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11</xdr:row>
      <xdr:rowOff>104775</xdr:rowOff>
    </xdr:from>
    <xdr:to>
      <xdr:col>10</xdr:col>
      <xdr:colOff>438150</xdr:colOff>
      <xdr:row>11</xdr:row>
      <xdr:rowOff>104775</xdr:rowOff>
    </xdr:to>
    <xdr:sp macro="" textlink="">
      <xdr:nvSpPr>
        <xdr:cNvPr id="1208" name="Line 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ShapeType="1"/>
        </xdr:cNvSpPr>
      </xdr:nvSpPr>
      <xdr:spPr bwMode="auto">
        <a:xfrm>
          <a:off x="4143375" y="217170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12</xdr:row>
      <xdr:rowOff>104775</xdr:rowOff>
    </xdr:from>
    <xdr:to>
      <xdr:col>10</xdr:col>
      <xdr:colOff>438150</xdr:colOff>
      <xdr:row>12</xdr:row>
      <xdr:rowOff>104775</xdr:rowOff>
    </xdr:to>
    <xdr:sp macro="" textlink="">
      <xdr:nvSpPr>
        <xdr:cNvPr id="1209" name="Line 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ShapeType="1"/>
        </xdr:cNvSpPr>
      </xdr:nvSpPr>
      <xdr:spPr bwMode="auto">
        <a:xfrm>
          <a:off x="4143375" y="235267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13</xdr:row>
      <xdr:rowOff>104775</xdr:rowOff>
    </xdr:from>
    <xdr:to>
      <xdr:col>10</xdr:col>
      <xdr:colOff>438150</xdr:colOff>
      <xdr:row>13</xdr:row>
      <xdr:rowOff>104775</xdr:rowOff>
    </xdr:to>
    <xdr:sp macro="" textlink="">
      <xdr:nvSpPr>
        <xdr:cNvPr id="1210" name="Line 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ShapeType="1"/>
        </xdr:cNvSpPr>
      </xdr:nvSpPr>
      <xdr:spPr bwMode="auto">
        <a:xfrm>
          <a:off x="4143375" y="253365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14</xdr:row>
      <xdr:rowOff>104775</xdr:rowOff>
    </xdr:from>
    <xdr:to>
      <xdr:col>10</xdr:col>
      <xdr:colOff>438150</xdr:colOff>
      <xdr:row>14</xdr:row>
      <xdr:rowOff>104775</xdr:rowOff>
    </xdr:to>
    <xdr:sp macro="" textlink="">
      <xdr:nvSpPr>
        <xdr:cNvPr id="1211" name="Line 7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ShapeType="1"/>
        </xdr:cNvSpPr>
      </xdr:nvSpPr>
      <xdr:spPr bwMode="auto">
        <a:xfrm>
          <a:off x="4143375" y="27146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114300</xdr:rowOff>
    </xdr:from>
    <xdr:to>
      <xdr:col>10</xdr:col>
      <xdr:colOff>438150</xdr:colOff>
      <xdr:row>17</xdr:row>
      <xdr:rowOff>114300</xdr:rowOff>
    </xdr:to>
    <xdr:sp macro="" textlink="">
      <xdr:nvSpPr>
        <xdr:cNvPr id="1212" name="Line 8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ShapeType="1"/>
        </xdr:cNvSpPr>
      </xdr:nvSpPr>
      <xdr:spPr bwMode="auto">
        <a:xfrm>
          <a:off x="4143375" y="325755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200025</xdr:colOff>
      <xdr:row>3</xdr:row>
      <xdr:rowOff>19050</xdr:rowOff>
    </xdr:from>
    <xdr:to>
      <xdr:col>1</xdr:col>
      <xdr:colOff>609600</xdr:colOff>
      <xdr:row>3</xdr:row>
      <xdr:rowOff>152400</xdr:rowOff>
    </xdr:to>
    <xdr:sp macro="" textlink="">
      <xdr:nvSpPr>
        <xdr:cNvPr id="1213" name="Rectangle 9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rrowheads="1"/>
        </xdr:cNvSpPr>
      </xdr:nvSpPr>
      <xdr:spPr bwMode="auto">
        <a:xfrm>
          <a:off x="1019175" y="638175"/>
          <a:ext cx="409575" cy="133350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4</xdr:row>
      <xdr:rowOff>47625</xdr:rowOff>
    </xdr:from>
    <xdr:to>
      <xdr:col>2</xdr:col>
      <xdr:colOff>0</xdr:colOff>
      <xdr:row>5</xdr:row>
      <xdr:rowOff>9525</xdr:rowOff>
    </xdr:to>
    <xdr:sp macro="" textlink="">
      <xdr:nvSpPr>
        <xdr:cNvPr id="1214" name="Rectangle 10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rrowheads="1"/>
        </xdr:cNvSpPr>
      </xdr:nvSpPr>
      <xdr:spPr bwMode="auto">
        <a:xfrm>
          <a:off x="1019175" y="828675"/>
          <a:ext cx="409575" cy="123825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8</xdr:row>
      <xdr:rowOff>104775</xdr:rowOff>
    </xdr:from>
    <xdr:to>
      <xdr:col>10</xdr:col>
      <xdr:colOff>438150</xdr:colOff>
      <xdr:row>8</xdr:row>
      <xdr:rowOff>104775</xdr:rowOff>
    </xdr:to>
    <xdr:sp macro="" textlink="">
      <xdr:nvSpPr>
        <xdr:cNvPr id="3218" name="Line 1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>
          <a:spLocks noChangeShapeType="1"/>
        </xdr:cNvSpPr>
      </xdr:nvSpPr>
      <xdr:spPr bwMode="auto">
        <a:xfrm>
          <a:off x="4229100" y="162877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9</xdr:row>
      <xdr:rowOff>104775</xdr:rowOff>
    </xdr:from>
    <xdr:to>
      <xdr:col>10</xdr:col>
      <xdr:colOff>438150</xdr:colOff>
      <xdr:row>9</xdr:row>
      <xdr:rowOff>104775</xdr:rowOff>
    </xdr:to>
    <xdr:sp macro="" textlink="">
      <xdr:nvSpPr>
        <xdr:cNvPr id="3219" name="Line 2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>
          <a:spLocks noChangeShapeType="1"/>
        </xdr:cNvSpPr>
      </xdr:nvSpPr>
      <xdr:spPr bwMode="auto">
        <a:xfrm>
          <a:off x="4229100" y="180975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10</xdr:row>
      <xdr:rowOff>104775</xdr:rowOff>
    </xdr:from>
    <xdr:to>
      <xdr:col>10</xdr:col>
      <xdr:colOff>438150</xdr:colOff>
      <xdr:row>10</xdr:row>
      <xdr:rowOff>104775</xdr:rowOff>
    </xdr:to>
    <xdr:sp macro="" textlink="">
      <xdr:nvSpPr>
        <xdr:cNvPr id="3220" name="Line 3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>
          <a:spLocks noChangeShapeType="1"/>
        </xdr:cNvSpPr>
      </xdr:nvSpPr>
      <xdr:spPr bwMode="auto">
        <a:xfrm>
          <a:off x="4229100" y="19907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13</xdr:row>
      <xdr:rowOff>104775</xdr:rowOff>
    </xdr:from>
    <xdr:to>
      <xdr:col>10</xdr:col>
      <xdr:colOff>438150</xdr:colOff>
      <xdr:row>13</xdr:row>
      <xdr:rowOff>104775</xdr:rowOff>
    </xdr:to>
    <xdr:sp macro="" textlink="">
      <xdr:nvSpPr>
        <xdr:cNvPr id="3221" name="Line 4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>
          <a:spLocks noChangeShapeType="1"/>
        </xdr:cNvSpPr>
      </xdr:nvSpPr>
      <xdr:spPr bwMode="auto">
        <a:xfrm>
          <a:off x="4229100" y="25241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14</xdr:row>
      <xdr:rowOff>104775</xdr:rowOff>
    </xdr:from>
    <xdr:to>
      <xdr:col>10</xdr:col>
      <xdr:colOff>438150</xdr:colOff>
      <xdr:row>14</xdr:row>
      <xdr:rowOff>104775</xdr:rowOff>
    </xdr:to>
    <xdr:sp macro="" textlink="">
      <xdr:nvSpPr>
        <xdr:cNvPr id="3222" name="Line 5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>
          <a:spLocks noChangeShapeType="1"/>
        </xdr:cNvSpPr>
      </xdr:nvSpPr>
      <xdr:spPr bwMode="auto">
        <a:xfrm>
          <a:off x="4229100" y="270510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15</xdr:row>
      <xdr:rowOff>104775</xdr:rowOff>
    </xdr:from>
    <xdr:to>
      <xdr:col>10</xdr:col>
      <xdr:colOff>438150</xdr:colOff>
      <xdr:row>15</xdr:row>
      <xdr:rowOff>104775</xdr:rowOff>
    </xdr:to>
    <xdr:sp macro="" textlink="">
      <xdr:nvSpPr>
        <xdr:cNvPr id="3223" name="Line 6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>
          <a:spLocks noChangeShapeType="1"/>
        </xdr:cNvSpPr>
      </xdr:nvSpPr>
      <xdr:spPr bwMode="auto">
        <a:xfrm>
          <a:off x="4229100" y="288607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16</xdr:row>
      <xdr:rowOff>104775</xdr:rowOff>
    </xdr:from>
    <xdr:to>
      <xdr:col>10</xdr:col>
      <xdr:colOff>438150</xdr:colOff>
      <xdr:row>16</xdr:row>
      <xdr:rowOff>104775</xdr:rowOff>
    </xdr:to>
    <xdr:sp macro="" textlink="">
      <xdr:nvSpPr>
        <xdr:cNvPr id="3224" name="Line 7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>
          <a:spLocks noChangeShapeType="1"/>
        </xdr:cNvSpPr>
      </xdr:nvSpPr>
      <xdr:spPr bwMode="auto">
        <a:xfrm>
          <a:off x="4229100" y="306705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200025</xdr:colOff>
      <xdr:row>3</xdr:row>
      <xdr:rowOff>19050</xdr:rowOff>
    </xdr:from>
    <xdr:to>
      <xdr:col>1</xdr:col>
      <xdr:colOff>609600</xdr:colOff>
      <xdr:row>3</xdr:row>
      <xdr:rowOff>152400</xdr:rowOff>
    </xdr:to>
    <xdr:sp macro="" textlink="">
      <xdr:nvSpPr>
        <xdr:cNvPr id="3225" name="Rectangle 9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>
          <a:spLocks noChangeArrowheads="1"/>
        </xdr:cNvSpPr>
      </xdr:nvSpPr>
      <xdr:spPr bwMode="auto">
        <a:xfrm>
          <a:off x="1019175" y="638175"/>
          <a:ext cx="409575" cy="133350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200025</xdr:colOff>
      <xdr:row>4</xdr:row>
      <xdr:rowOff>47625</xdr:rowOff>
    </xdr:from>
    <xdr:to>
      <xdr:col>2</xdr:col>
      <xdr:colOff>0</xdr:colOff>
      <xdr:row>5</xdr:row>
      <xdr:rowOff>9525</xdr:rowOff>
    </xdr:to>
    <xdr:sp macro="" textlink="">
      <xdr:nvSpPr>
        <xdr:cNvPr id="3226" name="Rectangle 10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>
          <a:spLocks noChangeArrowheads="1"/>
        </xdr:cNvSpPr>
      </xdr:nvSpPr>
      <xdr:spPr bwMode="auto">
        <a:xfrm>
          <a:off x="1019175" y="828675"/>
          <a:ext cx="409575" cy="123825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19050</xdr:rowOff>
    </xdr:from>
    <xdr:to>
      <xdr:col>1</xdr:col>
      <xdr:colOff>657225</xdr:colOff>
      <xdr:row>2</xdr:row>
      <xdr:rowOff>152400</xdr:rowOff>
    </xdr:to>
    <xdr:sp macro="" textlink="">
      <xdr:nvSpPr>
        <xdr:cNvPr id="2085" name="Rectangle 1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rrowheads="1"/>
        </xdr:cNvSpPr>
      </xdr:nvSpPr>
      <xdr:spPr bwMode="auto">
        <a:xfrm>
          <a:off x="800100" y="409575"/>
          <a:ext cx="466725" cy="133350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3</xdr:row>
      <xdr:rowOff>47625</xdr:rowOff>
    </xdr:from>
    <xdr:to>
      <xdr:col>2</xdr:col>
      <xdr:colOff>0</xdr:colOff>
      <xdr:row>4</xdr:row>
      <xdr:rowOff>9525</xdr:rowOff>
    </xdr:to>
    <xdr:sp macro="" textlink="">
      <xdr:nvSpPr>
        <xdr:cNvPr id="2086" name="Rectangle 2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rrowheads="1"/>
        </xdr:cNvSpPr>
      </xdr:nvSpPr>
      <xdr:spPr bwMode="auto">
        <a:xfrm>
          <a:off x="800100" y="600075"/>
          <a:ext cx="514350" cy="123825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D38"/>
  <sheetViews>
    <sheetView zoomScaleNormal="100" workbookViewId="0">
      <selection activeCell="Z11" sqref="Z11"/>
    </sheetView>
  </sheetViews>
  <sheetFormatPr defaultColWidth="8.85546875" defaultRowHeight="12.75" x14ac:dyDescent="0.2"/>
  <cols>
    <col min="1" max="1" width="12.28515625" customWidth="1"/>
    <col min="3" max="3" width="7" customWidth="1"/>
    <col min="4" max="5" width="3.7109375" customWidth="1"/>
    <col min="6" max="6" width="4.7109375" customWidth="1"/>
    <col min="7" max="7" width="3.85546875" customWidth="1"/>
    <col min="8" max="8" width="3.7109375" customWidth="1"/>
    <col min="9" max="9" width="4.7109375" customWidth="1"/>
    <col min="10" max="10" width="8" customWidth="1"/>
    <col min="11" max="12" width="7" customWidth="1"/>
    <col min="13" max="13" width="8" customWidth="1"/>
    <col min="14" max="14" width="3.85546875" customWidth="1"/>
    <col min="15" max="16" width="4.7109375" customWidth="1"/>
    <col min="17" max="17" width="3.85546875" customWidth="1"/>
    <col min="18" max="18" width="7" customWidth="1"/>
    <col min="19" max="19" width="3.85546875" customWidth="1"/>
    <col min="24" max="24" width="14.42578125" customWidth="1"/>
  </cols>
  <sheetData>
    <row r="1" spans="1:26" ht="18" x14ac:dyDescent="0.25">
      <c r="A1" s="1" t="s">
        <v>100</v>
      </c>
    </row>
    <row r="2" spans="1:26" ht="18" x14ac:dyDescent="0.25">
      <c r="A2" s="1"/>
    </row>
    <row r="3" spans="1:26" x14ac:dyDescent="0.2">
      <c r="E3" s="3"/>
      <c r="H3" s="3"/>
      <c r="N3" s="3"/>
      <c r="Q3" s="3"/>
      <c r="Z3" s="5"/>
    </row>
    <row r="4" spans="1:26" x14ac:dyDescent="0.2">
      <c r="A4" s="4" t="s">
        <v>80</v>
      </c>
      <c r="C4" s="5" t="s">
        <v>81</v>
      </c>
      <c r="E4" s="3"/>
      <c r="H4" s="3"/>
      <c r="N4" s="3"/>
      <c r="Q4" s="3"/>
      <c r="Z4" s="5"/>
    </row>
    <row r="5" spans="1:26" x14ac:dyDescent="0.2">
      <c r="C5" s="5" t="s">
        <v>82</v>
      </c>
      <c r="E5" s="3"/>
      <c r="H5" s="3"/>
      <c r="N5" s="3"/>
      <c r="Q5" s="3"/>
      <c r="Z5" s="5"/>
    </row>
    <row r="6" spans="1:26" ht="18" x14ac:dyDescent="0.25">
      <c r="A6" s="1"/>
    </row>
    <row r="8" spans="1:26" ht="15" x14ac:dyDescent="0.25">
      <c r="A8" s="18" t="s">
        <v>30</v>
      </c>
      <c r="U8" s="18" t="s">
        <v>75</v>
      </c>
    </row>
    <row r="9" spans="1:26" ht="14.25" x14ac:dyDescent="0.2">
      <c r="A9" s="6" t="s">
        <v>31</v>
      </c>
      <c r="B9" s="7" t="s">
        <v>41</v>
      </c>
      <c r="C9" s="8">
        <v>4</v>
      </c>
      <c r="D9" s="7" t="s">
        <v>45</v>
      </c>
      <c r="E9" s="9" t="s">
        <v>42</v>
      </c>
      <c r="F9" s="8">
        <v>4</v>
      </c>
      <c r="G9" s="7" t="s">
        <v>44</v>
      </c>
      <c r="H9" s="9" t="s">
        <v>42</v>
      </c>
      <c r="I9" s="8">
        <v>1</v>
      </c>
      <c r="J9" s="7" t="s">
        <v>46</v>
      </c>
      <c r="K9" s="7"/>
      <c r="L9" s="8">
        <v>2</v>
      </c>
      <c r="M9" s="7" t="s">
        <v>53</v>
      </c>
      <c r="N9" s="7"/>
      <c r="O9" s="7"/>
      <c r="P9" s="10"/>
      <c r="U9" s="6" t="s">
        <v>31</v>
      </c>
      <c r="V9" s="7">
        <f>16*2</f>
        <v>32</v>
      </c>
      <c r="W9" s="10" t="s">
        <v>77</v>
      </c>
    </row>
    <row r="10" spans="1:26" ht="14.25" x14ac:dyDescent="0.2">
      <c r="A10" s="6" t="s">
        <v>32</v>
      </c>
      <c r="B10" s="7" t="s">
        <v>41</v>
      </c>
      <c r="C10" s="8">
        <v>5</v>
      </c>
      <c r="D10" s="7" t="s">
        <v>45</v>
      </c>
      <c r="E10" s="9" t="s">
        <v>42</v>
      </c>
      <c r="F10" s="8">
        <v>6</v>
      </c>
      <c r="G10" s="7" t="s">
        <v>44</v>
      </c>
      <c r="H10" s="9" t="s">
        <v>42</v>
      </c>
      <c r="I10" s="8">
        <v>1</v>
      </c>
      <c r="J10" s="7" t="s">
        <v>47</v>
      </c>
      <c r="K10" s="7"/>
      <c r="L10" s="8">
        <v>3</v>
      </c>
      <c r="M10" s="7" t="s">
        <v>53</v>
      </c>
      <c r="N10" s="9" t="s">
        <v>42</v>
      </c>
      <c r="O10" s="8">
        <v>0.5</v>
      </c>
      <c r="P10" s="10" t="s">
        <v>55</v>
      </c>
      <c r="U10" s="6" t="s">
        <v>32</v>
      </c>
      <c r="V10" s="7">
        <f>(16*3)+14</f>
        <v>62</v>
      </c>
      <c r="W10" s="11" t="s">
        <v>76</v>
      </c>
    </row>
    <row r="11" spans="1:26" ht="14.25" x14ac:dyDescent="0.2">
      <c r="A11" s="6" t="s">
        <v>33</v>
      </c>
      <c r="B11" s="7" t="s">
        <v>41</v>
      </c>
      <c r="C11" s="8">
        <v>8</v>
      </c>
      <c r="D11" s="7" t="s">
        <v>45</v>
      </c>
      <c r="E11" s="9" t="s">
        <v>42</v>
      </c>
      <c r="F11" s="8">
        <v>9</v>
      </c>
      <c r="G11" s="7" t="s">
        <v>44</v>
      </c>
      <c r="H11" s="9" t="s">
        <v>42</v>
      </c>
      <c r="I11" s="8">
        <v>1</v>
      </c>
      <c r="J11" s="7" t="s">
        <v>48</v>
      </c>
      <c r="K11" s="7"/>
      <c r="L11" s="8">
        <v>4</v>
      </c>
      <c r="M11" s="7" t="s">
        <v>53</v>
      </c>
      <c r="N11" s="9" t="s">
        <v>42</v>
      </c>
      <c r="O11" s="8">
        <v>1</v>
      </c>
      <c r="P11" s="10" t="s">
        <v>56</v>
      </c>
      <c r="U11" s="6" t="s">
        <v>33</v>
      </c>
      <c r="V11" s="7">
        <f>(4*16)+32.1</f>
        <v>96.1</v>
      </c>
      <c r="W11" s="11" t="s">
        <v>76</v>
      </c>
    </row>
    <row r="12" spans="1:26" ht="14.25" x14ac:dyDescent="0.2">
      <c r="A12" s="6" t="s">
        <v>34</v>
      </c>
      <c r="B12" s="7" t="s">
        <v>41</v>
      </c>
      <c r="C12" s="8">
        <v>8</v>
      </c>
      <c r="D12" s="7" t="s">
        <v>45</v>
      </c>
      <c r="E12" s="9" t="s">
        <v>42</v>
      </c>
      <c r="F12" s="8">
        <v>4</v>
      </c>
      <c r="G12" s="7" t="s">
        <v>44</v>
      </c>
      <c r="H12" s="9" t="s">
        <v>42</v>
      </c>
      <c r="I12" s="8">
        <v>1</v>
      </c>
      <c r="J12" s="7" t="s">
        <v>49</v>
      </c>
      <c r="K12" s="7"/>
      <c r="L12" s="8">
        <v>1</v>
      </c>
      <c r="M12" s="7" t="s">
        <v>54</v>
      </c>
      <c r="N12" s="9" t="s">
        <v>42</v>
      </c>
      <c r="O12" s="8">
        <v>4</v>
      </c>
      <c r="P12" s="10" t="s">
        <v>57</v>
      </c>
      <c r="U12" s="6" t="s">
        <v>34</v>
      </c>
      <c r="V12" s="7">
        <f>(12*2)+(35.5*4)</f>
        <v>166</v>
      </c>
      <c r="W12" s="11" t="s">
        <v>76</v>
      </c>
    </row>
    <row r="13" spans="1:26" ht="14.25" x14ac:dyDescent="0.2">
      <c r="A13" s="6" t="s">
        <v>35</v>
      </c>
      <c r="B13" s="7" t="s">
        <v>41</v>
      </c>
      <c r="C13" s="8">
        <v>6</v>
      </c>
      <c r="D13" s="7" t="s">
        <v>45</v>
      </c>
      <c r="E13" s="9" t="s">
        <v>42</v>
      </c>
      <c r="F13" s="8">
        <v>3</v>
      </c>
      <c r="G13" s="7" t="s">
        <v>44</v>
      </c>
      <c r="H13" s="9" t="s">
        <v>42</v>
      </c>
      <c r="I13" s="8">
        <v>1</v>
      </c>
      <c r="J13" s="7" t="s">
        <v>50</v>
      </c>
      <c r="K13" s="7"/>
      <c r="L13" s="8">
        <v>1</v>
      </c>
      <c r="M13" s="7" t="s">
        <v>54</v>
      </c>
      <c r="N13" s="9" t="s">
        <v>42</v>
      </c>
      <c r="O13" s="8">
        <v>3</v>
      </c>
      <c r="P13" s="10" t="s">
        <v>57</v>
      </c>
      <c r="U13" s="6" t="s">
        <v>35</v>
      </c>
      <c r="V13" s="7">
        <f>(12*2)+(35.5*3)+1</f>
        <v>131.5</v>
      </c>
      <c r="W13" s="11" t="s">
        <v>76</v>
      </c>
    </row>
    <row r="14" spans="1:26" ht="14.25" x14ac:dyDescent="0.2">
      <c r="A14" s="6" t="s">
        <v>36</v>
      </c>
      <c r="B14" s="7" t="s">
        <v>41</v>
      </c>
      <c r="C14" s="8">
        <v>4</v>
      </c>
      <c r="D14" s="7" t="s">
        <v>45</v>
      </c>
      <c r="E14" s="9" t="s">
        <v>42</v>
      </c>
      <c r="F14" s="8">
        <v>2</v>
      </c>
      <c r="G14" s="7" t="s">
        <v>44</v>
      </c>
      <c r="H14" s="9" t="s">
        <v>42</v>
      </c>
      <c r="I14" s="8">
        <v>1</v>
      </c>
      <c r="J14" s="7" t="s">
        <v>51</v>
      </c>
      <c r="K14" s="7"/>
      <c r="L14" s="8">
        <v>1</v>
      </c>
      <c r="M14" s="7" t="s">
        <v>54</v>
      </c>
      <c r="N14" s="9" t="s">
        <v>42</v>
      </c>
      <c r="O14" s="8">
        <v>2</v>
      </c>
      <c r="P14" s="10" t="s">
        <v>57</v>
      </c>
      <c r="U14" s="6" t="s">
        <v>36</v>
      </c>
      <c r="V14" s="7">
        <f>(12*2)+(35.5*2)+2</f>
        <v>97</v>
      </c>
      <c r="W14" s="11" t="s">
        <v>76</v>
      </c>
    </row>
    <row r="15" spans="1:26" ht="14.25" x14ac:dyDescent="0.2">
      <c r="A15" s="6" t="s">
        <v>37</v>
      </c>
      <c r="B15" s="7" t="s">
        <v>41</v>
      </c>
      <c r="C15" s="8">
        <v>2</v>
      </c>
      <c r="D15" s="7" t="s">
        <v>45</v>
      </c>
      <c r="E15" s="9" t="s">
        <v>42</v>
      </c>
      <c r="F15" s="8">
        <v>1</v>
      </c>
      <c r="G15" s="7" t="s">
        <v>44</v>
      </c>
      <c r="H15" s="9" t="s">
        <v>42</v>
      </c>
      <c r="I15" s="8">
        <v>1</v>
      </c>
      <c r="J15" s="7" t="s">
        <v>52</v>
      </c>
      <c r="K15" s="7"/>
      <c r="L15" s="8">
        <v>1</v>
      </c>
      <c r="M15" s="7" t="s">
        <v>54</v>
      </c>
      <c r="N15" s="9" t="s">
        <v>42</v>
      </c>
      <c r="O15" s="8">
        <v>1</v>
      </c>
      <c r="P15" s="10" t="s">
        <v>57</v>
      </c>
      <c r="U15" s="6" t="s">
        <v>37</v>
      </c>
      <c r="V15" s="7">
        <f>(12*2)+(35.5*1)+3</f>
        <v>62.5</v>
      </c>
      <c r="W15" s="11" t="s">
        <v>76</v>
      </c>
    </row>
    <row r="16" spans="1:26" x14ac:dyDescent="0.2">
      <c r="U16" s="12" t="s">
        <v>39</v>
      </c>
      <c r="V16" s="7">
        <v>12</v>
      </c>
      <c r="W16" s="11" t="s">
        <v>76</v>
      </c>
    </row>
    <row r="17" spans="1:30" ht="15" x14ac:dyDescent="0.25">
      <c r="A17" s="18" t="s">
        <v>38</v>
      </c>
    </row>
    <row r="18" spans="1:30" x14ac:dyDescent="0.2">
      <c r="A18" s="6" t="s">
        <v>40</v>
      </c>
      <c r="B18" s="7" t="s">
        <v>41</v>
      </c>
      <c r="C18" s="7"/>
      <c r="D18" s="7"/>
      <c r="E18" s="9"/>
      <c r="F18" s="7">
        <v>1</v>
      </c>
      <c r="G18" s="7" t="s">
        <v>58</v>
      </c>
      <c r="H18" s="9" t="s">
        <v>42</v>
      </c>
      <c r="I18" s="7">
        <v>2</v>
      </c>
      <c r="J18" s="7" t="s">
        <v>53</v>
      </c>
      <c r="K18" s="7"/>
      <c r="L18" s="7">
        <v>1</v>
      </c>
      <c r="M18" s="7" t="s">
        <v>59</v>
      </c>
      <c r="N18" s="9" t="s">
        <v>42</v>
      </c>
      <c r="O18" s="7">
        <v>4</v>
      </c>
      <c r="P18" s="7" t="s">
        <v>43</v>
      </c>
      <c r="Q18" s="9" t="s">
        <v>42</v>
      </c>
      <c r="R18" s="7">
        <v>4</v>
      </c>
      <c r="S18" s="10" t="s">
        <v>60</v>
      </c>
    </row>
    <row r="19" spans="1:30" x14ac:dyDescent="0.2">
      <c r="E19" s="3"/>
      <c r="H19" s="3"/>
      <c r="N19" s="3"/>
      <c r="Q19" s="3"/>
    </row>
    <row r="21" spans="1:30" ht="15" x14ac:dyDescent="0.25">
      <c r="A21" s="18" t="s">
        <v>61</v>
      </c>
    </row>
    <row r="22" spans="1:30" x14ac:dyDescent="0.2">
      <c r="A22" s="13" t="s">
        <v>62</v>
      </c>
      <c r="B22" s="13" t="s">
        <v>63</v>
      </c>
      <c r="C22" s="42" t="s">
        <v>64</v>
      </c>
      <c r="D22" s="42"/>
      <c r="E22" s="42"/>
      <c r="F22" s="42" t="s">
        <v>65</v>
      </c>
      <c r="G22" s="42"/>
      <c r="H22" s="42"/>
      <c r="I22" s="42" t="s">
        <v>66</v>
      </c>
      <c r="J22" s="42"/>
      <c r="K22" s="42" t="s">
        <v>67</v>
      </c>
      <c r="L22" s="42"/>
      <c r="M22" s="42" t="s">
        <v>68</v>
      </c>
      <c r="N22" s="42"/>
      <c r="O22" s="42" t="s">
        <v>69</v>
      </c>
      <c r="P22" s="42"/>
      <c r="Q22" s="42" t="s">
        <v>70</v>
      </c>
      <c r="R22" s="42"/>
      <c r="S22" s="42" t="s">
        <v>71</v>
      </c>
      <c r="T22" s="42"/>
      <c r="U22" s="14" t="s">
        <v>74</v>
      </c>
      <c r="V22" s="56"/>
      <c r="W22" s="57"/>
      <c r="Z22" s="37"/>
    </row>
    <row r="23" spans="1:30" x14ac:dyDescent="0.2">
      <c r="A23" s="19" t="s">
        <v>94</v>
      </c>
      <c r="B23" s="19"/>
      <c r="C23" s="46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19"/>
      <c r="V23" s="54"/>
      <c r="W23" s="55"/>
      <c r="Z23" s="37"/>
    </row>
    <row r="24" spans="1:30" x14ac:dyDescent="0.2">
      <c r="A24" s="19" t="s">
        <v>85</v>
      </c>
      <c r="B24" s="19"/>
      <c r="C24" s="47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19"/>
      <c r="V24" s="54"/>
      <c r="W24" s="55"/>
    </row>
    <row r="25" spans="1:30" x14ac:dyDescent="0.2">
      <c r="A25" s="19" t="s">
        <v>95</v>
      </c>
      <c r="B25" s="19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19"/>
      <c r="V25" s="54"/>
      <c r="W25" s="55"/>
    </row>
    <row r="26" spans="1:30" x14ac:dyDescent="0.2">
      <c r="A26" s="19"/>
      <c r="B26" s="19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19"/>
      <c r="V26" s="35"/>
      <c r="W26" s="36"/>
    </row>
    <row r="27" spans="1:30" x14ac:dyDescent="0.2">
      <c r="A27" s="19"/>
      <c r="B27" s="19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9"/>
      <c r="V27" s="35"/>
      <c r="W27" s="36"/>
    </row>
    <row r="28" spans="1:30" x14ac:dyDescent="0.2">
      <c r="A28" s="19"/>
      <c r="B28" s="1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19"/>
      <c r="V28" s="54"/>
      <c r="W28" s="55"/>
      <c r="AA28" s="38"/>
    </row>
    <row r="29" spans="1:30" x14ac:dyDescent="0.2">
      <c r="Z29" s="37"/>
    </row>
    <row r="30" spans="1:30" ht="15" x14ac:dyDescent="0.25">
      <c r="A30" s="18" t="s">
        <v>72</v>
      </c>
    </row>
    <row r="31" spans="1:30" x14ac:dyDescent="0.2">
      <c r="A31" s="14" t="str">
        <f t="shared" ref="A31:C32" si="0">A22</f>
        <v>Locatie</v>
      </c>
      <c r="B31" s="14" t="str">
        <f t="shared" si="0"/>
        <v>Filternr.</v>
      </c>
      <c r="C31" s="48" t="str">
        <f t="shared" si="0"/>
        <v>Diepte (m-mv)</v>
      </c>
      <c r="D31" s="48"/>
      <c r="E31" s="48"/>
      <c r="F31" s="48" t="s">
        <v>73</v>
      </c>
      <c r="G31" s="48"/>
      <c r="H31" s="48"/>
      <c r="I31" s="48"/>
      <c r="J31" s="48"/>
      <c r="K31" s="48" t="s">
        <v>78</v>
      </c>
      <c r="L31" s="48"/>
      <c r="M31" s="48"/>
      <c r="N31" s="48" t="s">
        <v>79</v>
      </c>
      <c r="O31" s="48"/>
      <c r="P31" s="48"/>
      <c r="Q31" s="50" t="s">
        <v>83</v>
      </c>
      <c r="R31" s="51"/>
      <c r="S31" s="51"/>
      <c r="T31" s="51"/>
      <c r="U31" s="51"/>
      <c r="V31" s="51"/>
      <c r="W31" s="51"/>
      <c r="X31" s="52"/>
    </row>
    <row r="32" spans="1:30" x14ac:dyDescent="0.2">
      <c r="A32" s="16" t="str">
        <f t="shared" si="0"/>
        <v>Referentie</v>
      </c>
      <c r="B32" s="16">
        <f t="shared" si="0"/>
        <v>0</v>
      </c>
      <c r="C32" s="43">
        <f t="shared" ref="A32:C37" si="1">C23</f>
        <v>0</v>
      </c>
      <c r="D32" s="43"/>
      <c r="E32" s="43"/>
      <c r="F32" s="44">
        <f>((F23/$V$9)*($C$9/$I$9))+((I23/$V$10)*($C$10/$I$10))+((K23/$V$11)*($C$11/$I$11))+((M23*0.001/$V$12)*($C$12/$I$12))+((O23*0.001/$V$13)*($C$13/$I$13))+((Q23*0.001/$V$14)*($C$14/$I$14))+((S23*0.001/$V$15)*($C$15/$I$15))</f>
        <v>0</v>
      </c>
      <c r="G32" s="44"/>
      <c r="H32" s="44"/>
      <c r="I32" s="44"/>
      <c r="J32" s="44"/>
      <c r="K32" s="44">
        <f t="shared" ref="K32:K37" si="2">((U23/$V$16)*($R$18/$F$18))</f>
        <v>0</v>
      </c>
      <c r="L32" s="44"/>
      <c r="M32" s="44"/>
      <c r="N32" s="45" t="str">
        <f t="shared" ref="N32:N37" si="3">IF(F32=0,"-",K32/F32)</f>
        <v>-</v>
      </c>
      <c r="O32" s="45"/>
      <c r="P32" s="45"/>
      <c r="Q32" s="53" t="str">
        <f t="shared" ref="Q32:Q37" si="4">IF(N32="-","-",IF(N32&lt;0.5,"Electrondonor gelimiteerd. NA is niet duurzaam",IF(N32&gt;2,"Overschot electrondonor. NA is duurzaam",IF(N32&gt;=0.5,"Neutrale electronenbalans. Duurzaamheid NA wordt betwijfeld"))))</f>
        <v>-</v>
      </c>
      <c r="R32" s="53"/>
      <c r="S32" s="53"/>
      <c r="T32" s="53"/>
      <c r="U32" s="53"/>
      <c r="V32" s="53"/>
      <c r="W32" s="53"/>
      <c r="X32" s="53"/>
      <c r="AB32" s="39"/>
      <c r="AD32" s="40"/>
    </row>
    <row r="33" spans="1:28" x14ac:dyDescent="0.2">
      <c r="A33" s="16" t="str">
        <f t="shared" si="1"/>
        <v>Bron</v>
      </c>
      <c r="B33" s="16">
        <f t="shared" si="1"/>
        <v>0</v>
      </c>
      <c r="C33" s="43">
        <f t="shared" si="1"/>
        <v>0</v>
      </c>
      <c r="D33" s="43"/>
      <c r="E33" s="43"/>
      <c r="F33" s="44">
        <f>((F24/$V$9)*($C$9/$I$9))+((I24/$V$10)*($C$10/$I$10))+((K24/$V$11)*($C$11/$I$11))+((M24*0.001/$V$12)*($C$12/$I$12))+((O24*0.001/$V$13)*($C$13/$I$13))+((Q24*0.001/$V$14)*($C$14/$I$14))+((S24*0.001/$V$15)*($C$15/$I$15))</f>
        <v>0</v>
      </c>
      <c r="G33" s="44"/>
      <c r="H33" s="44"/>
      <c r="I33" s="44"/>
      <c r="J33" s="44"/>
      <c r="K33" s="44">
        <f t="shared" si="2"/>
        <v>0</v>
      </c>
      <c r="L33" s="44"/>
      <c r="M33" s="44"/>
      <c r="N33" s="45" t="str">
        <f t="shared" si="3"/>
        <v>-</v>
      </c>
      <c r="O33" s="45"/>
      <c r="P33" s="45"/>
      <c r="Q33" s="53" t="str">
        <f t="shared" si="4"/>
        <v>-</v>
      </c>
      <c r="R33" s="53"/>
      <c r="S33" s="53"/>
      <c r="T33" s="53"/>
      <c r="U33" s="53"/>
      <c r="V33" s="53"/>
      <c r="W33" s="53"/>
      <c r="X33" s="53"/>
      <c r="AB33" s="39"/>
    </row>
    <row r="34" spans="1:28" x14ac:dyDescent="0.2">
      <c r="A34" s="16" t="str">
        <f t="shared" si="1"/>
        <v>Pluim</v>
      </c>
      <c r="B34" s="16">
        <f t="shared" si="1"/>
        <v>0</v>
      </c>
      <c r="C34" s="43">
        <f t="shared" si="1"/>
        <v>0</v>
      </c>
      <c r="D34" s="43"/>
      <c r="E34" s="43"/>
      <c r="F34" s="44">
        <f t="shared" ref="F34:F37" si="5">((F25/$V$9)*($C$9/$I$9))+((I25/$V$10)*($C$10/$I$10))+((K25/$V$11)*($C$11/$I$11))+((M25*0.001/$V$12)*($C$12/$I$12))+((O25*0.001/$V$13)*($C$13/$I$13))+((Q25*0.001/$V$14)*($C$14/$I$14))+((S25*0.001/$V$15)*($C$15/$I$15))</f>
        <v>0</v>
      </c>
      <c r="G34" s="44"/>
      <c r="H34" s="44"/>
      <c r="I34" s="44"/>
      <c r="J34" s="44"/>
      <c r="K34" s="44">
        <f t="shared" si="2"/>
        <v>0</v>
      </c>
      <c r="L34" s="44"/>
      <c r="M34" s="44"/>
      <c r="N34" s="45" t="str">
        <f t="shared" si="3"/>
        <v>-</v>
      </c>
      <c r="O34" s="45"/>
      <c r="P34" s="45"/>
      <c r="Q34" s="53" t="str">
        <f t="shared" si="4"/>
        <v>-</v>
      </c>
      <c r="R34" s="53"/>
      <c r="S34" s="53"/>
      <c r="T34" s="53"/>
      <c r="U34" s="53"/>
      <c r="V34" s="53"/>
      <c r="W34" s="53"/>
      <c r="X34" s="53"/>
    </row>
    <row r="35" spans="1:28" x14ac:dyDescent="0.2">
      <c r="A35" s="16">
        <f t="shared" si="1"/>
        <v>0</v>
      </c>
      <c r="B35" s="16">
        <f t="shared" si="1"/>
        <v>0</v>
      </c>
      <c r="C35" s="43">
        <f t="shared" si="1"/>
        <v>0</v>
      </c>
      <c r="D35" s="43"/>
      <c r="E35" s="43"/>
      <c r="F35" s="44">
        <f t="shared" si="5"/>
        <v>0</v>
      </c>
      <c r="G35" s="44"/>
      <c r="H35" s="44"/>
      <c r="I35" s="44"/>
      <c r="J35" s="44"/>
      <c r="K35" s="44">
        <f t="shared" si="2"/>
        <v>0</v>
      </c>
      <c r="L35" s="44"/>
      <c r="M35" s="44"/>
      <c r="N35" s="45" t="str">
        <f t="shared" si="3"/>
        <v>-</v>
      </c>
      <c r="O35" s="45"/>
      <c r="P35" s="45"/>
      <c r="Q35" s="53" t="str">
        <f t="shared" si="4"/>
        <v>-</v>
      </c>
      <c r="R35" s="53"/>
      <c r="S35" s="53"/>
      <c r="T35" s="53"/>
      <c r="U35" s="53"/>
      <c r="V35" s="53"/>
      <c r="W35" s="53"/>
      <c r="X35" s="53"/>
    </row>
    <row r="36" spans="1:28" x14ac:dyDescent="0.2">
      <c r="A36" s="16">
        <f t="shared" si="1"/>
        <v>0</v>
      </c>
      <c r="B36" s="16">
        <f t="shared" si="1"/>
        <v>0</v>
      </c>
      <c r="C36" s="43">
        <f t="shared" si="1"/>
        <v>0</v>
      </c>
      <c r="D36" s="43"/>
      <c r="E36" s="43"/>
      <c r="F36" s="44">
        <f t="shared" si="5"/>
        <v>0</v>
      </c>
      <c r="G36" s="44"/>
      <c r="H36" s="44"/>
      <c r="I36" s="44"/>
      <c r="J36" s="44"/>
      <c r="K36" s="44">
        <f t="shared" si="2"/>
        <v>0</v>
      </c>
      <c r="L36" s="44"/>
      <c r="M36" s="44"/>
      <c r="N36" s="45" t="str">
        <f t="shared" si="3"/>
        <v>-</v>
      </c>
      <c r="O36" s="45"/>
      <c r="P36" s="45"/>
      <c r="Q36" s="53" t="str">
        <f t="shared" si="4"/>
        <v>-</v>
      </c>
      <c r="R36" s="53"/>
      <c r="S36" s="53"/>
      <c r="T36" s="53"/>
      <c r="U36" s="53"/>
      <c r="V36" s="53"/>
      <c r="W36" s="53"/>
      <c r="X36" s="53"/>
    </row>
    <row r="37" spans="1:28" x14ac:dyDescent="0.2">
      <c r="A37" s="16">
        <f t="shared" si="1"/>
        <v>0</v>
      </c>
      <c r="B37" s="16">
        <f t="shared" si="1"/>
        <v>0</v>
      </c>
      <c r="C37" s="43">
        <f t="shared" si="1"/>
        <v>0</v>
      </c>
      <c r="D37" s="43"/>
      <c r="E37" s="43"/>
      <c r="F37" s="44">
        <f t="shared" si="5"/>
        <v>0</v>
      </c>
      <c r="G37" s="44"/>
      <c r="H37" s="44"/>
      <c r="I37" s="44"/>
      <c r="J37" s="44"/>
      <c r="K37" s="44">
        <f t="shared" si="2"/>
        <v>0</v>
      </c>
      <c r="L37" s="44"/>
      <c r="M37" s="44"/>
      <c r="N37" s="45" t="str">
        <f t="shared" si="3"/>
        <v>-</v>
      </c>
      <c r="O37" s="45"/>
      <c r="P37" s="45"/>
      <c r="Q37" s="53" t="str">
        <f t="shared" si="4"/>
        <v>-</v>
      </c>
      <c r="R37" s="53"/>
      <c r="S37" s="53"/>
      <c r="T37" s="53"/>
      <c r="U37" s="53"/>
      <c r="V37" s="53"/>
      <c r="W37" s="53"/>
      <c r="X37" s="53"/>
    </row>
    <row r="38" spans="1:28" x14ac:dyDescent="0.2">
      <c r="C38" s="49"/>
      <c r="D38" s="49"/>
      <c r="E38" s="49"/>
    </row>
  </sheetData>
  <mergeCells count="97">
    <mergeCell ref="V28:W28"/>
    <mergeCell ref="V22:W22"/>
    <mergeCell ref="V23:W23"/>
    <mergeCell ref="V24:W24"/>
    <mergeCell ref="V25:W25"/>
    <mergeCell ref="Q31:X31"/>
    <mergeCell ref="Q32:X32"/>
    <mergeCell ref="K31:M31"/>
    <mergeCell ref="K37:M37"/>
    <mergeCell ref="N37:P37"/>
    <mergeCell ref="Q37:X37"/>
    <mergeCell ref="N35:P35"/>
    <mergeCell ref="Q35:X35"/>
    <mergeCell ref="N36:P36"/>
    <mergeCell ref="Q36:X36"/>
    <mergeCell ref="Q33:X33"/>
    <mergeCell ref="Q34:X34"/>
    <mergeCell ref="N34:P34"/>
    <mergeCell ref="N33:P33"/>
    <mergeCell ref="K34:M34"/>
    <mergeCell ref="K32:M32"/>
    <mergeCell ref="C35:E35"/>
    <mergeCell ref="F35:J35"/>
    <mergeCell ref="K35:M35"/>
    <mergeCell ref="C38:E38"/>
    <mergeCell ref="C34:E34"/>
    <mergeCell ref="C37:E37"/>
    <mergeCell ref="F34:J34"/>
    <mergeCell ref="F37:J37"/>
    <mergeCell ref="C36:E36"/>
    <mergeCell ref="F36:J36"/>
    <mergeCell ref="K36:M36"/>
    <mergeCell ref="K27:L27"/>
    <mergeCell ref="M27:N27"/>
    <mergeCell ref="O27:P27"/>
    <mergeCell ref="K33:M33"/>
    <mergeCell ref="F31:J31"/>
    <mergeCell ref="N31:P31"/>
    <mergeCell ref="F32:J32"/>
    <mergeCell ref="C33:E33"/>
    <mergeCell ref="F33:J33"/>
    <mergeCell ref="C32:E32"/>
    <mergeCell ref="N32:P32"/>
    <mergeCell ref="C22:E22"/>
    <mergeCell ref="C23:E23"/>
    <mergeCell ref="C24:E24"/>
    <mergeCell ref="C25:E25"/>
    <mergeCell ref="C31:E31"/>
    <mergeCell ref="C27:E27"/>
    <mergeCell ref="C28:E28"/>
    <mergeCell ref="O23:P23"/>
    <mergeCell ref="K24:L24"/>
    <mergeCell ref="K25:L25"/>
    <mergeCell ref="K28:L28"/>
    <mergeCell ref="O24:P24"/>
    <mergeCell ref="Q24:R24"/>
    <mergeCell ref="Q25:R25"/>
    <mergeCell ref="Q28:R28"/>
    <mergeCell ref="S23:T23"/>
    <mergeCell ref="S24:T24"/>
    <mergeCell ref="S25:T25"/>
    <mergeCell ref="S28:T28"/>
    <mergeCell ref="Q27:R27"/>
    <mergeCell ref="S27:T27"/>
    <mergeCell ref="Q26:R26"/>
    <mergeCell ref="S26:T26"/>
    <mergeCell ref="O25:P25"/>
    <mergeCell ref="O28:P28"/>
    <mergeCell ref="M24:N24"/>
    <mergeCell ref="M25:N25"/>
    <mergeCell ref="M28:N28"/>
    <mergeCell ref="O26:P26"/>
    <mergeCell ref="F24:H24"/>
    <mergeCell ref="F25:H25"/>
    <mergeCell ref="F28:H28"/>
    <mergeCell ref="I23:J23"/>
    <mergeCell ref="I24:J24"/>
    <mergeCell ref="I25:J25"/>
    <mergeCell ref="I28:J28"/>
    <mergeCell ref="F27:H27"/>
    <mergeCell ref="I27:J27"/>
    <mergeCell ref="O22:P22"/>
    <mergeCell ref="Q22:R22"/>
    <mergeCell ref="S22:T22"/>
    <mergeCell ref="F23:H23"/>
    <mergeCell ref="K23:L23"/>
    <mergeCell ref="M23:N23"/>
    <mergeCell ref="F22:H22"/>
    <mergeCell ref="I22:J22"/>
    <mergeCell ref="K22:L22"/>
    <mergeCell ref="M22:N22"/>
    <mergeCell ref="Q23:R23"/>
    <mergeCell ref="C26:E26"/>
    <mergeCell ref="F26:H26"/>
    <mergeCell ref="I26:J26"/>
    <mergeCell ref="K26:L26"/>
    <mergeCell ref="M26:N26"/>
  </mergeCells>
  <phoneticPr fontId="0" type="noConversion"/>
  <pageMargins left="0.75" right="0.75" top="1" bottom="1" header="0.5" footer="0.5"/>
  <pageSetup paperSize="9" scale="81" orientation="landscape" r:id="rId1"/>
  <headerFooter alignWithMargins="0">
    <oddHeader>&amp;R&amp;F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5536"/>
  <sheetViews>
    <sheetView tabSelected="1" zoomScaleNormal="100" workbookViewId="0">
      <selection activeCell="I23" sqref="I23:J23"/>
    </sheetView>
  </sheetViews>
  <sheetFormatPr defaultColWidth="8.85546875" defaultRowHeight="12.75" x14ac:dyDescent="0.2"/>
  <cols>
    <col min="1" max="1" width="12.28515625" customWidth="1"/>
    <col min="3" max="3" width="7" customWidth="1"/>
    <col min="4" max="5" width="3.7109375" customWidth="1"/>
    <col min="6" max="6" width="4.7109375" customWidth="1"/>
    <col min="7" max="7" width="5.140625" customWidth="1"/>
    <col min="8" max="8" width="3.7109375" customWidth="1"/>
    <col min="9" max="9" width="4.7109375" customWidth="1"/>
    <col min="10" max="10" width="8" customWidth="1"/>
    <col min="11" max="12" width="7" customWidth="1"/>
    <col min="13" max="13" width="8" customWidth="1"/>
    <col min="14" max="14" width="3.85546875" customWidth="1"/>
    <col min="15" max="16" width="4.7109375" customWidth="1"/>
    <col min="17" max="17" width="3.85546875" customWidth="1"/>
    <col min="18" max="18" width="7" customWidth="1"/>
    <col min="19" max="19" width="3.85546875" customWidth="1"/>
    <col min="21" max="21" width="14.28515625" bestFit="1" customWidth="1"/>
    <col min="24" max="24" width="14.42578125" customWidth="1"/>
  </cols>
  <sheetData>
    <row r="1" spans="1:26" ht="18" x14ac:dyDescent="0.25">
      <c r="A1" s="1" t="s">
        <v>101</v>
      </c>
    </row>
    <row r="2" spans="1:26" ht="18" x14ac:dyDescent="0.25">
      <c r="A2" s="1"/>
    </row>
    <row r="3" spans="1:26" x14ac:dyDescent="0.2">
      <c r="E3" s="3"/>
      <c r="H3" s="3"/>
      <c r="N3" s="3"/>
      <c r="Q3" s="3"/>
      <c r="Z3" s="5"/>
    </row>
    <row r="4" spans="1:26" x14ac:dyDescent="0.2">
      <c r="A4" s="4" t="s">
        <v>80</v>
      </c>
      <c r="C4" s="5" t="s">
        <v>81</v>
      </c>
      <c r="E4" s="3"/>
      <c r="H4" s="3"/>
      <c r="N4" s="3"/>
      <c r="Q4" s="3"/>
      <c r="Z4" s="5"/>
    </row>
    <row r="5" spans="1:26" x14ac:dyDescent="0.2">
      <c r="C5" s="5" t="s">
        <v>82</v>
      </c>
      <c r="E5" s="3"/>
      <c r="H5" s="3"/>
      <c r="N5" s="3"/>
      <c r="Q5" s="3"/>
      <c r="Z5" s="5"/>
    </row>
    <row r="6" spans="1:26" ht="18" x14ac:dyDescent="0.25">
      <c r="A6" s="1"/>
    </row>
    <row r="8" spans="1:26" ht="15" x14ac:dyDescent="0.25">
      <c r="A8" s="18" t="s">
        <v>30</v>
      </c>
      <c r="U8" s="18" t="s">
        <v>75</v>
      </c>
    </row>
    <row r="9" spans="1:26" ht="14.25" x14ac:dyDescent="0.2">
      <c r="A9" s="6" t="s">
        <v>31</v>
      </c>
      <c r="B9" s="7" t="s">
        <v>41</v>
      </c>
      <c r="C9" s="8">
        <v>4</v>
      </c>
      <c r="D9" s="7" t="s">
        <v>45</v>
      </c>
      <c r="E9" s="9" t="s">
        <v>42</v>
      </c>
      <c r="F9" s="8">
        <v>4</v>
      </c>
      <c r="G9" s="7" t="s">
        <v>44</v>
      </c>
      <c r="H9" s="9" t="s">
        <v>42</v>
      </c>
      <c r="I9" s="8">
        <v>1</v>
      </c>
      <c r="J9" s="7" t="s">
        <v>46</v>
      </c>
      <c r="K9" s="7"/>
      <c r="L9" s="8">
        <v>2</v>
      </c>
      <c r="M9" s="7" t="s">
        <v>53</v>
      </c>
      <c r="N9" s="7"/>
      <c r="O9" s="7"/>
      <c r="P9" s="10"/>
      <c r="U9" s="6" t="s">
        <v>31</v>
      </c>
      <c r="V9" s="7">
        <f>16*2</f>
        <v>32</v>
      </c>
      <c r="W9" s="10" t="s">
        <v>77</v>
      </c>
    </row>
    <row r="10" spans="1:26" ht="14.25" x14ac:dyDescent="0.2">
      <c r="A10" s="6" t="s">
        <v>32</v>
      </c>
      <c r="B10" s="7" t="s">
        <v>41</v>
      </c>
      <c r="C10" s="8">
        <v>5</v>
      </c>
      <c r="D10" s="7" t="s">
        <v>45</v>
      </c>
      <c r="E10" s="9" t="s">
        <v>42</v>
      </c>
      <c r="F10" s="8">
        <v>6</v>
      </c>
      <c r="G10" s="7" t="s">
        <v>44</v>
      </c>
      <c r="H10" s="9" t="s">
        <v>42</v>
      </c>
      <c r="I10" s="8">
        <v>1</v>
      </c>
      <c r="J10" s="7" t="s">
        <v>47</v>
      </c>
      <c r="K10" s="7"/>
      <c r="L10" s="8">
        <v>3</v>
      </c>
      <c r="M10" s="7" t="s">
        <v>53</v>
      </c>
      <c r="N10" s="9" t="s">
        <v>42</v>
      </c>
      <c r="O10" s="8">
        <v>0.5</v>
      </c>
      <c r="P10" s="10" t="s">
        <v>55</v>
      </c>
      <c r="U10" s="6" t="s">
        <v>32</v>
      </c>
      <c r="V10" s="7">
        <f>(16*3)+14</f>
        <v>62</v>
      </c>
      <c r="W10" s="11" t="s">
        <v>76</v>
      </c>
    </row>
    <row r="11" spans="1:26" ht="14.25" x14ac:dyDescent="0.2">
      <c r="A11" s="6" t="s">
        <v>33</v>
      </c>
      <c r="B11" s="7" t="s">
        <v>41</v>
      </c>
      <c r="C11" s="8">
        <v>8</v>
      </c>
      <c r="D11" s="7" t="s">
        <v>45</v>
      </c>
      <c r="E11" s="9" t="s">
        <v>42</v>
      </c>
      <c r="F11" s="8">
        <v>9</v>
      </c>
      <c r="G11" s="7" t="s">
        <v>44</v>
      </c>
      <c r="H11" s="9" t="s">
        <v>42</v>
      </c>
      <c r="I11" s="8">
        <v>1</v>
      </c>
      <c r="J11" s="7" t="s">
        <v>48</v>
      </c>
      <c r="K11" s="7"/>
      <c r="L11" s="8">
        <v>4</v>
      </c>
      <c r="M11" s="7" t="s">
        <v>53</v>
      </c>
      <c r="N11" s="9" t="s">
        <v>42</v>
      </c>
      <c r="O11" s="8">
        <v>1</v>
      </c>
      <c r="P11" s="10" t="s">
        <v>56</v>
      </c>
      <c r="U11" s="6" t="s">
        <v>33</v>
      </c>
      <c r="V11" s="7">
        <f>(4*16)+32.1</f>
        <v>96.1</v>
      </c>
      <c r="W11" s="11" t="s">
        <v>76</v>
      </c>
    </row>
    <row r="12" spans="1:26" x14ac:dyDescent="0.2">
      <c r="U12" s="6" t="s">
        <v>86</v>
      </c>
      <c r="V12" s="7">
        <v>78</v>
      </c>
      <c r="W12" s="11" t="s">
        <v>76</v>
      </c>
    </row>
    <row r="13" spans="1:26" ht="15" x14ac:dyDescent="0.25">
      <c r="A13" s="18" t="s">
        <v>99</v>
      </c>
      <c r="U13" s="6" t="s">
        <v>87</v>
      </c>
      <c r="V13" s="7">
        <v>92</v>
      </c>
      <c r="W13" s="11" t="s">
        <v>76</v>
      </c>
    </row>
    <row r="14" spans="1:26" ht="14.25" x14ac:dyDescent="0.2">
      <c r="A14" s="6" t="s">
        <v>86</v>
      </c>
      <c r="B14" s="7" t="s">
        <v>41</v>
      </c>
      <c r="C14" s="8"/>
      <c r="D14" s="7"/>
      <c r="E14" s="9"/>
      <c r="F14" s="8">
        <v>12</v>
      </c>
      <c r="G14" s="7" t="s">
        <v>53</v>
      </c>
      <c r="H14" s="9" t="s">
        <v>42</v>
      </c>
      <c r="I14" s="8">
        <v>1</v>
      </c>
      <c r="J14" s="7" t="s">
        <v>96</v>
      </c>
      <c r="K14" s="7"/>
      <c r="L14" s="8">
        <v>6</v>
      </c>
      <c r="M14" s="7" t="s">
        <v>59</v>
      </c>
      <c r="N14" s="9" t="s">
        <v>42</v>
      </c>
      <c r="O14" s="7">
        <v>30</v>
      </c>
      <c r="P14" s="7" t="s">
        <v>44</v>
      </c>
      <c r="Q14" s="9" t="s">
        <v>42</v>
      </c>
      <c r="R14" s="8">
        <v>30</v>
      </c>
      <c r="S14" s="10" t="s">
        <v>60</v>
      </c>
      <c r="U14" s="6" t="s">
        <v>88</v>
      </c>
      <c r="V14" s="7">
        <v>106</v>
      </c>
      <c r="W14" s="11" t="s">
        <v>76</v>
      </c>
    </row>
    <row r="15" spans="1:26" ht="14.25" x14ac:dyDescent="0.2">
      <c r="A15" s="6" t="s">
        <v>87</v>
      </c>
      <c r="B15" s="7" t="s">
        <v>41</v>
      </c>
      <c r="C15" s="8"/>
      <c r="D15" s="7"/>
      <c r="E15" s="9"/>
      <c r="F15" s="8">
        <v>14</v>
      </c>
      <c r="G15" s="7" t="s">
        <v>53</v>
      </c>
      <c r="H15" s="9" t="s">
        <v>42</v>
      </c>
      <c r="I15" s="8">
        <v>1</v>
      </c>
      <c r="J15" s="7" t="s">
        <v>97</v>
      </c>
      <c r="K15" s="7"/>
      <c r="L15" s="8">
        <v>7</v>
      </c>
      <c r="M15" s="7" t="s">
        <v>59</v>
      </c>
      <c r="N15" s="9" t="s">
        <v>42</v>
      </c>
      <c r="O15" s="7">
        <v>36</v>
      </c>
      <c r="P15" s="7" t="s">
        <v>44</v>
      </c>
      <c r="Q15" s="9" t="s">
        <v>42</v>
      </c>
      <c r="R15" s="8">
        <v>36</v>
      </c>
      <c r="S15" s="10" t="s">
        <v>60</v>
      </c>
      <c r="U15" s="6" t="s">
        <v>89</v>
      </c>
      <c r="V15" s="7">
        <v>106</v>
      </c>
      <c r="W15" s="11" t="s">
        <v>76</v>
      </c>
    </row>
    <row r="16" spans="1:26" ht="14.25" x14ac:dyDescent="0.2">
      <c r="A16" s="6" t="s">
        <v>88</v>
      </c>
      <c r="B16" s="7" t="s">
        <v>41</v>
      </c>
      <c r="C16" s="8"/>
      <c r="D16" s="7"/>
      <c r="E16" s="9"/>
      <c r="F16" s="8">
        <v>16</v>
      </c>
      <c r="G16" s="7" t="s">
        <v>53</v>
      </c>
      <c r="H16" s="9" t="s">
        <v>42</v>
      </c>
      <c r="I16" s="8">
        <v>1</v>
      </c>
      <c r="J16" s="7" t="s">
        <v>98</v>
      </c>
      <c r="K16" s="7"/>
      <c r="L16" s="8">
        <v>8</v>
      </c>
      <c r="M16" s="7" t="s">
        <v>59</v>
      </c>
      <c r="N16" s="9" t="s">
        <v>42</v>
      </c>
      <c r="O16" s="7">
        <v>42</v>
      </c>
      <c r="P16" s="7" t="s">
        <v>44</v>
      </c>
      <c r="Q16" s="9" t="s">
        <v>42</v>
      </c>
      <c r="R16" s="8">
        <v>42</v>
      </c>
      <c r="S16" s="10" t="s">
        <v>60</v>
      </c>
      <c r="U16" s="2"/>
      <c r="W16" s="37"/>
    </row>
    <row r="17" spans="1:24" ht="14.25" x14ac:dyDescent="0.2">
      <c r="A17" s="6" t="s">
        <v>89</v>
      </c>
      <c r="B17" s="7" t="s">
        <v>41</v>
      </c>
      <c r="C17" s="8"/>
      <c r="D17" s="7"/>
      <c r="E17" s="9"/>
      <c r="F17" s="8">
        <v>16</v>
      </c>
      <c r="G17" s="7" t="s">
        <v>53</v>
      </c>
      <c r="H17" s="9" t="s">
        <v>42</v>
      </c>
      <c r="I17" s="8">
        <v>1</v>
      </c>
      <c r="J17" s="7" t="s">
        <v>98</v>
      </c>
      <c r="K17" s="7"/>
      <c r="L17" s="8">
        <v>8</v>
      </c>
      <c r="M17" s="7" t="s">
        <v>59</v>
      </c>
      <c r="N17" s="9" t="s">
        <v>42</v>
      </c>
      <c r="O17" s="33">
        <v>42</v>
      </c>
      <c r="P17" s="7" t="s">
        <v>44</v>
      </c>
      <c r="Q17" s="9" t="s">
        <v>42</v>
      </c>
      <c r="R17" s="8">
        <v>42</v>
      </c>
      <c r="S17" s="10" t="s">
        <v>60</v>
      </c>
    </row>
    <row r="19" spans="1:24" x14ac:dyDescent="0.2">
      <c r="E19" s="3"/>
      <c r="H19" s="3"/>
      <c r="N19" s="3"/>
      <c r="Q19" s="3"/>
    </row>
    <row r="21" spans="1:24" ht="15" x14ac:dyDescent="0.25">
      <c r="A21" s="18" t="s">
        <v>61</v>
      </c>
    </row>
    <row r="22" spans="1:24" x14ac:dyDescent="0.2">
      <c r="A22" s="13" t="s">
        <v>62</v>
      </c>
      <c r="B22" s="13" t="s">
        <v>63</v>
      </c>
      <c r="C22" s="42" t="s">
        <v>64</v>
      </c>
      <c r="D22" s="42"/>
      <c r="E22" s="42"/>
      <c r="F22" s="42" t="s">
        <v>65</v>
      </c>
      <c r="G22" s="42"/>
      <c r="H22" s="42"/>
      <c r="I22" s="42" t="s">
        <v>66</v>
      </c>
      <c r="J22" s="42"/>
      <c r="K22" s="42" t="s">
        <v>67</v>
      </c>
      <c r="L22" s="42"/>
      <c r="M22" s="42" t="s">
        <v>90</v>
      </c>
      <c r="N22" s="42"/>
      <c r="O22" s="42"/>
      <c r="P22" s="42" t="s">
        <v>91</v>
      </c>
      <c r="Q22" s="42"/>
      <c r="R22" s="42"/>
      <c r="S22" s="42"/>
      <c r="T22" s="42" t="s">
        <v>92</v>
      </c>
      <c r="U22" s="42"/>
      <c r="V22" s="42" t="s">
        <v>93</v>
      </c>
      <c r="W22" s="42"/>
    </row>
    <row r="23" spans="1:24" x14ac:dyDescent="0.2">
      <c r="A23" s="19" t="s">
        <v>94</v>
      </c>
      <c r="B23" s="19"/>
      <c r="C23" s="46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58"/>
      <c r="Q23" s="58"/>
      <c r="R23" s="58"/>
      <c r="S23" s="58"/>
      <c r="T23" s="41"/>
      <c r="U23" s="41"/>
      <c r="V23" s="41"/>
      <c r="W23" s="41"/>
    </row>
    <row r="24" spans="1:24" x14ac:dyDescent="0.2">
      <c r="A24" s="19" t="s">
        <v>85</v>
      </c>
      <c r="B24" s="19"/>
      <c r="C24" s="47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58"/>
      <c r="Q24" s="58"/>
      <c r="R24" s="58"/>
      <c r="S24" s="58"/>
      <c r="T24" s="41"/>
      <c r="U24" s="41"/>
      <c r="V24" s="41"/>
      <c r="W24" s="41"/>
    </row>
    <row r="25" spans="1:24" x14ac:dyDescent="0.2">
      <c r="A25" s="19" t="s">
        <v>95</v>
      </c>
      <c r="B25" s="19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58"/>
      <c r="Q25" s="58"/>
      <c r="R25" s="58"/>
      <c r="S25" s="58"/>
      <c r="T25" s="41"/>
      <c r="U25" s="41"/>
      <c r="V25" s="41"/>
      <c r="W25" s="41"/>
    </row>
    <row r="26" spans="1:24" x14ac:dyDescent="0.2">
      <c r="A26" s="19"/>
      <c r="B26" s="19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58"/>
      <c r="Q26" s="58"/>
      <c r="R26" s="58"/>
      <c r="S26" s="58"/>
      <c r="T26" s="41"/>
      <c r="U26" s="41"/>
      <c r="V26" s="41"/>
      <c r="W26" s="41"/>
    </row>
    <row r="27" spans="1:24" x14ac:dyDescent="0.2">
      <c r="A27" s="19"/>
      <c r="B27" s="19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58"/>
      <c r="Q27" s="58"/>
      <c r="R27" s="58"/>
      <c r="S27" s="58"/>
      <c r="T27" s="41"/>
      <c r="U27" s="41"/>
      <c r="V27" s="41"/>
      <c r="W27" s="41"/>
    </row>
    <row r="28" spans="1:24" x14ac:dyDescent="0.2">
      <c r="A28" s="19"/>
      <c r="B28" s="1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58"/>
      <c r="Q28" s="58"/>
      <c r="R28" s="58"/>
      <c r="S28" s="58"/>
      <c r="T28" s="41"/>
      <c r="U28" s="41"/>
      <c r="V28" s="41"/>
      <c r="W28" s="41"/>
    </row>
    <row r="30" spans="1:24" ht="15" x14ac:dyDescent="0.25">
      <c r="A30" s="18" t="s">
        <v>72</v>
      </c>
    </row>
    <row r="31" spans="1:24" x14ac:dyDescent="0.2">
      <c r="A31" s="14" t="str">
        <f t="shared" ref="A31:C37" si="0">A22</f>
        <v>Locatie</v>
      </c>
      <c r="B31" s="14" t="str">
        <f t="shared" si="0"/>
        <v>Filternr.</v>
      </c>
      <c r="C31" s="48" t="str">
        <f t="shared" si="0"/>
        <v>Diepte (m-mv)</v>
      </c>
      <c r="D31" s="48"/>
      <c r="E31" s="48"/>
      <c r="F31" s="48" t="s">
        <v>73</v>
      </c>
      <c r="G31" s="48"/>
      <c r="H31" s="48"/>
      <c r="I31" s="48"/>
      <c r="J31" s="48"/>
      <c r="K31" s="48" t="s">
        <v>78</v>
      </c>
      <c r="L31" s="48"/>
      <c r="M31" s="48"/>
      <c r="N31" s="48" t="s">
        <v>79</v>
      </c>
      <c r="O31" s="48"/>
      <c r="P31" s="48"/>
      <c r="Q31" s="50" t="s">
        <v>83</v>
      </c>
      <c r="R31" s="51"/>
      <c r="S31" s="51"/>
      <c r="T31" s="51"/>
      <c r="U31" s="51"/>
      <c r="V31" s="51"/>
      <c r="W31" s="51"/>
      <c r="X31" s="52"/>
    </row>
    <row r="32" spans="1:24" x14ac:dyDescent="0.2">
      <c r="A32" s="16" t="str">
        <f t="shared" si="0"/>
        <v>Referentie</v>
      </c>
      <c r="B32" s="16">
        <f t="shared" si="0"/>
        <v>0</v>
      </c>
      <c r="C32" s="43">
        <f t="shared" si="0"/>
        <v>0</v>
      </c>
      <c r="D32" s="43"/>
      <c r="E32" s="43"/>
      <c r="F32" s="44">
        <f>((F23/$V$9)*($C$9/$I$9))+((I23/$V$10)*($C$10/$I$10))+((K23/$V$11)*($C$11/$I$11))</f>
        <v>0</v>
      </c>
      <c r="G32" s="44"/>
      <c r="H32" s="44"/>
      <c r="I32" s="44"/>
      <c r="J32" s="44"/>
      <c r="K32" s="44">
        <f>(M23*0.001/$V$12)*$R$14+(P23*0.001/$V$13)*$R$15+(T23*0.001/$V$14)*$R$16+(V23*0.001/$V$15)*$R$17</f>
        <v>0</v>
      </c>
      <c r="L32" s="44"/>
      <c r="M32" s="44"/>
      <c r="N32" s="45" t="str">
        <f>IF(F32=0,"-",F32/K32)</f>
        <v>-</v>
      </c>
      <c r="O32" s="45"/>
      <c r="P32" s="45"/>
      <c r="Q32" s="53" t="str">
        <f t="shared" ref="Q32:Q37" si="1">IF(N32="-","-",IF(N32&lt;1,"Electronacceptor gelimiteerd. NA is niet duurzaam",IF(N32&gt;1,"Overschot electronacceptor. NA is duurzaam")))</f>
        <v>-</v>
      </c>
      <c r="R32" s="53"/>
      <c r="S32" s="53"/>
      <c r="T32" s="53"/>
      <c r="U32" s="53"/>
      <c r="V32" s="53"/>
      <c r="W32" s="53"/>
      <c r="X32" s="53"/>
    </row>
    <row r="33" spans="1:24" x14ac:dyDescent="0.2">
      <c r="A33" s="16" t="str">
        <f t="shared" si="0"/>
        <v>Bron</v>
      </c>
      <c r="B33" s="16">
        <f t="shared" si="0"/>
        <v>0</v>
      </c>
      <c r="C33" s="43">
        <f t="shared" si="0"/>
        <v>0</v>
      </c>
      <c r="D33" s="43"/>
      <c r="E33" s="43"/>
      <c r="F33" s="44">
        <f t="shared" ref="F33:F37" si="2">((F24/$V$9)*($C$9/$I$9))+((I24/$V$10)*($C$10/$I$10))+((K24/$V$11)*($C$11/$I$11))</f>
        <v>0</v>
      </c>
      <c r="G33" s="44"/>
      <c r="H33" s="44"/>
      <c r="I33" s="44"/>
      <c r="J33" s="44"/>
      <c r="K33" s="44">
        <f t="shared" ref="K32:K37" si="3">(M24*0.001/$V$12)*$R$14+(P24*0.001/$V$13)*$R$15+(T24*0.001/$V$14)*$R$16+(V24*0.001/$V$15)*$R$17</f>
        <v>0</v>
      </c>
      <c r="L33" s="44"/>
      <c r="M33" s="44"/>
      <c r="N33" s="45" t="str">
        <f t="shared" ref="N32:N37" si="4">IF(F33=0,"-",F33/K33)</f>
        <v>-</v>
      </c>
      <c r="O33" s="45"/>
      <c r="P33" s="45"/>
      <c r="Q33" s="53" t="str">
        <f t="shared" si="1"/>
        <v>-</v>
      </c>
      <c r="R33" s="53"/>
      <c r="S33" s="53"/>
      <c r="T33" s="53"/>
      <c r="U33" s="53"/>
      <c r="V33" s="53"/>
      <c r="W33" s="53"/>
      <c r="X33" s="53"/>
    </row>
    <row r="34" spans="1:24" x14ac:dyDescent="0.2">
      <c r="A34" s="16" t="str">
        <f t="shared" si="0"/>
        <v>Pluim</v>
      </c>
      <c r="B34" s="16">
        <f t="shared" si="0"/>
        <v>0</v>
      </c>
      <c r="C34" s="43">
        <f t="shared" si="0"/>
        <v>0</v>
      </c>
      <c r="D34" s="43"/>
      <c r="E34" s="43"/>
      <c r="F34" s="44">
        <f t="shared" si="2"/>
        <v>0</v>
      </c>
      <c r="G34" s="44"/>
      <c r="H34" s="44"/>
      <c r="I34" s="44"/>
      <c r="J34" s="44"/>
      <c r="K34" s="44">
        <f t="shared" si="3"/>
        <v>0</v>
      </c>
      <c r="L34" s="44"/>
      <c r="M34" s="44"/>
      <c r="N34" s="45" t="str">
        <f t="shared" si="4"/>
        <v>-</v>
      </c>
      <c r="O34" s="45"/>
      <c r="P34" s="45"/>
      <c r="Q34" s="53" t="str">
        <f t="shared" si="1"/>
        <v>-</v>
      </c>
      <c r="R34" s="53"/>
      <c r="S34" s="53"/>
      <c r="T34" s="53"/>
      <c r="U34" s="53"/>
      <c r="V34" s="53"/>
      <c r="W34" s="53"/>
      <c r="X34" s="53"/>
    </row>
    <row r="35" spans="1:24" x14ac:dyDescent="0.2">
      <c r="A35" s="16">
        <f t="shared" si="0"/>
        <v>0</v>
      </c>
      <c r="B35" s="16">
        <f t="shared" si="0"/>
        <v>0</v>
      </c>
      <c r="C35" s="43">
        <f t="shared" si="0"/>
        <v>0</v>
      </c>
      <c r="D35" s="43"/>
      <c r="E35" s="43"/>
      <c r="F35" s="44">
        <f t="shared" si="2"/>
        <v>0</v>
      </c>
      <c r="G35" s="44"/>
      <c r="H35" s="44"/>
      <c r="I35" s="44"/>
      <c r="J35" s="44"/>
      <c r="K35" s="44">
        <f t="shared" si="3"/>
        <v>0</v>
      </c>
      <c r="L35" s="44"/>
      <c r="M35" s="44"/>
      <c r="N35" s="45" t="str">
        <f t="shared" si="4"/>
        <v>-</v>
      </c>
      <c r="O35" s="45"/>
      <c r="P35" s="45"/>
      <c r="Q35" s="53" t="str">
        <f t="shared" si="1"/>
        <v>-</v>
      </c>
      <c r="R35" s="53"/>
      <c r="S35" s="53"/>
      <c r="T35" s="53"/>
      <c r="U35" s="53"/>
      <c r="V35" s="53"/>
      <c r="W35" s="53"/>
      <c r="X35" s="53"/>
    </row>
    <row r="36" spans="1:24" x14ac:dyDescent="0.2">
      <c r="A36" s="16">
        <f t="shared" si="0"/>
        <v>0</v>
      </c>
      <c r="B36" s="16">
        <f t="shared" si="0"/>
        <v>0</v>
      </c>
      <c r="C36" s="43">
        <f t="shared" si="0"/>
        <v>0</v>
      </c>
      <c r="D36" s="43"/>
      <c r="E36" s="43"/>
      <c r="F36" s="44">
        <f t="shared" si="2"/>
        <v>0</v>
      </c>
      <c r="G36" s="44"/>
      <c r="H36" s="44"/>
      <c r="I36" s="44"/>
      <c r="J36" s="44"/>
      <c r="K36" s="44">
        <f t="shared" si="3"/>
        <v>0</v>
      </c>
      <c r="L36" s="44"/>
      <c r="M36" s="44"/>
      <c r="N36" s="45" t="str">
        <f t="shared" si="4"/>
        <v>-</v>
      </c>
      <c r="O36" s="45"/>
      <c r="P36" s="45"/>
      <c r="Q36" s="53" t="str">
        <f t="shared" si="1"/>
        <v>-</v>
      </c>
      <c r="R36" s="53"/>
      <c r="S36" s="53"/>
      <c r="T36" s="53"/>
      <c r="U36" s="53"/>
      <c r="V36" s="53"/>
      <c r="W36" s="53"/>
      <c r="X36" s="53"/>
    </row>
    <row r="37" spans="1:24" x14ac:dyDescent="0.2">
      <c r="A37" s="16">
        <f t="shared" si="0"/>
        <v>0</v>
      </c>
      <c r="B37" s="16">
        <f t="shared" si="0"/>
        <v>0</v>
      </c>
      <c r="C37" s="43">
        <f t="shared" si="0"/>
        <v>0</v>
      </c>
      <c r="D37" s="43"/>
      <c r="E37" s="43"/>
      <c r="F37" s="44">
        <f t="shared" si="2"/>
        <v>0</v>
      </c>
      <c r="G37" s="44"/>
      <c r="H37" s="44"/>
      <c r="I37" s="44"/>
      <c r="J37" s="44"/>
      <c r="K37" s="44">
        <f t="shared" si="3"/>
        <v>0</v>
      </c>
      <c r="L37" s="44"/>
      <c r="M37" s="44"/>
      <c r="N37" s="45" t="str">
        <f t="shared" si="4"/>
        <v>-</v>
      </c>
      <c r="O37" s="45"/>
      <c r="P37" s="45"/>
      <c r="Q37" s="53" t="str">
        <f t="shared" si="1"/>
        <v>-</v>
      </c>
      <c r="R37" s="53"/>
      <c r="S37" s="53"/>
      <c r="T37" s="53"/>
      <c r="U37" s="53"/>
      <c r="V37" s="53"/>
      <c r="W37" s="53"/>
      <c r="X37" s="53"/>
    </row>
    <row r="38" spans="1:24" x14ac:dyDescent="0.2">
      <c r="C38" s="49"/>
      <c r="D38" s="49"/>
      <c r="E38" s="49"/>
    </row>
    <row r="65536" spans="8:8" x14ac:dyDescent="0.2">
      <c r="H65536" s="9"/>
    </row>
  </sheetData>
  <mergeCells count="92">
    <mergeCell ref="K22:L22"/>
    <mergeCell ref="T22:U22"/>
    <mergeCell ref="V22:W22"/>
    <mergeCell ref="C23:E23"/>
    <mergeCell ref="F23:H23"/>
    <mergeCell ref="I23:J23"/>
    <mergeCell ref="K23:L23"/>
    <mergeCell ref="T23:U23"/>
    <mergeCell ref="C22:E22"/>
    <mergeCell ref="F22:H22"/>
    <mergeCell ref="I22:J22"/>
    <mergeCell ref="M22:O22"/>
    <mergeCell ref="P22:S22"/>
    <mergeCell ref="T25:U25"/>
    <mergeCell ref="V25:W25"/>
    <mergeCell ref="V23:W23"/>
    <mergeCell ref="C24:E24"/>
    <mergeCell ref="F24:H24"/>
    <mergeCell ref="I24:J24"/>
    <mergeCell ref="K24:L24"/>
    <mergeCell ref="T24:U24"/>
    <mergeCell ref="V24:W24"/>
    <mergeCell ref="M23:O23"/>
    <mergeCell ref="P23:S23"/>
    <mergeCell ref="P24:S24"/>
    <mergeCell ref="P25:S25"/>
    <mergeCell ref="F26:H26"/>
    <mergeCell ref="I26:J26"/>
    <mergeCell ref="K26:L26"/>
    <mergeCell ref="C25:E25"/>
    <mergeCell ref="F25:H25"/>
    <mergeCell ref="I25:J25"/>
    <mergeCell ref="K25:L25"/>
    <mergeCell ref="Q31:X31"/>
    <mergeCell ref="K28:L28"/>
    <mergeCell ref="T26:U26"/>
    <mergeCell ref="V26:W26"/>
    <mergeCell ref="C27:E27"/>
    <mergeCell ref="F27:H27"/>
    <mergeCell ref="I27:J27"/>
    <mergeCell ref="K27:L27"/>
    <mergeCell ref="T27:U27"/>
    <mergeCell ref="V27:W27"/>
    <mergeCell ref="C26:E26"/>
    <mergeCell ref="T28:U28"/>
    <mergeCell ref="V28:W28"/>
    <mergeCell ref="C28:E28"/>
    <mergeCell ref="F28:H28"/>
    <mergeCell ref="I28:J28"/>
    <mergeCell ref="Q32:X32"/>
    <mergeCell ref="C33:E33"/>
    <mergeCell ref="F33:J33"/>
    <mergeCell ref="K33:M33"/>
    <mergeCell ref="N33:P33"/>
    <mergeCell ref="Q33:X33"/>
    <mergeCell ref="C32:E32"/>
    <mergeCell ref="C36:E36"/>
    <mergeCell ref="F36:J36"/>
    <mergeCell ref="K36:M36"/>
    <mergeCell ref="N36:P36"/>
    <mergeCell ref="Q36:X36"/>
    <mergeCell ref="F34:J34"/>
    <mergeCell ref="K34:M34"/>
    <mergeCell ref="N34:P34"/>
    <mergeCell ref="Q34:X34"/>
    <mergeCell ref="C35:E35"/>
    <mergeCell ref="F35:J35"/>
    <mergeCell ref="K35:M35"/>
    <mergeCell ref="N35:P35"/>
    <mergeCell ref="Q35:X35"/>
    <mergeCell ref="P26:S26"/>
    <mergeCell ref="P27:S27"/>
    <mergeCell ref="M24:O24"/>
    <mergeCell ref="M25:O25"/>
    <mergeCell ref="M26:O26"/>
    <mergeCell ref="M27:O27"/>
    <mergeCell ref="M28:O28"/>
    <mergeCell ref="C38:E38"/>
    <mergeCell ref="C37:E37"/>
    <mergeCell ref="F37:J37"/>
    <mergeCell ref="K37:M37"/>
    <mergeCell ref="N37:P37"/>
    <mergeCell ref="F32:J32"/>
    <mergeCell ref="K32:M32"/>
    <mergeCell ref="N32:P32"/>
    <mergeCell ref="C31:E31"/>
    <mergeCell ref="F31:J31"/>
    <mergeCell ref="K31:M31"/>
    <mergeCell ref="N31:P31"/>
    <mergeCell ref="P28:S28"/>
    <mergeCell ref="Q37:X37"/>
    <mergeCell ref="C34:E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2"/>
  <dimension ref="A1:H28"/>
  <sheetViews>
    <sheetView zoomScale="75" workbookViewId="0">
      <selection activeCell="A3" sqref="A3"/>
    </sheetView>
  </sheetViews>
  <sheetFormatPr defaultColWidth="8.85546875" defaultRowHeight="12.75" x14ac:dyDescent="0.2"/>
  <cols>
    <col min="2" max="2" width="10.42578125" customWidth="1"/>
  </cols>
  <sheetData>
    <row r="1" spans="1:7" ht="18" x14ac:dyDescent="0.25">
      <c r="A1" s="1" t="s">
        <v>24</v>
      </c>
    </row>
    <row r="2" spans="1:7" x14ac:dyDescent="0.2">
      <c r="A2" s="2"/>
    </row>
    <row r="3" spans="1:7" x14ac:dyDescent="0.2">
      <c r="A3" s="4" t="s">
        <v>80</v>
      </c>
      <c r="C3" s="5" t="s">
        <v>81</v>
      </c>
    </row>
    <row r="4" spans="1:7" x14ac:dyDescent="0.2">
      <c r="C4" s="5" t="s">
        <v>82</v>
      </c>
    </row>
    <row r="5" spans="1:7" x14ac:dyDescent="0.2">
      <c r="A5" s="2"/>
    </row>
    <row r="6" spans="1:7" x14ac:dyDescent="0.2">
      <c r="A6" s="2"/>
    </row>
    <row r="7" spans="1:7" ht="15" x14ac:dyDescent="0.25">
      <c r="A7" s="18" t="s">
        <v>25</v>
      </c>
    </row>
    <row r="8" spans="1:7" x14ac:dyDescent="0.2">
      <c r="A8" s="20" t="s">
        <v>0</v>
      </c>
      <c r="B8" s="14" t="s">
        <v>4</v>
      </c>
      <c r="C8" s="14" t="s">
        <v>5</v>
      </c>
      <c r="E8" s="20" t="s">
        <v>3</v>
      </c>
      <c r="F8" s="14" t="s">
        <v>4</v>
      </c>
      <c r="G8" s="14" t="s">
        <v>5</v>
      </c>
    </row>
    <row r="9" spans="1:7" ht="14.25" x14ac:dyDescent="0.2">
      <c r="A9" s="15" t="s">
        <v>7</v>
      </c>
      <c r="B9" s="19"/>
      <c r="C9" s="16">
        <f>(B9/23)*1</f>
        <v>0</v>
      </c>
      <c r="E9" s="15" t="s">
        <v>6</v>
      </c>
      <c r="F9" s="19"/>
      <c r="G9" s="16">
        <f>(F9/35.5)*1</f>
        <v>0</v>
      </c>
    </row>
    <row r="10" spans="1:7" ht="15.75" x14ac:dyDescent="0.3">
      <c r="A10" s="15" t="s">
        <v>8</v>
      </c>
      <c r="B10" s="19"/>
      <c r="C10" s="16">
        <f>(B10/39.1)*1</f>
        <v>0</v>
      </c>
      <c r="E10" s="15" t="s">
        <v>11</v>
      </c>
      <c r="F10" s="19"/>
      <c r="G10" s="16">
        <f>(F10/61)*1</f>
        <v>0</v>
      </c>
    </row>
    <row r="11" spans="1:7" ht="15.75" x14ac:dyDescent="0.3">
      <c r="A11" s="15" t="s">
        <v>1</v>
      </c>
      <c r="B11" s="19"/>
      <c r="C11" s="16">
        <f>(B11/55.8)*2</f>
        <v>0</v>
      </c>
      <c r="E11" s="15" t="s">
        <v>12</v>
      </c>
      <c r="F11" s="19"/>
      <c r="G11" s="16">
        <f>(F11/32.1)*2</f>
        <v>0</v>
      </c>
    </row>
    <row r="12" spans="1:7" ht="15.75" x14ac:dyDescent="0.3">
      <c r="A12" s="15" t="s">
        <v>2</v>
      </c>
      <c r="B12" s="19"/>
      <c r="C12" s="16">
        <f>(B12/54.9)*2</f>
        <v>0</v>
      </c>
      <c r="E12" s="15" t="s">
        <v>13</v>
      </c>
      <c r="F12" s="19"/>
      <c r="G12" s="16">
        <f>(F12/62)*1</f>
        <v>0</v>
      </c>
    </row>
    <row r="13" spans="1:7" ht="14.25" x14ac:dyDescent="0.2">
      <c r="A13" s="15" t="s">
        <v>9</v>
      </c>
      <c r="B13" s="19"/>
      <c r="C13" s="16">
        <f>(B13/24.3)*2</f>
        <v>0</v>
      </c>
      <c r="E13" s="15" t="s">
        <v>14</v>
      </c>
      <c r="F13" s="15"/>
      <c r="G13" s="16">
        <f>SUM(G9:G12)</f>
        <v>0</v>
      </c>
    </row>
    <row r="14" spans="1:7" ht="14.25" x14ac:dyDescent="0.2">
      <c r="A14" s="15" t="s">
        <v>10</v>
      </c>
      <c r="B14" s="19"/>
      <c r="C14" s="16">
        <f>(B14/40.1)*2</f>
        <v>0</v>
      </c>
    </row>
    <row r="15" spans="1:7" x14ac:dyDescent="0.2">
      <c r="A15" s="15" t="s">
        <v>14</v>
      </c>
      <c r="B15" s="15"/>
      <c r="C15" s="16">
        <f>SUM(C9:C14)</f>
        <v>0</v>
      </c>
    </row>
    <row r="17" spans="1:8" x14ac:dyDescent="0.2">
      <c r="A17" s="22" t="s">
        <v>15</v>
      </c>
      <c r="B17" s="23"/>
      <c r="C17" s="23"/>
      <c r="D17" s="24" t="str">
        <f>IF(C15=0,"-",SQRT(((C15-G13)/(C15+G13))^2))</f>
        <v>-</v>
      </c>
    </row>
    <row r="18" spans="1:8" x14ac:dyDescent="0.2">
      <c r="A18" s="20" t="s">
        <v>16</v>
      </c>
      <c r="B18" s="15"/>
      <c r="C18" s="15"/>
      <c r="D18" s="15"/>
      <c r="E18" s="15"/>
      <c r="F18" s="17" t="str">
        <f>IF(D17="-","-",IF(D17&gt;0.1,"ja","nee"))</f>
        <v>-</v>
      </c>
    </row>
    <row r="20" spans="1:8" ht="15" x14ac:dyDescent="0.25">
      <c r="A20" s="18" t="s">
        <v>84</v>
      </c>
    </row>
    <row r="21" spans="1:8" x14ac:dyDescent="0.2">
      <c r="A21" s="25" t="s">
        <v>17</v>
      </c>
      <c r="B21" s="15"/>
      <c r="C21" s="15"/>
      <c r="D21" s="15" t="s">
        <v>18</v>
      </c>
      <c r="E21" s="26"/>
    </row>
    <row r="22" spans="1:8" x14ac:dyDescent="0.2">
      <c r="A22" s="25" t="s">
        <v>19</v>
      </c>
      <c r="B22" s="15"/>
      <c r="C22" s="27">
        <f>C21/100</f>
        <v>0</v>
      </c>
      <c r="D22" s="15" t="s">
        <v>21</v>
      </c>
      <c r="E22" s="15"/>
    </row>
    <row r="23" spans="1:8" x14ac:dyDescent="0.2">
      <c r="A23" s="25" t="s">
        <v>20</v>
      </c>
      <c r="B23" s="15"/>
      <c r="C23" s="27">
        <f>C15</f>
        <v>0</v>
      </c>
      <c r="D23" s="15" t="s">
        <v>22</v>
      </c>
      <c r="E23" s="15"/>
    </row>
    <row r="24" spans="1:8" x14ac:dyDescent="0.2">
      <c r="A24" s="28" t="s">
        <v>20</v>
      </c>
      <c r="B24" s="23"/>
      <c r="C24" s="29">
        <f>G13</f>
        <v>0</v>
      </c>
      <c r="D24" s="23" t="s">
        <v>23</v>
      </c>
      <c r="E24" s="23"/>
    </row>
    <row r="25" spans="1:8" x14ac:dyDescent="0.2">
      <c r="A25" s="20" t="s">
        <v>26</v>
      </c>
      <c r="B25" s="15"/>
      <c r="C25" s="15"/>
      <c r="D25" s="6"/>
      <c r="E25" s="10"/>
      <c r="F25" s="21" t="str">
        <f>IF($C$22=0,"-",SQRT((($C$22-C23)/($C$22+C23))^2))</f>
        <v>-</v>
      </c>
    </row>
    <row r="26" spans="1:8" x14ac:dyDescent="0.2">
      <c r="A26" s="22" t="s">
        <v>27</v>
      </c>
      <c r="B26" s="23"/>
      <c r="C26" s="23"/>
      <c r="D26" s="30"/>
      <c r="E26" s="31"/>
      <c r="F26" s="24" t="str">
        <f>IF($C$22=0,"-",SQRT((($C$22-C24)/($C$22+C24))^2))</f>
        <v>-</v>
      </c>
    </row>
    <row r="27" spans="1:8" x14ac:dyDescent="0.2">
      <c r="A27" s="22" t="s">
        <v>16</v>
      </c>
      <c r="B27" s="23"/>
      <c r="C27" s="23"/>
      <c r="D27" s="23"/>
      <c r="E27" s="23"/>
      <c r="F27" s="17" t="str">
        <f>IF(F25="-","-",IF(F25&gt;0.1,"ja","nee"))</f>
        <v>-</v>
      </c>
      <c r="G27" s="15" t="s">
        <v>28</v>
      </c>
      <c r="H27" s="15"/>
    </row>
    <row r="28" spans="1:8" x14ac:dyDescent="0.2">
      <c r="A28" s="32"/>
      <c r="B28" s="33"/>
      <c r="C28" s="33"/>
      <c r="D28" s="33"/>
      <c r="E28" s="34"/>
      <c r="F28" s="17" t="str">
        <f>IF(F26="-","-",IF(F26&gt;0.1,"ja","nee"))</f>
        <v>-</v>
      </c>
      <c r="G28" s="15" t="s">
        <v>29</v>
      </c>
      <c r="H28" s="15"/>
    </row>
  </sheetData>
  <sheetProtection password="DA79" sheet="1" objects="1" scenarios="1"/>
  <phoneticPr fontId="0" type="noConversion"/>
  <pageMargins left="0.75" right="0.75" top="1" bottom="1" header="0.5" footer="0.5"/>
  <pageSetup paperSize="9" orientation="portrait" r:id="rId1"/>
  <headerFooter alignWithMargins="0">
    <oddHeader>&amp;R&amp;F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Duurzaamheid NA VOCl</vt:lpstr>
      <vt:lpstr>Duurzaamheid NA BTEX</vt:lpstr>
      <vt:lpstr>Kwaliteit metingen</vt:lpstr>
    </vt:vector>
  </TitlesOfParts>
  <Company>IWACO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Praamstra</dc:creator>
  <cp:lastModifiedBy>Aseyednezhad, S. (Sona)</cp:lastModifiedBy>
  <cp:lastPrinted>2004-12-13T12:17:24Z</cp:lastPrinted>
  <dcterms:created xsi:type="dcterms:W3CDTF">2003-01-16T13:45:58Z</dcterms:created>
  <dcterms:modified xsi:type="dcterms:W3CDTF">2023-07-13T13:28:10Z</dcterms:modified>
</cp:coreProperties>
</file>