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0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3.xml" ContentType="application/vnd.openxmlformats-officedocument.themeOverrid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4.xml" ContentType="application/vnd.openxmlformats-officedocument.themeOverrid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5.xml" ContentType="application/vnd.openxmlformats-officedocument.themeOverrid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6.xml" ContentType="application/vnd.openxmlformats-officedocument.themeOverrid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8.xml" ContentType="application/vnd.openxmlformats-officedocument.themeOverrid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9.xml" ContentType="application/vnd.openxmlformats-officedocument.themeOverride+xml"/>
  <Override PartName="/xl/drawings/drawing14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aseyednezhad_uu_nl/Documents/MyMac/My PhD/Sources/"/>
    </mc:Choice>
  </mc:AlternateContent>
  <xr:revisionPtr revIDLastSave="1" documentId="8_{64CC0058-9EB6-4DF8-87BB-91645FEA66B0}" xr6:coauthVersionLast="47" xr6:coauthVersionMax="47" xr10:uidLastSave="{8A5B8301-E25D-4F2A-88BF-39EF8515BB91}"/>
  <bookViews>
    <workbookView xWindow="-120" yWindow="-120" windowWidth="29040" windowHeight="15840" tabRatio="837" firstSheet="2" activeTab="2" xr2:uid="{37734B1E-DC79-4D8A-84D4-6D427CAB7F96}"/>
  </bookViews>
  <sheets>
    <sheet name="GW Sampling" sheetId="1" r:id="rId1"/>
    <sheet name="All vs soil type" sheetId="26" r:id="rId2"/>
    <sheet name="GC-MS" sheetId="5" r:id="rId3"/>
    <sheet name="Tar fractions" sheetId="6" r:id="rId4"/>
    <sheet name="Profiles" sheetId="33" r:id="rId5"/>
    <sheet name="EAs" sheetId="9" r:id="rId6"/>
    <sheet name="Stoich" sheetId="30" r:id="rId7"/>
    <sheet name="Soil" sheetId="27" r:id="rId8"/>
    <sheet name="Tar vs EA" sheetId="8" r:id="rId9"/>
    <sheet name="EAProfiles" sheetId="36" r:id="rId10"/>
    <sheet name="Metabolites" sheetId="10" r:id="rId11"/>
    <sheet name="Metab vs Tar" sheetId="12" r:id="rId12"/>
    <sheet name="Metab vs EA" sheetId="11" r:id="rId13"/>
    <sheet name="Bacteria" sheetId="15" r:id="rId14"/>
    <sheet name="Bact vs Tar" sheetId="17" r:id="rId15"/>
    <sheet name="Bact vs EA" sheetId="18" r:id="rId16"/>
    <sheet name="Bact vs Metab" sheetId="19" r:id="rId17"/>
    <sheet name="CSIA" sheetId="21" r:id="rId18"/>
    <sheet name="Lambda" sheetId="22" r:id="rId19"/>
    <sheet name="% Degradation" sheetId="24" r:id="rId20"/>
    <sheet name="2nd Aquifer" sheetId="2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P5" i="6"/>
  <c r="T5" i="6" s="1"/>
  <c r="AH5" i="5"/>
  <c r="AF5" i="5"/>
  <c r="AE3" i="17"/>
  <c r="AU3" i="30"/>
  <c r="AN9" i="30"/>
  <c r="AS62" i="30"/>
  <c r="AR62" i="30"/>
  <c r="AQ62" i="30"/>
  <c r="AL62" i="30"/>
  <c r="AK62" i="30"/>
  <c r="AJ62" i="30"/>
  <c r="AI62" i="30"/>
  <c r="AY61" i="30"/>
  <c r="AX61" i="30"/>
  <c r="AW61" i="30"/>
  <c r="AV61" i="30"/>
  <c r="AU61" i="30"/>
  <c r="AT61" i="30"/>
  <c r="AY60" i="30"/>
  <c r="AX60" i="30"/>
  <c r="AW60" i="30"/>
  <c r="AV60" i="30"/>
  <c r="AU60" i="30"/>
  <c r="AT60" i="30"/>
  <c r="AY59" i="30"/>
  <c r="AX59" i="30"/>
  <c r="AW59" i="30"/>
  <c r="AV59" i="30"/>
  <c r="AU59" i="30"/>
  <c r="AT59" i="30"/>
  <c r="AY58" i="30"/>
  <c r="AX58" i="30"/>
  <c r="AW58" i="30"/>
  <c r="AV58" i="30"/>
  <c r="AU58" i="30"/>
  <c r="AT58" i="30"/>
  <c r="AY57" i="30"/>
  <c r="AX57" i="30"/>
  <c r="AW57" i="30"/>
  <c r="AV57" i="30"/>
  <c r="AU57" i="30"/>
  <c r="AT57" i="30"/>
  <c r="AY56" i="30"/>
  <c r="AX56" i="30"/>
  <c r="AW56" i="30"/>
  <c r="AV56" i="30"/>
  <c r="AU56" i="30"/>
  <c r="AT56" i="30"/>
  <c r="AY55" i="30"/>
  <c r="AX55" i="30"/>
  <c r="AW55" i="30"/>
  <c r="AV55" i="30"/>
  <c r="AU55" i="30"/>
  <c r="AT55" i="30"/>
  <c r="AY54" i="30"/>
  <c r="AX54" i="30"/>
  <c r="AW54" i="30"/>
  <c r="AV54" i="30"/>
  <c r="AU54" i="30"/>
  <c r="AT54" i="30"/>
  <c r="AP54" i="30"/>
  <c r="AO54" i="30"/>
  <c r="AN54" i="30"/>
  <c r="AY53" i="30"/>
  <c r="AX53" i="30"/>
  <c r="AW53" i="30"/>
  <c r="AV53" i="30"/>
  <c r="AU53" i="30"/>
  <c r="AT53" i="30"/>
  <c r="AP53" i="30"/>
  <c r="AO53" i="30"/>
  <c r="AN53" i="30"/>
  <c r="AY52" i="30"/>
  <c r="AX52" i="30"/>
  <c r="AW52" i="30"/>
  <c r="AV52" i="30"/>
  <c r="AU52" i="30"/>
  <c r="AT52" i="30"/>
  <c r="AP52" i="30"/>
  <c r="AO52" i="30"/>
  <c r="AN52" i="30"/>
  <c r="AY51" i="30"/>
  <c r="AX51" i="30"/>
  <c r="AW51" i="30"/>
  <c r="AV51" i="30"/>
  <c r="AU51" i="30"/>
  <c r="AT51" i="30"/>
  <c r="AP51" i="30"/>
  <c r="AO51" i="30"/>
  <c r="AN51" i="30"/>
  <c r="AY50" i="30"/>
  <c r="AX50" i="30"/>
  <c r="AW50" i="30"/>
  <c r="AV50" i="30"/>
  <c r="AU50" i="30"/>
  <c r="AT50" i="30"/>
  <c r="AP50" i="30"/>
  <c r="AO50" i="30"/>
  <c r="AN50" i="30"/>
  <c r="AY49" i="30"/>
  <c r="AX49" i="30"/>
  <c r="AW49" i="30"/>
  <c r="AV49" i="30"/>
  <c r="AU49" i="30"/>
  <c r="AT49" i="30"/>
  <c r="AP49" i="30"/>
  <c r="AO49" i="30"/>
  <c r="AN49" i="30"/>
  <c r="AY48" i="30"/>
  <c r="AX48" i="30"/>
  <c r="AW48" i="30"/>
  <c r="AV48" i="30"/>
  <c r="AU48" i="30"/>
  <c r="AT48" i="30"/>
  <c r="AP48" i="30"/>
  <c r="AO48" i="30"/>
  <c r="AN48" i="30"/>
  <c r="AY47" i="30"/>
  <c r="AX47" i="30"/>
  <c r="AW47" i="30"/>
  <c r="AV47" i="30"/>
  <c r="AU47" i="30"/>
  <c r="AT47" i="30"/>
  <c r="AP47" i="30"/>
  <c r="AO47" i="30"/>
  <c r="AN47" i="30"/>
  <c r="AY46" i="30"/>
  <c r="AX46" i="30"/>
  <c r="AW46" i="30"/>
  <c r="AV46" i="30"/>
  <c r="AU46" i="30"/>
  <c r="AT46" i="30"/>
  <c r="AP46" i="30"/>
  <c r="AO46" i="30"/>
  <c r="AN46" i="30"/>
  <c r="AY45" i="30"/>
  <c r="AX45" i="30"/>
  <c r="AW45" i="30"/>
  <c r="AV45" i="30"/>
  <c r="AU45" i="30"/>
  <c r="AT45" i="30"/>
  <c r="AP45" i="30"/>
  <c r="AO45" i="30"/>
  <c r="AN45" i="30"/>
  <c r="AY44" i="30"/>
  <c r="AX44" i="30"/>
  <c r="AW44" i="30"/>
  <c r="AV44" i="30"/>
  <c r="AU44" i="30"/>
  <c r="AT44" i="30"/>
  <c r="AP44" i="30"/>
  <c r="AO44" i="30"/>
  <c r="AN44" i="30"/>
  <c r="AY43" i="30"/>
  <c r="AX43" i="30"/>
  <c r="AW43" i="30"/>
  <c r="AV43" i="30"/>
  <c r="AU43" i="30"/>
  <c r="AT43" i="30"/>
  <c r="AP43" i="30"/>
  <c r="AO43" i="30"/>
  <c r="AN43" i="30"/>
  <c r="AY42" i="30"/>
  <c r="AX42" i="30"/>
  <c r="AW42" i="30"/>
  <c r="AV42" i="30"/>
  <c r="AU42" i="30"/>
  <c r="AT42" i="30"/>
  <c r="AP42" i="30"/>
  <c r="AO42" i="30"/>
  <c r="AN42" i="30"/>
  <c r="AY41" i="30"/>
  <c r="AX41" i="30"/>
  <c r="AW41" i="30"/>
  <c r="AV41" i="30"/>
  <c r="AU41" i="30"/>
  <c r="AT41" i="30"/>
  <c r="AP41" i="30"/>
  <c r="AO41" i="30"/>
  <c r="AN41" i="30"/>
  <c r="AY40" i="30"/>
  <c r="AX40" i="30"/>
  <c r="AW40" i="30"/>
  <c r="AV40" i="30"/>
  <c r="AU40" i="30"/>
  <c r="AT40" i="30"/>
  <c r="AP40" i="30"/>
  <c r="AO40" i="30"/>
  <c r="AN40" i="30"/>
  <c r="AY39" i="30"/>
  <c r="AX39" i="30"/>
  <c r="AW39" i="30"/>
  <c r="AV39" i="30"/>
  <c r="AU39" i="30"/>
  <c r="AT39" i="30"/>
  <c r="AP39" i="30"/>
  <c r="AO39" i="30"/>
  <c r="AN39" i="30"/>
  <c r="AY38" i="30"/>
  <c r="AX38" i="30"/>
  <c r="AW38" i="30"/>
  <c r="AV38" i="30"/>
  <c r="AU38" i="30"/>
  <c r="AT38" i="30"/>
  <c r="AP38" i="30"/>
  <c r="AO38" i="30"/>
  <c r="AN38" i="30"/>
  <c r="AY37" i="30"/>
  <c r="AX37" i="30"/>
  <c r="AW37" i="30"/>
  <c r="AV37" i="30"/>
  <c r="AU37" i="30"/>
  <c r="AT37" i="30"/>
  <c r="AP37" i="30"/>
  <c r="AO37" i="30"/>
  <c r="AN37" i="30"/>
  <c r="AY36" i="30"/>
  <c r="AX36" i="30"/>
  <c r="AW36" i="30"/>
  <c r="AV36" i="30"/>
  <c r="AU36" i="30"/>
  <c r="AT36" i="30"/>
  <c r="AP36" i="30"/>
  <c r="AO36" i="30"/>
  <c r="AN36" i="30"/>
  <c r="AY35" i="30"/>
  <c r="AX35" i="30"/>
  <c r="AW35" i="30"/>
  <c r="AV35" i="30"/>
  <c r="AU35" i="30"/>
  <c r="AT35" i="30"/>
  <c r="AP35" i="30"/>
  <c r="AO35" i="30"/>
  <c r="AN35" i="30"/>
  <c r="AY34" i="30"/>
  <c r="AX34" i="30"/>
  <c r="AW34" i="30"/>
  <c r="AV34" i="30"/>
  <c r="AU34" i="30"/>
  <c r="AT34" i="30"/>
  <c r="AP34" i="30"/>
  <c r="AO34" i="30"/>
  <c r="AN34" i="30"/>
  <c r="AY33" i="30"/>
  <c r="AX33" i="30"/>
  <c r="AW33" i="30"/>
  <c r="AV33" i="30"/>
  <c r="AU33" i="30"/>
  <c r="AT33" i="30"/>
  <c r="AP33" i="30"/>
  <c r="AO33" i="30"/>
  <c r="AN33" i="30"/>
  <c r="AY32" i="30"/>
  <c r="AX32" i="30"/>
  <c r="AW32" i="30"/>
  <c r="AV32" i="30"/>
  <c r="AU32" i="30"/>
  <c r="AT32" i="30"/>
  <c r="AP32" i="30"/>
  <c r="AO32" i="30"/>
  <c r="AN32" i="30"/>
  <c r="AY31" i="30"/>
  <c r="AX31" i="30"/>
  <c r="AW31" i="30"/>
  <c r="AV31" i="30"/>
  <c r="AU31" i="30"/>
  <c r="AT31" i="30"/>
  <c r="AP31" i="30"/>
  <c r="AO31" i="30"/>
  <c r="AN31" i="30"/>
  <c r="AY30" i="30"/>
  <c r="AX30" i="30"/>
  <c r="AW30" i="30"/>
  <c r="AV30" i="30"/>
  <c r="AU30" i="30"/>
  <c r="AT30" i="30"/>
  <c r="AP30" i="30"/>
  <c r="AO30" i="30"/>
  <c r="AN30" i="30"/>
  <c r="AY29" i="30"/>
  <c r="AX29" i="30"/>
  <c r="AW29" i="30"/>
  <c r="AV29" i="30"/>
  <c r="AU29" i="30"/>
  <c r="AT29" i="30"/>
  <c r="AP29" i="30"/>
  <c r="AO29" i="30"/>
  <c r="AN29" i="30"/>
  <c r="AY28" i="30"/>
  <c r="AX28" i="30"/>
  <c r="AW28" i="30"/>
  <c r="AV28" i="30"/>
  <c r="AU28" i="30"/>
  <c r="AT28" i="30"/>
  <c r="AP28" i="30"/>
  <c r="AO28" i="30"/>
  <c r="AN28" i="30"/>
  <c r="AY27" i="30"/>
  <c r="AX27" i="30"/>
  <c r="AW27" i="30"/>
  <c r="AV27" i="30"/>
  <c r="AU27" i="30"/>
  <c r="AT27" i="30"/>
  <c r="AP27" i="30"/>
  <c r="AO27" i="30"/>
  <c r="AN27" i="30"/>
  <c r="AY26" i="30"/>
  <c r="AX26" i="30"/>
  <c r="AW26" i="30"/>
  <c r="AV26" i="30"/>
  <c r="AU26" i="30"/>
  <c r="AT26" i="30"/>
  <c r="AP26" i="30"/>
  <c r="AO26" i="30"/>
  <c r="AN26" i="30"/>
  <c r="AY25" i="30"/>
  <c r="AX25" i="30"/>
  <c r="AW25" i="30"/>
  <c r="AV25" i="30"/>
  <c r="AU25" i="30"/>
  <c r="AT25" i="30"/>
  <c r="AP25" i="30"/>
  <c r="AO25" i="30"/>
  <c r="AN25" i="30"/>
  <c r="AY24" i="30"/>
  <c r="AX24" i="30"/>
  <c r="AW24" i="30"/>
  <c r="AV24" i="30"/>
  <c r="AU24" i="30"/>
  <c r="AT24" i="30"/>
  <c r="AP24" i="30"/>
  <c r="AO24" i="30"/>
  <c r="AN24" i="30"/>
  <c r="AY23" i="30"/>
  <c r="AX23" i="30"/>
  <c r="AW23" i="30"/>
  <c r="AV23" i="30"/>
  <c r="AU23" i="30"/>
  <c r="AT23" i="30"/>
  <c r="AP23" i="30"/>
  <c r="AO23" i="30"/>
  <c r="AN23" i="30"/>
  <c r="AY22" i="30"/>
  <c r="AX22" i="30"/>
  <c r="AW22" i="30"/>
  <c r="AV22" i="30"/>
  <c r="AU22" i="30"/>
  <c r="AT22" i="30"/>
  <c r="AP22" i="30"/>
  <c r="AO22" i="30"/>
  <c r="AN22" i="30"/>
  <c r="AY21" i="30"/>
  <c r="AX21" i="30"/>
  <c r="AW21" i="30"/>
  <c r="AV21" i="30"/>
  <c r="AU21" i="30"/>
  <c r="AT21" i="30"/>
  <c r="AP21" i="30"/>
  <c r="AO21" i="30"/>
  <c r="AN21" i="30"/>
  <c r="AY20" i="30"/>
  <c r="AX20" i="30"/>
  <c r="AW20" i="30"/>
  <c r="AV20" i="30"/>
  <c r="AU20" i="30"/>
  <c r="AT20" i="30"/>
  <c r="AP20" i="30"/>
  <c r="AO20" i="30"/>
  <c r="AN20" i="30"/>
  <c r="AY19" i="30"/>
  <c r="AX19" i="30"/>
  <c r="AW19" i="30"/>
  <c r="AV19" i="30"/>
  <c r="AU19" i="30"/>
  <c r="AT19" i="30"/>
  <c r="AP19" i="30"/>
  <c r="AO19" i="30"/>
  <c r="AN19" i="30"/>
  <c r="AY18" i="30"/>
  <c r="AX18" i="30"/>
  <c r="AW18" i="30"/>
  <c r="AV18" i="30"/>
  <c r="AU18" i="30"/>
  <c r="AT18" i="30"/>
  <c r="AP18" i="30"/>
  <c r="AO18" i="30"/>
  <c r="AN18" i="30"/>
  <c r="AY17" i="30"/>
  <c r="AX17" i="30"/>
  <c r="AW17" i="30"/>
  <c r="AV17" i="30"/>
  <c r="AU17" i="30"/>
  <c r="AT17" i="30"/>
  <c r="AP17" i="30"/>
  <c r="AO17" i="30"/>
  <c r="AN17" i="30"/>
  <c r="AY16" i="30"/>
  <c r="AX16" i="30"/>
  <c r="AW16" i="30"/>
  <c r="AV16" i="30"/>
  <c r="AU16" i="30"/>
  <c r="AT16" i="30"/>
  <c r="AP16" i="30"/>
  <c r="AO16" i="30"/>
  <c r="AN16" i="30"/>
  <c r="AY15" i="30"/>
  <c r="AX15" i="30"/>
  <c r="AW15" i="30"/>
  <c r="AV15" i="30"/>
  <c r="AU15" i="30"/>
  <c r="AT15" i="30"/>
  <c r="AP15" i="30"/>
  <c r="AO15" i="30"/>
  <c r="AN15" i="30"/>
  <c r="AY14" i="30"/>
  <c r="AX14" i="30"/>
  <c r="AW14" i="30"/>
  <c r="AV14" i="30"/>
  <c r="AU14" i="30"/>
  <c r="AT14" i="30"/>
  <c r="AP14" i="30"/>
  <c r="AO14" i="30"/>
  <c r="AN14" i="30"/>
  <c r="BA13" i="30"/>
  <c r="BB13" i="30" s="1"/>
  <c r="AZ13" i="30"/>
  <c r="AY13" i="30"/>
  <c r="AX13" i="30"/>
  <c r="AW13" i="30"/>
  <c r="AV13" i="30"/>
  <c r="AU13" i="30"/>
  <c r="AT13" i="30"/>
  <c r="AP13" i="30"/>
  <c r="AO13" i="30"/>
  <c r="AN13" i="30"/>
  <c r="BA12" i="30"/>
  <c r="AZ12" i="30"/>
  <c r="AY12" i="30"/>
  <c r="AX12" i="30"/>
  <c r="AW12" i="30"/>
  <c r="AV12" i="30"/>
  <c r="AU12" i="30"/>
  <c r="AT12" i="30"/>
  <c r="AP12" i="30"/>
  <c r="AO12" i="30"/>
  <c r="AN12" i="30"/>
  <c r="BA11" i="30"/>
  <c r="AZ11" i="30"/>
  <c r="AY11" i="30"/>
  <c r="AX11" i="30"/>
  <c r="AW11" i="30"/>
  <c r="AV11" i="30"/>
  <c r="AU11" i="30"/>
  <c r="AT11" i="30"/>
  <c r="AP11" i="30"/>
  <c r="AO11" i="30"/>
  <c r="AN11" i="30"/>
  <c r="BA10" i="30"/>
  <c r="AZ10" i="30"/>
  <c r="AY10" i="30"/>
  <c r="AX10" i="30"/>
  <c r="AW10" i="30"/>
  <c r="AV10" i="30"/>
  <c r="AU10" i="30"/>
  <c r="AT10" i="30"/>
  <c r="AP10" i="30"/>
  <c r="AO10" i="30"/>
  <c r="AN10" i="30"/>
  <c r="BA9" i="30"/>
  <c r="BB9" i="30" s="1"/>
  <c r="AZ9" i="30"/>
  <c r="AY9" i="30"/>
  <c r="AX9" i="30"/>
  <c r="AW9" i="30"/>
  <c r="AV9" i="30"/>
  <c r="AU9" i="30"/>
  <c r="AT9" i="30"/>
  <c r="AP9" i="30"/>
  <c r="AO9" i="30"/>
  <c r="BA8" i="30"/>
  <c r="AZ8" i="30"/>
  <c r="AY8" i="30"/>
  <c r="AX8" i="30"/>
  <c r="AW8" i="30"/>
  <c r="AV8" i="30"/>
  <c r="AU8" i="30"/>
  <c r="AT8" i="30"/>
  <c r="AP8" i="30"/>
  <c r="AO8" i="30"/>
  <c r="AN8" i="30"/>
  <c r="BA7" i="30"/>
  <c r="AZ7" i="30"/>
  <c r="AY7" i="30"/>
  <c r="AX7" i="30"/>
  <c r="AW7" i="30"/>
  <c r="AV7" i="30"/>
  <c r="AU7" i="30"/>
  <c r="AT7" i="30"/>
  <c r="AP7" i="30"/>
  <c r="AO7" i="30"/>
  <c r="AN7" i="30"/>
  <c r="BA6" i="30"/>
  <c r="AZ6" i="30"/>
  <c r="AY6" i="30"/>
  <c r="AX6" i="30"/>
  <c r="AW6" i="30"/>
  <c r="AV6" i="30"/>
  <c r="AU6" i="30"/>
  <c r="AT6" i="30"/>
  <c r="AP6" i="30"/>
  <c r="AO6" i="30"/>
  <c r="AN6" i="30"/>
  <c r="BA5" i="30"/>
  <c r="AZ5" i="30"/>
  <c r="AY5" i="30"/>
  <c r="AX5" i="30"/>
  <c r="AW5" i="30"/>
  <c r="AV5" i="30"/>
  <c r="AU5" i="30"/>
  <c r="AT5" i="30"/>
  <c r="AP5" i="30"/>
  <c r="AO5" i="30"/>
  <c r="AN5" i="30"/>
  <c r="BA4" i="30"/>
  <c r="AZ4" i="30"/>
  <c r="AY4" i="30"/>
  <c r="AX4" i="30"/>
  <c r="AW4" i="30"/>
  <c r="AV4" i="30"/>
  <c r="AU4" i="30"/>
  <c r="AT4" i="30"/>
  <c r="AP4" i="30"/>
  <c r="AO4" i="30"/>
  <c r="AN4" i="30"/>
  <c r="BB3" i="30"/>
  <c r="AY3" i="30"/>
  <c r="AX3" i="30"/>
  <c r="AW3" i="30"/>
  <c r="AV3" i="30"/>
  <c r="AT3" i="30"/>
  <c r="AP3" i="30"/>
  <c r="AO3" i="30"/>
  <c r="AN3" i="30"/>
  <c r="AC3" i="30"/>
  <c r="Y43" i="20"/>
  <c r="Y34" i="20"/>
  <c r="Y17" i="20"/>
  <c r="AF55" i="5"/>
  <c r="AG55" i="5" s="1"/>
  <c r="AH55" i="5"/>
  <c r="AJ55" i="5" s="1"/>
  <c r="AI55" i="5" s="1"/>
  <c r="AF56" i="5"/>
  <c r="AH56" i="5"/>
  <c r="AF58" i="5"/>
  <c r="AH58" i="5"/>
  <c r="AF59" i="5"/>
  <c r="AH59" i="5"/>
  <c r="AJ59" i="5" s="1"/>
  <c r="AF60" i="5"/>
  <c r="AH60" i="5"/>
  <c r="AF61" i="5"/>
  <c r="AG61" i="5"/>
  <c r="AH61" i="5"/>
  <c r="AJ61" i="5"/>
  <c r="AI61" i="5" s="1"/>
  <c r="AF62" i="5"/>
  <c r="AG62" i="5" s="1"/>
  <c r="AH62" i="5"/>
  <c r="AJ62" i="5"/>
  <c r="AI62" i="5" s="1"/>
  <c r="AF54" i="5"/>
  <c r="F3" i="26"/>
  <c r="I32" i="21"/>
  <c r="H32" i="21"/>
  <c r="H15" i="21"/>
  <c r="I15" i="21"/>
  <c r="I19" i="21"/>
  <c r="C21" i="27"/>
  <c r="C20" i="27"/>
  <c r="AE3" i="5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3" i="12"/>
  <c r="J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" i="8"/>
  <c r="E62" i="9"/>
  <c r="U3" i="30"/>
  <c r="U4" i="30"/>
  <c r="U5" i="30"/>
  <c r="U6" i="30"/>
  <c r="U14" i="30"/>
  <c r="U15" i="30"/>
  <c r="U16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2" i="30"/>
  <c r="U35" i="30"/>
  <c r="U36" i="30"/>
  <c r="U37" i="30"/>
  <c r="U38" i="30"/>
  <c r="U39" i="30"/>
  <c r="U40" i="30"/>
  <c r="U41" i="30"/>
  <c r="U42" i="30"/>
  <c r="U43" i="30"/>
  <c r="U44" i="30"/>
  <c r="AB55" i="30"/>
  <c r="AD4" i="30"/>
  <c r="AC4" i="30"/>
  <c r="AE4" i="30"/>
  <c r="AD5" i="30"/>
  <c r="AC5" i="30"/>
  <c r="AE5" i="30"/>
  <c r="AD6" i="30"/>
  <c r="AC6" i="30"/>
  <c r="AE6" i="30"/>
  <c r="AD7" i="30"/>
  <c r="AC7" i="30"/>
  <c r="AE7" i="30"/>
  <c r="AD8" i="30"/>
  <c r="AC8" i="30"/>
  <c r="AE8" i="30"/>
  <c r="AD9" i="30"/>
  <c r="AC9" i="30"/>
  <c r="AE9" i="30"/>
  <c r="AD10" i="30"/>
  <c r="AC10" i="30"/>
  <c r="AE10" i="30"/>
  <c r="AD11" i="30"/>
  <c r="AC11" i="30"/>
  <c r="AE11" i="30"/>
  <c r="AD12" i="30"/>
  <c r="AC12" i="30"/>
  <c r="AE12" i="30"/>
  <c r="AD13" i="30"/>
  <c r="AC13" i="30"/>
  <c r="AE13" i="30"/>
  <c r="AD14" i="30"/>
  <c r="AC14" i="30"/>
  <c r="AE14" i="30"/>
  <c r="AD15" i="30"/>
  <c r="AC15" i="30"/>
  <c r="AE15" i="30"/>
  <c r="AD16" i="30"/>
  <c r="AC16" i="30"/>
  <c r="AE16" i="30"/>
  <c r="AD17" i="30"/>
  <c r="AC17" i="30"/>
  <c r="AE17" i="30"/>
  <c r="AD18" i="30"/>
  <c r="AC18" i="30"/>
  <c r="AE18" i="30"/>
  <c r="AD19" i="30"/>
  <c r="AC19" i="30"/>
  <c r="AE19" i="30"/>
  <c r="AD20" i="30"/>
  <c r="AC20" i="30"/>
  <c r="AE20" i="30"/>
  <c r="AD21" i="30"/>
  <c r="AC21" i="30"/>
  <c r="AE21" i="30"/>
  <c r="AD22" i="30"/>
  <c r="AC22" i="30"/>
  <c r="AE22" i="30"/>
  <c r="AD23" i="30"/>
  <c r="AC23" i="30"/>
  <c r="AE23" i="30"/>
  <c r="AD24" i="30"/>
  <c r="AC24" i="30"/>
  <c r="AE24" i="30"/>
  <c r="AD25" i="30"/>
  <c r="AC25" i="30"/>
  <c r="AE25" i="30"/>
  <c r="AD26" i="30"/>
  <c r="AC26" i="30"/>
  <c r="AE26" i="30"/>
  <c r="AD27" i="30"/>
  <c r="AC27" i="30"/>
  <c r="AE27" i="30"/>
  <c r="AD28" i="30"/>
  <c r="AC28" i="30"/>
  <c r="AE28" i="30"/>
  <c r="AD29" i="30"/>
  <c r="AC29" i="30"/>
  <c r="AE29" i="30"/>
  <c r="AD30" i="30"/>
  <c r="AC30" i="30"/>
  <c r="AE30" i="30"/>
  <c r="AD31" i="30"/>
  <c r="AC31" i="30"/>
  <c r="AE31" i="30"/>
  <c r="AD32" i="30"/>
  <c r="AC32" i="30"/>
  <c r="AE32" i="30"/>
  <c r="AD33" i="30"/>
  <c r="AC33" i="30"/>
  <c r="AE33" i="30"/>
  <c r="AD34" i="30"/>
  <c r="AC34" i="30"/>
  <c r="AE34" i="30"/>
  <c r="AD35" i="30"/>
  <c r="AC35" i="30"/>
  <c r="AE35" i="30"/>
  <c r="AD36" i="30"/>
  <c r="AC36" i="30"/>
  <c r="AE36" i="30"/>
  <c r="AD37" i="30"/>
  <c r="AC37" i="30"/>
  <c r="AE37" i="30"/>
  <c r="AD38" i="30"/>
  <c r="AC38" i="30"/>
  <c r="AE38" i="30"/>
  <c r="AD39" i="30"/>
  <c r="AC39" i="30"/>
  <c r="AE39" i="30"/>
  <c r="AD40" i="30"/>
  <c r="AC40" i="30"/>
  <c r="AE40" i="30"/>
  <c r="AD41" i="30"/>
  <c r="AC41" i="30"/>
  <c r="AE41" i="30"/>
  <c r="AD42" i="30"/>
  <c r="AC42" i="30"/>
  <c r="AE42" i="30"/>
  <c r="AD43" i="30"/>
  <c r="AC43" i="30"/>
  <c r="AE43" i="30"/>
  <c r="AD44" i="30"/>
  <c r="AC44" i="30"/>
  <c r="AE44" i="30"/>
  <c r="AD45" i="30"/>
  <c r="AC45" i="30"/>
  <c r="AE45" i="30"/>
  <c r="AD46" i="30"/>
  <c r="AC46" i="30"/>
  <c r="AE46" i="30"/>
  <c r="AD47" i="30"/>
  <c r="AC47" i="30"/>
  <c r="AE47" i="30"/>
  <c r="AD48" i="30"/>
  <c r="AC48" i="30"/>
  <c r="AE48" i="30"/>
  <c r="AD49" i="30"/>
  <c r="AC49" i="30"/>
  <c r="AE49" i="30"/>
  <c r="AD50" i="30"/>
  <c r="AC50" i="30"/>
  <c r="AE50" i="30"/>
  <c r="AD51" i="30"/>
  <c r="AC51" i="30"/>
  <c r="AE51" i="30"/>
  <c r="AD52" i="30"/>
  <c r="AC52" i="30"/>
  <c r="AE52" i="30"/>
  <c r="AD53" i="30"/>
  <c r="AC53" i="30"/>
  <c r="AE53" i="30"/>
  <c r="AD54" i="30"/>
  <c r="AC54" i="30"/>
  <c r="AE54" i="30"/>
  <c r="AE3" i="30"/>
  <c r="AD3" i="30"/>
  <c r="W4" i="30"/>
  <c r="W5" i="30"/>
  <c r="W6" i="30"/>
  <c r="W7" i="30"/>
  <c r="W8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1" i="30"/>
  <c r="W32" i="30"/>
  <c r="W33" i="30"/>
  <c r="W35" i="30"/>
  <c r="W36" i="30"/>
  <c r="W37" i="30"/>
  <c r="W38" i="30"/>
  <c r="W39" i="30"/>
  <c r="W40" i="30"/>
  <c r="W41" i="30"/>
  <c r="W42" i="30"/>
  <c r="W43" i="30"/>
  <c r="W44" i="30"/>
  <c r="W53" i="30"/>
  <c r="W3" i="30"/>
  <c r="Q26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G62" i="9"/>
  <c r="H62" i="9"/>
  <c r="F62" i="9"/>
  <c r="D62" i="9"/>
  <c r="AT62" i="30" l="1"/>
  <c r="AX62" i="30"/>
  <c r="BB5" i="30"/>
  <c r="AU62" i="30"/>
  <c r="AY62" i="30"/>
  <c r="BB4" i="30"/>
  <c r="BB8" i="30"/>
  <c r="BB12" i="30"/>
  <c r="AV62" i="30"/>
  <c r="AO62" i="30"/>
  <c r="BB7" i="30"/>
  <c r="BB11" i="30"/>
  <c r="AP62" i="30"/>
  <c r="AW62" i="30"/>
  <c r="AN62" i="30"/>
  <c r="BB6" i="30"/>
  <c r="BB10" i="30"/>
  <c r="AG58" i="5"/>
  <c r="AG59" i="5"/>
  <c r="AI59" i="5"/>
  <c r="AI60" i="5"/>
  <c r="AJ58" i="5"/>
  <c r="AI58" i="5" s="1"/>
  <c r="AJ60" i="5"/>
  <c r="AG60" i="5" s="1"/>
  <c r="AJ56" i="5"/>
  <c r="AG56" i="5" s="1"/>
  <c r="AC55" i="30"/>
  <c r="AE55" i="30"/>
  <c r="AD55" i="30"/>
  <c r="H4" i="5"/>
  <c r="AI56" i="5" l="1"/>
  <c r="AF4" i="5"/>
  <c r="AH4" i="5"/>
  <c r="AF6" i="5"/>
  <c r="AH6" i="5"/>
  <c r="AF7" i="5"/>
  <c r="AH7" i="5"/>
  <c r="AF8" i="5"/>
  <c r="AH8" i="5"/>
  <c r="AF9" i="5"/>
  <c r="AH9" i="5"/>
  <c r="AF10" i="5"/>
  <c r="AH10" i="5"/>
  <c r="AF11" i="5"/>
  <c r="AH11" i="5"/>
  <c r="AF12" i="5"/>
  <c r="AH12" i="5"/>
  <c r="AF13" i="5"/>
  <c r="AH13" i="5"/>
  <c r="AF14" i="5"/>
  <c r="AH14" i="5"/>
  <c r="AF15" i="5"/>
  <c r="AH15" i="5"/>
  <c r="AF16" i="5"/>
  <c r="AH16" i="5"/>
  <c r="AF17" i="5"/>
  <c r="AH17" i="5"/>
  <c r="AF18" i="5"/>
  <c r="AH18" i="5"/>
  <c r="AF19" i="5"/>
  <c r="AH19" i="5"/>
  <c r="AF20" i="5"/>
  <c r="AH20" i="5"/>
  <c r="AF21" i="5"/>
  <c r="AH21" i="5"/>
  <c r="AF22" i="5"/>
  <c r="AH22" i="5"/>
  <c r="AF23" i="5"/>
  <c r="AH23" i="5"/>
  <c r="AF24" i="5"/>
  <c r="AH24" i="5"/>
  <c r="AF25" i="5"/>
  <c r="AH25" i="5"/>
  <c r="AF26" i="5"/>
  <c r="AH26" i="5"/>
  <c r="AF27" i="5"/>
  <c r="AH27" i="5"/>
  <c r="AF28" i="5"/>
  <c r="AH28" i="5"/>
  <c r="AF29" i="5"/>
  <c r="AH29" i="5"/>
  <c r="AF30" i="5"/>
  <c r="AH30" i="5"/>
  <c r="AF31" i="5"/>
  <c r="AH31" i="5"/>
  <c r="AF32" i="5"/>
  <c r="AH32" i="5"/>
  <c r="AF33" i="5"/>
  <c r="AH33" i="5"/>
  <c r="AF34" i="5"/>
  <c r="AH34" i="5"/>
  <c r="AF35" i="5"/>
  <c r="AH35" i="5"/>
  <c r="AF36" i="5"/>
  <c r="AH36" i="5"/>
  <c r="AF37" i="5"/>
  <c r="AH37" i="5"/>
  <c r="AF38" i="5"/>
  <c r="AH38" i="5"/>
  <c r="AF39" i="5"/>
  <c r="AH39" i="5"/>
  <c r="AF40" i="5"/>
  <c r="AH40" i="5"/>
  <c r="AF41" i="5"/>
  <c r="AH41" i="5"/>
  <c r="AF42" i="5"/>
  <c r="AH42" i="5"/>
  <c r="AF43" i="5"/>
  <c r="AH43" i="5"/>
  <c r="AF44" i="5"/>
  <c r="AH44" i="5"/>
  <c r="AF45" i="5"/>
  <c r="AH45" i="5"/>
  <c r="AF46" i="5"/>
  <c r="AH46" i="5"/>
  <c r="AF47" i="5"/>
  <c r="AH47" i="5"/>
  <c r="AF48" i="5"/>
  <c r="AH48" i="5"/>
  <c r="AF49" i="5"/>
  <c r="AH49" i="5"/>
  <c r="AF50" i="5"/>
  <c r="AH50" i="5"/>
  <c r="AF51" i="5"/>
  <c r="AH51" i="5"/>
  <c r="AF52" i="5"/>
  <c r="AH52" i="5"/>
  <c r="AF53" i="5"/>
  <c r="AH53" i="5"/>
  <c r="AH54" i="5"/>
  <c r="AH3" i="5"/>
  <c r="AF3" i="5"/>
  <c r="AJ53" i="5" l="1"/>
  <c r="AI53" i="5" s="1"/>
  <c r="AJ49" i="5"/>
  <c r="AG49" i="5" s="1"/>
  <c r="AJ45" i="5"/>
  <c r="AG45" i="5" s="1"/>
  <c r="AJ41" i="5"/>
  <c r="AI41" i="5" s="1"/>
  <c r="AJ37" i="5"/>
  <c r="AI37" i="5" s="1"/>
  <c r="AJ33" i="5"/>
  <c r="AG33" i="5" s="1"/>
  <c r="AJ29" i="5"/>
  <c r="AI29" i="5" s="1"/>
  <c r="AJ25" i="5"/>
  <c r="AI25" i="5" s="1"/>
  <c r="AJ21" i="5"/>
  <c r="AI21" i="5" s="1"/>
  <c r="AJ17" i="5"/>
  <c r="AG17" i="5" s="1"/>
  <c r="AJ13" i="5"/>
  <c r="AG13" i="5" s="1"/>
  <c r="AJ9" i="5"/>
  <c r="AI9" i="5" s="1"/>
  <c r="AJ5" i="5"/>
  <c r="AI5" i="5" s="1"/>
  <c r="AJ52" i="5"/>
  <c r="AG52" i="5" s="1"/>
  <c r="AJ48" i="5"/>
  <c r="AG48" i="5" s="1"/>
  <c r="AJ44" i="5"/>
  <c r="AG44" i="5" s="1"/>
  <c r="AJ40" i="5"/>
  <c r="AI40" i="5" s="1"/>
  <c r="AJ36" i="5"/>
  <c r="AG36" i="5" s="1"/>
  <c r="AJ32" i="5"/>
  <c r="AG32" i="5" s="1"/>
  <c r="AJ28" i="5"/>
  <c r="AG28" i="5" s="1"/>
  <c r="AJ24" i="5"/>
  <c r="AI24" i="5" s="1"/>
  <c r="AJ20" i="5"/>
  <c r="AG20" i="5" s="1"/>
  <c r="AJ16" i="5"/>
  <c r="AG16" i="5" s="1"/>
  <c r="AJ12" i="5"/>
  <c r="AG12" i="5" s="1"/>
  <c r="AJ8" i="5"/>
  <c r="AI8" i="5" s="1"/>
  <c r="AJ4" i="5"/>
  <c r="AG4" i="5" s="1"/>
  <c r="AJ3" i="5"/>
  <c r="AI3" i="5" s="1"/>
  <c r="AJ51" i="5"/>
  <c r="AI51" i="5" s="1"/>
  <c r="AJ47" i="5"/>
  <c r="AG47" i="5" s="1"/>
  <c r="AJ43" i="5"/>
  <c r="AI43" i="5" s="1"/>
  <c r="AJ39" i="5"/>
  <c r="AI39" i="5" s="1"/>
  <c r="AJ35" i="5"/>
  <c r="AG35" i="5" s="1"/>
  <c r="AJ31" i="5"/>
  <c r="AG31" i="5" s="1"/>
  <c r="AJ27" i="5"/>
  <c r="AI27" i="5" s="1"/>
  <c r="AJ23" i="5"/>
  <c r="AI23" i="5" s="1"/>
  <c r="AJ19" i="5"/>
  <c r="AG19" i="5" s="1"/>
  <c r="AJ15" i="5"/>
  <c r="AG15" i="5" s="1"/>
  <c r="AJ11" i="5"/>
  <c r="AG11" i="5" s="1"/>
  <c r="AJ7" i="5"/>
  <c r="AG7" i="5" s="1"/>
  <c r="AJ54" i="5"/>
  <c r="AG54" i="5" s="1"/>
  <c r="AJ50" i="5"/>
  <c r="AI50" i="5" s="1"/>
  <c r="AJ46" i="5"/>
  <c r="AG46" i="5" s="1"/>
  <c r="AJ42" i="5"/>
  <c r="AI42" i="5" s="1"/>
  <c r="AJ38" i="5"/>
  <c r="AG38" i="5" s="1"/>
  <c r="AJ34" i="5"/>
  <c r="AI34" i="5" s="1"/>
  <c r="AJ30" i="5"/>
  <c r="AI30" i="5" s="1"/>
  <c r="AJ26" i="5"/>
  <c r="AI26" i="5" s="1"/>
  <c r="AJ22" i="5"/>
  <c r="AG22" i="5" s="1"/>
  <c r="AJ18" i="5"/>
  <c r="AI18" i="5" s="1"/>
  <c r="AJ14" i="5"/>
  <c r="AG14" i="5" s="1"/>
  <c r="AJ10" i="5"/>
  <c r="AI10" i="5" s="1"/>
  <c r="AJ6" i="5"/>
  <c r="AG6" i="5" s="1"/>
  <c r="AE29" i="1"/>
  <c r="AF29" i="1"/>
  <c r="AE30" i="1"/>
  <c r="AF30" i="1"/>
  <c r="AG30" i="1"/>
  <c r="AH30" i="1"/>
  <c r="AI30" i="1"/>
  <c r="AE31" i="1"/>
  <c r="AF31" i="1"/>
  <c r="AG31" i="1"/>
  <c r="AH31" i="1"/>
  <c r="AI31" i="1"/>
  <c r="AE32" i="1"/>
  <c r="AF32" i="1"/>
  <c r="AG32" i="1"/>
  <c r="AH32" i="1"/>
  <c r="AI32" i="1"/>
  <c r="AE34" i="1"/>
  <c r="AF34" i="1"/>
  <c r="AG34" i="1"/>
  <c r="AH34" i="1"/>
  <c r="AI34" i="1"/>
  <c r="AE35" i="1"/>
  <c r="AF35" i="1"/>
  <c r="AG35" i="1"/>
  <c r="AH35" i="1"/>
  <c r="AI35" i="1"/>
  <c r="AE36" i="1"/>
  <c r="AF36" i="1"/>
  <c r="AE37" i="1"/>
  <c r="AF37" i="1"/>
  <c r="AG37" i="1"/>
  <c r="AH37" i="1"/>
  <c r="AI37" i="1"/>
  <c r="AE38" i="1"/>
  <c r="AF38" i="1"/>
  <c r="AG38" i="1"/>
  <c r="AH38" i="1"/>
  <c r="AI38" i="1"/>
  <c r="AE39" i="1"/>
  <c r="AF39" i="1"/>
  <c r="AG39" i="1"/>
  <c r="AH39" i="1"/>
  <c r="AI39" i="1"/>
  <c r="AE41" i="1"/>
  <c r="AF41" i="1"/>
  <c r="AG41" i="1"/>
  <c r="AH41" i="1"/>
  <c r="AI41" i="1"/>
  <c r="AE42" i="1"/>
  <c r="AF42" i="1"/>
  <c r="AG42" i="1"/>
  <c r="AH42" i="1"/>
  <c r="AI42" i="1"/>
  <c r="AE44" i="1"/>
  <c r="AF44" i="1"/>
  <c r="AG44" i="1"/>
  <c r="AH44" i="1"/>
  <c r="AI44" i="1"/>
  <c r="AD29" i="1"/>
  <c r="AD30" i="1"/>
  <c r="AD31" i="1"/>
  <c r="AD32" i="1"/>
  <c r="AD34" i="1"/>
  <c r="AD35" i="1"/>
  <c r="AD36" i="1"/>
  <c r="AD37" i="1"/>
  <c r="AD38" i="1"/>
  <c r="AD39" i="1"/>
  <c r="AD40" i="1"/>
  <c r="AD41" i="1"/>
  <c r="AD42" i="1"/>
  <c r="AD44" i="1"/>
  <c r="AD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28" i="1"/>
  <c r="AI14" i="5" l="1"/>
  <c r="AI15" i="5"/>
  <c r="AG5" i="5"/>
  <c r="AI31" i="5"/>
  <c r="AI36" i="5"/>
  <c r="AI33" i="5"/>
  <c r="AG21" i="5"/>
  <c r="AI47" i="5"/>
  <c r="AI46" i="5"/>
  <c r="AG24" i="5"/>
  <c r="AI4" i="5"/>
  <c r="AG53" i="5"/>
  <c r="AI13" i="5"/>
  <c r="AG40" i="5"/>
  <c r="AI45" i="5"/>
  <c r="AG26" i="5"/>
  <c r="AG29" i="5"/>
  <c r="AI20" i="5"/>
  <c r="AI52" i="5"/>
  <c r="AI17" i="5"/>
  <c r="AI49" i="5"/>
  <c r="AG30" i="5"/>
  <c r="AG10" i="5"/>
  <c r="AG42" i="5"/>
  <c r="AG37" i="5"/>
  <c r="AG8" i="5"/>
  <c r="AI12" i="5"/>
  <c r="AI28" i="5"/>
  <c r="AI44" i="5"/>
  <c r="AG51" i="5"/>
  <c r="AI6" i="5"/>
  <c r="AI38" i="5"/>
  <c r="AG23" i="5"/>
  <c r="AG39" i="5"/>
  <c r="AI19" i="5"/>
  <c r="AI16" i="5"/>
  <c r="AI32" i="5"/>
  <c r="AI48" i="5"/>
  <c r="AG41" i="5"/>
  <c r="AI7" i="5"/>
  <c r="AG18" i="5"/>
  <c r="AG34" i="5"/>
  <c r="AG50" i="5"/>
  <c r="AG9" i="5"/>
  <c r="AG25" i="5"/>
  <c r="AG43" i="5"/>
  <c r="AG3" i="5"/>
  <c r="AI22" i="5"/>
  <c r="AI54" i="5"/>
  <c r="AI35" i="5"/>
  <c r="AI11" i="5"/>
  <c r="AG27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3" i="5"/>
  <c r="U67" i="5"/>
  <c r="U66" i="5"/>
  <c r="CG7" i="24"/>
  <c r="CR4" i="24"/>
  <c r="CR21" i="24"/>
  <c r="CR20" i="24"/>
  <c r="CR19" i="24"/>
  <c r="CR18" i="24"/>
  <c r="CR17" i="24"/>
  <c r="CR16" i="24"/>
  <c r="CR15" i="24"/>
  <c r="CR14" i="24"/>
  <c r="CR13" i="24"/>
  <c r="CR12" i="24"/>
  <c r="CR11" i="24"/>
  <c r="CR10" i="24"/>
  <c r="CR9" i="24"/>
  <c r="CR8" i="24"/>
  <c r="CR7" i="24"/>
  <c r="CR6" i="24"/>
  <c r="CR5" i="24"/>
  <c r="CK5" i="24"/>
  <c r="CL5" i="24"/>
  <c r="CM5" i="24"/>
  <c r="CN5" i="24"/>
  <c r="CK6" i="24"/>
  <c r="CL6" i="24"/>
  <c r="CM6" i="24"/>
  <c r="CN6" i="24"/>
  <c r="CK7" i="24"/>
  <c r="CM7" i="24"/>
  <c r="CK8" i="24"/>
  <c r="CM8" i="24"/>
  <c r="CK9" i="24"/>
  <c r="CL9" i="24"/>
  <c r="CM9" i="24"/>
  <c r="CN9" i="24"/>
  <c r="CK10" i="24"/>
  <c r="CL10" i="24"/>
  <c r="CM10" i="24"/>
  <c r="CN10" i="24"/>
  <c r="CK11" i="24"/>
  <c r="CL11" i="24"/>
  <c r="CM11" i="24"/>
  <c r="CN11" i="24"/>
  <c r="CK12" i="24"/>
  <c r="CL12" i="24"/>
  <c r="CM12" i="24"/>
  <c r="CN12" i="24"/>
  <c r="CK13" i="24"/>
  <c r="CL13" i="24"/>
  <c r="CM13" i="24"/>
  <c r="CN13" i="24"/>
  <c r="CK14" i="24"/>
  <c r="CL14" i="24"/>
  <c r="CM14" i="24"/>
  <c r="CN14" i="24"/>
  <c r="CK15" i="24"/>
  <c r="CL15" i="24"/>
  <c r="CM15" i="24"/>
  <c r="CN15" i="24"/>
  <c r="CK16" i="24"/>
  <c r="CL16" i="24"/>
  <c r="CM16" i="24"/>
  <c r="CN16" i="24"/>
  <c r="CK17" i="24"/>
  <c r="CL17" i="24"/>
  <c r="CM17" i="24"/>
  <c r="CN17" i="24"/>
  <c r="CK18" i="24"/>
  <c r="CL18" i="24"/>
  <c r="CM18" i="24"/>
  <c r="CN18" i="24"/>
  <c r="CK19" i="24"/>
  <c r="CL19" i="24"/>
  <c r="CM19" i="24"/>
  <c r="CN19" i="24"/>
  <c r="CK20" i="24"/>
  <c r="CL20" i="24"/>
  <c r="CM20" i="24"/>
  <c r="CN20" i="24"/>
  <c r="CK21" i="24"/>
  <c r="CL21" i="24"/>
  <c r="CM21" i="24"/>
  <c r="CN21" i="24"/>
  <c r="CL4" i="24"/>
  <c r="CM4" i="24"/>
  <c r="CN4" i="24"/>
  <c r="CK4" i="24"/>
  <c r="CS4" i="24"/>
  <c r="CT4" i="24"/>
  <c r="CU4" i="24"/>
  <c r="CS5" i="24"/>
  <c r="CT5" i="24"/>
  <c r="CU5" i="24"/>
  <c r="CS6" i="24"/>
  <c r="CT6" i="24"/>
  <c r="CU6" i="24"/>
  <c r="CT7" i="24"/>
  <c r="CT8" i="24"/>
  <c r="CS9" i="24"/>
  <c r="CT9" i="24"/>
  <c r="CU9" i="24"/>
  <c r="CS10" i="24"/>
  <c r="CT10" i="24"/>
  <c r="CU10" i="24"/>
  <c r="CS11" i="24"/>
  <c r="CT11" i="24"/>
  <c r="CU11" i="24"/>
  <c r="CS12" i="24"/>
  <c r="CT12" i="24"/>
  <c r="CU12" i="24"/>
  <c r="CS13" i="24"/>
  <c r="CT13" i="24"/>
  <c r="CU13" i="24"/>
  <c r="CS14" i="24"/>
  <c r="CT14" i="24"/>
  <c r="CU14" i="24"/>
  <c r="CS15" i="24"/>
  <c r="CT15" i="24"/>
  <c r="CU15" i="24"/>
  <c r="CS16" i="24"/>
  <c r="CT16" i="24"/>
  <c r="CU16" i="24"/>
  <c r="CS17" i="24"/>
  <c r="CT17" i="24"/>
  <c r="CU17" i="24"/>
  <c r="CS18" i="24"/>
  <c r="CT18" i="24"/>
  <c r="CU18" i="24"/>
  <c r="CS19" i="24"/>
  <c r="CT19" i="24"/>
  <c r="CU19" i="24"/>
  <c r="CS20" i="24"/>
  <c r="CT20" i="24"/>
  <c r="CU20" i="24"/>
  <c r="CS21" i="24"/>
  <c r="CT21" i="24"/>
  <c r="CU21" i="24"/>
  <c r="BM33" i="24"/>
  <c r="BM38" i="24"/>
  <c r="BM37" i="24"/>
  <c r="BM36" i="24"/>
  <c r="BM40" i="24"/>
  <c r="BC33" i="24"/>
  <c r="BC46" i="24"/>
  <c r="BC51" i="24"/>
  <c r="BC47" i="24"/>
  <c r="BC52" i="24"/>
  <c r="BC48" i="24"/>
  <c r="BC53" i="24"/>
  <c r="BC50" i="24"/>
  <c r="BC55" i="24"/>
  <c r="BC61" i="24"/>
  <c r="BC36" i="24"/>
  <c r="BC41" i="24"/>
  <c r="BC37" i="24"/>
  <c r="BC42" i="24"/>
  <c r="BC38" i="24"/>
  <c r="BC43" i="24"/>
  <c r="BC40" i="24"/>
  <c r="BC45" i="24"/>
  <c r="BC60" i="24"/>
  <c r="I86" i="24"/>
  <c r="H86" i="24"/>
  <c r="G86" i="24"/>
  <c r="F86" i="24"/>
  <c r="BF33" i="24"/>
  <c r="BF47" i="24"/>
  <c r="BF52" i="24"/>
  <c r="BF48" i="24"/>
  <c r="BF53" i="24"/>
  <c r="BF49" i="24"/>
  <c r="BF54" i="24"/>
  <c r="BF50" i="24"/>
  <c r="BF55" i="24"/>
  <c r="BF61" i="24"/>
  <c r="BH33" i="24"/>
  <c r="BH47" i="24"/>
  <c r="BH52" i="24"/>
  <c r="BH48" i="24"/>
  <c r="BH53" i="24"/>
  <c r="BH49" i="24"/>
  <c r="BH54" i="24"/>
  <c r="BH50" i="24"/>
  <c r="BH55" i="24"/>
  <c r="BH61" i="24"/>
  <c r="BE33" i="24"/>
  <c r="BE47" i="24"/>
  <c r="BE52" i="24"/>
  <c r="BE48" i="24"/>
  <c r="BE53" i="24"/>
  <c r="BE49" i="24"/>
  <c r="BE54" i="24"/>
  <c r="BE50" i="24"/>
  <c r="BE55" i="24"/>
  <c r="BE61" i="24"/>
  <c r="BD33" i="24"/>
  <c r="BD47" i="24"/>
  <c r="BD52" i="24"/>
  <c r="BD48" i="24"/>
  <c r="BD53" i="24"/>
  <c r="BD49" i="24"/>
  <c r="BD54" i="24"/>
  <c r="BD50" i="24"/>
  <c r="BD55" i="24"/>
  <c r="BD61" i="24"/>
  <c r="BB33" i="24"/>
  <c r="BB47" i="24"/>
  <c r="BB52" i="24"/>
  <c r="BB48" i="24"/>
  <c r="BB53" i="24"/>
  <c r="BB49" i="24"/>
  <c r="BB54" i="24"/>
  <c r="BB50" i="24"/>
  <c r="BB55" i="24"/>
  <c r="BB61" i="24"/>
  <c r="BH37" i="24"/>
  <c r="BH42" i="24"/>
  <c r="BH38" i="24"/>
  <c r="BH43" i="24"/>
  <c r="BH39" i="24"/>
  <c r="BH44" i="24"/>
  <c r="BH40" i="24"/>
  <c r="BH45" i="24"/>
  <c r="BH60" i="24"/>
  <c r="BF37" i="24"/>
  <c r="BF42" i="24"/>
  <c r="BF38" i="24"/>
  <c r="BF43" i="24"/>
  <c r="BF39" i="24"/>
  <c r="BF44" i="24"/>
  <c r="BF40" i="24"/>
  <c r="BF45" i="24"/>
  <c r="BF60" i="24"/>
  <c r="BE37" i="24"/>
  <c r="BE42" i="24"/>
  <c r="BE38" i="24"/>
  <c r="BE43" i="24"/>
  <c r="BE39" i="24"/>
  <c r="BE44" i="24"/>
  <c r="BE40" i="24"/>
  <c r="BE45" i="24"/>
  <c r="BE60" i="24"/>
  <c r="BD37" i="24"/>
  <c r="BD42" i="24"/>
  <c r="BD38" i="24"/>
  <c r="BD43" i="24"/>
  <c r="BD39" i="24"/>
  <c r="BD44" i="24"/>
  <c r="BD40" i="24"/>
  <c r="BD45" i="24"/>
  <c r="BD60" i="24"/>
  <c r="BB37" i="24"/>
  <c r="BB42" i="24"/>
  <c r="BB38" i="24"/>
  <c r="BB43" i="24"/>
  <c r="BB39" i="24"/>
  <c r="BB44" i="24"/>
  <c r="BB40" i="24"/>
  <c r="BB45" i="24"/>
  <c r="BB60" i="24"/>
  <c r="BL33" i="24"/>
  <c r="BL37" i="24"/>
  <c r="BL42" i="24"/>
  <c r="BL38" i="24"/>
  <c r="BL43" i="24"/>
  <c r="BL39" i="24"/>
  <c r="BL44" i="24"/>
  <c r="BL40" i="24"/>
  <c r="BL45" i="24"/>
  <c r="BL60" i="24"/>
  <c r="AJ31" i="24"/>
  <c r="AJ42" i="24"/>
  <c r="AJ46" i="24"/>
  <c r="AJ43" i="24"/>
  <c r="AJ47" i="24"/>
  <c r="AJ45" i="24"/>
  <c r="AJ49" i="24"/>
  <c r="AJ55" i="24"/>
  <c r="AH31" i="24"/>
  <c r="AH43" i="24"/>
  <c r="AH47" i="24"/>
  <c r="AH44" i="24"/>
  <c r="AH48" i="24"/>
  <c r="AH45" i="24"/>
  <c r="AH49" i="24"/>
  <c r="AH55" i="24"/>
  <c r="AG31" i="24"/>
  <c r="AG43" i="24"/>
  <c r="AG47" i="24"/>
  <c r="AG44" i="24"/>
  <c r="AG48" i="24"/>
  <c r="AG45" i="24"/>
  <c r="AG49" i="24"/>
  <c r="AG55" i="24"/>
  <c r="AF31" i="24"/>
  <c r="AF43" i="24"/>
  <c r="AF47" i="24"/>
  <c r="AF45" i="24"/>
  <c r="AF49" i="24"/>
  <c r="AF55" i="24"/>
  <c r="AE31" i="24"/>
  <c r="AE42" i="24"/>
  <c r="AE46" i="24"/>
  <c r="AE43" i="24"/>
  <c r="AE47" i="24"/>
  <c r="AE45" i="24"/>
  <c r="AE49" i="24"/>
  <c r="AE55" i="24"/>
  <c r="AD31" i="24"/>
  <c r="AD43" i="24"/>
  <c r="AD47" i="24"/>
  <c r="AD44" i="24"/>
  <c r="AD48" i="24"/>
  <c r="AD45" i="24"/>
  <c r="AD49" i="24"/>
  <c r="AD55" i="24"/>
  <c r="AJ34" i="24"/>
  <c r="AJ38" i="24"/>
  <c r="AJ35" i="24"/>
  <c r="AJ39" i="24"/>
  <c r="AJ37" i="24"/>
  <c r="AJ41" i="24"/>
  <c r="AJ54" i="24"/>
  <c r="AH35" i="24"/>
  <c r="AH39" i="24"/>
  <c r="AH36" i="24"/>
  <c r="AH40" i="24"/>
  <c r="AH37" i="24"/>
  <c r="AH41" i="24"/>
  <c r="AH54" i="24"/>
  <c r="AG35" i="24"/>
  <c r="AG39" i="24"/>
  <c r="AG36" i="24"/>
  <c r="AG40" i="24"/>
  <c r="AG37" i="24"/>
  <c r="AG41" i="24"/>
  <c r="AG54" i="24"/>
  <c r="AF35" i="24"/>
  <c r="AF39" i="24"/>
  <c r="AF37" i="24"/>
  <c r="AF41" i="24"/>
  <c r="AF54" i="24"/>
  <c r="AE34" i="24"/>
  <c r="AE38" i="24"/>
  <c r="AE35" i="24"/>
  <c r="AE39" i="24"/>
  <c r="AE37" i="24"/>
  <c r="AE41" i="24"/>
  <c r="AE54" i="24"/>
  <c r="AD35" i="24"/>
  <c r="AD39" i="24"/>
  <c r="AD36" i="24"/>
  <c r="AD40" i="24"/>
  <c r="AD37" i="24"/>
  <c r="AD41" i="24"/>
  <c r="AD54" i="24"/>
  <c r="AF34" i="24"/>
  <c r="AF38" i="24"/>
  <c r="AG34" i="24"/>
  <c r="AG38" i="24"/>
  <c r="AH34" i="24"/>
  <c r="AH38" i="24"/>
  <c r="AD34" i="24"/>
  <c r="AD38" i="24"/>
  <c r="AN31" i="24"/>
  <c r="AN35" i="24"/>
  <c r="AN39" i="24"/>
  <c r="AN36" i="24"/>
  <c r="AN40" i="24"/>
  <c r="AN37" i="24"/>
  <c r="AN41" i="24"/>
  <c r="AN54" i="24"/>
  <c r="S30" i="24"/>
  <c r="S33" i="24"/>
  <c r="S39" i="24"/>
  <c r="S34" i="24"/>
  <c r="S40" i="24"/>
  <c r="S35" i="24"/>
  <c r="S41" i="24"/>
  <c r="S36" i="24"/>
  <c r="S42" i="24"/>
  <c r="S37" i="24"/>
  <c r="S43" i="24"/>
  <c r="S61" i="24"/>
  <c r="O30" i="24"/>
  <c r="O45" i="24"/>
  <c r="O51" i="24"/>
  <c r="O46" i="24"/>
  <c r="O52" i="24"/>
  <c r="O48" i="24"/>
  <c r="O54" i="24"/>
  <c r="O49" i="24"/>
  <c r="O55" i="24"/>
  <c r="O62" i="24"/>
  <c r="O33" i="24"/>
  <c r="O39" i="24"/>
  <c r="O34" i="24"/>
  <c r="O40" i="24"/>
  <c r="O36" i="24"/>
  <c r="O42" i="24"/>
  <c r="O37" i="24"/>
  <c r="O43" i="24"/>
  <c r="O61" i="24"/>
  <c r="E30" i="24"/>
  <c r="E46" i="24"/>
  <c r="E52" i="24"/>
  <c r="E47" i="24"/>
  <c r="E53" i="24"/>
  <c r="E48" i="24"/>
  <c r="E54" i="24"/>
  <c r="E49" i="24"/>
  <c r="E55" i="24"/>
  <c r="E50" i="24"/>
  <c r="E56" i="24"/>
  <c r="E62" i="24"/>
  <c r="E34" i="24"/>
  <c r="E40" i="24"/>
  <c r="E35" i="24"/>
  <c r="E41" i="24"/>
  <c r="E36" i="24"/>
  <c r="E42" i="24"/>
  <c r="E37" i="24"/>
  <c r="E43" i="24"/>
  <c r="E38" i="24"/>
  <c r="E44" i="24"/>
  <c r="E61" i="24"/>
  <c r="F30" i="24"/>
  <c r="F45" i="24"/>
  <c r="F51" i="24"/>
  <c r="F46" i="24"/>
  <c r="F52" i="24"/>
  <c r="F47" i="24"/>
  <c r="F53" i="24"/>
  <c r="F48" i="24"/>
  <c r="F54" i="24"/>
  <c r="F49" i="24"/>
  <c r="F55" i="24"/>
  <c r="F62" i="24"/>
  <c r="F33" i="24"/>
  <c r="F39" i="24"/>
  <c r="F34" i="24"/>
  <c r="F40" i="24"/>
  <c r="F35" i="24"/>
  <c r="F41" i="24"/>
  <c r="F36" i="24"/>
  <c r="F42" i="24"/>
  <c r="F37" i="24"/>
  <c r="F43" i="24"/>
  <c r="F61" i="24"/>
  <c r="G30" i="24"/>
  <c r="G45" i="24"/>
  <c r="G51" i="24"/>
  <c r="G46" i="24"/>
  <c r="G52" i="24"/>
  <c r="G47" i="24"/>
  <c r="G53" i="24"/>
  <c r="G49" i="24"/>
  <c r="G55" i="24"/>
  <c r="G62" i="24"/>
  <c r="G33" i="24"/>
  <c r="G39" i="24"/>
  <c r="G34" i="24"/>
  <c r="G40" i="24"/>
  <c r="G35" i="24"/>
  <c r="G41" i="24"/>
  <c r="G37" i="24"/>
  <c r="G43" i="24"/>
  <c r="G61" i="24"/>
  <c r="H30" i="24"/>
  <c r="H45" i="24"/>
  <c r="H51" i="24"/>
  <c r="H46" i="24"/>
  <c r="H52" i="24"/>
  <c r="H48" i="24"/>
  <c r="H54" i="24"/>
  <c r="H49" i="24"/>
  <c r="H55" i="24"/>
  <c r="H50" i="24"/>
  <c r="H56" i="24"/>
  <c r="H62" i="24"/>
  <c r="H33" i="24"/>
  <c r="H39" i="24"/>
  <c r="H34" i="24"/>
  <c r="H40" i="24"/>
  <c r="H36" i="24"/>
  <c r="H42" i="24"/>
  <c r="H37" i="24"/>
  <c r="H43" i="24"/>
  <c r="H38" i="24"/>
  <c r="H44" i="24"/>
  <c r="H61" i="24"/>
  <c r="I30" i="24"/>
  <c r="I45" i="24"/>
  <c r="I51" i="24"/>
  <c r="I46" i="24"/>
  <c r="I52" i="24"/>
  <c r="I47" i="24"/>
  <c r="I53" i="24"/>
  <c r="I48" i="24"/>
  <c r="I54" i="24"/>
  <c r="I49" i="24"/>
  <c r="I55" i="24"/>
  <c r="I62" i="24"/>
  <c r="I33" i="24"/>
  <c r="I39" i="24"/>
  <c r="I34" i="24"/>
  <c r="I40" i="24"/>
  <c r="I35" i="24"/>
  <c r="I41" i="24"/>
  <c r="I36" i="24"/>
  <c r="I42" i="24"/>
  <c r="I37" i="24"/>
  <c r="I43" i="24"/>
  <c r="I61" i="24"/>
  <c r="K30" i="24"/>
  <c r="K45" i="24"/>
  <c r="K51" i="24"/>
  <c r="K47" i="24"/>
  <c r="K53" i="24"/>
  <c r="K48" i="24"/>
  <c r="K54" i="24"/>
  <c r="K49" i="24"/>
  <c r="K55" i="24"/>
  <c r="K50" i="24"/>
  <c r="K56" i="24"/>
  <c r="K62" i="24"/>
  <c r="K33" i="24"/>
  <c r="K39" i="24"/>
  <c r="K35" i="24"/>
  <c r="K41" i="24"/>
  <c r="K36" i="24"/>
  <c r="K42" i="24"/>
  <c r="K37" i="24"/>
  <c r="K43" i="24"/>
  <c r="K38" i="24"/>
  <c r="K44" i="24"/>
  <c r="K61" i="24"/>
  <c r="U30" i="24"/>
  <c r="U33" i="24"/>
  <c r="U39" i="24"/>
  <c r="U35" i="24"/>
  <c r="U41" i="24"/>
  <c r="U36" i="24"/>
  <c r="U42" i="24"/>
  <c r="U37" i="24"/>
  <c r="U43" i="24"/>
  <c r="U38" i="24"/>
  <c r="U44" i="24"/>
  <c r="U61" i="24"/>
  <c r="K34" i="24"/>
  <c r="K40" i="24"/>
  <c r="K46" i="24"/>
  <c r="K52" i="24"/>
  <c r="K58" i="24"/>
  <c r="J71" i="24"/>
  <c r="J72" i="24"/>
  <c r="E71" i="24"/>
  <c r="F71" i="24"/>
  <c r="E72" i="24"/>
  <c r="F72" i="24"/>
  <c r="BD46" i="24"/>
  <c r="BE46" i="24"/>
  <c r="BF46" i="24"/>
  <c r="BH46" i="24"/>
  <c r="BC49" i="24"/>
  <c r="BD36" i="24"/>
  <c r="BE36" i="24"/>
  <c r="BF36" i="24"/>
  <c r="BH36" i="24"/>
  <c r="BC39" i="24"/>
  <c r="BB46" i="24"/>
  <c r="BB36" i="24"/>
  <c r="AD42" i="24"/>
  <c r="AD46" i="24"/>
  <c r="AD51" i="24"/>
  <c r="AF42" i="24"/>
  <c r="AG42" i="24"/>
  <c r="AH42" i="24"/>
  <c r="AE44" i="24"/>
  <c r="AF44" i="24"/>
  <c r="AJ44" i="24"/>
  <c r="AE36" i="24"/>
  <c r="AF36" i="24"/>
  <c r="AJ36" i="24"/>
  <c r="I72" i="24"/>
  <c r="H72" i="24"/>
  <c r="G72" i="24"/>
  <c r="I71" i="24"/>
  <c r="H71" i="24"/>
  <c r="G71" i="24"/>
  <c r="E33" i="24"/>
  <c r="E39" i="24"/>
  <c r="E45" i="24"/>
  <c r="E51" i="24"/>
  <c r="E58" i="24"/>
  <c r="H47" i="24"/>
  <c r="G48" i="24"/>
  <c r="F50" i="24"/>
  <c r="G50" i="24"/>
  <c r="I50" i="24"/>
  <c r="H35" i="24"/>
  <c r="G36" i="24"/>
  <c r="F38" i="24"/>
  <c r="G38" i="24"/>
  <c r="I38" i="24"/>
  <c r="P71" i="24"/>
  <c r="U71" i="24"/>
  <c r="U72" i="24"/>
  <c r="O35" i="24"/>
  <c r="O41" i="24"/>
  <c r="O47" i="24"/>
  <c r="O53" i="24"/>
  <c r="O58" i="24"/>
  <c r="BM46" i="24"/>
  <c r="BN33" i="24"/>
  <c r="BN46" i="24"/>
  <c r="BO33" i="24"/>
  <c r="BO46" i="24"/>
  <c r="BP33" i="24"/>
  <c r="BP46" i="24"/>
  <c r="BR33" i="24"/>
  <c r="BR46" i="24"/>
  <c r="BM47" i="24"/>
  <c r="BN47" i="24"/>
  <c r="BO47" i="24"/>
  <c r="BP47" i="24"/>
  <c r="BR47" i="24"/>
  <c r="BM48" i="24"/>
  <c r="BN48" i="24"/>
  <c r="BO48" i="24"/>
  <c r="BP48" i="24"/>
  <c r="BR48" i="24"/>
  <c r="BM49" i="24"/>
  <c r="BN49" i="24"/>
  <c r="BO49" i="24"/>
  <c r="BP49" i="24"/>
  <c r="BR49" i="24"/>
  <c r="BM50" i="24"/>
  <c r="BN50" i="24"/>
  <c r="BO50" i="24"/>
  <c r="BP50" i="24"/>
  <c r="BR50" i="24"/>
  <c r="BL47" i="24"/>
  <c r="BL48" i="24"/>
  <c r="BL49" i="24"/>
  <c r="BL50" i="24"/>
  <c r="BL46" i="24"/>
  <c r="BL36" i="24"/>
  <c r="BN36" i="24"/>
  <c r="BO36" i="24"/>
  <c r="BP36" i="24"/>
  <c r="BR36" i="24"/>
  <c r="BN37" i="24"/>
  <c r="BO37" i="24"/>
  <c r="BP37" i="24"/>
  <c r="BR37" i="24"/>
  <c r="BN38" i="24"/>
  <c r="BO38" i="24"/>
  <c r="BP38" i="24"/>
  <c r="BR38" i="24"/>
  <c r="BM39" i="24"/>
  <c r="BN39" i="24"/>
  <c r="BO39" i="24"/>
  <c r="BP39" i="24"/>
  <c r="BR39" i="24"/>
  <c r="BN40" i="24"/>
  <c r="BO40" i="24"/>
  <c r="BP40" i="24"/>
  <c r="BR40" i="24"/>
  <c r="AN34" i="24"/>
  <c r="AN38" i="24"/>
  <c r="AN42" i="24"/>
  <c r="AN46" i="24"/>
  <c r="AN43" i="24"/>
  <c r="AN47" i="24"/>
  <c r="AN44" i="24"/>
  <c r="AN48" i="24"/>
  <c r="AN45" i="24"/>
  <c r="AN49" i="24"/>
  <c r="AN52" i="24"/>
  <c r="AP31" i="24"/>
  <c r="AP42" i="24"/>
  <c r="AP46" i="24"/>
  <c r="AQ31" i="24"/>
  <c r="AQ42" i="24"/>
  <c r="AR31" i="24"/>
  <c r="AR42" i="24"/>
  <c r="AT31" i="24"/>
  <c r="AT42" i="24"/>
  <c r="AP43" i="24"/>
  <c r="AQ43" i="24"/>
  <c r="AR43" i="24"/>
  <c r="AT43" i="24"/>
  <c r="AP44" i="24"/>
  <c r="AQ44" i="24"/>
  <c r="AR44" i="24"/>
  <c r="AT44" i="24"/>
  <c r="AP45" i="24"/>
  <c r="AQ45" i="24"/>
  <c r="AR45" i="24"/>
  <c r="AT45" i="24"/>
  <c r="AP34" i="24"/>
  <c r="AP38" i="24"/>
  <c r="AQ34" i="24"/>
  <c r="AQ38" i="24"/>
  <c r="AR34" i="24"/>
  <c r="AR38" i="24"/>
  <c r="AT34" i="24"/>
  <c r="AT38" i="24"/>
  <c r="AP35" i="24"/>
  <c r="AP39" i="24"/>
  <c r="AQ35" i="24"/>
  <c r="AR35" i="24"/>
  <c r="AT35" i="24"/>
  <c r="AP36" i="24"/>
  <c r="AQ36" i="24"/>
  <c r="AR36" i="24"/>
  <c r="AT36" i="24"/>
  <c r="AP37" i="24"/>
  <c r="AQ37" i="24"/>
  <c r="AR37" i="24"/>
  <c r="AT37" i="24"/>
  <c r="Q30" i="24"/>
  <c r="Q45" i="24"/>
  <c r="R30" i="24"/>
  <c r="R45" i="24"/>
  <c r="S45" i="24"/>
  <c r="U45" i="24"/>
  <c r="Q46" i="24"/>
  <c r="R46" i="24"/>
  <c r="S46" i="24"/>
  <c r="U46" i="24"/>
  <c r="Q47" i="24"/>
  <c r="R47" i="24"/>
  <c r="S47" i="24"/>
  <c r="U47" i="24"/>
  <c r="Q48" i="24"/>
  <c r="R48" i="24"/>
  <c r="S48" i="24"/>
  <c r="U48" i="24"/>
  <c r="Q49" i="24"/>
  <c r="R49" i="24"/>
  <c r="S49" i="24"/>
  <c r="U49" i="24"/>
  <c r="Q50" i="24"/>
  <c r="R50" i="24"/>
  <c r="S50" i="24"/>
  <c r="U50" i="24"/>
  <c r="O50" i="24"/>
  <c r="Q33" i="24"/>
  <c r="R33" i="24"/>
  <c r="Q34" i="24"/>
  <c r="R34" i="24"/>
  <c r="U34" i="24"/>
  <c r="Q35" i="24"/>
  <c r="R35" i="24"/>
  <c r="Q36" i="24"/>
  <c r="R36" i="24"/>
  <c r="Q37" i="24"/>
  <c r="R37" i="24"/>
  <c r="Q38" i="24"/>
  <c r="R38" i="24"/>
  <c r="S38" i="24"/>
  <c r="O38" i="24"/>
  <c r="H41" i="24"/>
  <c r="G42" i="24"/>
  <c r="F44" i="24"/>
  <c r="G44" i="24"/>
  <c r="I44" i="24"/>
  <c r="H53" i="24"/>
  <c r="G54" i="24"/>
  <c r="F56" i="24"/>
  <c r="G56" i="24"/>
  <c r="I56" i="24"/>
  <c r="I10" i="21"/>
  <c r="I9" i="21"/>
  <c r="M28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3" i="17"/>
  <c r="N13" i="17"/>
  <c r="Q27" i="17"/>
  <c r="N4" i="17"/>
  <c r="O4" i="17"/>
  <c r="P4" i="17"/>
  <c r="Q4" i="17"/>
  <c r="R4" i="17"/>
  <c r="S4" i="17"/>
  <c r="T4" i="17"/>
  <c r="U4" i="17"/>
  <c r="N5" i="17"/>
  <c r="O5" i="17"/>
  <c r="P5" i="17"/>
  <c r="Q5" i="17"/>
  <c r="R5" i="17"/>
  <c r="S5" i="17"/>
  <c r="T5" i="17"/>
  <c r="U5" i="17"/>
  <c r="N6" i="17"/>
  <c r="O6" i="17"/>
  <c r="P6" i="17"/>
  <c r="Q6" i="17"/>
  <c r="R6" i="17"/>
  <c r="S6" i="17"/>
  <c r="T6" i="17"/>
  <c r="U6" i="17"/>
  <c r="N7" i="17"/>
  <c r="O7" i="17"/>
  <c r="P7" i="17"/>
  <c r="Q7" i="17"/>
  <c r="R7" i="17"/>
  <c r="S7" i="17"/>
  <c r="T7" i="17"/>
  <c r="U7" i="17"/>
  <c r="N8" i="17"/>
  <c r="O8" i="17"/>
  <c r="P8" i="17"/>
  <c r="Q8" i="17"/>
  <c r="R8" i="17"/>
  <c r="S8" i="17"/>
  <c r="T8" i="17"/>
  <c r="U8" i="17"/>
  <c r="N9" i="17"/>
  <c r="O9" i="17"/>
  <c r="P9" i="17"/>
  <c r="Q9" i="17"/>
  <c r="R9" i="17"/>
  <c r="S9" i="17"/>
  <c r="T9" i="17"/>
  <c r="U9" i="17"/>
  <c r="N10" i="17"/>
  <c r="O10" i="17"/>
  <c r="P10" i="17"/>
  <c r="Q10" i="17"/>
  <c r="R10" i="17"/>
  <c r="S10" i="17"/>
  <c r="T10" i="17"/>
  <c r="U10" i="17"/>
  <c r="N11" i="17"/>
  <c r="O11" i="17"/>
  <c r="P11" i="17"/>
  <c r="Q11" i="17"/>
  <c r="R11" i="17"/>
  <c r="S11" i="17"/>
  <c r="T11" i="17"/>
  <c r="U11" i="17"/>
  <c r="N12" i="17"/>
  <c r="O12" i="17"/>
  <c r="P12" i="17"/>
  <c r="Q12" i="17"/>
  <c r="R12" i="17"/>
  <c r="S12" i="17"/>
  <c r="T12" i="17"/>
  <c r="U12" i="17"/>
  <c r="O13" i="17"/>
  <c r="P13" i="17"/>
  <c r="Q13" i="17"/>
  <c r="R13" i="17"/>
  <c r="S13" i="17"/>
  <c r="T13" i="17"/>
  <c r="U13" i="17"/>
  <c r="N14" i="17"/>
  <c r="O14" i="17"/>
  <c r="P14" i="17"/>
  <c r="Q14" i="17"/>
  <c r="R14" i="17"/>
  <c r="S14" i="17"/>
  <c r="T14" i="17"/>
  <c r="U14" i="17"/>
  <c r="N15" i="17"/>
  <c r="O15" i="17"/>
  <c r="P15" i="17"/>
  <c r="Q15" i="17"/>
  <c r="R15" i="17"/>
  <c r="S15" i="17"/>
  <c r="T15" i="17"/>
  <c r="U15" i="17"/>
  <c r="N16" i="17"/>
  <c r="O16" i="17"/>
  <c r="P16" i="17"/>
  <c r="Q16" i="17"/>
  <c r="R16" i="17"/>
  <c r="S16" i="17"/>
  <c r="T16" i="17"/>
  <c r="U16" i="17"/>
  <c r="N17" i="17"/>
  <c r="O17" i="17"/>
  <c r="P17" i="17"/>
  <c r="Q17" i="17"/>
  <c r="R17" i="17"/>
  <c r="S17" i="17"/>
  <c r="T17" i="17"/>
  <c r="U17" i="17"/>
  <c r="N18" i="17"/>
  <c r="O18" i="17"/>
  <c r="P18" i="17"/>
  <c r="Q18" i="17"/>
  <c r="R18" i="17"/>
  <c r="S18" i="17"/>
  <c r="T18" i="17"/>
  <c r="U18" i="17"/>
  <c r="N19" i="17"/>
  <c r="O19" i="17"/>
  <c r="P19" i="17"/>
  <c r="Q19" i="17"/>
  <c r="R19" i="17"/>
  <c r="S19" i="17"/>
  <c r="T19" i="17"/>
  <c r="U19" i="17"/>
  <c r="N20" i="17"/>
  <c r="O20" i="17"/>
  <c r="P20" i="17"/>
  <c r="Q20" i="17"/>
  <c r="R20" i="17"/>
  <c r="S20" i="17"/>
  <c r="T20" i="17"/>
  <c r="U20" i="17"/>
  <c r="N21" i="17"/>
  <c r="O21" i="17"/>
  <c r="P21" i="17"/>
  <c r="Q21" i="17"/>
  <c r="R21" i="17"/>
  <c r="S21" i="17"/>
  <c r="T21" i="17"/>
  <c r="U21" i="17"/>
  <c r="N22" i="17"/>
  <c r="O22" i="17"/>
  <c r="P22" i="17"/>
  <c r="Q22" i="17"/>
  <c r="R22" i="17"/>
  <c r="S22" i="17"/>
  <c r="T22" i="17"/>
  <c r="U22" i="17"/>
  <c r="N23" i="17"/>
  <c r="O23" i="17"/>
  <c r="P23" i="17"/>
  <c r="Q23" i="17"/>
  <c r="R23" i="17"/>
  <c r="S23" i="17"/>
  <c r="T23" i="17"/>
  <c r="U23" i="17"/>
  <c r="N24" i="17"/>
  <c r="O24" i="17"/>
  <c r="P24" i="17"/>
  <c r="Q24" i="17"/>
  <c r="R24" i="17"/>
  <c r="S24" i="17"/>
  <c r="T24" i="17"/>
  <c r="U24" i="17"/>
  <c r="N25" i="17"/>
  <c r="O25" i="17"/>
  <c r="P25" i="17"/>
  <c r="Q25" i="17"/>
  <c r="R25" i="17"/>
  <c r="S25" i="17"/>
  <c r="T25" i="17"/>
  <c r="U25" i="17"/>
  <c r="N26" i="17"/>
  <c r="O26" i="17"/>
  <c r="P26" i="17"/>
  <c r="Q26" i="17"/>
  <c r="R26" i="17"/>
  <c r="S26" i="17"/>
  <c r="T26" i="17"/>
  <c r="U26" i="17"/>
  <c r="N27" i="17"/>
  <c r="O27" i="17"/>
  <c r="P27" i="17"/>
  <c r="R27" i="17"/>
  <c r="S27" i="17"/>
  <c r="T27" i="17"/>
  <c r="U27" i="17"/>
  <c r="N28" i="17"/>
  <c r="O28" i="17"/>
  <c r="P28" i="17"/>
  <c r="Q28" i="17"/>
  <c r="R28" i="17"/>
  <c r="S28" i="17"/>
  <c r="T28" i="17"/>
  <c r="U28" i="17"/>
  <c r="O3" i="17"/>
  <c r="P3" i="17"/>
  <c r="Q3" i="17"/>
  <c r="R3" i="17"/>
  <c r="S3" i="17"/>
  <c r="T3" i="17"/>
  <c r="U3" i="17"/>
  <c r="N3" i="17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3" i="15"/>
  <c r="BU10" i="6"/>
  <c r="BU5" i="6"/>
  <c r="V9" i="30"/>
  <c r="V10" i="30"/>
  <c r="V11" i="30"/>
  <c r="V12" i="30"/>
  <c r="V13" i="30"/>
  <c r="V17" i="30"/>
  <c r="V30" i="30"/>
  <c r="V31" i="30"/>
  <c r="V33" i="30"/>
  <c r="V34" i="30"/>
  <c r="V45" i="30"/>
  <c r="V46" i="30"/>
  <c r="V47" i="30"/>
  <c r="V48" i="30"/>
  <c r="V49" i="30"/>
  <c r="V50" i="30"/>
  <c r="V51" i="30"/>
  <c r="V52" i="30"/>
  <c r="V53" i="30"/>
  <c r="V54" i="30"/>
  <c r="F3" i="30"/>
  <c r="O3" i="30" s="1"/>
  <c r="E3" i="30"/>
  <c r="F4" i="30"/>
  <c r="E4" i="30"/>
  <c r="P4" i="30" s="1"/>
  <c r="F5" i="30"/>
  <c r="Q5" i="30" s="1"/>
  <c r="E5" i="30"/>
  <c r="F6" i="30"/>
  <c r="E6" i="30"/>
  <c r="F7" i="30"/>
  <c r="O7" i="30" s="1"/>
  <c r="E7" i="30"/>
  <c r="F8" i="30"/>
  <c r="E8" i="30"/>
  <c r="T8" i="30" s="1"/>
  <c r="F9" i="30"/>
  <c r="O9" i="30" s="1"/>
  <c r="E9" i="30"/>
  <c r="F10" i="30"/>
  <c r="E10" i="30"/>
  <c r="R10" i="30" s="1"/>
  <c r="F11" i="30"/>
  <c r="N11" i="30" s="1"/>
  <c r="E11" i="30"/>
  <c r="F12" i="30"/>
  <c r="E12" i="30"/>
  <c r="Q12" i="30" s="1"/>
  <c r="F13" i="30"/>
  <c r="Q13" i="30" s="1"/>
  <c r="E13" i="30"/>
  <c r="F14" i="30"/>
  <c r="E14" i="30"/>
  <c r="O14" i="30" s="1"/>
  <c r="F15" i="30"/>
  <c r="T15" i="30" s="1"/>
  <c r="E15" i="30"/>
  <c r="F16" i="30"/>
  <c r="E16" i="30"/>
  <c r="F17" i="30"/>
  <c r="E17" i="30"/>
  <c r="F18" i="30"/>
  <c r="E18" i="30"/>
  <c r="P18" i="30" s="1"/>
  <c r="F19" i="30"/>
  <c r="S19" i="30" s="1"/>
  <c r="E19" i="30"/>
  <c r="F20" i="30"/>
  <c r="E20" i="30"/>
  <c r="F21" i="30"/>
  <c r="Q21" i="30" s="1"/>
  <c r="E21" i="30"/>
  <c r="F22" i="30"/>
  <c r="E22" i="30"/>
  <c r="F23" i="30"/>
  <c r="E23" i="30"/>
  <c r="F24" i="30"/>
  <c r="E24" i="30"/>
  <c r="N24" i="30" s="1"/>
  <c r="F25" i="30"/>
  <c r="P25" i="30" s="1"/>
  <c r="E25" i="30"/>
  <c r="F26" i="30"/>
  <c r="E26" i="30"/>
  <c r="F27" i="30"/>
  <c r="O27" i="30" s="1"/>
  <c r="E27" i="30"/>
  <c r="F28" i="30"/>
  <c r="E28" i="30"/>
  <c r="F29" i="30"/>
  <c r="Q29" i="30" s="1"/>
  <c r="E29" i="30"/>
  <c r="F30" i="30"/>
  <c r="E30" i="30"/>
  <c r="F31" i="30"/>
  <c r="S31" i="30" s="1"/>
  <c r="E31" i="30"/>
  <c r="F32" i="30"/>
  <c r="E32" i="30"/>
  <c r="F33" i="30"/>
  <c r="E33" i="30"/>
  <c r="F34" i="30"/>
  <c r="E34" i="30"/>
  <c r="F35" i="30"/>
  <c r="Q35" i="30" s="1"/>
  <c r="E35" i="30"/>
  <c r="F36" i="30"/>
  <c r="E36" i="30"/>
  <c r="S36" i="30" s="1"/>
  <c r="F37" i="30"/>
  <c r="E37" i="30"/>
  <c r="F38" i="30"/>
  <c r="E38" i="30"/>
  <c r="O38" i="30" s="1"/>
  <c r="F39" i="30"/>
  <c r="E39" i="30"/>
  <c r="F40" i="30"/>
  <c r="E40" i="30"/>
  <c r="T40" i="30" s="1"/>
  <c r="F41" i="30"/>
  <c r="Q41" i="30" s="1"/>
  <c r="E41" i="30"/>
  <c r="F42" i="30"/>
  <c r="E42" i="30"/>
  <c r="F43" i="30"/>
  <c r="P43" i="30" s="1"/>
  <c r="E43" i="30"/>
  <c r="F44" i="30"/>
  <c r="E44" i="30"/>
  <c r="F45" i="30"/>
  <c r="E45" i="30"/>
  <c r="F46" i="30"/>
  <c r="E46" i="30"/>
  <c r="F47" i="30"/>
  <c r="O47" i="30" s="1"/>
  <c r="E47" i="30"/>
  <c r="F48" i="30"/>
  <c r="E48" i="30"/>
  <c r="F49" i="30"/>
  <c r="E49" i="30"/>
  <c r="F50" i="30"/>
  <c r="E50" i="30"/>
  <c r="N50" i="30" s="1"/>
  <c r="F51" i="30"/>
  <c r="E51" i="30"/>
  <c r="F52" i="30"/>
  <c r="E52" i="30"/>
  <c r="P52" i="30" s="1"/>
  <c r="U52" i="30" s="1"/>
  <c r="F53" i="30"/>
  <c r="E53" i="30"/>
  <c r="F54" i="30"/>
  <c r="E54" i="30"/>
  <c r="O54" i="30" s="1"/>
  <c r="T3" i="30"/>
  <c r="Q3" i="30"/>
  <c r="P72" i="24"/>
  <c r="Q72" i="24"/>
  <c r="R72" i="24"/>
  <c r="S72" i="24"/>
  <c r="T72" i="24"/>
  <c r="Q71" i="24"/>
  <c r="R71" i="24"/>
  <c r="S71" i="24"/>
  <c r="T71" i="24"/>
  <c r="U51" i="24"/>
  <c r="U53" i="24"/>
  <c r="U54" i="24"/>
  <c r="U55" i="24"/>
  <c r="U56" i="24"/>
  <c r="U62" i="24"/>
  <c r="S51" i="24"/>
  <c r="S52" i="24"/>
  <c r="S53" i="24"/>
  <c r="S54" i="24"/>
  <c r="S55" i="24"/>
  <c r="S62" i="24"/>
  <c r="R51" i="24"/>
  <c r="R52" i="24"/>
  <c r="R54" i="24"/>
  <c r="R55" i="24"/>
  <c r="R56" i="24"/>
  <c r="R62" i="24"/>
  <c r="R39" i="24"/>
  <c r="R40" i="24"/>
  <c r="R42" i="24"/>
  <c r="R43" i="24"/>
  <c r="R44" i="24"/>
  <c r="R61" i="24"/>
  <c r="Q51" i="24"/>
  <c r="Q52" i="24"/>
  <c r="Q53" i="24"/>
  <c r="Q54" i="24"/>
  <c r="Q56" i="24"/>
  <c r="Q62" i="24"/>
  <c r="Q39" i="24"/>
  <c r="Q40" i="24"/>
  <c r="Q41" i="24"/>
  <c r="Q42" i="24"/>
  <c r="Q44" i="24"/>
  <c r="Q61" i="24"/>
  <c r="BR51" i="24"/>
  <c r="BR52" i="24"/>
  <c r="BR53" i="24"/>
  <c r="BR54" i="24"/>
  <c r="BR61" i="24"/>
  <c r="BR41" i="24"/>
  <c r="BR42" i="24"/>
  <c r="BR43" i="24"/>
  <c r="BR44" i="24"/>
  <c r="BR60" i="24"/>
  <c r="BP51" i="24"/>
  <c r="BP52" i="24"/>
  <c r="BP53" i="24"/>
  <c r="BP54" i="24"/>
  <c r="BP61" i="24"/>
  <c r="BP41" i="24"/>
  <c r="BP42" i="24"/>
  <c r="BP43" i="24"/>
  <c r="BP44" i="24"/>
  <c r="BP60" i="24"/>
  <c r="BO51" i="24"/>
  <c r="BO52" i="24"/>
  <c r="BO53" i="24"/>
  <c r="BO54" i="24"/>
  <c r="BO61" i="24"/>
  <c r="BO41" i="24"/>
  <c r="BO42" i="24"/>
  <c r="BO43" i="24"/>
  <c r="BO44" i="24"/>
  <c r="BO60" i="24"/>
  <c r="BN51" i="24"/>
  <c r="BN53" i="24"/>
  <c r="BN54" i="24"/>
  <c r="BN55" i="24"/>
  <c r="BN61" i="24"/>
  <c r="BN41" i="24"/>
  <c r="BN43" i="24"/>
  <c r="BN44" i="24"/>
  <c r="BN45" i="24"/>
  <c r="BN60" i="24"/>
  <c r="BM51" i="24"/>
  <c r="BM53" i="24"/>
  <c r="BM55" i="24"/>
  <c r="BM61" i="24"/>
  <c r="BM41" i="24"/>
  <c r="BM43" i="24"/>
  <c r="BM45" i="24"/>
  <c r="BM60" i="24"/>
  <c r="BL52" i="24"/>
  <c r="BL53" i="24"/>
  <c r="BL54" i="24"/>
  <c r="BL55" i="24"/>
  <c r="BL61" i="24"/>
  <c r="AT46" i="24"/>
  <c r="AT48" i="24"/>
  <c r="AT55" i="24"/>
  <c r="AU34" i="24"/>
  <c r="AT40" i="24"/>
  <c r="AT54" i="24"/>
  <c r="AP40" i="24"/>
  <c r="AP41" i="24"/>
  <c r="AP54" i="24"/>
  <c r="AQ39" i="24"/>
  <c r="AQ41" i="24"/>
  <c r="AQ54" i="24"/>
  <c r="AR40" i="24"/>
  <c r="AR41" i="24"/>
  <c r="AR54" i="24"/>
  <c r="AP47" i="24"/>
  <c r="AP48" i="24"/>
  <c r="AP49" i="24"/>
  <c r="AP55" i="24"/>
  <c r="AQ47" i="24"/>
  <c r="AQ49" i="24"/>
  <c r="AQ55" i="24"/>
  <c r="AR48" i="24"/>
  <c r="AR49" i="24"/>
  <c r="AR55" i="24"/>
  <c r="AN55" i="24"/>
  <c r="AN51" i="24"/>
  <c r="I20" i="21"/>
  <c r="G54" i="21"/>
  <c r="G55" i="21"/>
  <c r="G56" i="21"/>
  <c r="G57" i="21"/>
  <c r="G58" i="21"/>
  <c r="G59" i="21"/>
  <c r="G61" i="21"/>
  <c r="G62" i="21"/>
  <c r="G63" i="21"/>
  <c r="G64" i="21"/>
  <c r="G65" i="21"/>
  <c r="G66" i="21"/>
  <c r="G67" i="21"/>
  <c r="G68" i="21"/>
  <c r="G53" i="21"/>
  <c r="I33" i="21"/>
  <c r="I34" i="21"/>
  <c r="I35" i="21"/>
  <c r="I36" i="21"/>
  <c r="I37" i="21"/>
  <c r="I38" i="21"/>
  <c r="I40" i="21"/>
  <c r="I41" i="21"/>
  <c r="I42" i="21"/>
  <c r="I43" i="21"/>
  <c r="I44" i="21"/>
  <c r="I45" i="21"/>
  <c r="I46" i="21"/>
  <c r="I47" i="21"/>
  <c r="I5" i="21"/>
  <c r="H6" i="21"/>
  <c r="H7" i="21"/>
  <c r="H8" i="21"/>
  <c r="H9" i="21"/>
  <c r="H10" i="21"/>
  <c r="H11" i="21"/>
  <c r="H13" i="21"/>
  <c r="H14" i="21"/>
  <c r="H16" i="21"/>
  <c r="H17" i="21"/>
  <c r="H18" i="21"/>
  <c r="H19" i="21"/>
  <c r="H20" i="21"/>
  <c r="H5" i="21"/>
  <c r="I6" i="21"/>
  <c r="I7" i="21"/>
  <c r="I8" i="21"/>
  <c r="I11" i="21"/>
  <c r="I13" i="21"/>
  <c r="I21" i="21" s="1"/>
  <c r="I14" i="21"/>
  <c r="I16" i="21"/>
  <c r="I17" i="21"/>
  <c r="I18" i="21"/>
  <c r="G6" i="21"/>
  <c r="G7" i="21"/>
  <c r="G8" i="21"/>
  <c r="G9" i="21"/>
  <c r="G10" i="21"/>
  <c r="G11" i="21"/>
  <c r="G13" i="21"/>
  <c r="G14" i="21"/>
  <c r="G15" i="21"/>
  <c r="G16" i="21"/>
  <c r="G17" i="21"/>
  <c r="G18" i="21"/>
  <c r="G19" i="21"/>
  <c r="G20" i="21"/>
  <c r="G5" i="21"/>
  <c r="F53" i="21"/>
  <c r="F54" i="21"/>
  <c r="F55" i="21"/>
  <c r="F56" i="21"/>
  <c r="F57" i="21"/>
  <c r="F58" i="21"/>
  <c r="F59" i="21"/>
  <c r="F61" i="21"/>
  <c r="F62" i="21"/>
  <c r="F63" i="21"/>
  <c r="F64" i="21"/>
  <c r="F65" i="21"/>
  <c r="F66" i="21"/>
  <c r="F67" i="21"/>
  <c r="F68" i="21"/>
  <c r="U40" i="24"/>
  <c r="V40" i="24"/>
  <c r="R41" i="24"/>
  <c r="V41" i="24"/>
  <c r="V42" i="24"/>
  <c r="Q43" i="24"/>
  <c r="V43" i="24"/>
  <c r="S44" i="24"/>
  <c r="V44" i="24"/>
  <c r="V39" i="24"/>
  <c r="U52" i="24"/>
  <c r="V52" i="24"/>
  <c r="R53" i="24"/>
  <c r="V53" i="24"/>
  <c r="V54" i="24"/>
  <c r="Q55" i="24"/>
  <c r="V55" i="24"/>
  <c r="S56" i="24"/>
  <c r="V56" i="24"/>
  <c r="O59" i="24"/>
  <c r="BM54" i="24"/>
  <c r="BR55" i="24"/>
  <c r="V25" i="24"/>
  <c r="V26" i="24"/>
  <c r="V27" i="24"/>
  <c r="V28" i="24"/>
  <c r="V29" i="24"/>
  <c r="V24" i="24"/>
  <c r="T30" i="24"/>
  <c r="P30" i="24"/>
  <c r="J30" i="24"/>
  <c r="L30" i="24"/>
  <c r="BR45" i="24"/>
  <c r="BR58" i="24"/>
  <c r="BP45" i="24"/>
  <c r="BP55" i="24"/>
  <c r="BP58" i="24"/>
  <c r="BO45" i="24"/>
  <c r="BO55" i="24"/>
  <c r="BO58" i="24"/>
  <c r="BN42" i="24"/>
  <c r="BN52" i="24"/>
  <c r="BN58" i="24"/>
  <c r="BM44" i="24"/>
  <c r="BM58" i="24"/>
  <c r="BL41" i="24"/>
  <c r="BL51" i="24"/>
  <c r="BL58" i="24"/>
  <c r="BH41" i="24"/>
  <c r="BH51" i="24"/>
  <c r="BH58" i="24"/>
  <c r="BF41" i="24"/>
  <c r="BF51" i="24"/>
  <c r="BF58" i="24"/>
  <c r="BE41" i="24"/>
  <c r="BE51" i="24"/>
  <c r="BE58" i="24"/>
  <c r="BD41" i="24"/>
  <c r="BD51" i="24"/>
  <c r="BD58" i="24"/>
  <c r="BC44" i="24"/>
  <c r="BC54" i="24"/>
  <c r="BC58" i="24"/>
  <c r="BB41" i="24"/>
  <c r="BB51" i="24"/>
  <c r="BB58" i="24"/>
  <c r="BR57" i="24"/>
  <c r="BP57" i="24"/>
  <c r="BO57" i="24"/>
  <c r="BN57" i="24"/>
  <c r="BM57" i="24"/>
  <c r="BL57" i="24"/>
  <c r="BH57" i="24"/>
  <c r="BF57" i="24"/>
  <c r="BE57" i="24"/>
  <c r="BD57" i="24"/>
  <c r="BC57" i="24"/>
  <c r="BB57" i="24"/>
  <c r="BS55" i="24"/>
  <c r="BS54" i="24"/>
  <c r="BS53" i="24"/>
  <c r="BS52" i="24"/>
  <c r="BS51" i="24"/>
  <c r="BS45" i="24"/>
  <c r="BS44" i="24"/>
  <c r="BS43" i="24"/>
  <c r="BS42" i="24"/>
  <c r="BS41" i="24"/>
  <c r="BQ33" i="24"/>
  <c r="BG33" i="24"/>
  <c r="BI33" i="24"/>
  <c r="AU28" i="24"/>
  <c r="AU29" i="24"/>
  <c r="AU30" i="24"/>
  <c r="AU27" i="24"/>
  <c r="AU38" i="24"/>
  <c r="AT39" i="24"/>
  <c r="AU39" i="24"/>
  <c r="AU40" i="24"/>
  <c r="AT41" i="24"/>
  <c r="AU41" i="24"/>
  <c r="AT47" i="24"/>
  <c r="AU47" i="24"/>
  <c r="AU48" i="24"/>
  <c r="AT49" i="24"/>
  <c r="AU49" i="24"/>
  <c r="AQ46" i="24"/>
  <c r="AR46" i="24"/>
  <c r="AU46" i="24"/>
  <c r="AP51" i="24"/>
  <c r="AH46" i="24"/>
  <c r="AH52" i="24"/>
  <c r="AT52" i="24"/>
  <c r="AR52" i="24"/>
  <c r="AQ52" i="24"/>
  <c r="AP52" i="24"/>
  <c r="AJ40" i="24"/>
  <c r="AJ48" i="24"/>
  <c r="AJ52" i="24"/>
  <c r="AG46" i="24"/>
  <c r="AG52" i="24"/>
  <c r="AF46" i="24"/>
  <c r="AF40" i="24"/>
  <c r="AF48" i="24"/>
  <c r="AF52" i="24"/>
  <c r="AE40" i="24"/>
  <c r="AE48" i="24"/>
  <c r="AE52" i="24"/>
  <c r="AD52" i="24"/>
  <c r="AT51" i="24"/>
  <c r="AR51" i="24"/>
  <c r="AQ51" i="24"/>
  <c r="AJ51" i="24"/>
  <c r="AH51" i="24"/>
  <c r="AG51" i="24"/>
  <c r="AF51" i="24"/>
  <c r="AE51" i="24"/>
  <c r="AO31" i="24"/>
  <c r="AS31" i="24"/>
  <c r="AI31" i="24"/>
  <c r="AK31" i="24"/>
  <c r="AE55" i="5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Q26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7" i="15"/>
  <c r="Q28" i="15"/>
  <c r="H33" i="21"/>
  <c r="H34" i="21"/>
  <c r="H35" i="21"/>
  <c r="H36" i="21"/>
  <c r="H37" i="21"/>
  <c r="H38" i="21"/>
  <c r="H40" i="21"/>
  <c r="H41" i="21"/>
  <c r="H42" i="21"/>
  <c r="H43" i="21"/>
  <c r="H44" i="21"/>
  <c r="H45" i="21"/>
  <c r="H46" i="21"/>
  <c r="H47" i="21"/>
  <c r="J5" i="12"/>
  <c r="J3" i="12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K3" i="12"/>
  <c r="J4" i="12"/>
  <c r="K4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4" i="8"/>
  <c r="AE60" i="5"/>
  <c r="AE56" i="5"/>
  <c r="AE58" i="5"/>
  <c r="AE59" i="5"/>
  <c r="AE61" i="5"/>
  <c r="AE62" i="5"/>
  <c r="CF11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BV11" i="6"/>
  <c r="BW11" i="6"/>
  <c r="BX11" i="6"/>
  <c r="BY11" i="6"/>
  <c r="BZ11" i="6"/>
  <c r="CA11" i="6"/>
  <c r="CB11" i="6"/>
  <c r="CC11" i="6"/>
  <c r="CD11" i="6"/>
  <c r="CE11" i="6"/>
  <c r="CG11" i="6"/>
  <c r="CH11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BU6" i="6"/>
  <c r="BU7" i="6"/>
  <c r="BU8" i="6"/>
  <c r="BU9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Z5" i="6"/>
  <c r="AA5" i="6"/>
  <c r="P6" i="6"/>
  <c r="T6" i="6" s="1"/>
  <c r="P7" i="6"/>
  <c r="U7" i="6" s="1"/>
  <c r="P8" i="6"/>
  <c r="X8" i="6" s="1"/>
  <c r="P9" i="6"/>
  <c r="T9" i="6" s="1"/>
  <c r="P10" i="6"/>
  <c r="T10" i="6" s="1"/>
  <c r="P11" i="6"/>
  <c r="U11" i="6" s="1"/>
  <c r="P12" i="6"/>
  <c r="V12" i="6" s="1"/>
  <c r="P13" i="6"/>
  <c r="T13" i="6" s="1"/>
  <c r="P14" i="6"/>
  <c r="T14" i="6" s="1"/>
  <c r="P15" i="6"/>
  <c r="U15" i="6" s="1"/>
  <c r="P16" i="6"/>
  <c r="V16" i="6" s="1"/>
  <c r="P17" i="6"/>
  <c r="T17" i="6" s="1"/>
  <c r="P18" i="6"/>
  <c r="W18" i="6" s="1"/>
  <c r="P19" i="6"/>
  <c r="U19" i="6" s="1"/>
  <c r="P20" i="6"/>
  <c r="V20" i="6" s="1"/>
  <c r="P21" i="6"/>
  <c r="T21" i="6" s="1"/>
  <c r="P22" i="6"/>
  <c r="T22" i="6" s="1"/>
  <c r="P23" i="6"/>
  <c r="U23" i="6" s="1"/>
  <c r="P24" i="6"/>
  <c r="V24" i="6" s="1"/>
  <c r="P25" i="6"/>
  <c r="T25" i="6" s="1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4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" i="5"/>
  <c r="AB21" i="6"/>
  <c r="AE21" i="6"/>
  <c r="X21" i="6"/>
  <c r="AE17" i="6"/>
  <c r="AE5" i="6"/>
  <c r="W5" i="6"/>
  <c r="W25" i="6"/>
  <c r="W17" i="6"/>
  <c r="AD5" i="6"/>
  <c r="V5" i="6"/>
  <c r="AD25" i="6"/>
  <c r="V25" i="6"/>
  <c r="AG25" i="6"/>
  <c r="Y25" i="6"/>
  <c r="V21" i="6"/>
  <c r="AA17" i="6"/>
  <c r="AG5" i="6"/>
  <c r="AC5" i="6"/>
  <c r="Y5" i="6"/>
  <c r="U5" i="6"/>
  <c r="AB25" i="6"/>
  <c r="U21" i="6"/>
  <c r="AF5" i="6"/>
  <c r="AB5" i="6"/>
  <c r="X5" i="6"/>
  <c r="AB13" i="6"/>
  <c r="Z17" i="6"/>
  <c r="V17" i="6"/>
  <c r="X7" i="6"/>
  <c r="AG17" i="6"/>
  <c r="AC17" i="6"/>
  <c r="Y17" i="6"/>
  <c r="AA6" i="6"/>
  <c r="AE23" i="6"/>
  <c r="AB17" i="6"/>
  <c r="X17" i="6"/>
  <c r="AA16" i="6"/>
  <c r="W6" i="6"/>
  <c r="AA14" i="6"/>
  <c r="Z18" i="6"/>
  <c r="Z14" i="6"/>
  <c r="AD10" i="6"/>
  <c r="V10" i="6"/>
  <c r="Z6" i="6"/>
  <c r="Z19" i="6"/>
  <c r="AG18" i="6"/>
  <c r="U18" i="6"/>
  <c r="Z15" i="6"/>
  <c r="AC14" i="6"/>
  <c r="U14" i="6"/>
  <c r="V11" i="6"/>
  <c r="AG10" i="6"/>
  <c r="AC10" i="6"/>
  <c r="Y10" i="6"/>
  <c r="U10" i="6"/>
  <c r="AG6" i="6"/>
  <c r="AC6" i="6"/>
  <c r="Y6" i="6"/>
  <c r="U6" i="6"/>
  <c r="AE22" i="6"/>
  <c r="AA10" i="6"/>
  <c r="W10" i="6"/>
  <c r="W23" i="6"/>
  <c r="AD18" i="6"/>
  <c r="V18" i="6"/>
  <c r="AD14" i="6"/>
  <c r="Z10" i="6"/>
  <c r="AD6" i="6"/>
  <c r="V6" i="6"/>
  <c r="Y23" i="6"/>
  <c r="AF18" i="6"/>
  <c r="AB18" i="6"/>
  <c r="X18" i="6"/>
  <c r="AG15" i="6"/>
  <c r="AF14" i="6"/>
  <c r="AB14" i="6"/>
  <c r="X14" i="6"/>
  <c r="Y11" i="6"/>
  <c r="AF10" i="6"/>
  <c r="AB10" i="6"/>
  <c r="X10" i="6"/>
  <c r="AF6" i="6"/>
  <c r="AB6" i="6"/>
  <c r="X6" i="6"/>
  <c r="E59" i="24"/>
  <c r="K59" i="24"/>
  <c r="I59" i="24"/>
  <c r="H59" i="24"/>
  <c r="G59" i="24"/>
  <c r="F59" i="24"/>
  <c r="I58" i="24"/>
  <c r="H58" i="24"/>
  <c r="G58" i="24"/>
  <c r="F58" i="24"/>
  <c r="U59" i="24"/>
  <c r="S59" i="24"/>
  <c r="R59" i="24"/>
  <c r="Q59" i="24"/>
  <c r="U58" i="24"/>
  <c r="S58" i="24"/>
  <c r="R58" i="24"/>
  <c r="Q58" i="24"/>
  <c r="V51" i="24"/>
  <c r="Q19" i="30" l="1"/>
  <c r="Q31" i="30"/>
  <c r="Q15" i="30"/>
  <c r="P5" i="30"/>
  <c r="S35" i="30"/>
  <c r="O31" i="30"/>
  <c r="O19" i="30"/>
  <c r="O15" i="30"/>
  <c r="O5" i="30"/>
  <c r="S3" i="30"/>
  <c r="N31" i="30"/>
  <c r="N19" i="30"/>
  <c r="N15" i="30"/>
  <c r="T19" i="30"/>
  <c r="S15" i="30"/>
  <c r="P53" i="30"/>
  <c r="U53" i="30" s="1"/>
  <c r="P51" i="30"/>
  <c r="U51" i="30" s="1"/>
  <c r="Q49" i="30"/>
  <c r="R47" i="30"/>
  <c r="P45" i="30"/>
  <c r="U45" i="30" s="1"/>
  <c r="T43" i="30"/>
  <c r="P35" i="30"/>
  <c r="O33" i="30"/>
  <c r="P31" i="30"/>
  <c r="U31" i="30" s="1"/>
  <c r="P23" i="30"/>
  <c r="O21" i="30"/>
  <c r="P19" i="30"/>
  <c r="O17" i="30"/>
  <c r="P15" i="30"/>
  <c r="P11" i="30"/>
  <c r="U11" i="30" s="1"/>
  <c r="O51" i="30"/>
  <c r="S40" i="30"/>
  <c r="O35" i="30"/>
  <c r="N3" i="30"/>
  <c r="P3" i="30"/>
  <c r="R3" i="30"/>
  <c r="V3" i="30" s="1"/>
  <c r="AE8" i="6"/>
  <c r="W16" i="6"/>
  <c r="T12" i="6"/>
  <c r="Y12" i="6"/>
  <c r="AG22" i="6"/>
  <c r="U12" i="6"/>
  <c r="AB8" i="6"/>
  <c r="AF12" i="6"/>
  <c r="X16" i="6"/>
  <c r="T8" i="6"/>
  <c r="Z12" i="6"/>
  <c r="AE16" i="6"/>
  <c r="W12" i="6"/>
  <c r="AB16" i="6"/>
  <c r="AF8" i="6"/>
  <c r="AC12" i="6"/>
  <c r="AG12" i="6"/>
  <c r="AC16" i="6"/>
  <c r="AG21" i="6"/>
  <c r="Z8" i="6"/>
  <c r="Y8" i="6"/>
  <c r="AD12" i="6"/>
  <c r="U8" i="6"/>
  <c r="AA12" i="6"/>
  <c r="AF16" i="6"/>
  <c r="Y16" i="6"/>
  <c r="T16" i="6"/>
  <c r="AA21" i="6"/>
  <c r="Z16" i="6"/>
  <c r="AD8" i="6"/>
  <c r="U16" i="6"/>
  <c r="AA8" i="6"/>
  <c r="AE12" i="6"/>
  <c r="W8" i="6"/>
  <c r="X12" i="6"/>
  <c r="AB12" i="6"/>
  <c r="Z22" i="6"/>
  <c r="AE6" i="6"/>
  <c r="AB11" i="6"/>
  <c r="Q40" i="30"/>
  <c r="N35" i="30"/>
  <c r="N36" i="30"/>
  <c r="P40" i="30"/>
  <c r="P9" i="30"/>
  <c r="U9" i="30" s="1"/>
  <c r="N40" i="30"/>
  <c r="P12" i="30"/>
  <c r="U12" i="30" s="1"/>
  <c r="T35" i="30"/>
  <c r="Q43" i="30"/>
  <c r="S41" i="30"/>
  <c r="O43" i="30"/>
  <c r="P41" i="30"/>
  <c r="Q36" i="30"/>
  <c r="T36" i="30"/>
  <c r="T52" i="30"/>
  <c r="O50" i="30"/>
  <c r="Q48" i="30"/>
  <c r="Q46" i="30"/>
  <c r="R44" i="30"/>
  <c r="V44" i="30" s="1"/>
  <c r="R42" i="30"/>
  <c r="V42" i="30" s="1"/>
  <c r="R40" i="30"/>
  <c r="V40" i="30" s="1"/>
  <c r="O39" i="30"/>
  <c r="O37" i="30"/>
  <c r="R35" i="30"/>
  <c r="V35" i="30" s="1"/>
  <c r="R34" i="30"/>
  <c r="W34" i="30" s="1"/>
  <c r="O32" i="30"/>
  <c r="N30" i="30"/>
  <c r="P28" i="30"/>
  <c r="P26" i="30"/>
  <c r="P24" i="30"/>
  <c r="O22" i="30"/>
  <c r="O20" i="30"/>
  <c r="N8" i="30"/>
  <c r="S50" i="30"/>
  <c r="S43" i="30"/>
  <c r="N43" i="30"/>
  <c r="O41" i="30"/>
  <c r="P36" i="30"/>
  <c r="N14" i="30"/>
  <c r="R43" i="30"/>
  <c r="V43" i="30" s="1"/>
  <c r="R36" i="30"/>
  <c r="V36" i="30" s="1"/>
  <c r="P7" i="30"/>
  <c r="U7" i="30" s="1"/>
  <c r="O53" i="30"/>
  <c r="T47" i="30"/>
  <c r="T31" i="30"/>
  <c r="S53" i="30"/>
  <c r="N53" i="30"/>
  <c r="O52" i="30"/>
  <c r="Q50" i="30"/>
  <c r="S44" i="30"/>
  <c r="S34" i="30"/>
  <c r="S24" i="30"/>
  <c r="S14" i="30"/>
  <c r="N12" i="30"/>
  <c r="T14" i="30"/>
  <c r="Q14" i="30"/>
  <c r="O8" i="30"/>
  <c r="Q6" i="30"/>
  <c r="Q4" i="30"/>
  <c r="Q53" i="30"/>
  <c r="S52" i="30"/>
  <c r="N52" i="30"/>
  <c r="P50" i="30"/>
  <c r="U50" i="30" s="1"/>
  <c r="N44" i="30"/>
  <c r="S32" i="30"/>
  <c r="Q24" i="30"/>
  <c r="P14" i="30"/>
  <c r="S12" i="30"/>
  <c r="T24" i="30"/>
  <c r="T12" i="30"/>
  <c r="R52" i="30"/>
  <c r="W52" i="30" s="1"/>
  <c r="R51" i="30"/>
  <c r="T27" i="30"/>
  <c r="Q25" i="30"/>
  <c r="Q52" i="30"/>
  <c r="P46" i="30"/>
  <c r="U46" i="30" s="1"/>
  <c r="Q20" i="30"/>
  <c r="P10" i="30"/>
  <c r="U10" i="30" s="1"/>
  <c r="T50" i="30"/>
  <c r="O30" i="30"/>
  <c r="Q28" i="30"/>
  <c r="R24" i="30"/>
  <c r="V24" i="30" s="1"/>
  <c r="T18" i="30"/>
  <c r="S16" i="30"/>
  <c r="R14" i="30"/>
  <c r="V14" i="30" s="1"/>
  <c r="P13" i="30"/>
  <c r="U13" i="30" s="1"/>
  <c r="R11" i="30"/>
  <c r="R4" i="30"/>
  <c r="V4" i="30" s="1"/>
  <c r="S51" i="30"/>
  <c r="N51" i="30"/>
  <c r="S47" i="30"/>
  <c r="N47" i="30"/>
  <c r="O46" i="30"/>
  <c r="Q44" i="30"/>
  <c r="Q37" i="30"/>
  <c r="P34" i="30"/>
  <c r="U34" i="30" s="1"/>
  <c r="S30" i="30"/>
  <c r="N28" i="30"/>
  <c r="N27" i="30"/>
  <c r="O25" i="30"/>
  <c r="P21" i="30"/>
  <c r="P20" i="30"/>
  <c r="O18" i="30"/>
  <c r="S11" i="30"/>
  <c r="S8" i="30"/>
  <c r="N4" i="30"/>
  <c r="T46" i="30"/>
  <c r="T30" i="30"/>
  <c r="T20" i="30"/>
  <c r="T4" i="30"/>
  <c r="P54" i="30"/>
  <c r="U54" i="30" s="1"/>
  <c r="Q30" i="30"/>
  <c r="O28" i="30"/>
  <c r="R26" i="30"/>
  <c r="V26" i="30" s="1"/>
  <c r="R19" i="30"/>
  <c r="V19" i="30" s="1"/>
  <c r="R18" i="30"/>
  <c r="V18" i="30" s="1"/>
  <c r="O16" i="30"/>
  <c r="Q51" i="30"/>
  <c r="Q47" i="30"/>
  <c r="S46" i="30"/>
  <c r="N46" i="30"/>
  <c r="P44" i="30"/>
  <c r="O42" i="30"/>
  <c r="P37" i="30"/>
  <c r="O34" i="30"/>
  <c r="P30" i="30"/>
  <c r="U30" i="30" s="1"/>
  <c r="S28" i="30"/>
  <c r="S27" i="30"/>
  <c r="O23" i="30"/>
  <c r="N20" i="30"/>
  <c r="N18" i="30"/>
  <c r="Q11" i="30"/>
  <c r="Q9" i="30"/>
  <c r="Q8" i="30"/>
  <c r="O6" i="30"/>
  <c r="S4" i="30"/>
  <c r="T44" i="30"/>
  <c r="T28" i="30"/>
  <c r="R46" i="30"/>
  <c r="W46" i="30" s="1"/>
  <c r="O40" i="30"/>
  <c r="Q38" i="30"/>
  <c r="R27" i="30"/>
  <c r="V27" i="30" s="1"/>
  <c r="R20" i="30"/>
  <c r="V20" i="30" s="1"/>
  <c r="O12" i="30"/>
  <c r="R8" i="30"/>
  <c r="P49" i="30"/>
  <c r="U49" i="30" s="1"/>
  <c r="P47" i="30"/>
  <c r="U47" i="30" s="1"/>
  <c r="O44" i="30"/>
  <c r="N34" i="30"/>
  <c r="Q27" i="30"/>
  <c r="S20" i="30"/>
  <c r="S18" i="30"/>
  <c r="O11" i="30"/>
  <c r="P8" i="30"/>
  <c r="U8" i="30" s="1"/>
  <c r="T51" i="30"/>
  <c r="T34" i="30"/>
  <c r="T11" i="30"/>
  <c r="R50" i="30"/>
  <c r="W50" i="30" s="1"/>
  <c r="N48" i="30"/>
  <c r="P39" i="30"/>
  <c r="O36" i="30"/>
  <c r="R30" i="30"/>
  <c r="W30" i="30" s="1"/>
  <c r="O29" i="30"/>
  <c r="P27" i="30"/>
  <c r="O24" i="30"/>
  <c r="Q22" i="30"/>
  <c r="O4" i="30"/>
  <c r="W47" i="30"/>
  <c r="W10" i="30"/>
  <c r="R45" i="30"/>
  <c r="T45" i="30"/>
  <c r="S54" i="30"/>
  <c r="N54" i="30"/>
  <c r="O49" i="30"/>
  <c r="P48" i="30"/>
  <c r="U48" i="30" s="1"/>
  <c r="O45" i="30"/>
  <c r="S42" i="30"/>
  <c r="N42" i="30"/>
  <c r="N39" i="30"/>
  <c r="N38" i="30"/>
  <c r="Q33" i="30"/>
  <c r="Q32" i="30"/>
  <c r="P29" i="30"/>
  <c r="O26" i="30"/>
  <c r="N23" i="30"/>
  <c r="N22" i="30"/>
  <c r="Q17" i="30"/>
  <c r="Q16" i="30"/>
  <c r="O10" i="30"/>
  <c r="N7" i="30"/>
  <c r="N6" i="30"/>
  <c r="T39" i="30"/>
  <c r="T23" i="30"/>
  <c r="T7" i="30"/>
  <c r="R49" i="30"/>
  <c r="T49" i="30"/>
  <c r="R33" i="30"/>
  <c r="T33" i="30"/>
  <c r="N33" i="30"/>
  <c r="S33" i="30"/>
  <c r="R31" i="30"/>
  <c r="R28" i="30"/>
  <c r="V28" i="30" s="1"/>
  <c r="Q26" i="30"/>
  <c r="R17" i="30"/>
  <c r="T17" i="30"/>
  <c r="N17" i="30"/>
  <c r="S17" i="30"/>
  <c r="R15" i="30"/>
  <c r="V15" i="30" s="1"/>
  <c r="R12" i="30"/>
  <c r="Q10" i="30"/>
  <c r="R13" i="30"/>
  <c r="T13" i="30"/>
  <c r="N13" i="30"/>
  <c r="S13" i="30"/>
  <c r="Q54" i="30"/>
  <c r="S49" i="30"/>
  <c r="N49" i="30"/>
  <c r="O48" i="30"/>
  <c r="S45" i="30"/>
  <c r="N45" i="30"/>
  <c r="Q42" i="30"/>
  <c r="S39" i="30"/>
  <c r="S38" i="30"/>
  <c r="P33" i="30"/>
  <c r="U33" i="30" s="1"/>
  <c r="P32" i="30"/>
  <c r="N26" i="30"/>
  <c r="S23" i="30"/>
  <c r="S22" i="30"/>
  <c r="P17" i="30"/>
  <c r="U17" i="30" s="1"/>
  <c r="P16" i="30"/>
  <c r="O13" i="30"/>
  <c r="N10" i="30"/>
  <c r="S7" i="30"/>
  <c r="S6" i="30"/>
  <c r="T54" i="30"/>
  <c r="T48" i="30"/>
  <c r="T38" i="30"/>
  <c r="T32" i="30"/>
  <c r="T22" i="30"/>
  <c r="T16" i="30"/>
  <c r="T6" i="30"/>
  <c r="R54" i="30"/>
  <c r="R53" i="30"/>
  <c r="T53" i="30"/>
  <c r="R48" i="30"/>
  <c r="R38" i="30"/>
  <c r="V38" i="30" s="1"/>
  <c r="R37" i="30"/>
  <c r="V37" i="30" s="1"/>
  <c r="T37" i="30"/>
  <c r="N37" i="30"/>
  <c r="S37" i="30"/>
  <c r="R32" i="30"/>
  <c r="V32" i="30" s="1"/>
  <c r="R22" i="30"/>
  <c r="V22" i="30" s="1"/>
  <c r="R21" i="30"/>
  <c r="V21" i="30" s="1"/>
  <c r="T21" i="30"/>
  <c r="N21" i="30"/>
  <c r="S21" i="30"/>
  <c r="R16" i="30"/>
  <c r="V16" i="30" s="1"/>
  <c r="R6" i="30"/>
  <c r="V6" i="30" s="1"/>
  <c r="R5" i="30"/>
  <c r="V5" i="30" s="1"/>
  <c r="T5" i="30"/>
  <c r="N5" i="30"/>
  <c r="S5" i="30"/>
  <c r="R29" i="30"/>
  <c r="V29" i="30" s="1"/>
  <c r="T29" i="30"/>
  <c r="N29" i="30"/>
  <c r="S29" i="30"/>
  <c r="S48" i="30"/>
  <c r="Q45" i="30"/>
  <c r="P42" i="30"/>
  <c r="Q39" i="30"/>
  <c r="P38" i="30"/>
  <c r="N32" i="30"/>
  <c r="S26" i="30"/>
  <c r="Q23" i="30"/>
  <c r="P22" i="30"/>
  <c r="N16" i="30"/>
  <c r="S10" i="30"/>
  <c r="Q7" i="30"/>
  <c r="P6" i="30"/>
  <c r="T42" i="30"/>
  <c r="T26" i="30"/>
  <c r="T10" i="30"/>
  <c r="R41" i="30"/>
  <c r="V41" i="30" s="1"/>
  <c r="T41" i="30"/>
  <c r="N41" i="30"/>
  <c r="R39" i="30"/>
  <c r="V39" i="30" s="1"/>
  <c r="Q34" i="30"/>
  <c r="R25" i="30"/>
  <c r="V25" i="30" s="1"/>
  <c r="T25" i="30"/>
  <c r="N25" i="30"/>
  <c r="S25" i="30"/>
  <c r="R23" i="30"/>
  <c r="V23" i="30" s="1"/>
  <c r="Q18" i="30"/>
  <c r="R9" i="30"/>
  <c r="T9" i="30"/>
  <c r="N9" i="30"/>
  <c r="S9" i="30"/>
  <c r="R7" i="30"/>
  <c r="Y19" i="6"/>
  <c r="X22" i="6"/>
  <c r="V22" i="6"/>
  <c r="AA18" i="6"/>
  <c r="Y14" i="6"/>
  <c r="Y18" i="6"/>
  <c r="Z23" i="6"/>
  <c r="V14" i="6"/>
  <c r="W14" i="6"/>
  <c r="AE7" i="6"/>
  <c r="AE10" i="6"/>
  <c r="AF25" i="6"/>
  <c r="AE14" i="6"/>
  <c r="AD21" i="6"/>
  <c r="AE18" i="6"/>
  <c r="AC21" i="6"/>
  <c r="Z25" i="6"/>
  <c r="V8" i="6"/>
  <c r="AC8" i="6"/>
  <c r="AA25" i="6"/>
  <c r="AG16" i="6"/>
  <c r="Y21" i="6"/>
  <c r="AD16" i="6"/>
  <c r="U25" i="6"/>
  <c r="W21" i="6"/>
  <c r="T19" i="6"/>
  <c r="AG8" i="6"/>
  <c r="AF21" i="6"/>
  <c r="AD20" i="6"/>
  <c r="AA24" i="6"/>
  <c r="AC19" i="6"/>
  <c r="AC23" i="6"/>
  <c r="W19" i="6"/>
  <c r="AG14" i="6"/>
  <c r="AC18" i="6"/>
  <c r="AD19" i="6"/>
  <c r="AD23" i="6"/>
  <c r="AA11" i="6"/>
  <c r="T7" i="6"/>
  <c r="AF17" i="6"/>
  <c r="Z24" i="6"/>
  <c r="U17" i="6"/>
  <c r="AE20" i="6"/>
  <c r="AB23" i="6"/>
  <c r="AD17" i="6"/>
  <c r="X25" i="6"/>
  <c r="AG9" i="6"/>
  <c r="Z21" i="6"/>
  <c r="AC25" i="6"/>
  <c r="Y24" i="6"/>
  <c r="AB20" i="6"/>
  <c r="AE25" i="6"/>
  <c r="AE11" i="6"/>
  <c r="AC20" i="6"/>
  <c r="AB19" i="6"/>
  <c r="AE19" i="6"/>
  <c r="AF19" i="6"/>
  <c r="T18" i="6"/>
  <c r="AG19" i="6"/>
  <c r="AG23" i="6"/>
  <c r="AA19" i="6"/>
  <c r="X23" i="6"/>
  <c r="AA23" i="6"/>
  <c r="AG13" i="6"/>
  <c r="AD13" i="6"/>
  <c r="Z9" i="6"/>
  <c r="V19" i="6"/>
  <c r="V23" i="6"/>
  <c r="T23" i="6"/>
  <c r="AF23" i="6"/>
  <c r="Y7" i="6"/>
  <c r="AC11" i="6"/>
  <c r="AB22" i="6"/>
  <c r="AD22" i="6"/>
  <c r="V7" i="6"/>
  <c r="Z11" i="6"/>
  <c r="AD15" i="6"/>
  <c r="U22" i="6"/>
  <c r="AB7" i="6"/>
  <c r="AD24" i="6"/>
  <c r="AE24" i="6"/>
  <c r="AF7" i="6"/>
  <c r="AA7" i="6"/>
  <c r="U13" i="6"/>
  <c r="T15" i="6"/>
  <c r="X15" i="6"/>
  <c r="T24" i="6"/>
  <c r="U9" i="6"/>
  <c r="T11" i="6"/>
  <c r="W13" i="6"/>
  <c r="AB15" i="6"/>
  <c r="X20" i="6"/>
  <c r="X11" i="6"/>
  <c r="V9" i="6"/>
  <c r="AF13" i="6"/>
  <c r="AE9" i="6"/>
  <c r="X19" i="6"/>
  <c r="AC7" i="6"/>
  <c r="AG11" i="6"/>
  <c r="Y15" i="6"/>
  <c r="AF22" i="6"/>
  <c r="W15" i="6"/>
  <c r="W22" i="6"/>
  <c r="Z7" i="6"/>
  <c r="AD11" i="6"/>
  <c r="Y22" i="6"/>
  <c r="U20" i="6"/>
  <c r="W20" i="6"/>
  <c r="Y13" i="6"/>
  <c r="AF15" i="6"/>
  <c r="V13" i="6"/>
  <c r="T20" i="6"/>
  <c r="AC24" i="6"/>
  <c r="X13" i="6"/>
  <c r="Y9" i="6"/>
  <c r="AF11" i="6"/>
  <c r="AA13" i="6"/>
  <c r="AF20" i="6"/>
  <c r="X24" i="6"/>
  <c r="AA9" i="6"/>
  <c r="AG20" i="6"/>
  <c r="W9" i="6"/>
  <c r="X9" i="6"/>
  <c r="AD9" i="6"/>
  <c r="AG7" i="6"/>
  <c r="AC15" i="6"/>
  <c r="AA15" i="6"/>
  <c r="AA22" i="6"/>
  <c r="AD7" i="6"/>
  <c r="V15" i="6"/>
  <c r="AC22" i="6"/>
  <c r="W11" i="6"/>
  <c r="Z20" i="6"/>
  <c r="U24" i="6"/>
  <c r="W7" i="6"/>
  <c r="AA20" i="6"/>
  <c r="W24" i="6"/>
  <c r="AC13" i="6"/>
  <c r="Z13" i="6"/>
  <c r="AE15" i="6"/>
  <c r="AC9" i="6"/>
  <c r="AE13" i="6"/>
  <c r="AF24" i="6"/>
  <c r="Y20" i="6"/>
  <c r="AF9" i="6"/>
  <c r="AB24" i="6"/>
  <c r="AB9" i="6"/>
  <c r="AG24" i="6"/>
  <c r="AA26" i="6" l="1"/>
  <c r="W51" i="30"/>
  <c r="T55" i="30"/>
  <c r="P55" i="30"/>
  <c r="Q55" i="30"/>
  <c r="W48" i="30"/>
  <c r="W54" i="30"/>
  <c r="W49" i="30"/>
  <c r="N55" i="30"/>
  <c r="W45" i="30"/>
  <c r="R55" i="30"/>
  <c r="W9" i="30"/>
  <c r="S55" i="30"/>
  <c r="O55" i="30"/>
  <c r="V55" i="30"/>
  <c r="V26" i="6"/>
  <c r="AE26" i="6"/>
  <c r="AC26" i="6"/>
  <c r="X26" i="6"/>
  <c r="AD26" i="6"/>
  <c r="AG26" i="6"/>
  <c r="Y26" i="6"/>
  <c r="AB26" i="6"/>
  <c r="AF26" i="6"/>
  <c r="T26" i="6"/>
  <c r="U26" i="6"/>
  <c r="Z26" i="6"/>
  <c r="W26" i="6"/>
  <c r="W55" i="30" l="1"/>
  <c r="U5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fun_castel</author>
  </authors>
  <commentList>
    <comment ref="C3" authorId="0" shapeId="0" xr:uid="{9583DB12-373D-42A9-BCC0-ADFDD1471864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" authorId="0" shapeId="0" xr:uid="{4BE90FD2-1F69-4938-9DAD-28BEF1FFA419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" authorId="0" shapeId="0" xr:uid="{5A8E8080-AE26-44AA-A94D-E6D1FF2134C6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6" authorId="0" shapeId="0" xr:uid="{D2B4E72E-9B22-419B-AFFB-5BCC37125E2A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7" authorId="0" shapeId="0" xr:uid="{8BBD939A-F971-4320-998F-2A60AA486201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8" authorId="0" shapeId="0" xr:uid="{F7DD7E4A-F1EE-4EA9-8991-79A59F30B72F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9" authorId="0" shapeId="0" xr:uid="{EEDC912A-B502-4413-82C8-06CF2A39A4A1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0" authorId="0" shapeId="0" xr:uid="{090398AD-7D48-49EC-B3CB-9FCBFAD35965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1" authorId="0" shapeId="0" xr:uid="{0846C2F7-1008-4B8D-9164-BB3F77316667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2" authorId="0" shapeId="0" xr:uid="{9B393C49-6D21-4831-B2F3-90668675D979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3" authorId="0" shapeId="0" xr:uid="{F4AF4EA9-FB3F-44C3-AB3F-75DA9368BE5A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4" authorId="0" shapeId="0" xr:uid="{48CD0C6D-9E3B-47B8-8A71-817147DEFE5D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5" authorId="0" shapeId="0" xr:uid="{9950EA78-079B-4BE1-B7F4-9093B7EC2398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6" authorId="0" shapeId="0" xr:uid="{2B5BE822-1C41-498B-9F85-A4099312F415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7" authorId="0" shapeId="0" xr:uid="{0DD8557C-2DE7-4A2B-B873-0267DEEA2446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8" authorId="0" shapeId="0" xr:uid="{29F59D64-F28E-42A0-B638-4E885B950179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19" authorId="0" shapeId="0" xr:uid="{AA7DFBEA-5565-41D9-9EA0-3B55A29B253C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20" authorId="0" shapeId="0" xr:uid="{530ABA7C-D465-4499-9E73-8360D60A614A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25" authorId="0" shapeId="0" xr:uid="{9A7D88FF-58E8-48FC-B657-ECD00A7D9ABB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29" authorId="0" shapeId="0" xr:uid="{5669B66F-2B9D-40E1-8BCC-E5AB0B0B607E}">
      <text>
        <r>
          <rPr>
            <b/>
            <sz val="8"/>
            <color indexed="81"/>
            <rFont val="Tahoma"/>
            <family val="2"/>
          </rPr>
          <t>fun_castel:</t>
        </r>
        <r>
          <rPr>
            <sz val="8"/>
            <color indexed="81"/>
            <rFont val="Tahoma"/>
            <family val="2"/>
          </rPr>
          <t xml:space="preserve">
gekozen voor de 2x verdunde meting</t>
        </r>
      </text>
    </comment>
    <comment ref="C40" authorId="0" shapeId="0" xr:uid="{960E0099-22E9-4AC5-86EC-42E50E188303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1" authorId="0" shapeId="0" xr:uid="{12ECF665-E9A5-4287-8624-5E5E86DDBA84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2" authorId="0" shapeId="0" xr:uid="{7FB2106C-3C3F-4458-8E4E-1F290C38D928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3" authorId="0" shapeId="0" xr:uid="{3E04BB02-A364-48F4-9719-B6EEFB0B2E63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5" authorId="0" shapeId="0" xr:uid="{81E0779C-1748-43B4-BBFF-1F7363034AAF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6" authorId="0" shapeId="0" xr:uid="{0A6D4510-436B-4EE4-A18A-00752792A9DF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7" authorId="0" shapeId="0" xr:uid="{A1EC55E9-EFE4-4824-B3FF-2CDF525D9FCD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8" authorId="0" shapeId="0" xr:uid="{4BCF82BE-A1AD-4340-9164-A1170DD66E9F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49" authorId="0" shapeId="0" xr:uid="{546D9566-579B-405F-A74D-062A3587D443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0" authorId="0" shapeId="0" xr:uid="{F6D7D63F-D148-453E-8E52-B0989041106C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1" authorId="0" shapeId="0" xr:uid="{5D0E62EE-F61A-472E-80CD-854A1A5AB83F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2" authorId="0" shapeId="0" xr:uid="{D6CB1917-4BA1-4E71-B67D-FA122636FD71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3" authorId="0" shapeId="0" xr:uid="{7BF3CC0A-2950-42E3-A2CA-E1864A13CE91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  <comment ref="C54" authorId="0" shapeId="0" xr:uid="{99DA7C57-1F3D-47AB-A9D6-A325458163AE}">
      <text>
        <r>
          <rPr>
            <b/>
            <sz val="10"/>
            <color indexed="81"/>
            <rFont val="Tahoma"/>
            <family val="2"/>
          </rPr>
          <t>fun_castel:</t>
        </r>
        <r>
          <rPr>
            <sz val="10"/>
            <color indexed="81"/>
            <rFont val="Tahoma"/>
            <family val="2"/>
          </rPr>
          <t xml:space="preserve">
gekozen voor 2x verdunde meting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tc={22962963-BBA8-4BE1-A11B-D94FBFBFBC91}</author>
    <author>tc={EEF35904-5D2D-459B-AC82-67DD98735D75}</author>
    <author>tc={03120033-BD43-455C-94E7-DC75C581F0F9}</author>
    <author>tc={6E7F830E-570D-4E5C-8AFA-2E427BFFB9B8}</author>
  </authors>
  <commentList>
    <comment ref="F3" authorId="0" shapeId="0" xr:uid="{22962963-BBA8-4BE1-A11B-D94FBFBFBC91}">
      <text>
        <t>[Threaded comment]
Your version of Excel allows you to read this threaded comment; however, any edits to it will get removed if the file is opened in a newer version of Excel. Learn more: https://go.microsoft.com/fwlink/?linkid=870924
Comment:
    kan er wel uit. Is in Griftpark en HVB niet gedoseerd</t>
      </text>
    </comment>
    <comment ref="E34" authorId="1" shapeId="0" xr:uid="{EEF35904-5D2D-459B-AC82-67DD98735D75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Methylfluorene isomers, and succinylated analogues?</t>
      </text>
    </comment>
    <comment ref="E52" authorId="2" shapeId="0" xr:uid="{03120033-BD43-455C-94E7-DC75C581F0F9}">
      <text>
        <t>[Threaded comment]
Your version of Excel allows you to read this threaded comment; however, any edits to it will get removed if the file is opened in a newer version of Excel. Learn more: https://go.microsoft.com/fwlink/?linkid=870924
Comment:
    (1R,2S)-1,2-dihydronaphthalene-1,2-diol?</t>
      </text>
    </comment>
    <comment ref="E53" authorId="3" shapeId="0" xr:uid="{6E7F830E-570D-4E5C-8AFA-2E427BFFB9B8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nog een lijst met metabolieten van PAK afbraak. Wellicht even langslopen https://www.genome.jp/dbget-bin/www_bget?ko00624</t>
      </text>
    </comment>
  </commentList>
</comments>
</file>

<file path=xl/sharedStrings.xml><?xml version="1.0" encoding="utf-8"?>
<sst xmlns="http://schemas.openxmlformats.org/spreadsheetml/2006/main" count="4523" uniqueCount="1603">
  <si>
    <t>Well</t>
  </si>
  <si>
    <t>Depth (m-bgl)</t>
  </si>
  <si>
    <t>Soil type</t>
  </si>
  <si>
    <t>Organic carbon content NPOC (in water) (mg/L)</t>
  </si>
  <si>
    <t>pH</t>
  </si>
  <si>
    <t>Total contamination (ug/L)</t>
  </si>
  <si>
    <t>A</t>
  </si>
  <si>
    <t>B</t>
  </si>
  <si>
    <t>B       MLS1</t>
  </si>
  <si>
    <t>B  MLS2</t>
  </si>
  <si>
    <t>B MLS3</t>
  </si>
  <si>
    <t>B2</t>
  </si>
  <si>
    <t>B2 MLS1</t>
  </si>
  <si>
    <t>B2 MLS2</t>
  </si>
  <si>
    <t>C</t>
  </si>
  <si>
    <t>C MLS</t>
  </si>
  <si>
    <t>101 MLS1</t>
  </si>
  <si>
    <t>101 MLS 2</t>
  </si>
  <si>
    <t>102 MLS1</t>
  </si>
  <si>
    <t>103 MLS</t>
  </si>
  <si>
    <t>Filter depths (m-bgl)</t>
  </si>
  <si>
    <t>Filter depths (m-NAP)</t>
  </si>
  <si>
    <t>50,5-52,5</t>
  </si>
  <si>
    <t>clay</t>
  </si>
  <si>
    <t>A 52</t>
  </si>
  <si>
    <t>Depth    (m-bgl)</t>
  </si>
  <si>
    <t>17-19</t>
  </si>
  <si>
    <t>64,5-65,5</t>
  </si>
  <si>
    <t>38,5-39</t>
  </si>
  <si>
    <t>21-21,5</t>
  </si>
  <si>
    <t>47-48</t>
  </si>
  <si>
    <t>BW157</t>
  </si>
  <si>
    <t>very fine sand</t>
  </si>
  <si>
    <t>A 65</t>
  </si>
  <si>
    <t>44-45</t>
  </si>
  <si>
    <t>40,5-41</t>
  </si>
  <si>
    <t>26-26,5</t>
  </si>
  <si>
    <t>BW211</t>
  </si>
  <si>
    <t>very course sand</t>
  </si>
  <si>
    <t>B 12</t>
  </si>
  <si>
    <t>54-55</t>
  </si>
  <si>
    <t>43-43,5</t>
  </si>
  <si>
    <t>B MLS1</t>
  </si>
  <si>
    <t>BW205</t>
  </si>
  <si>
    <t>moderately course sand</t>
  </si>
  <si>
    <t>B 15,5</t>
  </si>
  <si>
    <t>63-64</t>
  </si>
  <si>
    <t>45,5-46</t>
  </si>
  <si>
    <t>B MLS2</t>
  </si>
  <si>
    <t>DV1</t>
  </si>
  <si>
    <t>extremely course sand</t>
  </si>
  <si>
    <t>B 17</t>
  </si>
  <si>
    <t>DV2</t>
  </si>
  <si>
    <t>B 19</t>
  </si>
  <si>
    <t>DV4</t>
  </si>
  <si>
    <t>course sand</t>
  </si>
  <si>
    <t>B 20,5</t>
  </si>
  <si>
    <t>DV10</t>
  </si>
  <si>
    <t>B 28</t>
  </si>
  <si>
    <t>DV11</t>
  </si>
  <si>
    <t>B 31</t>
  </si>
  <si>
    <t>DV12</t>
  </si>
  <si>
    <t>B 45</t>
  </si>
  <si>
    <t>DV14</t>
  </si>
  <si>
    <t>B 64</t>
  </si>
  <si>
    <t>LT1</t>
  </si>
  <si>
    <t>extremely fine sand</t>
  </si>
  <si>
    <t>B2 7</t>
  </si>
  <si>
    <t>LT3</t>
  </si>
  <si>
    <t>B2 10,5</t>
  </si>
  <si>
    <t>LT4</t>
  </si>
  <si>
    <t>B2 14</t>
  </si>
  <si>
    <t>Pb1</t>
  </si>
  <si>
    <t xml:space="preserve">B2 15,5 </t>
  </si>
  <si>
    <t>102 MLS2</t>
  </si>
  <si>
    <t>B2 20</t>
  </si>
  <si>
    <t>B2 43</t>
  </si>
  <si>
    <t>moderately fine sand</t>
  </si>
  <si>
    <t>B2 65</t>
  </si>
  <si>
    <t>B20</t>
  </si>
  <si>
    <t>7-17</t>
  </si>
  <si>
    <t>C 15,5</t>
  </si>
  <si>
    <t>B21</t>
  </si>
  <si>
    <t>C 19</t>
  </si>
  <si>
    <t>B22</t>
  </si>
  <si>
    <t>23-33</t>
  </si>
  <si>
    <t>35-43</t>
  </si>
  <si>
    <t>C 26</t>
  </si>
  <si>
    <t>B10</t>
  </si>
  <si>
    <t>8-17</t>
  </si>
  <si>
    <t>C 39</t>
  </si>
  <si>
    <t>C 46</t>
  </si>
  <si>
    <t>PB1</t>
  </si>
  <si>
    <t>14-19</t>
  </si>
  <si>
    <t>park south</t>
  </si>
  <si>
    <t>60 70</t>
  </si>
  <si>
    <t xml:space="preserve"> </t>
  </si>
  <si>
    <t>68-72</t>
  </si>
  <si>
    <t>2nd aquifer clean downgradient</t>
  </si>
  <si>
    <t>BW205 44</t>
  </si>
  <si>
    <t>43-45</t>
  </si>
  <si>
    <t>Pb1 17</t>
  </si>
  <si>
    <t>22-26</t>
  </si>
  <si>
    <t>1st aquifer upgradient</t>
  </si>
  <si>
    <t>63-65</t>
  </si>
  <si>
    <t>2nd aquifer upgradient</t>
  </si>
  <si>
    <t>29-33</t>
  </si>
  <si>
    <t>first aquifer</t>
  </si>
  <si>
    <t>first aquifer downgradient</t>
  </si>
  <si>
    <t>coordinates</t>
  </si>
  <si>
    <t>X</t>
  </si>
  <si>
    <t>Y</t>
  </si>
  <si>
    <t>BP22</t>
  </si>
  <si>
    <t xml:space="preserve"> (ug/L)</t>
  </si>
  <si>
    <t xml:space="preserve"> (μg/L)</t>
  </si>
  <si>
    <t>Sample</t>
  </si>
  <si>
    <t>soil type</t>
  </si>
  <si>
    <t>Total concentration aromatics (μg/L)</t>
  </si>
  <si>
    <t>Total bacteria</t>
  </si>
  <si>
    <t>Metabolites</t>
  </si>
  <si>
    <t>Depth                   (m-bgl)</t>
  </si>
  <si>
    <t>Total tar aromatics</t>
  </si>
  <si>
    <t>Sulphate (ug/L)</t>
  </si>
  <si>
    <t>Sulphide</t>
  </si>
  <si>
    <t>Iron</t>
  </si>
  <si>
    <t>Total archaea</t>
  </si>
  <si>
    <t>Well / MLS</t>
  </si>
  <si>
    <t>Total concentration tar aromates (μg/L)</t>
  </si>
  <si>
    <t>Sulfide (ug/L)</t>
  </si>
  <si>
    <t>Iron (ug/L)</t>
  </si>
  <si>
    <t>Metabolites (ug/L)</t>
  </si>
  <si>
    <t>Green: full analysis performed (metabolites, dna etc)</t>
  </si>
  <si>
    <t>http://ocean.stanford.edu/courses/bomc/chem/lecture_11.pdf</t>
  </si>
  <si>
    <t>mg/L</t>
  </si>
  <si>
    <t>ppm</t>
  </si>
  <si>
    <t>ug/L</t>
  </si>
  <si>
    <t>indane, indene, naphthalene</t>
  </si>
  <si>
    <t>sample nr</t>
  </si>
  <si>
    <t>well type</t>
  </si>
  <si>
    <t>Depth</t>
  </si>
  <si>
    <t>EC</t>
  </si>
  <si>
    <t>Redox (mV)</t>
  </si>
  <si>
    <t>pE</t>
  </si>
  <si>
    <t>NPOC</t>
  </si>
  <si>
    <t>sulfate</t>
  </si>
  <si>
    <t>ammonium</t>
  </si>
  <si>
    <t>sulfide</t>
  </si>
  <si>
    <t>methane</t>
  </si>
  <si>
    <t>Fe II</t>
  </si>
  <si>
    <t>Mn</t>
  </si>
  <si>
    <t>Benzene</t>
  </si>
  <si>
    <t>Toluene</t>
  </si>
  <si>
    <t>Ethylbenzene</t>
  </si>
  <si>
    <t>P/M Xylene</t>
  </si>
  <si>
    <t>O Xylene</t>
  </si>
  <si>
    <t>Cumene</t>
  </si>
  <si>
    <t>Propylbenzene</t>
  </si>
  <si>
    <t>M-Ethyltoluene</t>
  </si>
  <si>
    <t>O-Ethyltoluene</t>
  </si>
  <si>
    <t>1,2,4-Trimethylbenzene</t>
  </si>
  <si>
    <t>1,2,3-Trimethylbenzene</t>
  </si>
  <si>
    <t>Indane</t>
  </si>
  <si>
    <t>Indene</t>
  </si>
  <si>
    <t>Naphthalene</t>
  </si>
  <si>
    <t>Total tar aromates</t>
  </si>
  <si>
    <t xml:space="preserve">BTEX </t>
  </si>
  <si>
    <t>PAH</t>
  </si>
  <si>
    <t>BTEX+PAH</t>
  </si>
  <si>
    <t>2019-031-001</t>
  </si>
  <si>
    <t>A-32mm-52,5</t>
  </si>
  <si>
    <t>dsn 32 mm</t>
  </si>
  <si>
    <t>2019-031-002</t>
  </si>
  <si>
    <t>A-32mm-65,5</t>
  </si>
  <si>
    <t>2019-031-007</t>
  </si>
  <si>
    <t>B-MLS1-1-8,5</t>
  </si>
  <si>
    <t>MLS-1</t>
  </si>
  <si>
    <t>2019-031-008</t>
  </si>
  <si>
    <t>2019-031-009</t>
  </si>
  <si>
    <t>B-MLS1-3-12</t>
  </si>
  <si>
    <t>2019-031-010</t>
  </si>
  <si>
    <t>B-MLS1-4-13,5</t>
  </si>
  <si>
    <t>2019-031-011</t>
  </si>
  <si>
    <t>B-MLS-1-5-15,5</t>
  </si>
  <si>
    <t>2019-031-012</t>
  </si>
  <si>
    <t>B-MLS1-6-17</t>
  </si>
  <si>
    <t>2019-031-013</t>
  </si>
  <si>
    <t>B-MLS1-7-19</t>
  </si>
  <si>
    <t>2019-031-003</t>
  </si>
  <si>
    <t>B-32mm-17-19</t>
  </si>
  <si>
    <t>2019-031-014</t>
  </si>
  <si>
    <t>B-MLS2-1-20,5</t>
  </si>
  <si>
    <t>MLS-2</t>
  </si>
  <si>
    <t>2019-031-015</t>
  </si>
  <si>
    <t>B-MLS2-2-22,5</t>
  </si>
  <si>
    <t>2019-031-016</t>
  </si>
  <si>
    <t>B-MLS2-3-24</t>
  </si>
  <si>
    <t>2019-031-017</t>
  </si>
  <si>
    <t>B-MLS2-4-26</t>
  </si>
  <si>
    <t>2019-031-018</t>
  </si>
  <si>
    <t>B-MLS2-5-28</t>
  </si>
  <si>
    <t>2019-031-019</t>
  </si>
  <si>
    <t>B-MLS-2-6-29,5</t>
  </si>
  <si>
    <t>2019-031-020</t>
  </si>
  <si>
    <t>B-MLS2-7-31</t>
  </si>
  <si>
    <t>2019-031-004</t>
  </si>
  <si>
    <t>B-32mm44-45</t>
  </si>
  <si>
    <t>2019-031-021</t>
  </si>
  <si>
    <t>B-MLS3-1-49,5</t>
  </si>
  <si>
    <t>MLS-3</t>
  </si>
  <si>
    <t>2019-031-022</t>
  </si>
  <si>
    <t>B-MLS3-2-51</t>
  </si>
  <si>
    <t>2019-031-023</t>
  </si>
  <si>
    <t>B-MLS3-3-53</t>
  </si>
  <si>
    <t>2019-031-024</t>
  </si>
  <si>
    <t>B-MLS3-4-54,5</t>
  </si>
  <si>
    <t>2019-031-005</t>
  </si>
  <si>
    <t>B-32mm-54-55</t>
  </si>
  <si>
    <t>2019-031-025</t>
  </si>
  <si>
    <t>B-MLS-3-5-56,5</t>
  </si>
  <si>
    <t>2019-031-026</t>
  </si>
  <si>
    <t>B-MLS-3-6-58</t>
  </si>
  <si>
    <t>2019-031-027</t>
  </si>
  <si>
    <t>B-MLS3-7-59,5</t>
  </si>
  <si>
    <t>2019-031-006</t>
  </si>
  <si>
    <t>B-32mm-63-64</t>
  </si>
  <si>
    <t>2019-031-029</t>
  </si>
  <si>
    <t>B2-MLS1-1-7</t>
  </si>
  <si>
    <t>2019-031-030</t>
  </si>
  <si>
    <t>B2-MLS1-2-8,5</t>
  </si>
  <si>
    <t>2019-031-031</t>
  </si>
  <si>
    <t>B2-MLS1-3-10,5</t>
  </si>
  <si>
    <t>2019-031-032</t>
  </si>
  <si>
    <t>B2-MLS1-4-12</t>
  </si>
  <si>
    <t>2019-031-033</t>
  </si>
  <si>
    <t>B2-MLS1-5-14</t>
  </si>
  <si>
    <t>2019-031-034</t>
  </si>
  <si>
    <t>B2-MLS1-6-15,5</t>
  </si>
  <si>
    <t>2019-031-035</t>
  </si>
  <si>
    <t>B2-MLS1-7-17</t>
  </si>
  <si>
    <t>2019-031-036</t>
  </si>
  <si>
    <t>B2-MLS2-1-20</t>
  </si>
  <si>
    <t>2019-031-037</t>
  </si>
  <si>
    <t>B2-MLS2-2-23,5</t>
  </si>
  <si>
    <t>2019-031-038</t>
  </si>
  <si>
    <t>B2-MLS2-3-26</t>
  </si>
  <si>
    <t>2019-031-039</t>
  </si>
  <si>
    <t>B2-MLS2-4-43</t>
  </si>
  <si>
    <t>2019-031-040</t>
  </si>
  <si>
    <t>B2-MLS2-5-50</t>
  </si>
  <si>
    <t>2019-031-041</t>
  </si>
  <si>
    <t>B2-MLS2-6-55,5</t>
  </si>
  <si>
    <t>2019-031-042</t>
  </si>
  <si>
    <t>B2-MLS2-7-60</t>
  </si>
  <si>
    <t>2019-031-028</t>
  </si>
  <si>
    <t>B2-32mm-64,5-65,5</t>
  </si>
  <si>
    <t>dsn 40 mm</t>
  </si>
  <si>
    <t>2019-031-048</t>
  </si>
  <si>
    <t>C-MLS1-1-15,5</t>
  </si>
  <si>
    <t>2019-031-049</t>
  </si>
  <si>
    <t>C-MLS1-2-17</t>
  </si>
  <si>
    <t>2019-031-050</t>
  </si>
  <si>
    <t>C-MLS1-3-19</t>
  </si>
  <si>
    <t>2019-031-051</t>
  </si>
  <si>
    <t>C-MLS1-4-20,5</t>
  </si>
  <si>
    <t>2019-031-052</t>
  </si>
  <si>
    <t>C-MLS1-5-22,5</t>
  </si>
  <si>
    <t>2019-031-054</t>
  </si>
  <si>
    <t>C-MLS1-7-26</t>
  </si>
  <si>
    <t>2019-031-044</t>
  </si>
  <si>
    <t>C-32mm-38,5-39</t>
  </si>
  <si>
    <t>2019-031-045</t>
  </si>
  <si>
    <t>C-32mm-40,5-41</t>
  </si>
  <si>
    <t>2019-031-046</t>
  </si>
  <si>
    <t>C-32mm-43-43,5</t>
  </si>
  <si>
    <t>2019-031-047</t>
  </si>
  <si>
    <t>C-32mm-45,5-46</t>
  </si>
  <si>
    <t>2019-031-056</t>
  </si>
  <si>
    <t>22,0-26,0</t>
  </si>
  <si>
    <t>7.07</t>
  </si>
  <si>
    <t>2019-031-057</t>
  </si>
  <si>
    <t>63,-65,0</t>
  </si>
  <si>
    <t>7.16</t>
  </si>
  <si>
    <t>2019-031-058</t>
  </si>
  <si>
    <t xml:space="preserve">B22 </t>
  </si>
  <si>
    <t>44,0-45,0</t>
  </si>
  <si>
    <t>2019-031-059</t>
  </si>
  <si>
    <t>14,0-19,0</t>
  </si>
  <si>
    <t>7.25</t>
  </si>
  <si>
    <t>2019-031-060</t>
  </si>
  <si>
    <t>7.34</t>
  </si>
  <si>
    <t>2019-031-061</t>
  </si>
  <si>
    <t>21,0-25,0</t>
  </si>
  <si>
    <t>7.19</t>
  </si>
  <si>
    <t>2019-031-062</t>
  </si>
  <si>
    <t>68,0-72,0</t>
  </si>
  <si>
    <t>7.31</t>
  </si>
  <si>
    <t>2019-031-063</t>
  </si>
  <si>
    <t>43,0-45,0</t>
  </si>
  <si>
    <t>7.29</t>
  </si>
  <si>
    <t>&lt; MDL (0.34)</t>
  </si>
  <si>
    <t>Labcode</t>
  </si>
  <si>
    <t>Well type</t>
  </si>
  <si>
    <t>MLS nr.</t>
  </si>
  <si>
    <t>p/m-Xylene</t>
  </si>
  <si>
    <t>o- Xylene</t>
  </si>
  <si>
    <t>n-Propylbenzene</t>
  </si>
  <si>
    <t>m-Ethyltoluene</t>
  </si>
  <si>
    <t>o-Ethyltoluene</t>
  </si>
  <si>
    <t>Total aromatics</t>
  </si>
  <si>
    <t>ug/l</t>
  </si>
  <si>
    <t>Tar extract from drilling B2</t>
  </si>
  <si>
    <t>1.42 g tar sand in 1 L H2O</t>
  </si>
  <si>
    <t>Tar extract from drilling C</t>
  </si>
  <si>
    <t>2.09 g tar sand in 1 L H2O</t>
  </si>
  <si>
    <t>47,8-48,3</t>
  </si>
  <si>
    <t>sample selection</t>
  </si>
  <si>
    <t>including MLS samples</t>
  </si>
  <si>
    <t>ug/L of compound measured in samples</t>
  </si>
  <si>
    <t>fraction of each compound measured in sample all compounds</t>
  </si>
  <si>
    <t>aromatic compound fractions along declining total aromatic concentration</t>
  </si>
  <si>
    <t>FULL DATASET</t>
  </si>
  <si>
    <t>FRACTIONS</t>
  </si>
  <si>
    <t>FRACTIONS according to decreasing tar</t>
  </si>
  <si>
    <t>total aromatics (ug/L)</t>
  </si>
  <si>
    <t>BTEXIIN (ug/L)</t>
  </si>
  <si>
    <t>total aromatics</t>
  </si>
  <si>
    <t>o-Xylene</t>
  </si>
  <si>
    <t>total BTEXIeIaN</t>
  </si>
  <si>
    <t>B 15.5</t>
  </si>
  <si>
    <t>C 15.5</t>
  </si>
  <si>
    <t>B2 15,5</t>
  </si>
  <si>
    <t>B 20.5</t>
  </si>
  <si>
    <t>B2 15.5</t>
  </si>
  <si>
    <t>B2 10.5</t>
  </si>
  <si>
    <t>average</t>
  </si>
  <si>
    <t>sulphate (mg/L)</t>
  </si>
  <si>
    <t>total aromatics (mg/L)</t>
  </si>
  <si>
    <t>B-55</t>
  </si>
  <si>
    <t>56-56.5</t>
  </si>
  <si>
    <t>B-61</t>
  </si>
  <si>
    <t>63.8-64</t>
  </si>
  <si>
    <t>C-06</t>
  </si>
  <si>
    <t>9.9-10</t>
  </si>
  <si>
    <t>C-09</t>
  </si>
  <si>
    <t>11.2-11.3</t>
  </si>
  <si>
    <t>C-10</t>
  </si>
  <si>
    <t>11.5-12.5</t>
  </si>
  <si>
    <t>C-20</t>
  </si>
  <si>
    <t>22.5-23.5</t>
  </si>
  <si>
    <t>C-22</t>
  </si>
  <si>
    <t>24.5-24.6</t>
  </si>
  <si>
    <t>C-24</t>
  </si>
  <si>
    <t>26.7-26.9</t>
  </si>
  <si>
    <t>C-35</t>
  </si>
  <si>
    <t>32.3-32.5</t>
  </si>
  <si>
    <t>well</t>
  </si>
  <si>
    <t>depth</t>
  </si>
  <si>
    <t>Fe3+ in soil mg/kg</t>
  </si>
  <si>
    <t>B-08</t>
  </si>
  <si>
    <t xml:space="preserve">B-14 </t>
  </si>
  <si>
    <t>B-30</t>
  </si>
  <si>
    <t>B-31</t>
  </si>
  <si>
    <t>B-38</t>
  </si>
  <si>
    <t>Green: full analysis performed</t>
  </si>
  <si>
    <t>ppm (mg/L)</t>
  </si>
  <si>
    <t>Peilbuis / bron</t>
  </si>
  <si>
    <t>PB 1</t>
  </si>
  <si>
    <t>DV-4</t>
  </si>
  <si>
    <t>Ca2+ppm</t>
  </si>
  <si>
    <t>sulphate</t>
  </si>
  <si>
    <t>Fe(II)</t>
  </si>
  <si>
    <t>Mn(II)</t>
  </si>
  <si>
    <t>Diepte (m-mv)</t>
  </si>
  <si>
    <t>Veldmetingen</t>
  </si>
  <si>
    <t>Geleidbaarheid (µS/cm)</t>
  </si>
  <si>
    <t>B-MLS1-1-10,5</t>
  </si>
  <si>
    <t>Temperatuur (°C)</t>
  </si>
  <si>
    <t>Redox-potentiaal (mV)</t>
  </si>
  <si>
    <t>Zuurstof (mg/L)</t>
  </si>
  <si>
    <t>Methaan (mg/L)</t>
  </si>
  <si>
    <t>Organisch koolstof (mg/L)</t>
  </si>
  <si>
    <t>Anionen (LC-MS)</t>
  </si>
  <si>
    <t>Fluoride (mg/l)</t>
  </si>
  <si>
    <t>Chloride (mg/l)</t>
  </si>
  <si>
    <t>Bromide (mg/l)</t>
  </si>
  <si>
    <t>Nitriet (mg/l)</t>
  </si>
  <si>
    <t>&lt;0,01</t>
  </si>
  <si>
    <t>Nitraat (mg/l)</t>
  </si>
  <si>
    <t>&lt; 0,4</t>
  </si>
  <si>
    <t>&lt;0,4</t>
  </si>
  <si>
    <t>Sulfaat (mg/l)</t>
  </si>
  <si>
    <t>&lt;0,5</t>
  </si>
  <si>
    <t>Fosfaat (mg/l)</t>
  </si>
  <si>
    <t>&lt;1,0</t>
  </si>
  <si>
    <t>Kationen (LC-MS)</t>
  </si>
  <si>
    <t>Lithium (mg/L)</t>
  </si>
  <si>
    <t>Natrium (mg/L)</t>
  </si>
  <si>
    <t>Ammonium (mg/l)</t>
  </si>
  <si>
    <t>Kalium (mg/L)</t>
  </si>
  <si>
    <t>Magnesium (mg/L)</t>
  </si>
  <si>
    <t>Calcium (mg/L)</t>
  </si>
  <si>
    <t>Elementen (ICP-OES)</t>
  </si>
  <si>
    <t>Aluminium  (mg/L)</t>
  </si>
  <si>
    <t>&lt;0,2</t>
  </si>
  <si>
    <t>&lt;0,3</t>
  </si>
  <si>
    <t>&lt;0,9</t>
  </si>
  <si>
    <t>&lt;0,7</t>
  </si>
  <si>
    <t>&lt;0,6</t>
  </si>
  <si>
    <t>&lt;0,8</t>
  </si>
  <si>
    <t>Boor  (mg/L)</t>
  </si>
  <si>
    <t>Barium (mg/L)</t>
  </si>
  <si>
    <t>Beryllium (mg/L)</t>
  </si>
  <si>
    <t>&lt;0,002</t>
  </si>
  <si>
    <t>&lt;0,003</t>
  </si>
  <si>
    <t>&lt;0,004</t>
  </si>
  <si>
    <t>&lt;0,009</t>
  </si>
  <si>
    <t>&lt;0,007</t>
  </si>
  <si>
    <t>&lt;0,005</t>
  </si>
  <si>
    <t>&lt;0,006</t>
  </si>
  <si>
    <t>&lt;0,008</t>
  </si>
  <si>
    <t>Cadmium (mg/L)</t>
  </si>
  <si>
    <t>Chloride  (mg/L)</t>
  </si>
  <si>
    <t>Cobalt (mg/L)</t>
  </si>
  <si>
    <t>Chroom (mg/L)</t>
  </si>
  <si>
    <t>&lt;0,012</t>
  </si>
  <si>
    <t>&lt;0,010</t>
  </si>
  <si>
    <t>&lt;0,011</t>
  </si>
  <si>
    <t>Koper (mg/L)</t>
  </si>
  <si>
    <t>&lt;0,02</t>
  </si>
  <si>
    <t>&lt;0,03</t>
  </si>
  <si>
    <t>&lt;0,08</t>
  </si>
  <si>
    <t>&lt;0,06</t>
  </si>
  <si>
    <t>&lt;0,04</t>
  </si>
  <si>
    <t>&lt;0,05</t>
  </si>
  <si>
    <t>&lt;0,07</t>
  </si>
  <si>
    <t>IJzer (mg/L)</t>
  </si>
  <si>
    <t>Mangaan (mg/L)</t>
  </si>
  <si>
    <t>Molybdeen (mg/L)</t>
  </si>
  <si>
    <t>Nikkel (mg/L)</t>
  </si>
  <si>
    <t>Fosfor (mg/L)</t>
  </si>
  <si>
    <t>Lood (mg/L)</t>
  </si>
  <si>
    <t>Zwavel (mg/L)</t>
  </si>
  <si>
    <t>Antimoon (mg/L)</t>
  </si>
  <si>
    <t>Scandium (mg/L)</t>
  </si>
  <si>
    <t>&lt;0,001</t>
  </si>
  <si>
    <t>Silicium (mg/L)</t>
  </si>
  <si>
    <t>Strontium (mg/L)</t>
  </si>
  <si>
    <t>Titanium (mg/L)</t>
  </si>
  <si>
    <t>&lt;0,09</t>
  </si>
  <si>
    <t>Vanadium (mg/L)</t>
  </si>
  <si>
    <t>Yttrium (mg/L)</t>
  </si>
  <si>
    <t>1st up-gradient</t>
  </si>
  <si>
    <t>Zink (mg/L)</t>
  </si>
  <si>
    <t>2nd up-gradient</t>
  </si>
  <si>
    <t>Zirkonium (mg/L)</t>
  </si>
  <si>
    <t>average:</t>
  </si>
  <si>
    <t>stoichiometric analysis to compare importance iron vs sulphate reduction</t>
  </si>
  <si>
    <t>iron/sulphide in case of % S precipitated</t>
  </si>
  <si>
    <t>tar&gt;5mg/L</t>
  </si>
  <si>
    <t>tar&gt;1mg/L</t>
  </si>
  <si>
    <t>tar&lt;1mg/L</t>
  </si>
  <si>
    <t>tar&gt;3mg/L</t>
  </si>
  <si>
    <t>Sulphide mg/L</t>
  </si>
  <si>
    <t>Fe(II) ppm</t>
  </si>
  <si>
    <t>Sulphide moles</t>
  </si>
  <si>
    <t>Fe(II) moles</t>
  </si>
  <si>
    <t>% of sulphide precipitated</t>
  </si>
  <si>
    <t>tar&gt;8mg/L</t>
  </si>
  <si>
    <t>all</t>
  </si>
  <si>
    <t>iron/manganese (mg/L)</t>
  </si>
  <si>
    <t>iron/manganese (mol/L)</t>
  </si>
  <si>
    <t>iron/sulphide</t>
  </si>
  <si>
    <t>iron(II)</t>
  </si>
  <si>
    <t>moles of S created</t>
  </si>
  <si>
    <t>moles of Fe created</t>
  </si>
  <si>
    <t>ratio</t>
  </si>
  <si>
    <t>% of S precipitated</t>
  </si>
  <si>
    <t>Fmeasured = Fcreated - Sprecipitated</t>
  </si>
  <si>
    <t>Smeasured = Screated - Sprecipitated</t>
  </si>
  <si>
    <t>Sprecipitated = Screated*%</t>
  </si>
  <si>
    <r>
      <rPr>
        <b/>
        <sz val="11"/>
        <color theme="1"/>
        <rFont val="Calibri"/>
        <family val="2"/>
        <scheme val="minor"/>
      </rPr>
      <t>true ratio</t>
    </r>
    <r>
      <rPr>
        <sz val="11"/>
        <color theme="1"/>
        <rFont val="Calibri"/>
        <family val="2"/>
        <scheme val="minor"/>
      </rPr>
      <t xml:space="preserve"> = Fcreated/Screated = ( Fmeasured + ( % / (1  -%) ) * Smeasured ) / ( Smeasured / (1 - %) )</t>
    </r>
  </si>
  <si>
    <t>where % is 0,2 (for 20%)</t>
  </si>
  <si>
    <t>Iron3+</t>
  </si>
  <si>
    <t>Manganese</t>
  </si>
  <si>
    <t>m-bgl</t>
  </si>
  <si>
    <t>mg/kgds</t>
  </si>
  <si>
    <t xml:space="preserve">A-34 </t>
  </si>
  <si>
    <t>49-50</t>
  </si>
  <si>
    <t>A-35</t>
  </si>
  <si>
    <t>52.5-53.5</t>
  </si>
  <si>
    <t>A-54</t>
  </si>
  <si>
    <t>61.3-61.8</t>
  </si>
  <si>
    <t>13-14</t>
  </si>
  <si>
    <t>26.4-26.5</t>
  </si>
  <si>
    <t>38.5-39.5</t>
  </si>
  <si>
    <t>39.5-40.5</t>
  </si>
  <si>
    <t>46-46.5</t>
  </si>
  <si>
    <t>averageB</t>
  </si>
  <si>
    <t>averageC</t>
  </si>
  <si>
    <t>ppm mg/L</t>
  </si>
  <si>
    <t>Redox</t>
  </si>
  <si>
    <t>Sulphate</t>
  </si>
  <si>
    <t>sulphide</t>
  </si>
  <si>
    <t>iron + sulphide + methane (mg/L)</t>
  </si>
  <si>
    <t>Sulphate (mg/L)</t>
  </si>
  <si>
    <t>Sulphide (mg/L)</t>
  </si>
  <si>
    <t>Methane (ug/L)</t>
  </si>
  <si>
    <t>Iron II (mg/L)</t>
  </si>
  <si>
    <t>Manganese (mg/L)</t>
  </si>
  <si>
    <t>wellB</t>
  </si>
  <si>
    <t>well B2</t>
  </si>
  <si>
    <t>Well C</t>
  </si>
  <si>
    <t>Parent compound</t>
  </si>
  <si>
    <t>Sample count</t>
  </si>
  <si>
    <t>Parent</t>
  </si>
  <si>
    <t>Analyte</t>
  </si>
  <si>
    <t>Confidence level</t>
  </si>
  <si>
    <t>Source</t>
  </si>
  <si>
    <r>
      <t>m/z (M-H</t>
    </r>
    <r>
      <rPr>
        <b/>
        <vertAlign val="superscript"/>
        <sz val="11"/>
        <color indexed="8"/>
        <rFont val="Calibri"/>
        <family val="2"/>
        <scheme val="minor"/>
      </rPr>
      <t>+</t>
    </r>
    <r>
      <rPr>
        <b/>
        <sz val="11"/>
        <color indexed="8"/>
        <rFont val="Calibri"/>
        <family val="2"/>
        <scheme val="minor"/>
      </rPr>
      <t>)</t>
    </r>
  </si>
  <si>
    <t>formula</t>
  </si>
  <si>
    <t>Fragments</t>
  </si>
  <si>
    <t>2,4-dimethylphenol</t>
  </si>
  <si>
    <t>2,4-dimethylenoic acid (2,4-dimethylcyclohexanecarboxylic acid)</t>
  </si>
  <si>
    <t>Fluorene, phenanthrene, benzene, creosote</t>
  </si>
  <si>
    <t>Phenol</t>
  </si>
  <si>
    <t>Tsai et al. 2009; Callaghan 2013</t>
  </si>
  <si>
    <t>C6H6O</t>
  </si>
  <si>
    <t>3-hydroxybenzylalcohol, (hydroxy)naphthoic acid, p-cresol</t>
  </si>
  <si>
    <t>3-hydroxybenzaldehyde</t>
  </si>
  <si>
    <t>(Tracer)</t>
  </si>
  <si>
    <t>Fluoresceine</t>
  </si>
  <si>
    <t>C20H12O5</t>
  </si>
  <si>
    <t>Acenaphthene</t>
  </si>
  <si>
    <t>Acenaphthene-1,2-diol rt 16.95</t>
  </si>
  <si>
    <t>Substrate, potential toluene metabolite</t>
  </si>
  <si>
    <t>Phenylsuccinic acid - 3 isomers</t>
  </si>
  <si>
    <t>Leutwein et al. 2001</t>
  </si>
  <si>
    <t>C10H10O4</t>
  </si>
  <si>
    <t>Acenaphthene-1,2-diol rt 17.45</t>
  </si>
  <si>
    <t>n-octylbenzene</t>
  </si>
  <si>
    <t>Phenylbutyrate</t>
  </si>
  <si>
    <t>Komukai-Nakamura et al. 1996</t>
  </si>
  <si>
    <t>C10H12O2</t>
  </si>
  <si>
    <t>Acenaphthene-1,2-diol rt 17.76</t>
  </si>
  <si>
    <t>Indole; amino acid synthase</t>
  </si>
  <si>
    <t>Tryptophan - 2 isomers</t>
  </si>
  <si>
    <t>C11H12N2O2</t>
  </si>
  <si>
    <t>-</t>
  </si>
  <si>
    <t>Acenaphthene-1,2-diol rt 17.99</t>
  </si>
  <si>
    <t>?</t>
  </si>
  <si>
    <t>Valeric acid</t>
  </si>
  <si>
    <t>C5H10O2</t>
  </si>
  <si>
    <t>Acenaphthene-5-carboxylic acid - 6 isomers</t>
  </si>
  <si>
    <t>e.g. Phenol</t>
  </si>
  <si>
    <t>Adipic acid</t>
  </si>
  <si>
    <t>Bakker 1976</t>
  </si>
  <si>
    <t>C6H10O4</t>
  </si>
  <si>
    <t>[101.0608; 83.0502]</t>
  </si>
  <si>
    <t>Acenaphthyl methylsuccinate - 2 isomers</t>
  </si>
  <si>
    <t>Cofactor phenanthrene metabolism</t>
  </si>
  <si>
    <t>Nicotinic acid</t>
  </si>
  <si>
    <t>Young Soo Keum 2008</t>
  </si>
  <si>
    <t>C6H5NO2</t>
  </si>
  <si>
    <t>Acenapthene-carboxylic acid - isomer 1</t>
  </si>
  <si>
    <t>2-isopropylmalic acid - 2 isomers</t>
  </si>
  <si>
    <t>C7H12O5</t>
  </si>
  <si>
    <t>Acenaphtylene</t>
  </si>
  <si>
    <t>Acenaphthylenoic acid - 4 isomers</t>
  </si>
  <si>
    <t>Amino acid synthase</t>
  </si>
  <si>
    <t>Quinolinic acid - 2 isomers</t>
  </si>
  <si>
    <t>C7H5NO4</t>
  </si>
  <si>
    <t>78.0349/122.0248</t>
  </si>
  <si>
    <t>Acridine</t>
  </si>
  <si>
    <t>9(10H)-Acridanone</t>
  </si>
  <si>
    <t>Acetylphenol</t>
  </si>
  <si>
    <t>C8H8O2</t>
  </si>
  <si>
    <t>Alkanoate</t>
  </si>
  <si>
    <t>3-nonenoate</t>
  </si>
  <si>
    <t>Byproduct toluene+cyanogen chloride reaction</t>
  </si>
  <si>
    <t>Homophthalonitrile</t>
  </si>
  <si>
    <t>Grimm 1975</t>
  </si>
  <si>
    <t>C9H6N2</t>
  </si>
  <si>
    <t>Nonanoate or nonanoic acid - 2 isomers</t>
  </si>
  <si>
    <t>4-Hydroxyphenylpyruvate - 2 isomers</t>
  </si>
  <si>
    <t>C9H8O4</t>
  </si>
  <si>
    <t>Amino Acid Synthesis</t>
  </si>
  <si>
    <t>Algemene</t>
  </si>
  <si>
    <t>Hippurate - 7 isomers</t>
  </si>
  <si>
    <t>C9H9NO3</t>
  </si>
  <si>
    <t>Aniline</t>
  </si>
  <si>
    <t>4-aminobenzoic acid</t>
  </si>
  <si>
    <t>Acenaphtene</t>
  </si>
  <si>
    <t>Callaghan 2013, Morasch 2011</t>
  </si>
  <si>
    <t>C17H16O4</t>
  </si>
  <si>
    <t>239.1078[; 265.0870; 210.0686]</t>
  </si>
  <si>
    <t>Anthracene</t>
  </si>
  <si>
    <t>Anthracene-2-carboxylic acid</t>
  </si>
  <si>
    <t>Acenaphthenoic acid - 6 isomers</t>
  </si>
  <si>
    <t>Callaghan 2013</t>
  </si>
  <si>
    <t>C13H10O2</t>
  </si>
  <si>
    <t>C13H8O2</t>
  </si>
  <si>
    <t>Anthraquinone, Anthracene</t>
  </si>
  <si>
    <t>1-anthraquinonecarboxylic acid</t>
  </si>
  <si>
    <t>Addition</t>
  </si>
  <si>
    <t>Fumaric acid - 2 isomers</t>
  </si>
  <si>
    <t>C4H4O4</t>
  </si>
  <si>
    <t>Benzofuran</t>
  </si>
  <si>
    <t>2-[(Benzofuran-2-yl)methyl]succinic acid</t>
  </si>
  <si>
    <t>Alkanes</t>
  </si>
  <si>
    <t>2-(1-methyldodecyl)succinate or 2-(2-methyltridecyl)malonate - 2 isomers</t>
  </si>
  <si>
    <t>Bian et al. 2015</t>
  </si>
  <si>
    <t>C16H30O4</t>
  </si>
  <si>
    <t>Benzofuran-2-carboxylic acid rt 13.05</t>
  </si>
  <si>
    <t>2-(1-methyltetradecyl)succinate or 2-(2-methylpentadecyl)malonate - 2 isomers</t>
  </si>
  <si>
    <t>C18H34O4</t>
  </si>
  <si>
    <t>Benzofuran-2-carboxylic acid rt 13.28</t>
  </si>
  <si>
    <t>2-(1-methylhexadecyl)succinate or 2-(2-methylheptadecyl)malonate</t>
  </si>
  <si>
    <t>C20H38O4</t>
  </si>
  <si>
    <t>Benzothiophene</t>
  </si>
  <si>
    <t>Benzo[b]thiophene-2-carboxylic acid - 2 isomers</t>
  </si>
  <si>
    <t>Laurate</t>
  </si>
  <si>
    <t>C12H24O2</t>
  </si>
  <si>
    <t>[181.1598]</t>
  </si>
  <si>
    <t>Benzothiophene-carboxylic acid - isomer 1</t>
  </si>
  <si>
    <t>Myristate</t>
  </si>
  <si>
    <t>C14H28O2</t>
  </si>
  <si>
    <t>methylbenzo(b)thiophene - 4 isomers?</t>
  </si>
  <si>
    <t>Butyrate</t>
  </si>
  <si>
    <t>C4H8O2</t>
  </si>
  <si>
    <t>Carbazole</t>
  </si>
  <si>
    <t>9-methylcarbazole</t>
  </si>
  <si>
    <t>2-methyl 2-hydroxy-propanal (isomer of butyrate)</t>
  </si>
  <si>
    <t>Carbazole-3-carboxylic acid</t>
  </si>
  <si>
    <t>Hydroxycaproate</t>
  </si>
  <si>
    <t>C6H11O3</t>
  </si>
  <si>
    <t>75.0088[; 72.9931]</t>
  </si>
  <si>
    <t>Creosote</t>
  </si>
  <si>
    <t>Thiophene</t>
  </si>
  <si>
    <t>Octanoate - 3 isomers</t>
  </si>
  <si>
    <t>C8H16O2</t>
  </si>
  <si>
    <t>Dibenzofuran</t>
  </si>
  <si>
    <t>2,2',3-trihydroxybiphenyl</t>
  </si>
  <si>
    <t>C9H16O2</t>
  </si>
  <si>
    <t>Nonanoate - 2 isomers</t>
  </si>
  <si>
    <t>C9H18O2</t>
  </si>
  <si>
    <t>Coumaric acid - isomer 1</t>
  </si>
  <si>
    <t>Schnell and Schink 1990</t>
  </si>
  <si>
    <t>C7H7NO2</t>
  </si>
  <si>
    <t>[92.0506]</t>
  </si>
  <si>
    <t>Coumaric acid - isomer 2</t>
  </si>
  <si>
    <t>Benzoylacetic acid</t>
  </si>
  <si>
    <t>C9H8O3</t>
  </si>
  <si>
    <t>P-coumaric acid - 6 isomers</t>
  </si>
  <si>
    <t>Benzoylacetic acid, P-coumaric acid or Hydroxycinnamate - 6 isomers</t>
  </si>
  <si>
    <t>119.0502[; 77.0397]</t>
  </si>
  <si>
    <t>Ethylbenzene/Phenylethanol</t>
  </si>
  <si>
    <t>Acetophenone</t>
  </si>
  <si>
    <t>Fluorene</t>
  </si>
  <si>
    <t>Fluorene-9-carboxylic acid - 9 isomers</t>
  </si>
  <si>
    <t>Voortschrijdend inzicht</t>
  </si>
  <si>
    <t>C14H10O2</t>
  </si>
  <si>
    <t>Fluoranthene</t>
  </si>
  <si>
    <t>9-hydroxy-1-fluorene-carboxylic acid</t>
  </si>
  <si>
    <t>2-methylindene - 3 isomers</t>
  </si>
  <si>
    <t>van Leeuwen (2022)</t>
  </si>
  <si>
    <t>C10H10</t>
  </si>
  <si>
    <t>Fluoranthene, Pyrene</t>
  </si>
  <si>
    <t>Fluoranthenic acid/Pyrenic acid</t>
  </si>
  <si>
    <t>Dihydro-2-indenoic acid - 7 isomers</t>
  </si>
  <si>
    <t>C10H10O2</t>
  </si>
  <si>
    <t>9-methylfluorene-9-carboxylic acid</t>
  </si>
  <si>
    <t>Hexahydro-2-indenoic acid - 2 isomers</t>
  </si>
  <si>
    <t>C10H14O2</t>
  </si>
  <si>
    <t>Dicyclononane-2-carboxylate (octahydro-2-indenoic acid)</t>
  </si>
  <si>
    <t>C10H16O2</t>
  </si>
  <si>
    <t>Fluorene, indane</t>
  </si>
  <si>
    <t>1-formyl- 2-indanone</t>
  </si>
  <si>
    <t>1H-indene-2-carboxylic acid</t>
  </si>
  <si>
    <t>C10H8O2</t>
  </si>
  <si>
    <t>1-indanone-2-carboxylic acid</t>
  </si>
  <si>
    <t>1H-indene-3-carboxylic acid</t>
  </si>
  <si>
    <t>2-indanone-1-carboxylic acid</t>
  </si>
  <si>
    <t>1H-indene-3-carboxylic acid -2 isomers</t>
  </si>
  <si>
    <t>Indyl methyl succinic acid - 2 isomers</t>
  </si>
  <si>
    <t>C14H14O4</t>
  </si>
  <si>
    <t>General</t>
  </si>
  <si>
    <t>Indenediol - isomer 1</t>
  </si>
  <si>
    <t>C9H8O2</t>
  </si>
  <si>
    <t>2-indanecarboxylic acid</t>
  </si>
  <si>
    <t>Indene, naphthalene</t>
  </si>
  <si>
    <t>Carboxylated methyl indene or Dihydro-naphthoic acid - 10 isomers</t>
  </si>
  <si>
    <t>Zhang et al. 2000; van Leeuwen (2022)</t>
  </si>
  <si>
    <t>C11H10O2</t>
  </si>
  <si>
    <t>Cis-1,2-indanediol</t>
  </si>
  <si>
    <t>Dihydromethyl indenoic acid, Tetrahydro-naphthoic acid or 2,3-dihydro-1H-indene-acetic acid - 14 isomers</t>
  </si>
  <si>
    <t>C11H12O2</t>
  </si>
  <si>
    <t>Methylindane</t>
  </si>
  <si>
    <t>Tetrahydromethyl indenoic acid or Hexahydro-naphthoic acid - 23 isomers</t>
  </si>
  <si>
    <t>C11H14O2</t>
  </si>
  <si>
    <t>Indane, methylindane</t>
  </si>
  <si>
    <t>Dimethylindane</t>
  </si>
  <si>
    <t>Octahydro-2-naphthoic acid or Hexahydromethyl indenoic acid</t>
  </si>
  <si>
    <t>C11H16O2</t>
  </si>
  <si>
    <t>2-carboxycyclohexylacetic acid</t>
  </si>
  <si>
    <t>C9H14O4</t>
  </si>
  <si>
    <t>Indene, styrene</t>
  </si>
  <si>
    <t>Indenediol or styrene carboxylic acid - 7 isomers</t>
  </si>
  <si>
    <t>Indene, trimethylbenzene</t>
  </si>
  <si>
    <t>Tetrahydro-2-indenoic acid, Phenylbutyrate or Trimethylbenzoic acid - 13 isomers</t>
  </si>
  <si>
    <t>m-xylene/styrene; amino acid synthesis</t>
  </si>
  <si>
    <t>Methyl benzoic acid or Acetylphenol - 4 isomers</t>
  </si>
  <si>
    <t>Tischler 2015</t>
  </si>
  <si>
    <t>Indene, Indane</t>
  </si>
  <si>
    <t>1-indanone</t>
  </si>
  <si>
    <t>1-naphthol</t>
  </si>
  <si>
    <t>Grbic-Galic 1989; Bedessem et al. 1997</t>
  </si>
  <si>
    <t>C10H8O</t>
  </si>
  <si>
    <t>Indene, Naphthalene</t>
  </si>
  <si>
    <t>2,3-dihydroxynaphthalene</t>
  </si>
  <si>
    <t>Decahydro-naphthoic acid or Octahydromethyl indenoic acid</t>
  </si>
  <si>
    <t>Zhang et al. 2000; van Leeuwen (unpublished)</t>
  </si>
  <si>
    <t>C11H18O2</t>
  </si>
  <si>
    <t>1-naphthoic acid</t>
  </si>
  <si>
    <t>Zhang et al. 2000</t>
  </si>
  <si>
    <t>C11H8O2</t>
  </si>
  <si>
    <t>2-naphthoic acid</t>
  </si>
  <si>
    <t>Tetrahydro-2-indenoic acid, Trimethylbenzoic acid - 13 isomers</t>
  </si>
  <si>
    <t>Hydroxy-naphthoic acid</t>
  </si>
  <si>
    <t>C11H8O3</t>
  </si>
  <si>
    <t>Indene, trimethylbenzene, n-octylbenzene</t>
  </si>
  <si>
    <t>Naphthaleneacetic acid or methyl-naphthoic acid - 10 isomers</t>
  </si>
  <si>
    <t>Safinowski et al. 2006</t>
  </si>
  <si>
    <t>C12H10O2</t>
  </si>
  <si>
    <t>Indole</t>
  </si>
  <si>
    <t>1,3-dihydro-2H-indol-2-one</t>
  </si>
  <si>
    <t>3-naphthalenedicarboxylic acid - 6 isomers</t>
  </si>
  <si>
    <t>C12H8O4</t>
  </si>
  <si>
    <t>171.0438[; 127.0553]</t>
  </si>
  <si>
    <t>Methyl benzoic acid</t>
  </si>
  <si>
    <t>Dimethyl-naphthoic acid - 15 isomers</t>
  </si>
  <si>
    <t>Gieg &amp; Suflita 2002</t>
  </si>
  <si>
    <t>C13H12O2</t>
  </si>
  <si>
    <t>Methylbenzoic acid - isomer 1</t>
  </si>
  <si>
    <t>Naphthyl-2-methyl-succinate - 2 isomers</t>
  </si>
  <si>
    <t>Annweiler et al. 2002</t>
  </si>
  <si>
    <t>C15H14O4</t>
  </si>
  <si>
    <t>Xylene</t>
  </si>
  <si>
    <t>3-o-toluoyl propionic acid - 17 isomers</t>
  </si>
  <si>
    <t>Morasch 2004</t>
  </si>
  <si>
    <t>C11H12O3</t>
  </si>
  <si>
    <t>2-naphthylacetic acid 10 isomers</t>
  </si>
  <si>
    <t>Phenanthrene</t>
  </si>
  <si>
    <t>Phenanthroic acid - 8 isomers</t>
  </si>
  <si>
    <t>C15H10O2</t>
  </si>
  <si>
    <t>Phenanthrene, creosote</t>
  </si>
  <si>
    <t>P-cresol - 4 isomers</t>
  </si>
  <si>
    <t>Tsai et al. 2009</t>
  </si>
  <si>
    <t>C7H8O</t>
  </si>
  <si>
    <t>93.0346/ 77.0397</t>
  </si>
  <si>
    <t>Cyclohexylacetate</t>
  </si>
  <si>
    <t>Phenanthrene, benzene, phenol, p-cresol</t>
  </si>
  <si>
    <t>4-hydroxy benzoic acid</t>
  </si>
  <si>
    <t>Tsai et al. 2009, Foght 2008, Boll 2005, Lovley 1990</t>
  </si>
  <si>
    <t>C7H6O3</t>
  </si>
  <si>
    <t>Styrene</t>
  </si>
  <si>
    <t>Phenylglyoxylic acid - 3 isomers</t>
  </si>
  <si>
    <t>Tischler 2015; Leibman 1975</t>
  </si>
  <si>
    <t>C8H6O3</t>
  </si>
  <si>
    <t>105.0346; 77.0397</t>
  </si>
  <si>
    <t xml:space="preserve">Products of the skeleton rearangement </t>
  </si>
  <si>
    <t>Ethylmalonate - 3 isomers</t>
  </si>
  <si>
    <t>C5H8O4</t>
  </si>
  <si>
    <t>Napthoic acid - isomer 1</t>
  </si>
  <si>
    <t>Butylmalonate - 4 isomers</t>
  </si>
  <si>
    <t>C7H10O4</t>
  </si>
  <si>
    <t>Napthylacetic acid - isomer 1</t>
  </si>
  <si>
    <t>Solvent</t>
  </si>
  <si>
    <t>Propanediol</t>
  </si>
  <si>
    <t>C3H8O2</t>
  </si>
  <si>
    <t>p-cresol</t>
  </si>
  <si>
    <t>4-hydroxybenzylsuccinate</t>
  </si>
  <si>
    <t>2-ethylhexanol</t>
  </si>
  <si>
    <t>C8H18O</t>
  </si>
  <si>
    <t>Hydroxyphenylacetic acid - 3 isomers</t>
  </si>
  <si>
    <t>C8H8O3</t>
  </si>
  <si>
    <t>Phenanthrene, benzene, phenol, p-cresol, 3-hydroxybenzaldehyde, 2,2,3-trihydroxybiphenyl, anthranilic acid</t>
  </si>
  <si>
    <t>Benzylsuccinic acid</t>
  </si>
  <si>
    <t>C11H12O4</t>
  </si>
  <si>
    <t>163.0765; 91.0553[; 189.0553; 145.0659; 119.0866]</t>
  </si>
  <si>
    <t>Benzylsuccinic acid - 4 isomers</t>
  </si>
  <si>
    <t>163.0765; 119.0866</t>
  </si>
  <si>
    <t>(2-/3-)thiophenic acid</t>
  </si>
  <si>
    <t>Cinnamic acid</t>
  </si>
  <si>
    <t>Chee-Sanford et al. 1996</t>
  </si>
  <si>
    <t>103.0553[; 77.0397; 131.0502; 115.0553]</t>
  </si>
  <si>
    <t xml:space="preserve">Toluene, Ethylbenzene, Xylene, Phenol, Benzene </t>
  </si>
  <si>
    <t>Benzoic acid</t>
  </si>
  <si>
    <t>C7H6O2</t>
  </si>
  <si>
    <t>[77.0397]</t>
  </si>
  <si>
    <t>Tetramethylbenzene</t>
  </si>
  <si>
    <t>Trimethylbenzoic acid</t>
  </si>
  <si>
    <t>Cozarelli et al 1990</t>
  </si>
  <si>
    <t>Trimethylbenzene, xylenes</t>
  </si>
  <si>
    <t>Dimethyl-benzoic acid or Benzylacetate - 8 isomers</t>
  </si>
  <si>
    <t>C9H10O2</t>
  </si>
  <si>
    <t>Xylenes, Styrene, Toluene</t>
  </si>
  <si>
    <t>Methylbenzylsuccinic acid - 5 isomers</t>
  </si>
  <si>
    <t>Xylenes/styrene; toluene</t>
  </si>
  <si>
    <t>Tischler 2015; Beller et al. 1996</t>
  </si>
  <si>
    <t>C12H14O4</t>
  </si>
  <si>
    <t>177.0921[; 105.0710]</t>
  </si>
  <si>
    <r>
      <rPr>
        <b/>
        <sz val="11"/>
        <color theme="1"/>
        <rFont val="Calibri"/>
        <family val="2"/>
        <scheme val="minor"/>
      </rPr>
      <t>Dik gedrukt</t>
    </r>
    <r>
      <rPr>
        <sz val="11"/>
        <color theme="1"/>
        <rFont val="Calibri"/>
        <family val="2"/>
        <scheme val="minor"/>
      </rPr>
      <t>=standaard (kan weg in uiteindelijk versie)</t>
    </r>
  </si>
  <si>
    <r>
      <rPr>
        <sz val="16"/>
        <color theme="1"/>
        <rFont val="Calibri"/>
        <family val="2"/>
        <scheme val="minor"/>
      </rPr>
      <t>[]</t>
    </r>
    <r>
      <rPr>
        <sz val="11"/>
        <color theme="1"/>
        <rFont val="Calibri"/>
        <family val="2"/>
        <scheme val="minor"/>
      </rPr>
      <t xml:space="preserve"> bij fragmenten: fragments only visible with relatively high concentrations of analyte (&gt; </t>
    </r>
    <r>
      <rPr>
        <sz val="11"/>
        <color theme="1"/>
        <rFont val="Calibri"/>
        <family val="2"/>
      </rPr>
      <t>~100000 peak intensity??)</t>
    </r>
  </si>
  <si>
    <r>
      <rPr>
        <sz val="11"/>
        <color rgb="FFFF0000"/>
        <rFont val="Calibri"/>
        <family val="2"/>
        <scheme val="minor"/>
      </rPr>
      <t>Rood:</t>
    </r>
    <r>
      <rPr>
        <sz val="11"/>
        <color theme="1"/>
        <rFont val="Calibri"/>
        <family val="2"/>
        <scheme val="minor"/>
      </rPr>
      <t xml:space="preserve"> niet in paper, wel in verslag Merijn</t>
    </r>
  </si>
  <si>
    <t>Sem &amp; Johan:</t>
  </si>
  <si>
    <t>Heterocyclic aromatics:</t>
  </si>
  <si>
    <t>9-Acridinecarboxylic acid</t>
  </si>
  <si>
    <t>Sem</t>
  </si>
  <si>
    <t>C14H9NO2</t>
  </si>
  <si>
    <t xml:space="preserve">Sutherland 2009 </t>
  </si>
  <si>
    <t>C13H9NO</t>
  </si>
  <si>
    <t>(3-/4-)aminobenzoic acid</t>
  </si>
  <si>
    <t>Van Leeuwen</t>
  </si>
  <si>
    <t>methylaniline - 4 isomers</t>
  </si>
  <si>
    <t>C7H9N</t>
  </si>
  <si>
    <t>4-aminobenzoate</t>
  </si>
  <si>
    <t>Schnell, Schink 1991</t>
  </si>
  <si>
    <t>C7H6NO2</t>
  </si>
  <si>
    <t>2-hydroxy-6-oxo-6-(2'-aminophenyl)-hexa-2,4-dienoic acid</t>
  </si>
  <si>
    <t>Singh 2011</t>
  </si>
  <si>
    <t>C12H11NO4</t>
  </si>
  <si>
    <t>C13H9NO2</t>
  </si>
  <si>
    <t>C13H11N</t>
  </si>
  <si>
    <t>3-(1 h-indol-2-yl)acrylic acid</t>
  </si>
  <si>
    <t>Shi 2015</t>
  </si>
  <si>
    <t>C11H9NO2</t>
  </si>
  <si>
    <t>Codegradation with phenol</t>
  </si>
  <si>
    <t>Furan</t>
  </si>
  <si>
    <t>2-Furoic acid</t>
  </si>
  <si>
    <t>C5H4O3</t>
  </si>
  <si>
    <t>2-methylfuran</t>
  </si>
  <si>
    <t>C5H6O</t>
  </si>
  <si>
    <t>Isoquinoline</t>
  </si>
  <si>
    <t>methylisoquinoline - 5 isomers?</t>
  </si>
  <si>
    <t>C10H9N</t>
  </si>
  <si>
    <t>Isoquinoline carboxylic acid - 5 isomers?</t>
  </si>
  <si>
    <t>C10H7NO2</t>
  </si>
  <si>
    <t>Phenolphosphate</t>
  </si>
  <si>
    <t>Schink 2000</t>
  </si>
  <si>
    <t>C6H3O5P</t>
  </si>
  <si>
    <t>Pyrazine</t>
  </si>
  <si>
    <t>Pyrazinecarboxylic acid</t>
  </si>
  <si>
    <t>C5H4N2O2</t>
  </si>
  <si>
    <t>Creosote compounds:</t>
  </si>
  <si>
    <t>2,4-dimethyphenol</t>
  </si>
  <si>
    <t>2,4-Dimethylphenol</t>
  </si>
  <si>
    <t>4-hydroxy-3-methyl-benzoate</t>
  </si>
  <si>
    <t>Rudolphi 1991</t>
  </si>
  <si>
    <t>Possibly dead-end metabolite</t>
  </si>
  <si>
    <t>3,4-Dimethylphenol</t>
  </si>
  <si>
    <t>4-hydroxy-2-methyl-benzoate</t>
  </si>
  <si>
    <t>Safinowski 2006</t>
  </si>
  <si>
    <t>C13H12O5</t>
  </si>
  <si>
    <t>Benzofuran-2-carboxylic acid</t>
  </si>
  <si>
    <t>C9H6O3</t>
  </si>
  <si>
    <t>methylbenzofuran - 4 isomers?</t>
  </si>
  <si>
    <t>C9H8O</t>
  </si>
  <si>
    <t>1-benzothiophene-5-carboxylic acid</t>
  </si>
  <si>
    <t>C9H6O2S</t>
  </si>
  <si>
    <t>C9H8S</t>
  </si>
  <si>
    <t>Benzo[b]thiophene-2-carboxylic acid</t>
  </si>
  <si>
    <t>Creosol, Guaiacol</t>
  </si>
  <si>
    <t>Catechol</t>
  </si>
  <si>
    <t>C6H6O2</t>
  </si>
  <si>
    <t>Creosol</t>
  </si>
  <si>
    <t>Vanillin/4-hydroxy-3-methoxybenzaldehyde</t>
  </si>
  <si>
    <t>Dyreborg 1996</t>
  </si>
  <si>
    <t>C8H6O</t>
  </si>
  <si>
    <t>C8H7N</t>
  </si>
  <si>
    <t>Quinoline</t>
  </si>
  <si>
    <t>C9H7N</t>
  </si>
  <si>
    <t>C8H6S</t>
  </si>
  <si>
    <t>C4H4S</t>
  </si>
  <si>
    <t>1-methylpyrrole</t>
  </si>
  <si>
    <t>C5H7N</t>
  </si>
  <si>
    <t>pyrrole</t>
  </si>
  <si>
    <t>C4H5N</t>
  </si>
  <si>
    <t>C8H10O</t>
  </si>
  <si>
    <t>Fortnagel 1990, Monna 1993</t>
  </si>
  <si>
    <t>C12H10O3</t>
  </si>
  <si>
    <t>Guaiacol</t>
  </si>
  <si>
    <t>Benzoic acid?</t>
  </si>
  <si>
    <t>Indolic acid/5-hydroxyindole-2-carboxylic acid</t>
  </si>
  <si>
    <t>C9H7NO3</t>
  </si>
  <si>
    <t>Carbomethoxyindole - 5 isomers</t>
  </si>
  <si>
    <t>C10H9NO2</t>
  </si>
  <si>
    <t>(1- or 3-)methylindole</t>
  </si>
  <si>
    <t>C9H9N</t>
  </si>
  <si>
    <t>Gu 1991, Akora 2015</t>
  </si>
  <si>
    <t>C8H7NO</t>
  </si>
  <si>
    <t>indole-2,3-dione/Isatin</t>
  </si>
  <si>
    <t>C8H5NO2</t>
  </si>
  <si>
    <t>m-Cresol, dimethylphenol</t>
  </si>
  <si>
    <t>3-hydroxybenzylsuccinate</t>
  </si>
  <si>
    <t>Müller 2001, Puig-Grajales 2003</t>
  </si>
  <si>
    <t>C11H13O5</t>
  </si>
  <si>
    <t>m-Cresol</t>
  </si>
  <si>
    <t>3-hydroxybenzylalcohol</t>
  </si>
  <si>
    <t>Londry 1997</t>
  </si>
  <si>
    <t>C7H8O2</t>
  </si>
  <si>
    <t>o-cresol (of p- of m-)</t>
  </si>
  <si>
    <t>o-Anisic acid (of p- of m-)</t>
  </si>
  <si>
    <t>o-cresol</t>
  </si>
  <si>
    <t>4-hydroxy-3-methylbenzoic acid</t>
  </si>
  <si>
    <t>4-hydroxymethylphenol</t>
  </si>
  <si>
    <t>p-Cresol</t>
  </si>
  <si>
    <t>Müller 2001</t>
  </si>
  <si>
    <t>C11H12O5</t>
  </si>
  <si>
    <t>Pyrrole</t>
  </si>
  <si>
    <t xml:space="preserve">pyrrole carboxylic acid - 2 isomers </t>
  </si>
  <si>
    <t>Wieser 1998</t>
  </si>
  <si>
    <t>C5H5NO2</t>
  </si>
  <si>
    <t>2-oxo-1,2-dihydroquinoline(-4-carboxylic acid?)</t>
  </si>
  <si>
    <t>Kaiser 1996</t>
  </si>
  <si>
    <t>C10H7NO3</t>
  </si>
  <si>
    <t>Quinolinic acid</t>
  </si>
  <si>
    <t>2-methylquinoline/Quinaldine</t>
  </si>
  <si>
    <t>hydroxycoumarin - 4 isomers</t>
  </si>
  <si>
    <t>2-hydroxythiophene</t>
  </si>
  <si>
    <t>Koleva 2011</t>
  </si>
  <si>
    <t>C4H4OS</t>
  </si>
  <si>
    <t>2(3H)thiophenone</t>
  </si>
  <si>
    <t>C5H4O2S</t>
  </si>
  <si>
    <t>(2-/3-)methylthiophene</t>
  </si>
  <si>
    <t>C5H6S</t>
  </si>
  <si>
    <t>NB: Creosote compounds derived from Dyreborg 1996 &amp; Hartnik 2006</t>
  </si>
  <si>
    <t>HMW PAHs:</t>
  </si>
  <si>
    <t>9,10-anthraquinone</t>
  </si>
  <si>
    <t>Liang 2014</t>
  </si>
  <si>
    <t>C14H8O2</t>
  </si>
  <si>
    <t>C15H8O4</t>
  </si>
  <si>
    <t>banzo[a]pyrene, pyrene</t>
  </si>
  <si>
    <t>1H-phenalen-1-one/Perinaphtenone</t>
  </si>
  <si>
    <t>Yan 2017</t>
  </si>
  <si>
    <t>C13H8O</t>
  </si>
  <si>
    <t>benz[a]anthracene</t>
  </si>
  <si>
    <t>2,3-dimethylphenanthrene</t>
  </si>
  <si>
    <t>C16H14</t>
  </si>
  <si>
    <t>benzo[a]pyrene</t>
  </si>
  <si>
    <t>1,12-dimethylbenz[a]anthracene</t>
  </si>
  <si>
    <t>C20H16</t>
  </si>
  <si>
    <t>5-ethylchrysene</t>
  </si>
  <si>
    <t xml:space="preserve">benzo[a]pyrene, pyrene, phenanthrene </t>
  </si>
  <si>
    <t>naphthalene-1,2,3-trimethyl-4-propenyl</t>
  </si>
  <si>
    <t>C16H18</t>
  </si>
  <si>
    <t>Chrysene</t>
  </si>
  <si>
    <t>1-ethyl-2-methyl-phenanthrene</t>
  </si>
  <si>
    <t>C17H16</t>
  </si>
  <si>
    <t xml:space="preserve">9-hydroxy-1-fluorene-carboxylic acid </t>
  </si>
  <si>
    <t>Šepič 2003</t>
  </si>
  <si>
    <t>C14H10O3</t>
  </si>
  <si>
    <t xml:space="preserve">9-fluorenone-1-carboxylic acid </t>
  </si>
  <si>
    <t>C14H8O3</t>
  </si>
  <si>
    <t>Methylfluoranthenic acid (2-methylfluoranthene-1-carboxylate)</t>
  </si>
  <si>
    <t>C18H11O2</t>
  </si>
  <si>
    <t>Fluoranthene-8-carboxylic acid</t>
  </si>
  <si>
    <t>C17H10O2</t>
  </si>
  <si>
    <t xml:space="preserve">Fluoranthene, Fluorene </t>
  </si>
  <si>
    <t>9-fluorenone</t>
  </si>
  <si>
    <t>Šepič 2003, Seo 2009</t>
  </si>
  <si>
    <t>Seo 2009</t>
  </si>
  <si>
    <t>C15H12O2</t>
  </si>
  <si>
    <t>2-formyl-1-indanone</t>
  </si>
  <si>
    <t>Fluorene, Indane</t>
  </si>
  <si>
    <t>C10H8O3</t>
  </si>
  <si>
    <t xml:space="preserve">Fluorene </t>
  </si>
  <si>
    <t>Fluorene carboxylic acid - 3 isomers</t>
  </si>
  <si>
    <t xml:space="preserve">Van Leeuwen </t>
  </si>
  <si>
    <t>C10H12</t>
  </si>
  <si>
    <t>C11H14</t>
  </si>
  <si>
    <t>Ethylmethylindane</t>
  </si>
  <si>
    <t>C12H16</t>
  </si>
  <si>
    <t>Indanoic acid (1-indanecarboxylic acid/2-indanecarboxylic acid/5-indanecarboxylic acid)</t>
  </si>
  <si>
    <t>Indane, Indene</t>
  </si>
  <si>
    <t>Mundt 2003</t>
  </si>
  <si>
    <t>Phenanthrene-2-carboxylic acid</t>
  </si>
  <si>
    <t>Meckenstock 2016</t>
  </si>
  <si>
    <t>Pyrene</t>
  </si>
  <si>
    <t>Pyrene carboxylic acid</t>
  </si>
  <si>
    <t>pyrene</t>
  </si>
  <si>
    <t>2,2′- methylenebis[6-(1,1-dimethylethyl)-4-methyl-phenol</t>
  </si>
  <si>
    <t>Yang 2013</t>
  </si>
  <si>
    <t>C23H32O2</t>
  </si>
  <si>
    <t>4,5-dimethylphenanthrene</t>
  </si>
  <si>
    <t>Unfindable Metabolites</t>
  </si>
  <si>
    <t>Benzothiophenemethylsuccinic acid</t>
  </si>
  <si>
    <t>Benzothiophenemethylenesuccinic acid</t>
  </si>
  <si>
    <t>Benzofuranmethylenesuccinic acid</t>
  </si>
  <si>
    <t>indane</t>
  </si>
  <si>
    <t>ethenylindane</t>
  </si>
  <si>
    <t>Peilbuis / MLS</t>
  </si>
  <si>
    <t>Diepte                   (m-mv)</t>
  </si>
  <si>
    <t>Iron (mg/L)</t>
  </si>
  <si>
    <t>Total concentration aromatics (mg/L)</t>
  </si>
  <si>
    <t>Number of detected metabolites</t>
  </si>
  <si>
    <t>Total concentration 35 metabolites (μg/L)</t>
  </si>
  <si>
    <t>metabolites / tar</t>
  </si>
  <si>
    <t>nr metabolites / tar</t>
  </si>
  <si>
    <t>031-001</t>
  </si>
  <si>
    <t>031-002</t>
  </si>
  <si>
    <t>031-009</t>
  </si>
  <si>
    <t>031-011</t>
  </si>
  <si>
    <t>031-012</t>
  </si>
  <si>
    <t>031-013</t>
  </si>
  <si>
    <t>031-014</t>
  </si>
  <si>
    <t>031-018</t>
  </si>
  <si>
    <t>031-020</t>
  </si>
  <si>
    <t>031-004</t>
  </si>
  <si>
    <t>031-006</t>
  </si>
  <si>
    <t>031-029</t>
  </si>
  <si>
    <t>031-031</t>
  </si>
  <si>
    <t>031-033</t>
  </si>
  <si>
    <t>031-034</t>
  </si>
  <si>
    <t>031-036</t>
  </si>
  <si>
    <t>031-039</t>
  </si>
  <si>
    <t>031-028</t>
  </si>
  <si>
    <t>031-048</t>
  </si>
  <si>
    <t>031-050</t>
  </si>
  <si>
    <t>031-054</t>
  </si>
  <si>
    <t>031-044</t>
  </si>
  <si>
    <t>031-047</t>
  </si>
  <si>
    <t>031-059</t>
  </si>
  <si>
    <t>031-062</t>
  </si>
  <si>
    <t>031-063</t>
  </si>
  <si>
    <t>sulphide (ug/L)</t>
  </si>
  <si>
    <t>Total concentration tar aromatics (μg/L)</t>
  </si>
  <si>
    <t>BACTERIA VS DEPTH</t>
  </si>
  <si>
    <t>Benzene carboxylase</t>
  </si>
  <si>
    <t>Naphtyl-2-methyl succinate synthase</t>
  </si>
  <si>
    <t>Naphtyl-CoA-reductase</t>
  </si>
  <si>
    <t>Naphthalene carboxylase</t>
  </si>
  <si>
    <t>Peptococcus</t>
  </si>
  <si>
    <t>Benzyl succinate synthase SO4 &amp; Fe</t>
  </si>
  <si>
    <t>Benzyl succinate synthase NO3</t>
  </si>
  <si>
    <t>1-Methylalkyl succinate synthase</t>
  </si>
  <si>
    <t>DATA USED TO CALCULATE PORTIONS</t>
  </si>
  <si>
    <t>GENE RATIOS VS TOTAL GENE COUNT B B2 and C ONLY</t>
  </si>
  <si>
    <t>Total bacteria (?)</t>
  </si>
  <si>
    <t>abcA</t>
  </si>
  <si>
    <t>nmsA</t>
  </si>
  <si>
    <t>ncrA</t>
  </si>
  <si>
    <t>ncA</t>
  </si>
  <si>
    <t>bssA SRB &amp; IRB</t>
  </si>
  <si>
    <t>bssA NRB</t>
  </si>
  <si>
    <t>assA</t>
  </si>
  <si>
    <t>bamA</t>
  </si>
  <si>
    <t>Variety</t>
  </si>
  <si>
    <t>Diepte         (m-mv)</t>
  </si>
  <si>
    <t>Totaal van déze bacteriën</t>
  </si>
  <si>
    <t>Totaal archaea</t>
  </si>
  <si>
    <t>Benzeen-carboxylase</t>
  </si>
  <si>
    <t>Naftyl-2-methyl-succunaat-synthase</t>
  </si>
  <si>
    <t>Naftyl-CoA-reductase</t>
  </si>
  <si>
    <t>Naftaleen-carboxylase</t>
  </si>
  <si>
    <t>Benzyl-succinaat-synthase SRB &amp; IRB</t>
  </si>
  <si>
    <t>Benzyl-succinaat-synthase NRB</t>
  </si>
  <si>
    <t>1-Methyl-alkyl-succinaat-synthase</t>
  </si>
  <si>
    <t>Depth (m-mv)</t>
  </si>
  <si>
    <t>Total gene count this selection</t>
  </si>
  <si>
    <t>50,5 - 52,5</t>
  </si>
  <si>
    <t>b.d.</t>
  </si>
  <si>
    <t>64,5 - 65,5</t>
  </si>
  <si>
    <t>downstream</t>
  </si>
  <si>
    <t>60 (2019)</t>
  </si>
  <si>
    <t>68 - 72</t>
  </si>
  <si>
    <t>BW205 (2019</t>
  </si>
  <si>
    <t>43 - 45</t>
  </si>
  <si>
    <t>Pb1 (2019)</t>
  </si>
  <si>
    <t>14 - 19</t>
  </si>
  <si>
    <t>B22 (2018)</t>
  </si>
  <si>
    <t>B22 44,5</t>
  </si>
  <si>
    <t>is actually 0</t>
  </si>
  <si>
    <t>Teer C</t>
  </si>
  <si>
    <t>Teer B2</t>
  </si>
  <si>
    <t>BW211 (2018)</t>
  </si>
  <si>
    <t>22 - 26</t>
  </si>
  <si>
    <t>BW157 (2018)</t>
  </si>
  <si>
    <t>63 - 65</t>
  </si>
  <si>
    <t>44 - 45</t>
  </si>
  <si>
    <t>37 (2018)</t>
  </si>
  <si>
    <t>21 - 25</t>
  </si>
  <si>
    <t>60 (2018)</t>
  </si>
  <si>
    <t>DV4 (2018)</t>
  </si>
  <si>
    <t>BW205 (2018)</t>
  </si>
  <si>
    <t>Pb1 (2018)</t>
  </si>
  <si>
    <t>RATIOS VS DECREASING aromatics CONCENTRATION</t>
  </si>
  <si>
    <t>concentration of specific genes</t>
  </si>
  <si>
    <t>conc of these enzymes/number of bacteria</t>
  </si>
  <si>
    <t>NAPHTHALENE DEGRADERS</t>
  </si>
  <si>
    <t>Sum concentration aromatics (mg/L)</t>
  </si>
  <si>
    <t>Total 16S rRNA</t>
  </si>
  <si>
    <t>peptococcus</t>
  </si>
  <si>
    <t>Total target genes</t>
  </si>
  <si>
    <t>Total 35 metabolites (μg/L)</t>
  </si>
  <si>
    <t>sum</t>
  </si>
  <si>
    <t>reductor</t>
  </si>
  <si>
    <t>Redox potential  (mV)</t>
  </si>
  <si>
    <t>Total of these enzymes</t>
  </si>
  <si>
    <t>Total concentration tar aromates</t>
  </si>
  <si>
    <t>Iron II (ug/L)</t>
  </si>
  <si>
    <t>manganese (ug/L)</t>
  </si>
  <si>
    <t>Sulphate/Iron</t>
  </si>
  <si>
    <t>Methanogenic/Sulphate</t>
  </si>
  <si>
    <t>Methanogenic</t>
  </si>
  <si>
    <t>RATIOS VS increasing metabolite CONCENTRATION</t>
  </si>
  <si>
    <t>RATIOS VS DECREASING metabolite variety</t>
  </si>
  <si>
    <t>Total bacteria gene copies/mL</t>
  </si>
  <si>
    <t>Sum concentration of 35 metabolites (μg/L)</t>
  </si>
  <si>
    <t>Sum concentration aromatics</t>
  </si>
  <si>
    <t>Concentration metabolites</t>
  </si>
  <si>
    <t>WELL C</t>
  </si>
  <si>
    <t>Hydrogen</t>
  </si>
  <si>
    <t>avedev</t>
  </si>
  <si>
    <t>max difference</t>
  </si>
  <si>
    <t>max difference total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</si>
  <si>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H-Benzene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</si>
  <si>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H-B</t>
    </r>
  </si>
  <si>
    <t>-106 ± 2</t>
  </si>
  <si>
    <t>-110 ± 10</t>
  </si>
  <si>
    <t>-118 ± 3</t>
  </si>
  <si>
    <t>-117 ± 10</t>
  </si>
  <si>
    <t>-90 ± 11</t>
  </si>
  <si>
    <t>dl</t>
  </si>
  <si>
    <t>-77 ± 4</t>
  </si>
  <si>
    <t>-75 ± 9</t>
  </si>
  <si>
    <t>-51 ± 6</t>
  </si>
  <si>
    <t>-61 ± 2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</si>
  <si>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H-Toluene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</si>
  <si>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H-T</t>
    </r>
  </si>
  <si>
    <t>+78 ± 2</t>
  </si>
  <si>
    <t>+38 ± 5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</si>
  <si>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H-Ethylbenzene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</si>
  <si>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H-E</t>
    </r>
  </si>
  <si>
    <t>+80 ± 20</t>
  </si>
  <si>
    <t>-154 ± 16</t>
  </si>
  <si>
    <t>-169 ± 7</t>
  </si>
  <si>
    <t>-170 ± 8</t>
  </si>
  <si>
    <t>-173 ± 7</t>
  </si>
  <si>
    <t>-162 ± 5</t>
  </si>
  <si>
    <t>-179 ± 4</t>
  </si>
  <si>
    <t>-161 ± 2</t>
  </si>
  <si>
    <t>-164 ± 6</t>
  </si>
  <si>
    <t>+2 ± 2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</si>
  <si>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H-m,p-Xylene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</si>
  <si>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H-m/pX</t>
    </r>
  </si>
  <si>
    <t>+62 ± 2</t>
  </si>
  <si>
    <t>-99 ± 10</t>
  </si>
  <si>
    <t>-115 ± 2</t>
  </si>
  <si>
    <t>-49 ± 9</t>
  </si>
  <si>
    <t>-65 ± 9</t>
  </si>
  <si>
    <t>-58 ± 6</t>
  </si>
  <si>
    <t>-165 ± 2</t>
  </si>
  <si>
    <t>-136 ± 11</t>
  </si>
  <si>
    <t>-121 ± 2</t>
  </si>
  <si>
    <r>
      <t xml:space="preserve"> 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H-o-Xylene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</si>
  <si>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H-oX</t>
    </r>
  </si>
  <si>
    <t>+70 ± 14</t>
  </si>
  <si>
    <t>-43 ± 16</t>
  </si>
  <si>
    <t>-64 ± 6</t>
  </si>
  <si>
    <t>+9 ± 4</t>
  </si>
  <si>
    <t>-22 ± 7</t>
  </si>
  <si>
    <t>-97 ± 6</t>
  </si>
  <si>
    <t>-138 ± 6</t>
  </si>
  <si>
    <t>-126 ± 8</t>
  </si>
  <si>
    <t>-11 ± 4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</si>
  <si>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H-Indane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</si>
  <si>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H-Ia</t>
    </r>
  </si>
  <si>
    <t>-142 ± 11</t>
  </si>
  <si>
    <t>-145 ± 11</t>
  </si>
  <si>
    <t>-159 ± 11</t>
  </si>
  <si>
    <t>-140 ± 13</t>
  </si>
  <si>
    <t>-136 ± 2</t>
  </si>
  <si>
    <t>-132 ± 6</t>
  </si>
  <si>
    <t>-150 ± 8</t>
  </si>
  <si>
    <t>-81 ± 2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</si>
  <si>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H-Naphthalene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</si>
  <si>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H-N</t>
    </r>
  </si>
  <si>
    <t>-43 ± 14</t>
  </si>
  <si>
    <t>-54 ± 4</t>
  </si>
  <si>
    <t>-39 ± 8</t>
  </si>
  <si>
    <t>-42 ± 2</t>
  </si>
  <si>
    <t>-34 ± 2</t>
  </si>
  <si>
    <t>-28 ±2</t>
  </si>
  <si>
    <t>-55 ± 2</t>
  </si>
  <si>
    <t>-60 ± 6</t>
  </si>
  <si>
    <t>-27 ± 7</t>
  </si>
  <si>
    <t>-60 ± 5</t>
  </si>
  <si>
    <t>Carbon</t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</si>
  <si>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C-Benzene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</si>
  <si>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C-B</t>
    </r>
  </si>
  <si>
    <t>-26,1 ± 0,5</t>
  </si>
  <si>
    <t>-25,8 ± 0,5</t>
  </si>
  <si>
    <t>-24,1 ± 0,5</t>
  </si>
  <si>
    <t>-25,3 ± 0,5</t>
  </si>
  <si>
    <t>-20,9 ± 0,5</t>
  </si>
  <si>
    <t>-26,5 ± 0,5</t>
  </si>
  <si>
    <t>-26,2 ± 0,5</t>
  </si>
  <si>
    <t>-25,2 ± 0,5</t>
  </si>
  <si>
    <t>-25,7 ± 0,5</t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</si>
  <si>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C-Toluene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</si>
  <si>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C-T</t>
    </r>
  </si>
  <si>
    <t>-22,8 ± 0,5</t>
  </si>
  <si>
    <t>-17,8 ± 0,5</t>
  </si>
  <si>
    <t>-22,1 ± 0,5</t>
  </si>
  <si>
    <t>-20,2 ± 0,6</t>
  </si>
  <si>
    <t>-18,7 ± 0,5</t>
  </si>
  <si>
    <t>-23,8 ± 0,5</t>
  </si>
  <si>
    <t>-21,0 ± 0,5</t>
  </si>
  <si>
    <t>-20,6 ± 0,5</t>
  </si>
  <si>
    <t>-18,1 ± 0,5</t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</si>
  <si>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C-Ethylbenzene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</si>
  <si>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C-E</t>
    </r>
  </si>
  <si>
    <t>-21,5 ± 0,5</t>
  </si>
  <si>
    <t xml:space="preserve"> -23,2 ± 0,5</t>
  </si>
  <si>
    <t>-23,4 ± 0,5</t>
  </si>
  <si>
    <t>-24,2 ± 0,8</t>
  </si>
  <si>
    <t>-23,7 ± 0,5</t>
  </si>
  <si>
    <t>-24,2 ± 0,5</t>
  </si>
  <si>
    <t>-22,5 ± 0,5</t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</si>
  <si>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C-m,p-Xylene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</si>
  <si>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C-m/pX</t>
    </r>
  </si>
  <si>
    <t>-17,5 ± 0,5</t>
  </si>
  <si>
    <t>-24,5 ± 0,5</t>
  </si>
  <si>
    <t>-25,1 ± 0,5</t>
  </si>
  <si>
    <t>-22,0 ± 0,5</t>
  </si>
  <si>
    <t>-23,1 ± 0,5</t>
  </si>
  <si>
    <t>-26,2 ± 0,6</t>
  </si>
  <si>
    <t>-26,0 ± 0,5</t>
  </si>
  <si>
    <t>-25,0 ± 0,5</t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</si>
  <si>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C-o-Xylene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</si>
  <si>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C-oX</t>
    </r>
  </si>
  <si>
    <t>-14,0 ± 0,5</t>
  </si>
  <si>
    <t>-21,1 ± 0,5</t>
  </si>
  <si>
    <t>-18,0 ± 0,5</t>
  </si>
  <si>
    <t>-19,4 ± 0,5</t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</si>
  <si>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C-Indane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</si>
  <si>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C-Ia</t>
    </r>
  </si>
  <si>
    <t>-24,7 ± 0,5</t>
  </si>
  <si>
    <t>-24,7 ± 0,6</t>
  </si>
  <si>
    <t>-24,9 ± 0,5</t>
  </si>
  <si>
    <t>-24,0 ± 0,5</t>
  </si>
  <si>
    <t>-24,6 ± 0,5</t>
  </si>
  <si>
    <t>-26,9 ± 0,5</t>
  </si>
  <si>
    <t>-27,6 ± 0,5</t>
  </si>
  <si>
    <t>-25,6 ± 0,5</t>
  </si>
  <si>
    <t>-23,0 ± 0,5</t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</si>
  <si>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C-Naphthalene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</si>
  <si>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C-N</t>
    </r>
  </si>
  <si>
    <t>-26,3 ± 0,5</t>
  </si>
  <si>
    <t>-26,8 ± 0,5</t>
  </si>
  <si>
    <t>-26,7 ± 0,5</t>
  </si>
  <si>
    <t>-27,0 ± 0,5</t>
  </si>
  <si>
    <t>-27,2 ± 0,5</t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</si>
  <si>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C-Indene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</si>
  <si>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C-Ie</t>
    </r>
  </si>
  <si>
    <t>-23,2 ± 0,5</t>
  </si>
  <si>
    <t>-25,4 ± 0,6</t>
  </si>
  <si>
    <t>-24,4 ± 1,1</t>
  </si>
  <si>
    <t>dl below detection limit</t>
  </si>
  <si>
    <t>Pure tar C</t>
  </si>
  <si>
    <t>lightest</t>
  </si>
  <si>
    <t>heaviest</t>
  </si>
  <si>
    <t>pure phase present</t>
  </si>
  <si>
    <t>-99 ± 2</t>
  </si>
  <si>
    <t>-67 ± 6</t>
  </si>
  <si>
    <t>-93 ± 4</t>
  </si>
  <si>
    <t>-72 ± 5</t>
  </si>
  <si>
    <t>-91 ± 2</t>
  </si>
  <si>
    <t>+170 ± 6</t>
  </si>
  <si>
    <t>+139 ± 10</t>
  </si>
  <si>
    <t>-46 ± 2</t>
  </si>
  <si>
    <t>+13 ± 4</t>
  </si>
  <si>
    <t>-165 ± 6</t>
  </si>
  <si>
    <t>-167 ± 7</t>
  </si>
  <si>
    <t>-155 ± 2</t>
  </si>
  <si>
    <t>-163 ± 5</t>
  </si>
  <si>
    <t>-147 ± 6</t>
  </si>
  <si>
    <t>aromatics &gt; 9 mg/L</t>
  </si>
  <si>
    <t>WELL B</t>
  </si>
  <si>
    <t>-131 ± 2</t>
  </si>
  <si>
    <t>-122 ± 10</t>
  </si>
  <si>
    <t>-134 ± 2</t>
  </si>
  <si>
    <t>-127 ± 3</t>
  </si>
  <si>
    <t>-138 ± 3</t>
  </si>
  <si>
    <t>-112 ± 8</t>
  </si>
  <si>
    <r>
      <t xml:space="preserve"> 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H-oX</t>
    </r>
  </si>
  <si>
    <t>-108 ± 3</t>
  </si>
  <si>
    <t>-101 ± 7</t>
  </si>
  <si>
    <t>-96 ± 3</t>
  </si>
  <si>
    <t>-100 ± 2</t>
  </si>
  <si>
    <t>-113 ± 2</t>
  </si>
  <si>
    <t>-129 ± 6</t>
  </si>
  <si>
    <t>-153 ± 4</t>
  </si>
  <si>
    <t>-155 ± 6</t>
  </si>
  <si>
    <t>-147 ± 9</t>
  </si>
  <si>
    <t>-109 ± 11</t>
  </si>
  <si>
    <t>-159 ± 6</t>
  </si>
  <si>
    <t>-89 ± 8</t>
  </si>
  <si>
    <t>-52 ± 3</t>
  </si>
  <si>
    <t>-49 ± 3</t>
  </si>
  <si>
    <t>-47 ± 8</t>
  </si>
  <si>
    <t>-56 ± 6</t>
  </si>
  <si>
    <t>-62 ± 4</t>
  </si>
  <si>
    <t>-25,5 ± 0,5</t>
  </si>
  <si>
    <t>-18,8 ± 0,6</t>
  </si>
  <si>
    <t>-16,9 ± 0,5</t>
  </si>
  <si>
    <t>-21,6 ± 0,6</t>
  </si>
  <si>
    <t>-24,3 ± 0,5</t>
  </si>
  <si>
    <t>-24,4 ± 0,5</t>
  </si>
  <si>
    <t xml:space="preserve"> -24,3 ± 0,5</t>
  </si>
  <si>
    <t>-25,4 ± 0,5</t>
  </si>
  <si>
    <t>-24,8 ± 0,5</t>
  </si>
  <si>
    <t>-25,2 ± 0,6</t>
  </si>
  <si>
    <t>-26,6 ± 0,5</t>
  </si>
  <si>
    <t>-24,0 ± 1,0</t>
  </si>
  <si>
    <t>-25,9 ± 0,5</t>
  </si>
  <si>
    <t>-25,6 ± 0,9</t>
  </si>
  <si>
    <t>Well B2</t>
  </si>
  <si>
    <t>Tar B2</t>
  </si>
  <si>
    <t>Tar C</t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</si>
  <si>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H-Benzeen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</si>
  <si>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H-Tolueen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</si>
  <si>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H-Ethylbenzeen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</si>
  <si>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H-m,p-Xyleen</t>
    </r>
  </si>
  <si>
    <r>
      <t xml:space="preserve"> 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H-o-Xyleen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</si>
  <si>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H-Indaan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</si>
  <si>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H-Naftaleen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</si>
  <si>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C-Benzeen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</si>
  <si>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C-Tolueen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</si>
  <si>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C-Ethylbenzeen</t>
    </r>
  </si>
  <si>
    <r>
      <rPr>
        <sz val="12"/>
        <color theme="1"/>
        <rFont val="Calibri"/>
        <family val="2"/>
      </rPr>
      <t>δ</t>
    </r>
    <r>
      <rPr>
        <vertAlign val="superscript"/>
        <sz val="12"/>
        <color theme="1"/>
        <rFont val="Calibri"/>
        <family val="2"/>
      </rPr>
      <t>13</t>
    </r>
    <r>
      <rPr>
        <sz val="12"/>
        <color theme="1"/>
        <rFont val="Calibri"/>
        <family val="2"/>
        <scheme val="minor"/>
      </rPr>
      <t>C-m,p-Xyleen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</si>
  <si>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C-o-Xyleen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</si>
  <si>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C-Indaan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</si>
  <si>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C-Naftaleen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</si>
  <si>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C-Indeen</t>
    </r>
  </si>
  <si>
    <t>(Griftpark_isotopen ook lambda van andere componenten)</t>
  </si>
  <si>
    <t xml:space="preserve">compound </t>
  </si>
  <si>
    <t>lambda</t>
  </si>
  <si>
    <t>R2</t>
  </si>
  <si>
    <t>pathway</t>
  </si>
  <si>
    <t>BENZENE</t>
  </si>
  <si>
    <t>TOLUENE</t>
  </si>
  <si>
    <t>ETHYLBENZENE</t>
  </si>
  <si>
    <t>MP XYLENE</t>
  </si>
  <si>
    <t>o XYLENE</t>
  </si>
  <si>
    <t>NAPHTHALENE</t>
  </si>
  <si>
    <t>unknown</t>
  </si>
  <si>
    <t>putative carboxylation</t>
  </si>
  <si>
    <t xml:space="preserve">unknown </t>
  </si>
  <si>
    <t>well B</t>
  </si>
  <si>
    <t>d C benzeen</t>
  </si>
  <si>
    <t>d H benzeen</t>
  </si>
  <si>
    <t>d C tolueen</t>
  </si>
  <si>
    <t>d H tolueen</t>
  </si>
  <si>
    <t>d C ethylbenzeen</t>
  </si>
  <si>
    <t>d H ethylbenzeen</t>
  </si>
  <si>
    <t>d C m,p Xyleen</t>
  </si>
  <si>
    <t>d H m,p Xyleen</t>
  </si>
  <si>
    <t>d C o Xyleen</t>
  </si>
  <si>
    <t>d H o Xyleen</t>
  </si>
  <si>
    <t>d C indaan</t>
  </si>
  <si>
    <t>d H indaan</t>
  </si>
  <si>
    <t>d C Naftaleen</t>
  </si>
  <si>
    <t>d H Naftaleen</t>
  </si>
  <si>
    <t>anaerobic fumarate addition</t>
  </si>
  <si>
    <t>toluene sulphate reducing Vogt 2008</t>
  </si>
  <si>
    <t>m/p xylene</t>
  </si>
  <si>
    <t>m xylene nitrate reducing Hermann 2009</t>
  </si>
  <si>
    <t>o xylene</t>
  </si>
  <si>
    <t>o xylene sulphate reducing Hermann 2009</t>
  </si>
  <si>
    <t>where little degradation is expected!</t>
  </si>
  <si>
    <t>Vogt 2008</t>
  </si>
  <si>
    <t>all together</t>
  </si>
  <si>
    <t>Λ</t>
  </si>
  <si>
    <t>Well B</t>
  </si>
  <si>
    <t>biodegradation percentage</t>
  </si>
  <si>
    <t>rates</t>
  </si>
  <si>
    <t>rate t1 per day</t>
  </si>
  <si>
    <t>half life t1 in years</t>
  </si>
  <si>
    <t>Peilbuis</t>
  </si>
  <si>
    <t>Met boringen in MIP gezien: Puur product van 26.5 tot 39m 
en van 47.5 tot 50.5</t>
  </si>
  <si>
    <t>δ13C</t>
  </si>
  <si>
    <t>δ2H</t>
  </si>
  <si>
    <t>Δt =  1 year</t>
  </si>
  <si>
    <t>epsilon values from vogt 2016</t>
  </si>
  <si>
    <t xml:space="preserve"> ε max</t>
  </si>
  <si>
    <t xml:space="preserve"> ε min</t>
  </si>
  <si>
    <t>Diepte</t>
  </si>
  <si>
    <t>low ε</t>
  </si>
  <si>
    <t>high ε</t>
  </si>
  <si>
    <t>rate (/day)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</si>
  <si>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</t>
    </r>
  </si>
  <si>
    <t>Diepte gemiddeld</t>
  </si>
  <si>
    <t>t1</t>
  </si>
  <si>
    <t xml:space="preserve"> Benzene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</si>
  <si>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</si>
  <si>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H-Toluene</t>
    </r>
  </si>
  <si>
    <t>t2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</si>
  <si>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</si>
  <si>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</t>
    </r>
  </si>
  <si>
    <t>Waterstof</t>
  </si>
  <si>
    <t>dl = concentratie &lt; detectielimiet</t>
  </si>
  <si>
    <t>t3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</si>
  <si>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</si>
  <si>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H-m,p-Xylene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</si>
  <si>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H-Benzeen</t>
    </r>
  </si>
  <si>
    <t>lichtst</t>
  </si>
  <si>
    <t>ln2</t>
  </si>
  <si>
    <t xml:space="preserve"> Toluene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</si>
  <si>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</si>
  <si>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H-o-Xylene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</si>
  <si>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H-Tolueen</t>
    </r>
  </si>
  <si>
    <t>significant zwaarder</t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</si>
  <si>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H-o-Xylene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</si>
  <si>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C-o-Xylene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</si>
  <si>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H-Naphthalene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</si>
  <si>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H-Ethylbenzeen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</si>
  <si>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H-Indane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</si>
  <si>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C-Indane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</si>
  <si>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H-m,p-Xyleen</t>
    </r>
  </si>
  <si>
    <t xml:space="preserve"> Ethylbenzene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</si>
  <si>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C-Naphthalene</t>
    </r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</si>
  <si>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H-o-Xyleen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</si>
  <si>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C-Indene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</si>
  <si>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H-Indaan</t>
    </r>
  </si>
  <si>
    <t>δ2H(t) = δ2H(0) + ε * ln (F)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</si>
  <si>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H-Naftaleen</t>
    </r>
  </si>
  <si>
    <t>F=e^((δ2H(t) - δ2H(0))/ε)</t>
  </si>
  <si>
    <t xml:space="preserve"> p/m-Xylene</t>
  </si>
  <si>
    <t>C(t)=C(0)*e^(-kt)</t>
  </si>
  <si>
    <r>
      <t>δ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H-Ethylbenzene</t>
    </r>
  </si>
  <si>
    <t>hydroxilation</t>
  </si>
  <si>
    <t>Koolstof</t>
  </si>
  <si>
    <t>B=C(t)/C(0)=(1-f)*100</t>
  </si>
  <si>
    <t>fumarate addition</t>
  </si>
  <si>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C-Benzeen</t>
    </r>
  </si>
  <si>
    <t>k= -(δ2H(t) - δ2H(0))/(ε*t)</t>
  </si>
  <si>
    <t xml:space="preserve"> o-Xylene</t>
  </si>
  <si>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C-Tolueen</t>
    </r>
  </si>
  <si>
    <t>Blum et al 2009</t>
  </si>
  <si>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C-Ethylbenzeen</t>
    </r>
  </si>
  <si>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C-m,p-Xyleen</t>
    </r>
  </si>
  <si>
    <t xml:space="preserve"> Naphthalene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</si>
  <si>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C-o-Xyleen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</si>
  <si>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C-Indaan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</si>
  <si>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C-Naftaleen</t>
    </r>
  </si>
  <si>
    <t>Total tar aromates (mg/L)</t>
  </si>
  <si>
    <t>diepte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</si>
  <si>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C-Indeen</t>
    </r>
  </si>
  <si>
    <t>Data</t>
  </si>
  <si>
    <t xml:space="preserve">lowest value </t>
  </si>
  <si>
    <t>best case</t>
  </si>
  <si>
    <t xml:space="preserve"> ε</t>
  </si>
  <si>
    <t xml:space="preserve">low </t>
  </si>
  <si>
    <t>worst case</t>
  </si>
  <si>
    <t>high</t>
  </si>
  <si>
    <t>unreacted fraction</t>
  </si>
  <si>
    <t>F  (ε min)</t>
  </si>
  <si>
    <t xml:space="preserve">best case ε </t>
  </si>
  <si>
    <t>B(%)</t>
  </si>
  <si>
    <t>B(%)  (ε min)</t>
  </si>
  <si>
    <t>worst case ε</t>
  </si>
  <si>
    <t>F  (ε max)</t>
  </si>
  <si>
    <t>B(%)  (ε max)</t>
  </si>
  <si>
    <t>range</t>
  </si>
  <si>
    <t>low</t>
  </si>
  <si>
    <t>lowest coal tar</t>
  </si>
  <si>
    <t>highest coal tar</t>
  </si>
  <si>
    <t>best</t>
  </si>
  <si>
    <t>least degraded</t>
  </si>
  <si>
    <t>worst</t>
  </si>
  <si>
    <t>most degraded</t>
  </si>
  <si>
    <t>extreme values</t>
  </si>
  <si>
    <t>average best</t>
  </si>
  <si>
    <t>average worst</t>
  </si>
  <si>
    <t>average values</t>
  </si>
  <si>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</si>
  <si>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</si>
  <si>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Concentration downstream (ug/L)</t>
  </si>
  <si>
    <t>Concentration underneath (ug/L)</t>
  </si>
  <si>
    <t>Concentration upstream (ug/L)</t>
  </si>
  <si>
    <t>Concentration downstream (mg/L)</t>
  </si>
  <si>
    <t>Concentration underneath (mg/L)</t>
  </si>
  <si>
    <t>Concentration upstream (mg/L)</t>
  </si>
  <si>
    <t>2nd aquifer</t>
  </si>
  <si>
    <t>A (65,5)</t>
  </si>
  <si>
    <t>60 (72,0)</t>
  </si>
  <si>
    <t>B (64,0)</t>
  </si>
  <si>
    <t>B2 (65,5)</t>
  </si>
  <si>
    <t>BW157 (65,0)</t>
  </si>
  <si>
    <t>labcode</t>
  </si>
  <si>
    <t>Boring / Filter</t>
  </si>
  <si>
    <t>uMol Sulfide</t>
  </si>
  <si>
    <t>Sulfate (mg/l)</t>
  </si>
  <si>
    <t>Nitrite (mg/l)</t>
  </si>
  <si>
    <t>Nitrate (mg/l)</t>
  </si>
  <si>
    <t>2021-039-001</t>
  </si>
  <si>
    <t>101a / 1</t>
  </si>
  <si>
    <t>Sulfate</t>
  </si>
  <si>
    <t>2021-039-002</t>
  </si>
  <si>
    <t>101a / 2</t>
  </si>
  <si>
    <t>Nitrate</t>
  </si>
  <si>
    <t>2021-039-003</t>
  </si>
  <si>
    <t>101a / 3</t>
  </si>
  <si>
    <t>2021-039-004</t>
  </si>
  <si>
    <t>101a / 4</t>
  </si>
  <si>
    <t>Location</t>
  </si>
  <si>
    <t>Well (depth m-bgl)</t>
  </si>
  <si>
    <t>Total BTEXIIN (mg/L)</t>
  </si>
  <si>
    <t>Nitrate (mg/L)</t>
  </si>
  <si>
    <t>2021-039-005</t>
  </si>
  <si>
    <t>101a / 5</t>
  </si>
  <si>
    <t>bdl</t>
  </si>
  <si>
    <t>2021-039-006</t>
  </si>
  <si>
    <t>101a / 6</t>
  </si>
  <si>
    <t>Concentration below (mg/L)</t>
  </si>
  <si>
    <t>2021-039-007</t>
  </si>
  <si>
    <t>101a / 7</t>
  </si>
  <si>
    <t>2021-039-008</t>
  </si>
  <si>
    <t>101 / 1</t>
  </si>
  <si>
    <t>2021-039-009</t>
  </si>
  <si>
    <t>101 / 2</t>
  </si>
  <si>
    <t>2021-039-010</t>
  </si>
  <si>
    <t>101 / 3</t>
  </si>
  <si>
    <t>101 (averaged)</t>
  </si>
  <si>
    <t>2021-039-011</t>
  </si>
  <si>
    <t>101 / 4</t>
  </si>
  <si>
    <t>102 (averaged)</t>
  </si>
  <si>
    <t>2021-039-012</t>
  </si>
  <si>
    <t>101 / 5</t>
  </si>
  <si>
    <t>103 (averaged)</t>
  </si>
  <si>
    <t>2021-039-013</t>
  </si>
  <si>
    <t>101 / 6</t>
  </si>
  <si>
    <t>Naphtalene</t>
  </si>
  <si>
    <t>2021-039-014</t>
  </si>
  <si>
    <t>101 / 7</t>
  </si>
  <si>
    <t>2021-039-015</t>
  </si>
  <si>
    <t>102 / 1</t>
  </si>
  <si>
    <t>2021-039-016</t>
  </si>
  <si>
    <t>102 / 2</t>
  </si>
  <si>
    <t>2021-039-017</t>
  </si>
  <si>
    <t>102 / 3</t>
  </si>
  <si>
    <t>2021-039-018</t>
  </si>
  <si>
    <t>102 / 4</t>
  </si>
  <si>
    <t>data uit: Griftpark grondwater_SF</t>
  </si>
  <si>
    <t>2021-039-019</t>
  </si>
  <si>
    <t>102 / 5</t>
  </si>
  <si>
    <t>2021-039 Griftpark_JG1_EAsWVP2</t>
  </si>
  <si>
    <t>2021-039-020</t>
  </si>
  <si>
    <t>102 / 6</t>
  </si>
  <si>
    <t>teer_20210909-grondwateranalyses-week35-2021</t>
  </si>
  <si>
    <t>2021-039-021</t>
  </si>
  <si>
    <t>102 / 7</t>
  </si>
  <si>
    <t>2021-039-022</t>
  </si>
  <si>
    <t>102 / 8</t>
  </si>
  <si>
    <t>2021-039-023</t>
  </si>
  <si>
    <t>102 / 9</t>
  </si>
  <si>
    <t>2021-039-024</t>
  </si>
  <si>
    <t>102a / 1</t>
  </si>
  <si>
    <t>2021-039-025</t>
  </si>
  <si>
    <t>102a / 2</t>
  </si>
  <si>
    <t>2021-039-026</t>
  </si>
  <si>
    <t>102a / 3</t>
  </si>
  <si>
    <t>2021-039-027</t>
  </si>
  <si>
    <t>102a / 4</t>
  </si>
  <si>
    <t>2021-039-028</t>
  </si>
  <si>
    <t>102a / 5</t>
  </si>
  <si>
    <t>2021-039-029</t>
  </si>
  <si>
    <t>102a / 6</t>
  </si>
  <si>
    <t>2021-039-030</t>
  </si>
  <si>
    <t>102a / 7</t>
  </si>
  <si>
    <t>2021-039-031</t>
  </si>
  <si>
    <t>103 / 1</t>
  </si>
  <si>
    <t>2021-039-032</t>
  </si>
  <si>
    <t>103 / 2</t>
  </si>
  <si>
    <t>2021-039-033</t>
  </si>
  <si>
    <t>103 / 3</t>
  </si>
  <si>
    <t>2021-039-034</t>
  </si>
  <si>
    <t>103 / 4</t>
  </si>
  <si>
    <t>2021-039-035</t>
  </si>
  <si>
    <t>103 / 5</t>
  </si>
  <si>
    <t>&lt; -0.28</t>
  </si>
  <si>
    <t>n.a.</t>
  </si>
  <si>
    <t>2021-039-036</t>
  </si>
  <si>
    <t>103 / 6</t>
  </si>
  <si>
    <t>2021-039-037</t>
  </si>
  <si>
    <t>103 / 7</t>
  </si>
  <si>
    <t>2021-039-038</t>
  </si>
  <si>
    <t>103 / 8</t>
  </si>
  <si>
    <t>2021-039-039</t>
  </si>
  <si>
    <t xml:space="preserve">60 / </t>
  </si>
  <si>
    <t>2021-039-040</t>
  </si>
  <si>
    <t xml:space="preserve">56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</si>
</sst>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E+00"/>
    <numFmt numFmtId="168" formatCode="0.00.E+00"/>
    <numFmt numFmtId="169" formatCode="#,##0.000"/>
  </numFmts>
  <fonts count="5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3.7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sz val="8"/>
      <color theme="0" tint="-0.249977111117893"/>
      <name val="Calibri"/>
      <family val="2"/>
      <scheme val="minor"/>
    </font>
    <font>
      <sz val="10"/>
      <color rgb="FF000000"/>
      <name val="Arial"/>
      <family val="2"/>
    </font>
    <font>
      <sz val="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indexed="8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12121"/>
      <name val="Segoe UI"/>
      <family val="2"/>
    </font>
    <font>
      <sz val="11"/>
      <color theme="9"/>
      <name val="Calibri"/>
      <family val="2"/>
      <scheme val="minor"/>
    </font>
    <font>
      <b/>
      <sz val="48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9" fillId="0" borderId="0"/>
    <xf numFmtId="0" fontId="31" fillId="0" borderId="0"/>
    <xf numFmtId="0" fontId="9" fillId="0" borderId="0"/>
    <xf numFmtId="0" fontId="35" fillId="0" borderId="0"/>
    <xf numFmtId="9" fontId="34" fillId="0" borderId="0" applyFont="0" applyFill="0" applyBorder="0" applyAlignment="0" applyProtection="0"/>
  </cellStyleXfs>
  <cellXfs count="63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/>
    <xf numFmtId="164" fontId="4" fillId="0" borderId="5" xfId="0" applyNumberFormat="1" applyFont="1" applyBorder="1"/>
    <xf numFmtId="1" fontId="4" fillId="0" borderId="2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" fontId="4" fillId="0" borderId="4" xfId="0" applyNumberFormat="1" applyFont="1" applyBorder="1"/>
    <xf numFmtId="0" fontId="4" fillId="0" borderId="7" xfId="0" applyFont="1" applyBorder="1"/>
    <xf numFmtId="164" fontId="4" fillId="0" borderId="7" xfId="0" applyNumberFormat="1" applyFont="1" applyBorder="1"/>
    <xf numFmtId="1" fontId="4" fillId="0" borderId="3" xfId="0" applyNumberFormat="1" applyFont="1" applyBorder="1"/>
    <xf numFmtId="0" fontId="4" fillId="0" borderId="0" xfId="0" applyFont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0" fontId="4" fillId="0" borderId="7" xfId="0" applyFont="1" applyBorder="1" applyAlignment="1">
      <alignment horizontal="left"/>
    </xf>
    <xf numFmtId="0" fontId="3" fillId="0" borderId="0" xfId="0" applyFont="1"/>
    <xf numFmtId="164" fontId="0" fillId="0" borderId="0" xfId="0" applyNumberFormat="1"/>
    <xf numFmtId="0" fontId="0" fillId="0" borderId="5" xfId="0" applyBorder="1"/>
    <xf numFmtId="1" fontId="0" fillId="0" borderId="0" xfId="0" applyNumberFormat="1"/>
    <xf numFmtId="0" fontId="0" fillId="0" borderId="7" xfId="0" applyBorder="1"/>
    <xf numFmtId="0" fontId="0" fillId="0" borderId="6" xfId="0" applyBorder="1"/>
    <xf numFmtId="0" fontId="0" fillId="0" borderId="8" xfId="0" applyBorder="1"/>
    <xf numFmtId="164" fontId="0" fillId="0" borderId="8" xfId="0" applyNumberFormat="1" applyBorder="1"/>
    <xf numFmtId="1" fontId="0" fillId="0" borderId="10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2" fontId="0" fillId="0" borderId="0" xfId="0" applyNumberFormat="1"/>
    <xf numFmtId="1" fontId="0" fillId="0" borderId="8" xfId="0" applyNumberFormat="1" applyBorder="1"/>
    <xf numFmtId="1" fontId="0" fillId="3" borderId="0" xfId="0" applyNumberFormat="1" applyFill="1"/>
    <xf numFmtId="1" fontId="0" fillId="3" borderId="8" xfId="0" applyNumberFormat="1" applyFill="1" applyBorder="1"/>
    <xf numFmtId="1" fontId="0" fillId="3" borderId="11" xfId="0" applyNumberFormat="1" applyFill="1" applyBorder="1"/>
    <xf numFmtId="0" fontId="3" fillId="4" borderId="0" xfId="0" applyFont="1" applyFill="1"/>
    <xf numFmtId="0" fontId="3" fillId="4" borderId="8" xfId="0" applyFont="1" applyFill="1" applyBorder="1"/>
    <xf numFmtId="0" fontId="3" fillId="4" borderId="11" xfId="0" applyFont="1" applyFill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9" xfId="0" applyBorder="1"/>
    <xf numFmtId="1" fontId="0" fillId="0" borderId="9" xfId="0" applyNumberFormat="1" applyBorder="1"/>
    <xf numFmtId="1" fontId="0" fillId="3" borderId="10" xfId="0" applyNumberFormat="1" applyFill="1" applyBorder="1"/>
    <xf numFmtId="1" fontId="0" fillId="3" borderId="9" xfId="0" applyNumberFormat="1" applyFill="1" applyBorder="1"/>
    <xf numFmtId="1" fontId="0" fillId="3" borderId="12" xfId="0" applyNumberFormat="1" applyFill="1" applyBorder="1"/>
    <xf numFmtId="166" fontId="0" fillId="0" borderId="0" xfId="0" applyNumberFormat="1"/>
    <xf numFmtId="0" fontId="3" fillId="0" borderId="5" xfId="0" applyFont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6" xfId="0" applyFont="1" applyFill="1" applyBorder="1"/>
    <xf numFmtId="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164" fontId="0" fillId="0" borderId="11" xfId="0" applyNumberFormat="1" applyBorder="1"/>
    <xf numFmtId="0" fontId="6" fillId="0" borderId="13" xfId="0" applyFont="1" applyBorder="1" applyAlignment="1">
      <alignment wrapText="1"/>
    </xf>
    <xf numFmtId="49" fontId="6" fillId="0" borderId="14" xfId="0" applyNumberFormat="1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7" fillId="0" borderId="16" xfId="1" applyFont="1" applyFill="1" applyBorder="1" applyAlignment="1">
      <alignment wrapText="1"/>
    </xf>
    <xf numFmtId="49" fontId="7" fillId="0" borderId="0" xfId="1" applyNumberFormat="1" applyFont="1" applyFill="1" applyBorder="1" applyAlignment="1">
      <alignment wrapText="1"/>
    </xf>
    <xf numFmtId="0" fontId="7" fillId="0" borderId="17" xfId="1" applyFont="1" applyFill="1" applyBorder="1" applyAlignment="1">
      <alignment horizontal="center" wrapText="1"/>
    </xf>
    <xf numFmtId="0" fontId="7" fillId="0" borderId="16" xfId="0" applyFont="1" applyBorder="1" applyAlignment="1">
      <alignment wrapText="1"/>
    </xf>
    <xf numFmtId="49" fontId="7" fillId="0" borderId="0" xfId="0" applyNumberFormat="1" applyFont="1" applyAlignment="1">
      <alignment wrapText="1"/>
    </xf>
    <xf numFmtId="0" fontId="7" fillId="0" borderId="17" xfId="0" applyFont="1" applyBorder="1" applyAlignment="1">
      <alignment horizontal="center" wrapText="1"/>
    </xf>
    <xf numFmtId="165" fontId="7" fillId="0" borderId="16" xfId="1" applyNumberFormat="1" applyFont="1" applyFill="1" applyBorder="1" applyAlignment="1">
      <alignment wrapText="1"/>
    </xf>
    <xf numFmtId="0" fontId="7" fillId="0" borderId="18" xfId="1" applyFont="1" applyFill="1" applyBorder="1" applyAlignment="1">
      <alignment wrapText="1"/>
    </xf>
    <xf numFmtId="49" fontId="7" fillId="0" borderId="19" xfId="1" applyNumberFormat="1" applyFont="1" applyFill="1" applyBorder="1" applyAlignment="1">
      <alignment wrapText="1"/>
    </xf>
    <xf numFmtId="0" fontId="7" fillId="0" borderId="20" xfId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1" fontId="9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8" xfId="0" applyFont="1" applyBorder="1" applyAlignment="1">
      <alignment wrapText="1"/>
    </xf>
    <xf numFmtId="1" fontId="2" fillId="0" borderId="0" xfId="0" applyNumberFormat="1" applyFont="1"/>
    <xf numFmtId="1" fontId="2" fillId="0" borderId="11" xfId="0" applyNumberFormat="1" applyFont="1" applyBorder="1"/>
    <xf numFmtId="164" fontId="0" fillId="0" borderId="0" xfId="0" applyNumberFormat="1" applyAlignment="1">
      <alignment wrapText="1"/>
    </xf>
    <xf numFmtId="0" fontId="10" fillId="0" borderId="8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11" fontId="11" fillId="0" borderId="0" xfId="0" applyNumberFormat="1" applyFont="1" applyAlignment="1">
      <alignment horizontal="center"/>
    </xf>
    <xf numFmtId="11" fontId="9" fillId="0" borderId="11" xfId="0" applyNumberFormat="1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11" fillId="0" borderId="11" xfId="0" applyNumberFormat="1" applyFont="1" applyBorder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1" xfId="0" applyFont="1" applyBorder="1"/>
    <xf numFmtId="164" fontId="0" fillId="0" borderId="1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2" xfId="0" applyBorder="1" applyAlignment="1">
      <alignment horizontal="center"/>
    </xf>
    <xf numFmtId="2" fontId="0" fillId="0" borderId="1" xfId="0" applyNumberFormat="1" applyBorder="1" applyAlignment="1">
      <alignment wrapText="1"/>
    </xf>
    <xf numFmtId="0" fontId="0" fillId="0" borderId="8" xfId="0" applyBorder="1" applyAlignment="1">
      <alignment horizontal="center"/>
    </xf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0" xfId="0" applyAlignment="1">
      <alignment horizontal="left" vertical="center"/>
    </xf>
    <xf numFmtId="0" fontId="0" fillId="5" borderId="0" xfId="0" applyFill="1"/>
    <xf numFmtId="0" fontId="0" fillId="0" borderId="16" xfId="0" applyBorder="1" applyAlignment="1">
      <alignment horizontal="left" vertical="center"/>
    </xf>
    <xf numFmtId="164" fontId="0" fillId="0" borderId="19" xfId="0" applyNumberFormat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16" xfId="0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27" xfId="0" applyFont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0" borderId="0" xfId="0" applyFont="1"/>
    <xf numFmtId="0" fontId="0" fillId="0" borderId="25" xfId="0" applyBorder="1"/>
    <xf numFmtId="0" fontId="0" fillId="0" borderId="24" xfId="0" applyBorder="1"/>
    <xf numFmtId="0" fontId="4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23" fillId="0" borderId="11" xfId="0" applyFont="1" applyBorder="1"/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5" fontId="0" fillId="0" borderId="0" xfId="0" applyNumberFormat="1"/>
    <xf numFmtId="0" fontId="0" fillId="0" borderId="18" xfId="0" applyBorder="1"/>
    <xf numFmtId="0" fontId="0" fillId="0" borderId="19" xfId="0" applyBorder="1"/>
    <xf numFmtId="1" fontId="0" fillId="0" borderId="19" xfId="0" applyNumberFormat="1" applyBorder="1"/>
    <xf numFmtId="0" fontId="0" fillId="0" borderId="25" xfId="0" applyBorder="1" applyAlignment="1">
      <alignment wrapText="1"/>
    </xf>
    <xf numFmtId="1" fontId="0" fillId="0" borderId="24" xfId="0" applyNumberFormat="1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7" xfId="0" applyBorder="1"/>
    <xf numFmtId="0" fontId="0" fillId="0" borderId="17" xfId="0" applyBorder="1" applyAlignment="1">
      <alignment wrapText="1"/>
    </xf>
    <xf numFmtId="0" fontId="2" fillId="0" borderId="17" xfId="0" applyFont="1" applyBorder="1"/>
    <xf numFmtId="164" fontId="0" fillId="0" borderId="27" xfId="0" applyNumberFormat="1" applyBorder="1"/>
    <xf numFmtId="0" fontId="22" fillId="0" borderId="27" xfId="0" applyFont="1" applyBorder="1" applyAlignment="1">
      <alignment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64" fontId="22" fillId="0" borderId="16" xfId="0" applyNumberFormat="1" applyFont="1" applyBorder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0" fontId="22" fillId="0" borderId="27" xfId="0" applyFont="1" applyBorder="1" applyAlignment="1">
      <alignment vertical="center"/>
    </xf>
    <xf numFmtId="0" fontId="5" fillId="0" borderId="24" xfId="0" applyFont="1" applyBorder="1"/>
    <xf numFmtId="0" fontId="5" fillId="0" borderId="25" xfId="0" applyFont="1" applyBorder="1"/>
    <xf numFmtId="0" fontId="5" fillId="0" borderId="2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2" fillId="0" borderId="16" xfId="0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2" fontId="0" fillId="3" borderId="10" xfId="0" applyNumberFormat="1" applyFill="1" applyBorder="1"/>
    <xf numFmtId="2" fontId="0" fillId="3" borderId="9" xfId="0" applyNumberFormat="1" applyFill="1" applyBorder="1"/>
    <xf numFmtId="2" fontId="0" fillId="3" borderId="12" xfId="0" applyNumberFormat="1" applyFill="1" applyBorder="1"/>
    <xf numFmtId="0" fontId="10" fillId="0" borderId="0" xfId="0" applyFont="1" applyAlignment="1">
      <alignment horizontal="center" wrapText="1"/>
    </xf>
    <xf numFmtId="0" fontId="22" fillId="7" borderId="0" xfId="0" applyFont="1" applyFill="1"/>
    <xf numFmtId="0" fontId="0" fillId="7" borderId="0" xfId="0" applyFill="1" applyAlignment="1">
      <alignment wrapText="1"/>
    </xf>
    <xf numFmtId="1" fontId="0" fillId="7" borderId="11" xfId="0" applyNumberFormat="1" applyFill="1" applyBorder="1"/>
    <xf numFmtId="1" fontId="0" fillId="7" borderId="0" xfId="0" applyNumberFormat="1" applyFill="1"/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64" fontId="22" fillId="11" borderId="0" xfId="0" applyNumberFormat="1" applyFont="1" applyFill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22" fillId="9" borderId="39" xfId="0" applyFont="1" applyFill="1" applyBorder="1" applyAlignment="1">
      <alignment horizontal="left" vertical="center"/>
    </xf>
    <xf numFmtId="0" fontId="22" fillId="10" borderId="39" xfId="0" applyFont="1" applyFill="1" applyBorder="1" applyAlignment="1">
      <alignment horizontal="left" vertical="center"/>
    </xf>
    <xf numFmtId="164" fontId="22" fillId="11" borderId="40" xfId="0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0" xfId="0" applyFont="1"/>
    <xf numFmtId="0" fontId="22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6" xfId="0" applyFont="1" applyBorder="1"/>
    <xf numFmtId="0" fontId="5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/>
    <xf numFmtId="164" fontId="5" fillId="0" borderId="18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quotePrefix="1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4" fillId="0" borderId="8" xfId="0" applyFont="1" applyBorder="1"/>
    <xf numFmtId="0" fontId="4" fillId="0" borderId="11" xfId="0" applyFont="1" applyBorder="1"/>
    <xf numFmtId="0" fontId="0" fillId="12" borderId="0" xfId="0" applyFill="1"/>
    <xf numFmtId="0" fontId="0" fillId="12" borderId="8" xfId="0" applyFill="1" applyBorder="1"/>
    <xf numFmtId="0" fontId="27" fillId="0" borderId="32" xfId="0" applyFont="1" applyBorder="1" applyAlignment="1">
      <alignment wrapText="1"/>
    </xf>
    <xf numFmtId="0" fontId="27" fillId="0" borderId="24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28" fillId="0" borderId="35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35" xfId="0" applyFont="1" applyBorder="1" applyAlignment="1">
      <alignment wrapText="1"/>
    </xf>
    <xf numFmtId="164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27" fillId="0" borderId="33" xfId="0" applyNumberFormat="1" applyFont="1" applyBorder="1" applyAlignment="1">
      <alignment wrapText="1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0" fontId="27" fillId="0" borderId="43" xfId="0" applyFont="1" applyBorder="1" applyAlignment="1">
      <alignment wrapText="1"/>
    </xf>
    <xf numFmtId="164" fontId="4" fillId="0" borderId="22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28" fillId="0" borderId="35" xfId="0" applyFont="1" applyBorder="1"/>
    <xf numFmtId="14" fontId="27" fillId="0" borderId="35" xfId="0" applyNumberFormat="1" applyFont="1" applyBorder="1"/>
    <xf numFmtId="2" fontId="4" fillId="0" borderId="0" xfId="0" applyNumberFormat="1" applyFont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4" fontId="27" fillId="0" borderId="33" xfId="0" applyNumberFormat="1" applyFont="1" applyBorder="1"/>
    <xf numFmtId="164" fontId="4" fillId="0" borderId="12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0" fontId="3" fillId="0" borderId="35" xfId="0" applyFont="1" applyBorder="1"/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3" fillId="0" borderId="36" xfId="0" applyFont="1" applyBorder="1"/>
    <xf numFmtId="166" fontId="0" fillId="0" borderId="19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29" fillId="0" borderId="22" xfId="0" applyFont="1" applyBorder="1" applyAlignment="1">
      <alignment horizontal="center" wrapText="1"/>
    </xf>
    <xf numFmtId="0" fontId="29" fillId="0" borderId="24" xfId="0" applyFont="1" applyBorder="1" applyAlignment="1">
      <alignment horizontal="center" wrapText="1"/>
    </xf>
    <xf numFmtId="11" fontId="0" fillId="0" borderId="19" xfId="0" applyNumberFormat="1" applyBorder="1" applyAlignment="1">
      <alignment horizontal="center"/>
    </xf>
    <xf numFmtId="11" fontId="9" fillId="0" borderId="19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11" fontId="9" fillId="0" borderId="17" xfId="0" applyNumberFormat="1" applyFont="1" applyBorder="1" applyAlignment="1">
      <alignment horizontal="center"/>
    </xf>
    <xf numFmtId="0" fontId="0" fillId="3" borderId="0" xfId="0" applyFill="1"/>
    <xf numFmtId="11" fontId="0" fillId="0" borderId="0" xfId="0" applyNumberFormat="1"/>
    <xf numFmtId="164" fontId="2" fillId="0" borderId="0" xfId="0" applyNumberFormat="1" applyFont="1"/>
    <xf numFmtId="0" fontId="0" fillId="13" borderId="0" xfId="0" applyFill="1"/>
    <xf numFmtId="0" fontId="0" fillId="13" borderId="11" xfId="0" applyFill="1" applyBorder="1"/>
    <xf numFmtId="164" fontId="0" fillId="13" borderId="0" xfId="0" applyNumberFormat="1" applyFill="1"/>
    <xf numFmtId="164" fontId="0" fillId="13" borderId="11" xfId="0" applyNumberFormat="1" applyFill="1" applyBorder="1"/>
    <xf numFmtId="1" fontId="2" fillId="3" borderId="10" xfId="0" applyNumberFormat="1" applyFont="1" applyFill="1" applyBorder="1"/>
    <xf numFmtId="0" fontId="0" fillId="14" borderId="0" xfId="0" applyFill="1"/>
    <xf numFmtId="0" fontId="0" fillId="15" borderId="0" xfId="0" applyFill="1"/>
    <xf numFmtId="1" fontId="0" fillId="0" borderId="8" xfId="0" applyNumberFormat="1" applyBorder="1" applyAlignment="1">
      <alignment wrapText="1"/>
    </xf>
    <xf numFmtId="0" fontId="30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8" xfId="0" quotePrefix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5" fillId="0" borderId="29" xfId="0" quotePrefix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19" xfId="0" quotePrefix="1" applyNumberFormat="1" applyFont="1" applyBorder="1" applyAlignment="1">
      <alignment horizontal="center" vertical="center"/>
    </xf>
    <xf numFmtId="164" fontId="5" fillId="16" borderId="20" xfId="0" quotePrefix="1" applyNumberFormat="1" applyFont="1" applyFill="1" applyBorder="1" applyAlignment="1">
      <alignment horizontal="center" vertical="center"/>
    </xf>
    <xf numFmtId="0" fontId="5" fillId="0" borderId="24" xfId="0" quotePrefix="1" applyFont="1" applyBorder="1" applyAlignment="1">
      <alignment horizontal="center" vertical="center"/>
    </xf>
    <xf numFmtId="0" fontId="5" fillId="0" borderId="25" xfId="0" quotePrefix="1" applyFont="1" applyBorder="1" applyAlignment="1">
      <alignment horizontal="center" vertical="center"/>
    </xf>
    <xf numFmtId="0" fontId="36" fillId="0" borderId="0" xfId="2" applyFont="1"/>
    <xf numFmtId="1" fontId="36" fillId="0" borderId="0" xfId="2" applyNumberFormat="1" applyFont="1" applyAlignment="1">
      <alignment horizontal="center"/>
    </xf>
    <xf numFmtId="0" fontId="36" fillId="0" borderId="0" xfId="2" applyFont="1" applyAlignment="1">
      <alignment horizontal="left"/>
    </xf>
    <xf numFmtId="0" fontId="9" fillId="0" borderId="0" xfId="2"/>
    <xf numFmtId="165" fontId="9" fillId="0" borderId="0" xfId="2" applyNumberFormat="1"/>
    <xf numFmtId="165" fontId="0" fillId="0" borderId="0" xfId="0" applyNumberFormat="1" applyAlignment="1">
      <alignment horizontal="left"/>
    </xf>
    <xf numFmtId="165" fontId="2" fillId="0" borderId="0" xfId="0" applyNumberFormat="1" applyFont="1"/>
    <xf numFmtId="0" fontId="2" fillId="0" borderId="0" xfId="2" applyFont="1"/>
    <xf numFmtId="1" fontId="2" fillId="0" borderId="0" xfId="0" applyNumberFormat="1" applyFont="1" applyAlignment="1">
      <alignment horizontal="center"/>
    </xf>
    <xf numFmtId="165" fontId="2" fillId="0" borderId="0" xfId="2" applyNumberFormat="1" applyFont="1"/>
    <xf numFmtId="165" fontId="2" fillId="0" borderId="0" xfId="0" applyNumberFormat="1" applyFont="1" applyAlignment="1">
      <alignment horizontal="left"/>
    </xf>
    <xf numFmtId="0" fontId="4" fillId="0" borderId="0" xfId="2" applyFont="1"/>
    <xf numFmtId="165" fontId="2" fillId="0" borderId="0" xfId="2" quotePrefix="1" applyNumberFormat="1" applyFont="1" applyAlignment="1">
      <alignment horizontal="left"/>
    </xf>
    <xf numFmtId="165" fontId="2" fillId="0" borderId="0" xfId="2" applyNumberFormat="1" applyFont="1" applyAlignment="1">
      <alignment horizontal="left"/>
    </xf>
    <xf numFmtId="165" fontId="9" fillId="0" borderId="0" xfId="2" applyNumberFormat="1" applyAlignment="1">
      <alignment horizontal="left"/>
    </xf>
    <xf numFmtId="0" fontId="0" fillId="0" borderId="0" xfId="2" applyFont="1"/>
    <xf numFmtId="0" fontId="34" fillId="0" borderId="0" xfId="2" applyFont="1"/>
    <xf numFmtId="165" fontId="4" fillId="0" borderId="0" xfId="0" applyNumberFormat="1" applyFont="1"/>
    <xf numFmtId="0" fontId="38" fillId="0" borderId="0" xfId="2" applyFont="1"/>
    <xf numFmtId="165" fontId="4" fillId="0" borderId="0" xfId="0" applyNumberFormat="1" applyFont="1" applyAlignment="1">
      <alignment horizontal="left"/>
    </xf>
    <xf numFmtId="0" fontId="9" fillId="0" borderId="0" xfId="2" applyAlignment="1">
      <alignment horizontal="left"/>
    </xf>
    <xf numFmtId="49" fontId="0" fillId="0" borderId="0" xfId="0" applyNumberFormat="1"/>
    <xf numFmtId="0" fontId="40" fillId="0" borderId="0" xfId="0" applyFont="1"/>
    <xf numFmtId="164" fontId="0" fillId="0" borderId="10" xfId="0" applyNumberFormat="1" applyBorder="1"/>
    <xf numFmtId="0" fontId="3" fillId="0" borderId="8" xfId="0" applyFont="1" applyBorder="1"/>
    <xf numFmtId="0" fontId="3" fillId="0" borderId="11" xfId="0" applyFont="1" applyBorder="1"/>
    <xf numFmtId="164" fontId="0" fillId="0" borderId="7" xfId="0" applyNumberFormat="1" applyBorder="1"/>
    <xf numFmtId="0" fontId="3" fillId="0" borderId="6" xfId="0" applyFont="1" applyBorder="1"/>
    <xf numFmtId="0" fontId="3" fillId="0" borderId="7" xfId="0" applyFont="1" applyBorder="1"/>
    <xf numFmtId="0" fontId="3" fillId="0" borderId="27" xfId="0" applyFont="1" applyBorder="1"/>
    <xf numFmtId="0" fontId="0" fillId="0" borderId="41" xfId="0" applyBorder="1"/>
    <xf numFmtId="164" fontId="0" fillId="0" borderId="25" xfId="0" applyNumberFormat="1" applyBorder="1"/>
    <xf numFmtId="0" fontId="3" fillId="0" borderId="16" xfId="0" applyFont="1" applyBorder="1"/>
    <xf numFmtId="164" fontId="0" fillId="0" borderId="17" xfId="0" applyNumberFormat="1" applyBorder="1"/>
    <xf numFmtId="0" fontId="3" fillId="0" borderId="18" xfId="0" applyFont="1" applyBorder="1"/>
    <xf numFmtId="0" fontId="0" fillId="0" borderId="45" xfId="0" applyBorder="1"/>
    <xf numFmtId="164" fontId="0" fillId="0" borderId="37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4" fillId="0" borderId="24" xfId="0" applyFont="1" applyBorder="1"/>
    <xf numFmtId="0" fontId="4" fillId="0" borderId="41" xfId="0" applyFont="1" applyBorder="1"/>
    <xf numFmtId="164" fontId="3" fillId="0" borderId="46" xfId="0" applyNumberFormat="1" applyFont="1" applyBorder="1"/>
    <xf numFmtId="164" fontId="3" fillId="0" borderId="7" xfId="0" applyNumberFormat="1" applyFont="1" applyBorder="1"/>
    <xf numFmtId="0" fontId="0" fillId="0" borderId="2" xfId="0" applyBorder="1"/>
    <xf numFmtId="164" fontId="3" fillId="0" borderId="0" xfId="0" applyNumberFormat="1" applyFont="1"/>
    <xf numFmtId="164" fontId="0" fillId="0" borderId="6" xfId="0" applyNumberFormat="1" applyBorder="1"/>
    <xf numFmtId="164" fontId="3" fillId="0" borderId="24" xfId="0" applyNumberFormat="1" applyFont="1" applyBorder="1"/>
    <xf numFmtId="164" fontId="0" fillId="0" borderId="24" xfId="0" applyNumberFormat="1" applyBorder="1"/>
    <xf numFmtId="164" fontId="3" fillId="0" borderId="19" xfId="0" applyNumberFormat="1" applyFont="1" applyBorder="1"/>
    <xf numFmtId="0" fontId="27" fillId="0" borderId="0" xfId="0" applyFont="1"/>
    <xf numFmtId="164" fontId="2" fillId="0" borderId="6" xfId="0" applyNumberFormat="1" applyFont="1" applyBorder="1"/>
    <xf numFmtId="0" fontId="17" fillId="0" borderId="18" xfId="0" applyFont="1" applyBorder="1"/>
    <xf numFmtId="0" fontId="2" fillId="0" borderId="19" xfId="0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2" fillId="0" borderId="45" xfId="0" applyFont="1" applyBorder="1"/>
    <xf numFmtId="164" fontId="17" fillId="0" borderId="19" xfId="0" applyNumberFormat="1" applyFont="1" applyBorder="1"/>
    <xf numFmtId="164" fontId="38" fillId="0" borderId="7" xfId="0" applyNumberFormat="1" applyFont="1" applyBorder="1"/>
    <xf numFmtId="0" fontId="21" fillId="0" borderId="16" xfId="0" applyFont="1" applyBorder="1"/>
    <xf numFmtId="0" fontId="38" fillId="0" borderId="0" xfId="0" applyFont="1"/>
    <xf numFmtId="164" fontId="38" fillId="0" borderId="0" xfId="0" applyNumberFormat="1" applyFont="1"/>
    <xf numFmtId="164" fontId="21" fillId="0" borderId="0" xfId="0" applyNumberFormat="1" applyFont="1"/>
    <xf numFmtId="164" fontId="38" fillId="0" borderId="17" xfId="0" applyNumberFormat="1" applyFont="1" applyBorder="1"/>
    <xf numFmtId="0" fontId="38" fillId="0" borderId="10" xfId="0" applyFont="1" applyBorder="1"/>
    <xf numFmtId="0" fontId="38" fillId="0" borderId="24" xfId="0" applyFont="1" applyBorder="1"/>
    <xf numFmtId="164" fontId="21" fillId="0" borderId="24" xfId="0" applyNumberFormat="1" applyFont="1" applyBorder="1"/>
    <xf numFmtId="164" fontId="38" fillId="0" borderId="24" xfId="0" applyNumberFormat="1" applyFont="1" applyBorder="1"/>
    <xf numFmtId="164" fontId="38" fillId="0" borderId="25" xfId="0" applyNumberFormat="1" applyFont="1" applyBorder="1"/>
    <xf numFmtId="0" fontId="38" fillId="0" borderId="41" xfId="0" applyFont="1" applyBorder="1"/>
    <xf numFmtId="0" fontId="3" fillId="0" borderId="0" xfId="0" applyFont="1" applyAlignment="1">
      <alignment horizontal="center" vertical="top"/>
    </xf>
    <xf numFmtId="164" fontId="41" fillId="0" borderId="0" xfId="0" applyNumberFormat="1" applyFont="1"/>
    <xf numFmtId="0" fontId="27" fillId="0" borderId="27" xfId="0" applyFont="1" applyBorder="1"/>
    <xf numFmtId="0" fontId="41" fillId="0" borderId="0" xfId="0" applyFont="1"/>
    <xf numFmtId="164" fontId="41" fillId="0" borderId="3" xfId="0" applyNumberFormat="1" applyFont="1" applyBorder="1"/>
    <xf numFmtId="0" fontId="18" fillId="0" borderId="0" xfId="0" applyFont="1"/>
    <xf numFmtId="0" fontId="41" fillId="0" borderId="10" xfId="0" applyFont="1" applyBorder="1"/>
    <xf numFmtId="164" fontId="41" fillId="0" borderId="7" xfId="0" applyNumberFormat="1" applyFont="1" applyBorder="1"/>
    <xf numFmtId="164" fontId="41" fillId="0" borderId="17" xfId="0" applyNumberFormat="1" applyFont="1" applyBorder="1"/>
    <xf numFmtId="0" fontId="18" fillId="0" borderId="16" xfId="0" applyFont="1" applyBorder="1"/>
    <xf numFmtId="164" fontId="18" fillId="0" borderId="7" xfId="0" applyNumberFormat="1" applyFont="1" applyBorder="1"/>
    <xf numFmtId="164" fontId="41" fillId="0" borderId="4" xfId="0" applyNumberFormat="1" applyFont="1" applyBorder="1"/>
    <xf numFmtId="0" fontId="18" fillId="0" borderId="19" xfId="0" applyFont="1" applyBorder="1"/>
    <xf numFmtId="0" fontId="41" fillId="0" borderId="45" xfId="0" applyFont="1" applyBorder="1"/>
    <xf numFmtId="164" fontId="41" fillId="0" borderId="37" xfId="0" applyNumberFormat="1" applyFont="1" applyBorder="1"/>
    <xf numFmtId="164" fontId="41" fillId="0" borderId="19" xfId="0" applyNumberFormat="1" applyFont="1" applyBorder="1"/>
    <xf numFmtId="164" fontId="41" fillId="0" borderId="20" xfId="0" applyNumberFormat="1" applyFont="1" applyBorder="1"/>
    <xf numFmtId="0" fontId="18" fillId="0" borderId="18" xfId="0" applyFont="1" applyBorder="1"/>
    <xf numFmtId="164" fontId="2" fillId="0" borderId="3" xfId="0" applyNumberFormat="1" applyFont="1" applyBorder="1"/>
    <xf numFmtId="0" fontId="17" fillId="0" borderId="0" xfId="0" applyFont="1"/>
    <xf numFmtId="0" fontId="2" fillId="0" borderId="10" xfId="0" applyFont="1" applyBorder="1"/>
    <xf numFmtId="164" fontId="2" fillId="0" borderId="7" xfId="0" applyNumberFormat="1" applyFont="1" applyBorder="1"/>
    <xf numFmtId="164" fontId="17" fillId="0" borderId="7" xfId="0" applyNumberFormat="1" applyFont="1" applyBorder="1"/>
    <xf numFmtId="164" fontId="2" fillId="0" borderId="17" xfId="0" applyNumberFormat="1" applyFont="1" applyBorder="1"/>
    <xf numFmtId="0" fontId="17" fillId="0" borderId="16" xfId="0" applyFont="1" applyBorder="1"/>
    <xf numFmtId="0" fontId="17" fillId="0" borderId="24" xfId="0" applyFont="1" applyBorder="1"/>
    <xf numFmtId="0" fontId="2" fillId="0" borderId="41" xfId="0" applyFont="1" applyBorder="1"/>
    <xf numFmtId="164" fontId="17" fillId="0" borderId="46" xfId="0" applyNumberFormat="1" applyFont="1" applyBorder="1"/>
    <xf numFmtId="164" fontId="2" fillId="0" borderId="46" xfId="0" applyNumberFormat="1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0" fontId="17" fillId="0" borderId="27" xfId="0" applyFont="1" applyBorder="1"/>
    <xf numFmtId="0" fontId="3" fillId="0" borderId="7" xfId="0" applyFont="1" applyBorder="1" applyAlignment="1">
      <alignment horizontal="center"/>
    </xf>
    <xf numFmtId="0" fontId="4" fillId="0" borderId="2" xfId="0" applyFont="1" applyBorder="1"/>
    <xf numFmtId="0" fontId="0" fillId="17" borderId="0" xfId="0" applyFill="1"/>
    <xf numFmtId="0" fontId="42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quotePrefix="1" applyFont="1" applyAlignment="1">
      <alignment horizontal="center" vertical="center"/>
    </xf>
    <xf numFmtId="164" fontId="4" fillId="0" borderId="46" xfId="0" applyNumberFormat="1" applyFont="1" applyBorder="1"/>
    <xf numFmtId="164" fontId="4" fillId="0" borderId="24" xfId="0" applyNumberFormat="1" applyFont="1" applyBorder="1"/>
    <xf numFmtId="164" fontId="4" fillId="0" borderId="25" xfId="0" applyNumberFormat="1" applyFont="1" applyBorder="1"/>
    <xf numFmtId="164" fontId="4" fillId="0" borderId="0" xfId="0" applyNumberFormat="1" applyFont="1"/>
    <xf numFmtId="164" fontId="4" fillId="0" borderId="17" xfId="0" applyNumberFormat="1" applyFont="1" applyBorder="1"/>
    <xf numFmtId="0" fontId="4" fillId="0" borderId="27" xfId="0" applyFont="1" applyBorder="1"/>
    <xf numFmtId="0" fontId="4" fillId="0" borderId="16" xfId="0" applyFont="1" applyBorder="1"/>
    <xf numFmtId="1" fontId="0" fillId="0" borderId="7" xfId="0" applyNumberFormat="1" applyBorder="1"/>
    <xf numFmtId="0" fontId="41" fillId="0" borderId="16" xfId="0" applyFont="1" applyBorder="1"/>
    <xf numFmtId="0" fontId="41" fillId="0" borderId="18" xfId="0" applyFont="1" applyBorder="1"/>
    <xf numFmtId="0" fontId="2" fillId="0" borderId="16" xfId="0" applyFont="1" applyBorder="1"/>
    <xf numFmtId="164" fontId="27" fillId="0" borderId="24" xfId="0" applyNumberFormat="1" applyFont="1" applyBorder="1"/>
    <xf numFmtId="164" fontId="18" fillId="0" borderId="19" xfId="0" applyNumberFormat="1" applyFont="1" applyBorder="1"/>
    <xf numFmtId="164" fontId="27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49" fontId="6" fillId="0" borderId="0" xfId="1" applyNumberFormat="1" applyFont="1" applyFill="1" applyBorder="1" applyAlignment="1">
      <alignment wrapText="1"/>
    </xf>
    <xf numFmtId="0" fontId="15" fillId="0" borderId="0" xfId="0" applyFont="1"/>
    <xf numFmtId="0" fontId="22" fillId="0" borderId="0" xfId="0" applyFont="1" applyAlignment="1">
      <alignment horizontal="center" vertical="center"/>
    </xf>
    <xf numFmtId="1" fontId="0" fillId="0" borderId="6" xfId="0" applyNumberFormat="1" applyBorder="1"/>
    <xf numFmtId="166" fontId="0" fillId="0" borderId="11" xfId="0" applyNumberFormat="1" applyBorder="1"/>
    <xf numFmtId="9" fontId="0" fillId="0" borderId="0" xfId="0" applyNumberFormat="1"/>
    <xf numFmtId="168" fontId="0" fillId="0" borderId="0" xfId="0" applyNumberFormat="1"/>
    <xf numFmtId="11" fontId="0" fillId="0" borderId="7" xfId="0" applyNumberFormat="1" applyBorder="1"/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8" fillId="0" borderId="0" xfId="0" applyFont="1"/>
    <xf numFmtId="1" fontId="0" fillId="0" borderId="5" xfId="0" applyNumberFormat="1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5" fillId="18" borderId="8" xfId="0" quotePrefix="1" applyFont="1" applyFill="1" applyBorder="1" applyAlignment="1">
      <alignment horizontal="center" vertical="center"/>
    </xf>
    <xf numFmtId="0" fontId="5" fillId="18" borderId="0" xfId="0" quotePrefix="1" applyFont="1" applyFill="1" applyAlignment="1">
      <alignment horizontal="center" vertical="center"/>
    </xf>
    <xf numFmtId="0" fontId="5" fillId="18" borderId="19" xfId="0" quotePrefix="1" applyFont="1" applyFill="1" applyBorder="1" applyAlignment="1">
      <alignment horizontal="center" vertical="center"/>
    </xf>
    <xf numFmtId="0" fontId="5" fillId="18" borderId="20" xfId="0" quotePrefix="1" applyFont="1" applyFill="1" applyBorder="1" applyAlignment="1">
      <alignment horizontal="center" vertical="center"/>
    </xf>
    <xf numFmtId="0" fontId="5" fillId="18" borderId="24" xfId="0" quotePrefix="1" applyFont="1" applyFill="1" applyBorder="1" applyAlignment="1">
      <alignment horizontal="center" vertical="center"/>
    </xf>
    <xf numFmtId="164" fontId="5" fillId="18" borderId="19" xfId="0" quotePrefix="1" applyNumberFormat="1" applyFont="1" applyFill="1" applyBorder="1" applyAlignment="1">
      <alignment horizontal="center" vertical="center"/>
    </xf>
    <xf numFmtId="0" fontId="5" fillId="4" borderId="0" xfId="0" quotePrefix="1" applyFont="1" applyFill="1" applyAlignment="1">
      <alignment horizontal="center" vertical="center"/>
    </xf>
    <xf numFmtId="0" fontId="5" fillId="4" borderId="8" xfId="0" quotePrefix="1" applyFont="1" applyFill="1" applyBorder="1" applyAlignment="1">
      <alignment horizontal="center" vertical="center"/>
    </xf>
    <xf numFmtId="0" fontId="5" fillId="4" borderId="17" xfId="0" quotePrefix="1" applyFont="1" applyFill="1" applyBorder="1" applyAlignment="1">
      <alignment horizontal="center" vertical="center"/>
    </xf>
    <xf numFmtId="0" fontId="5" fillId="4" borderId="19" xfId="0" quotePrefix="1" applyFont="1" applyFill="1" applyBorder="1" applyAlignment="1">
      <alignment horizontal="center" vertical="center"/>
    </xf>
    <xf numFmtId="164" fontId="5" fillId="4" borderId="19" xfId="0" quotePrefix="1" applyNumberFormat="1" applyFont="1" applyFill="1" applyBorder="1" applyAlignment="1">
      <alignment horizontal="center" vertical="center"/>
    </xf>
    <xf numFmtId="0" fontId="5" fillId="4" borderId="24" xfId="0" quotePrefix="1" applyFont="1" applyFill="1" applyBorder="1" applyAlignment="1">
      <alignment horizontal="center" vertical="center"/>
    </xf>
    <xf numFmtId="164" fontId="5" fillId="4" borderId="20" xfId="0" quotePrefix="1" applyNumberFormat="1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left" vertical="center"/>
    </xf>
    <xf numFmtId="0" fontId="22" fillId="4" borderId="16" xfId="0" applyFont="1" applyFill="1" applyBorder="1" applyAlignment="1">
      <alignment horizontal="left"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5" fillId="18" borderId="17" xfId="0" quotePrefix="1" applyFont="1" applyFill="1" applyBorder="1" applyAlignment="1">
      <alignment horizontal="center" vertical="center"/>
    </xf>
    <xf numFmtId="0" fontId="5" fillId="4" borderId="20" xfId="0" quotePrefix="1" applyFont="1" applyFill="1" applyBorder="1" applyAlignment="1">
      <alignment horizontal="center" vertical="center"/>
    </xf>
    <xf numFmtId="0" fontId="5" fillId="4" borderId="25" xfId="0" quotePrefix="1" applyFont="1" applyFill="1" applyBorder="1" applyAlignment="1">
      <alignment horizontal="center" vertical="center"/>
    </xf>
    <xf numFmtId="164" fontId="5" fillId="18" borderId="20" xfId="0" quotePrefix="1" applyNumberFormat="1" applyFont="1" applyFill="1" applyBorder="1" applyAlignment="1">
      <alignment horizontal="center" vertical="center"/>
    </xf>
    <xf numFmtId="0" fontId="5" fillId="4" borderId="29" xfId="0" quotePrefix="1" applyFont="1" applyFill="1" applyBorder="1" applyAlignment="1">
      <alignment horizontal="center" vertical="center"/>
    </xf>
    <xf numFmtId="0" fontId="22" fillId="0" borderId="13" xfId="0" applyFont="1" applyBorder="1" applyAlignment="1">
      <alignment vertical="center" wrapText="1"/>
    </xf>
    <xf numFmtId="0" fontId="44" fillId="0" borderId="19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/>
    </xf>
    <xf numFmtId="0" fontId="22" fillId="0" borderId="38" xfId="0" applyFont="1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quotePrefix="1" applyFont="1" applyBorder="1" applyAlignment="1">
      <alignment horizontal="center" vertical="center"/>
    </xf>
    <xf numFmtId="0" fontId="5" fillId="16" borderId="39" xfId="0" quotePrefix="1" applyFont="1" applyFill="1" applyBorder="1" applyAlignment="1">
      <alignment horizontal="center" vertical="center"/>
    </xf>
    <xf numFmtId="0" fontId="5" fillId="16" borderId="40" xfId="0" quotePrefix="1" applyFont="1" applyFill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6" fillId="0" borderId="21" xfId="0" applyFont="1" applyBorder="1"/>
    <xf numFmtId="0" fontId="4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7" xfId="0" applyNumberFormat="1" applyBorder="1"/>
    <xf numFmtId="1" fontId="2" fillId="0" borderId="8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39" xfId="0" applyBorder="1" applyAlignment="1">
      <alignment horizontal="left"/>
    </xf>
    <xf numFmtId="0" fontId="0" fillId="0" borderId="40" xfId="0" applyBorder="1"/>
    <xf numFmtId="0" fontId="0" fillId="0" borderId="49" xfId="0" applyBorder="1"/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0" fillId="0" borderId="19" xfId="0" applyNumberFormat="1" applyBorder="1" applyAlignment="1">
      <alignment horizontal="right"/>
    </xf>
    <xf numFmtId="0" fontId="3" fillId="19" borderId="13" xfId="0" applyFont="1" applyFill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19" borderId="14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48" fillId="0" borderId="0" xfId="0" applyFont="1"/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6" applyFont="1" applyFill="1" applyBorder="1"/>
    <xf numFmtId="164" fontId="0" fillId="0" borderId="9" xfId="0" applyNumberFormat="1" applyBorder="1"/>
    <xf numFmtId="164" fontId="0" fillId="8" borderId="0" xfId="0" applyNumberFormat="1" applyFill="1"/>
    <xf numFmtId="2" fontId="49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wrapText="1"/>
    </xf>
    <xf numFmtId="0" fontId="54" fillId="0" borderId="8" xfId="0" applyFont="1" applyBorder="1"/>
    <xf numFmtId="3" fontId="0" fillId="0" borderId="0" xfId="0" applyNumberFormat="1"/>
    <xf numFmtId="169" fontId="0" fillId="0" borderId="50" xfId="0" applyNumberFormat="1" applyBorder="1" applyAlignment="1">
      <alignment horizontal="center"/>
    </xf>
    <xf numFmtId="169" fontId="0" fillId="0" borderId="51" xfId="0" applyNumberFormat="1" applyBorder="1" applyAlignment="1">
      <alignment horizontal="center"/>
    </xf>
    <xf numFmtId="4" fontId="0" fillId="0" borderId="52" xfId="0" applyNumberFormat="1" applyBorder="1" applyAlignment="1">
      <alignment horizontal="center"/>
    </xf>
    <xf numFmtId="4" fontId="0" fillId="0" borderId="53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22" fillId="18" borderId="16" xfId="0" applyFont="1" applyFill="1" applyBorder="1" applyAlignment="1">
      <alignment horizontal="left" vertical="center"/>
    </xf>
    <xf numFmtId="0" fontId="22" fillId="18" borderId="17" xfId="0" applyFont="1" applyFill="1" applyBorder="1" applyAlignment="1">
      <alignment horizontal="left" vertical="center"/>
    </xf>
    <xf numFmtId="0" fontId="44" fillId="0" borderId="18" xfId="0" applyFont="1" applyBorder="1" applyAlignment="1">
      <alignment horizontal="left" vertical="center"/>
    </xf>
    <xf numFmtId="0" fontId="44" fillId="0" borderId="20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7">
    <cellStyle name="Good" xfId="1" builtinId="26"/>
    <cellStyle name="Normal" xfId="0" builtinId="0"/>
    <cellStyle name="Normal 2" xfId="2" xr:uid="{0C6AF85D-18FC-4F48-8C9A-6724880114B5}"/>
    <cellStyle name="Normal 2 2" xfId="3" xr:uid="{AFD1456B-19B5-4D50-A151-E539114B00A7}"/>
    <cellStyle name="Normal 3" xfId="4" xr:uid="{0579EFF4-8EA6-44BD-9D9B-A4C16CCDCAAA}"/>
    <cellStyle name="Percent" xfId="6" builtinId="5"/>
    <cellStyle name="Standaard_2e wvp" xfId="5" xr:uid="{E64FFC02-A819-4784-9D24-20B7F89F9E3C}"/>
  </cellStyles>
  <dxfs count="43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E2C5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Total concentration tar aromates (</a:t>
            </a:r>
            <a:r>
              <a:rPr lang="el-GR"/>
              <a:t>μ</a:t>
            </a:r>
            <a:r>
              <a:rPr lang="en-US"/>
              <a:t>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type'!$Y$2</c:f>
              <c:strCache>
                <c:ptCount val="1"/>
                <c:pt idx="0">
                  <c:v>Total concentration tar aromates (μg/L)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type'!$X$3:$X$11</c:f>
              <c:strCache>
                <c:ptCount val="9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very course sand</c:v>
                </c:pt>
                <c:pt idx="4">
                  <c:v>very course sand</c:v>
                </c:pt>
                <c:pt idx="5">
                  <c:v>course sand</c:v>
                </c:pt>
                <c:pt idx="6">
                  <c:v>moderately course sand</c:v>
                </c:pt>
                <c:pt idx="7">
                  <c:v>moderately course sand</c:v>
                </c:pt>
                <c:pt idx="8">
                  <c:v>very fine sand</c:v>
                </c:pt>
              </c:strCache>
            </c:strRef>
          </c:cat>
          <c:val>
            <c:numRef>
              <c:f>'All vs soil type'!$Y$3:$Y$11</c:f>
              <c:numCache>
                <c:formatCode>General</c:formatCode>
                <c:ptCount val="9"/>
                <c:pt idx="0">
                  <c:v>67</c:v>
                </c:pt>
                <c:pt idx="1">
                  <c:v>121</c:v>
                </c:pt>
                <c:pt idx="2">
                  <c:v>8518</c:v>
                </c:pt>
                <c:pt idx="3">
                  <c:v>3364</c:v>
                </c:pt>
                <c:pt idx="4">
                  <c:v>25</c:v>
                </c:pt>
                <c:pt idx="5">
                  <c:v>22</c:v>
                </c:pt>
                <c:pt idx="6">
                  <c:v>9683</c:v>
                </c:pt>
                <c:pt idx="7">
                  <c:v>607</c:v>
                </c:pt>
                <c:pt idx="8">
                  <c:v>12093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B92-9E43-C71D250F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- Total concentration tar aromates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type'!$Y$2</c:f>
              <c:strCache>
                <c:ptCount val="1"/>
                <c:pt idx="0">
                  <c:v>Total concentration tar aromates (μg/L)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type'!$X$32:$X$36</c:f>
              <c:strCache>
                <c:ptCount val="5"/>
                <c:pt idx="0">
                  <c:v>extremely course sand</c:v>
                </c:pt>
                <c:pt idx="1">
                  <c:v>extremely course sand</c:v>
                </c:pt>
                <c:pt idx="2">
                  <c:v>moderately fine sand</c:v>
                </c:pt>
                <c:pt idx="3">
                  <c:v>moderately fine sand</c:v>
                </c:pt>
                <c:pt idx="4">
                  <c:v>moderately fine sand</c:v>
                </c:pt>
              </c:strCache>
            </c:strRef>
          </c:cat>
          <c:val>
            <c:numRef>
              <c:f>'All vs soil type'!$Y$32:$Y$36</c:f>
              <c:numCache>
                <c:formatCode>General</c:formatCode>
                <c:ptCount val="5"/>
                <c:pt idx="0">
                  <c:v>4628</c:v>
                </c:pt>
                <c:pt idx="1">
                  <c:v>10445</c:v>
                </c:pt>
                <c:pt idx="2">
                  <c:v>707</c:v>
                </c:pt>
                <c:pt idx="3">
                  <c:v>26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A-48ED-BF93-C9F6845C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Lambda!$AL$23</c:f>
              <c:strCache>
                <c:ptCount val="1"/>
                <c:pt idx="0">
                  <c:v>d H m,p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1.7031695405967037E-2"/>
                  <c:y val="0.25416415627377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Lambda!$AK$24:$AK$26</c:f>
              <c:numCache>
                <c:formatCode>General</c:formatCode>
                <c:ptCount val="3"/>
                <c:pt idx="0">
                  <c:v>-26.2</c:v>
                </c:pt>
                <c:pt idx="1">
                  <c:v>-23.7</c:v>
                </c:pt>
                <c:pt idx="2">
                  <c:v>-25</c:v>
                </c:pt>
              </c:numCache>
            </c:numRef>
          </c:xVal>
          <c:yVal>
            <c:numRef>
              <c:f>Lambda!$AL$24:$AL$26</c:f>
              <c:numCache>
                <c:formatCode>General</c:formatCode>
                <c:ptCount val="3"/>
                <c:pt idx="0">
                  <c:v>-165</c:v>
                </c:pt>
                <c:pt idx="1">
                  <c:v>-136</c:v>
                </c:pt>
                <c:pt idx="2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4-4F84-B210-CF0D73BF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00"/>
        <c:crossBetween val="midCat"/>
      </c:valAx>
      <c:valAx>
        <c:axId val="135477888"/>
        <c:scaling>
          <c:orientation val="minMax"/>
          <c:max val="-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Lambda!$AL$37</c:f>
              <c:strCache>
                <c:ptCount val="1"/>
                <c:pt idx="0">
                  <c:v>d H m,p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27893864926158263"/>
                  <c:y val="-0.142083012310013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Lambda!$AK$38:$AK$42</c:f>
              <c:numCache>
                <c:formatCode>General</c:formatCode>
                <c:ptCount val="5"/>
                <c:pt idx="0">
                  <c:v>-26.2</c:v>
                </c:pt>
                <c:pt idx="1">
                  <c:v>-24.7</c:v>
                </c:pt>
                <c:pt idx="2">
                  <c:v>-25.7</c:v>
                </c:pt>
                <c:pt idx="3">
                  <c:v>-25.5</c:v>
                </c:pt>
                <c:pt idx="4">
                  <c:v>-25.4</c:v>
                </c:pt>
              </c:numCache>
            </c:numRef>
          </c:xVal>
          <c:yVal>
            <c:numRef>
              <c:f>Lambda!$AL$38:$AL$42</c:f>
              <c:numCache>
                <c:formatCode>General</c:formatCode>
                <c:ptCount val="5"/>
                <c:pt idx="0">
                  <c:v>-131</c:v>
                </c:pt>
                <c:pt idx="1">
                  <c:v>-122</c:v>
                </c:pt>
                <c:pt idx="2">
                  <c:v>-134</c:v>
                </c:pt>
                <c:pt idx="3">
                  <c:v>-127</c:v>
                </c:pt>
                <c:pt idx="4">
                  <c:v>-138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7-4023-82AE-03C21ADC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  <c:max val="-110"/>
          <c:min val="-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Lambda!$AL$48</c:f>
              <c:strCache>
                <c:ptCount val="1"/>
                <c:pt idx="0">
                  <c:v>d H m,p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0.25819589271416754"/>
                  <c:y val="-5.63046232179788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Lambda!$AK$49:$AK$62</c:f>
              <c:numCache>
                <c:formatCode>General</c:formatCode>
                <c:ptCount val="14"/>
                <c:pt idx="0">
                  <c:v>-17.5</c:v>
                </c:pt>
                <c:pt idx="1">
                  <c:v>-24.5</c:v>
                </c:pt>
                <c:pt idx="2">
                  <c:v>-25.1</c:v>
                </c:pt>
                <c:pt idx="3">
                  <c:v>-22</c:v>
                </c:pt>
                <c:pt idx="4">
                  <c:v>-23.1</c:v>
                </c:pt>
                <c:pt idx="5">
                  <c:v>-21</c:v>
                </c:pt>
                <c:pt idx="6">
                  <c:v>-26.2</c:v>
                </c:pt>
                <c:pt idx="7">
                  <c:v>-23.7</c:v>
                </c:pt>
                <c:pt idx="8">
                  <c:v>-25</c:v>
                </c:pt>
                <c:pt idx="9">
                  <c:v>-26.2</c:v>
                </c:pt>
                <c:pt idx="10">
                  <c:v>-24.7</c:v>
                </c:pt>
                <c:pt idx="11">
                  <c:v>-25.7</c:v>
                </c:pt>
                <c:pt idx="12">
                  <c:v>-25.5</c:v>
                </c:pt>
                <c:pt idx="13">
                  <c:v>-25.4</c:v>
                </c:pt>
              </c:numCache>
            </c:numRef>
          </c:xVal>
          <c:yVal>
            <c:numRef>
              <c:f>Lambda!$AL$49:$AL$62</c:f>
              <c:numCache>
                <c:formatCode>General</c:formatCode>
                <c:ptCount val="14"/>
                <c:pt idx="0">
                  <c:v>62</c:v>
                </c:pt>
                <c:pt idx="1">
                  <c:v>-99</c:v>
                </c:pt>
                <c:pt idx="2">
                  <c:v>-115</c:v>
                </c:pt>
                <c:pt idx="3">
                  <c:v>-49</c:v>
                </c:pt>
                <c:pt idx="4">
                  <c:v>-65</c:v>
                </c:pt>
                <c:pt idx="5">
                  <c:v>-58</c:v>
                </c:pt>
                <c:pt idx="6">
                  <c:v>-165</c:v>
                </c:pt>
                <c:pt idx="7">
                  <c:v>-136</c:v>
                </c:pt>
                <c:pt idx="8">
                  <c:v>-121</c:v>
                </c:pt>
                <c:pt idx="9">
                  <c:v>-131</c:v>
                </c:pt>
                <c:pt idx="10">
                  <c:v>-122</c:v>
                </c:pt>
                <c:pt idx="11">
                  <c:v>-134</c:v>
                </c:pt>
                <c:pt idx="12">
                  <c:v>-127</c:v>
                </c:pt>
                <c:pt idx="13">
                  <c:v>-138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E-4C99-BEF1-6C365DF8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5"/>
          <c:min val="-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.5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Lambda!$AL$6</c:f>
              <c:strCache>
                <c:ptCount val="1"/>
                <c:pt idx="0">
                  <c:v>d H m,p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6008431734413653"/>
                  <c:y val="0.209418653863749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Lambda!$AK$7:$AK$12</c:f>
              <c:numCache>
                <c:formatCode>General</c:formatCode>
                <c:ptCount val="6"/>
                <c:pt idx="0">
                  <c:v>-17.5</c:v>
                </c:pt>
                <c:pt idx="1">
                  <c:v>-24.5</c:v>
                </c:pt>
                <c:pt idx="2">
                  <c:v>-25.1</c:v>
                </c:pt>
                <c:pt idx="3">
                  <c:v>-22</c:v>
                </c:pt>
                <c:pt idx="4">
                  <c:v>-23.1</c:v>
                </c:pt>
                <c:pt idx="5">
                  <c:v>-21</c:v>
                </c:pt>
              </c:numCache>
            </c:numRef>
          </c:xVal>
          <c:yVal>
            <c:numRef>
              <c:f>Lambda!$AL$7:$AL$12</c:f>
              <c:numCache>
                <c:formatCode>General</c:formatCode>
                <c:ptCount val="6"/>
                <c:pt idx="0">
                  <c:v>62</c:v>
                </c:pt>
                <c:pt idx="1">
                  <c:v>-99</c:v>
                </c:pt>
                <c:pt idx="2">
                  <c:v>-115</c:v>
                </c:pt>
                <c:pt idx="3">
                  <c:v>-49</c:v>
                </c:pt>
                <c:pt idx="4">
                  <c:v>-65</c:v>
                </c:pt>
                <c:pt idx="5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A-4F01-833A-590DF04A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3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Lambda!$AU$23</c:f>
              <c:strCache>
                <c:ptCount val="1"/>
                <c:pt idx="0">
                  <c:v>d H o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1014830988047608"/>
                  <c:y val="0.274808873626417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Lambda!$AT$24:$AT$26</c:f>
              <c:numCache>
                <c:formatCode>General</c:formatCode>
                <c:ptCount val="3"/>
                <c:pt idx="0">
                  <c:v>-25.7</c:v>
                </c:pt>
                <c:pt idx="1">
                  <c:v>-25.1</c:v>
                </c:pt>
                <c:pt idx="2">
                  <c:v>-21.1</c:v>
                </c:pt>
              </c:numCache>
            </c:numRef>
          </c:xVal>
          <c:yVal>
            <c:numRef>
              <c:f>Lambda!$AU$24:$AU$26</c:f>
              <c:numCache>
                <c:formatCode>General</c:formatCode>
                <c:ptCount val="3"/>
                <c:pt idx="0">
                  <c:v>-138</c:v>
                </c:pt>
                <c:pt idx="1">
                  <c:v>-126</c:v>
                </c:pt>
                <c:pt idx="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0-48E6-B4FE-9DC662CE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Lambda!$AU$37</c:f>
              <c:strCache>
                <c:ptCount val="1"/>
                <c:pt idx="0">
                  <c:v>d H o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24404171829332355"/>
                  <c:y val="-3.907622450049977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Lambda!$AT$38:$AT$42</c:f>
              <c:numCache>
                <c:formatCode>General</c:formatCode>
                <c:ptCount val="5"/>
                <c:pt idx="0">
                  <c:v>-25.6</c:v>
                </c:pt>
                <c:pt idx="1">
                  <c:v>-24.6</c:v>
                </c:pt>
                <c:pt idx="2">
                  <c:v>-24.6</c:v>
                </c:pt>
                <c:pt idx="3">
                  <c:v>-24.7</c:v>
                </c:pt>
                <c:pt idx="4">
                  <c:v>-25.2</c:v>
                </c:pt>
              </c:numCache>
            </c:numRef>
          </c:xVal>
          <c:yVal>
            <c:numRef>
              <c:f>Lambda!$AU$38:$AU$42</c:f>
              <c:numCache>
                <c:formatCode>General</c:formatCode>
                <c:ptCount val="5"/>
                <c:pt idx="0">
                  <c:v>-108</c:v>
                </c:pt>
                <c:pt idx="1">
                  <c:v>-101</c:v>
                </c:pt>
                <c:pt idx="2">
                  <c:v>-96</c:v>
                </c:pt>
                <c:pt idx="3">
                  <c:v>-100</c:v>
                </c:pt>
                <c:pt idx="4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3-4020-AB72-0997D3A6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Lambda!$AU$48</c:f>
              <c:strCache>
                <c:ptCount val="1"/>
                <c:pt idx="0">
                  <c:v>d H o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11566650236765762"/>
                  <c:y val="0.244506738450837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Lambda!$AT$49:$AT$62</c:f>
              <c:numCache>
                <c:formatCode>General</c:formatCode>
                <c:ptCount val="14"/>
                <c:pt idx="0">
                  <c:v>-14</c:v>
                </c:pt>
                <c:pt idx="1">
                  <c:v>-21.1</c:v>
                </c:pt>
                <c:pt idx="2">
                  <c:v>-22.1</c:v>
                </c:pt>
                <c:pt idx="3">
                  <c:v>-18</c:v>
                </c:pt>
                <c:pt idx="4">
                  <c:v>-19.399999999999999</c:v>
                </c:pt>
                <c:pt idx="5">
                  <c:v>-23.8</c:v>
                </c:pt>
                <c:pt idx="6">
                  <c:v>-25.7</c:v>
                </c:pt>
                <c:pt idx="7">
                  <c:v>-25.1</c:v>
                </c:pt>
                <c:pt idx="8">
                  <c:v>-21.1</c:v>
                </c:pt>
                <c:pt idx="9">
                  <c:v>-25.6</c:v>
                </c:pt>
                <c:pt idx="10">
                  <c:v>-24.6</c:v>
                </c:pt>
                <c:pt idx="11">
                  <c:v>-24.6</c:v>
                </c:pt>
                <c:pt idx="12">
                  <c:v>-24.7</c:v>
                </c:pt>
                <c:pt idx="13">
                  <c:v>-25.2</c:v>
                </c:pt>
              </c:numCache>
            </c:numRef>
          </c:xVal>
          <c:yVal>
            <c:numRef>
              <c:f>Lambda!$AU$49:$AU$62</c:f>
              <c:numCache>
                <c:formatCode>General</c:formatCode>
                <c:ptCount val="14"/>
                <c:pt idx="0">
                  <c:v>70</c:v>
                </c:pt>
                <c:pt idx="1">
                  <c:v>-43</c:v>
                </c:pt>
                <c:pt idx="2">
                  <c:v>-64</c:v>
                </c:pt>
                <c:pt idx="3">
                  <c:v>9</c:v>
                </c:pt>
                <c:pt idx="4">
                  <c:v>-22</c:v>
                </c:pt>
                <c:pt idx="5">
                  <c:v>-97</c:v>
                </c:pt>
                <c:pt idx="6">
                  <c:v>-138</c:v>
                </c:pt>
                <c:pt idx="7">
                  <c:v>-126</c:v>
                </c:pt>
                <c:pt idx="8">
                  <c:v>-11</c:v>
                </c:pt>
                <c:pt idx="9">
                  <c:v>-108</c:v>
                </c:pt>
                <c:pt idx="10">
                  <c:v>-101</c:v>
                </c:pt>
                <c:pt idx="11">
                  <c:v>-96</c:v>
                </c:pt>
                <c:pt idx="12">
                  <c:v>-100</c:v>
                </c:pt>
                <c:pt idx="13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F7C-AFDF-3C19A8BC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.5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Lambda!$AU$6</c:f>
              <c:strCache>
                <c:ptCount val="1"/>
                <c:pt idx="0">
                  <c:v>d H o Xyleen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31017706737177886"/>
                  <c:y val="-4.24449701869731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Lambda!$AT$7:$AT$12</c:f>
              <c:numCache>
                <c:formatCode>General</c:formatCode>
                <c:ptCount val="6"/>
                <c:pt idx="0">
                  <c:v>-14</c:v>
                </c:pt>
                <c:pt idx="1">
                  <c:v>-21.1</c:v>
                </c:pt>
                <c:pt idx="2">
                  <c:v>-22.1</c:v>
                </c:pt>
                <c:pt idx="3">
                  <c:v>-18</c:v>
                </c:pt>
                <c:pt idx="4">
                  <c:v>-19.399999999999999</c:v>
                </c:pt>
                <c:pt idx="5">
                  <c:v>-23.8</c:v>
                </c:pt>
              </c:numCache>
            </c:numRef>
          </c:xVal>
          <c:yVal>
            <c:numRef>
              <c:f>Lambda!$AU$7:$AU$12</c:f>
              <c:numCache>
                <c:formatCode>General</c:formatCode>
                <c:ptCount val="6"/>
                <c:pt idx="0">
                  <c:v>70</c:v>
                </c:pt>
                <c:pt idx="1">
                  <c:v>-43</c:v>
                </c:pt>
                <c:pt idx="2">
                  <c:v>-64</c:v>
                </c:pt>
                <c:pt idx="3">
                  <c:v>9</c:v>
                </c:pt>
                <c:pt idx="4">
                  <c:v>-22</c:v>
                </c:pt>
                <c:pt idx="5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B-44C1-BFCC-539A3F1A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3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Lambda!$BD$23</c:f>
              <c:strCache>
                <c:ptCount val="1"/>
                <c:pt idx="0">
                  <c:v>d H indaan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1014830988047608"/>
                  <c:y val="0.274808873626417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Lambda!$BC$24:$BC$27</c:f>
              <c:numCache>
                <c:formatCode>General</c:formatCode>
                <c:ptCount val="4"/>
                <c:pt idx="0">
                  <c:v>-27.6</c:v>
                </c:pt>
                <c:pt idx="1">
                  <c:v>-26.9</c:v>
                </c:pt>
                <c:pt idx="2">
                  <c:v>-25.6</c:v>
                </c:pt>
                <c:pt idx="3">
                  <c:v>-23</c:v>
                </c:pt>
              </c:numCache>
            </c:numRef>
          </c:xVal>
          <c:yVal>
            <c:numRef>
              <c:f>Lambda!$BD$24:$BD$27</c:f>
              <c:numCache>
                <c:formatCode>General</c:formatCode>
                <c:ptCount val="4"/>
                <c:pt idx="0">
                  <c:v>-132</c:v>
                </c:pt>
                <c:pt idx="1">
                  <c:v>-150</c:v>
                </c:pt>
                <c:pt idx="2">
                  <c:v>-106</c:v>
                </c:pt>
                <c:pt idx="3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1-4D3C-9AC3-8D1AA2B4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00"/>
        <c:crossBetween val="midCat"/>
      </c:valAx>
      <c:valAx>
        <c:axId val="135477888"/>
        <c:scaling>
          <c:orientation val="minMax"/>
          <c:max val="-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Lambda!$BD$37</c:f>
              <c:strCache>
                <c:ptCount val="1"/>
                <c:pt idx="0">
                  <c:v>d H indaan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1655942716595873"/>
                  <c:y val="-0.295113974833379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Lambda!$BC$38:$BC$42</c:f>
              <c:numCache>
                <c:formatCode>General</c:formatCode>
                <c:ptCount val="5"/>
                <c:pt idx="0">
                  <c:v>-23.8</c:v>
                </c:pt>
                <c:pt idx="1">
                  <c:v>-24.8</c:v>
                </c:pt>
                <c:pt idx="2">
                  <c:v>-25.2</c:v>
                </c:pt>
                <c:pt idx="3">
                  <c:v>-25.2</c:v>
                </c:pt>
                <c:pt idx="4">
                  <c:v>-25.1</c:v>
                </c:pt>
              </c:numCache>
            </c:numRef>
          </c:xVal>
          <c:yVal>
            <c:numRef>
              <c:f>Lambda!$BD$38:$BD$42</c:f>
              <c:numCache>
                <c:formatCode>General</c:formatCode>
                <c:ptCount val="5"/>
                <c:pt idx="0">
                  <c:v>-153</c:v>
                </c:pt>
                <c:pt idx="1">
                  <c:v>-155</c:v>
                </c:pt>
                <c:pt idx="2">
                  <c:v>-147</c:v>
                </c:pt>
                <c:pt idx="3">
                  <c:v>-109</c:v>
                </c:pt>
                <c:pt idx="4">
                  <c:v>-159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A-40B2-B9E8-24A4A740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  <c:max val="-9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- Total bacteria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type'!$AC$2</c:f>
              <c:strCache>
                <c:ptCount val="1"/>
                <c:pt idx="0">
                  <c:v>Total 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type'!$X$32:$X$36</c:f>
              <c:strCache>
                <c:ptCount val="5"/>
                <c:pt idx="0">
                  <c:v>extremely course sand</c:v>
                </c:pt>
                <c:pt idx="1">
                  <c:v>extremely course sand</c:v>
                </c:pt>
                <c:pt idx="2">
                  <c:v>moderately fine sand</c:v>
                </c:pt>
                <c:pt idx="3">
                  <c:v>moderately fine sand</c:v>
                </c:pt>
                <c:pt idx="4">
                  <c:v>moderately fine sand</c:v>
                </c:pt>
              </c:strCache>
            </c:strRef>
          </c:cat>
          <c:val>
            <c:numRef>
              <c:f>'All vs soil type'!$AC$32:$AC$36</c:f>
              <c:numCache>
                <c:formatCode>General</c:formatCode>
                <c:ptCount val="5"/>
                <c:pt idx="0">
                  <c:v>567889</c:v>
                </c:pt>
                <c:pt idx="1">
                  <c:v>261333</c:v>
                </c:pt>
                <c:pt idx="2">
                  <c:v>150267</c:v>
                </c:pt>
                <c:pt idx="3">
                  <c:v>1190175</c:v>
                </c:pt>
                <c:pt idx="4">
                  <c:v>720167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4-4F1E-8565-1F453E74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Lambda!$BD$48</c:f>
              <c:strCache>
                <c:ptCount val="1"/>
                <c:pt idx="0">
                  <c:v>d H indaan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0.28027043522191969"/>
                  <c:y val="-0.251697393244534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Lambda!$BC$49:$BC$62</c:f>
              <c:numCache>
                <c:formatCode>General</c:formatCode>
                <c:ptCount val="14"/>
                <c:pt idx="0">
                  <c:v>-24.7</c:v>
                </c:pt>
                <c:pt idx="1">
                  <c:v>-24.7</c:v>
                </c:pt>
                <c:pt idx="2">
                  <c:v>-24.9</c:v>
                </c:pt>
                <c:pt idx="3">
                  <c:v>-24</c:v>
                </c:pt>
                <c:pt idx="4">
                  <c:v>-24.6</c:v>
                </c:pt>
                <c:pt idx="5">
                  <c:v>-27.6</c:v>
                </c:pt>
                <c:pt idx="6">
                  <c:v>-26.9</c:v>
                </c:pt>
                <c:pt idx="7">
                  <c:v>-25.6</c:v>
                </c:pt>
                <c:pt idx="8">
                  <c:v>-23</c:v>
                </c:pt>
                <c:pt idx="9">
                  <c:v>-23.8</c:v>
                </c:pt>
                <c:pt idx="10">
                  <c:v>-24.8</c:v>
                </c:pt>
                <c:pt idx="11">
                  <c:v>-25.2</c:v>
                </c:pt>
                <c:pt idx="12">
                  <c:v>-25.2</c:v>
                </c:pt>
                <c:pt idx="13">
                  <c:v>-25.1</c:v>
                </c:pt>
              </c:numCache>
            </c:numRef>
          </c:xVal>
          <c:yVal>
            <c:numRef>
              <c:f>Lambda!$BD$49:$BD$62</c:f>
              <c:numCache>
                <c:formatCode>General</c:formatCode>
                <c:ptCount val="14"/>
                <c:pt idx="0">
                  <c:v>-142</c:v>
                </c:pt>
                <c:pt idx="1">
                  <c:v>-145</c:v>
                </c:pt>
                <c:pt idx="2">
                  <c:v>-159</c:v>
                </c:pt>
                <c:pt idx="3">
                  <c:v>-140</c:v>
                </c:pt>
                <c:pt idx="4">
                  <c:v>-136</c:v>
                </c:pt>
                <c:pt idx="5">
                  <c:v>-132</c:v>
                </c:pt>
                <c:pt idx="6">
                  <c:v>-150</c:v>
                </c:pt>
                <c:pt idx="7">
                  <c:v>-106</c:v>
                </c:pt>
                <c:pt idx="8">
                  <c:v>-81</c:v>
                </c:pt>
                <c:pt idx="9">
                  <c:v>-153</c:v>
                </c:pt>
                <c:pt idx="10">
                  <c:v>-155</c:v>
                </c:pt>
                <c:pt idx="11">
                  <c:v>-147</c:v>
                </c:pt>
                <c:pt idx="12">
                  <c:v>-109</c:v>
                </c:pt>
                <c:pt idx="13">
                  <c:v>-159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1-4583-9FC3-7066E752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  <c:max val="-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Lambda!$BD$6</c:f>
              <c:strCache>
                <c:ptCount val="1"/>
                <c:pt idx="0">
                  <c:v>d H indaan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3612021580456674"/>
                  <c:y val="0.24376369350702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Lambda!$BC$7:$BC$11</c:f>
              <c:numCache>
                <c:formatCode>General</c:formatCode>
                <c:ptCount val="5"/>
                <c:pt idx="0">
                  <c:v>-24.7</c:v>
                </c:pt>
                <c:pt idx="1">
                  <c:v>-24.7</c:v>
                </c:pt>
                <c:pt idx="2">
                  <c:v>-24.9</c:v>
                </c:pt>
                <c:pt idx="3">
                  <c:v>-24</c:v>
                </c:pt>
                <c:pt idx="4">
                  <c:v>-24.6</c:v>
                </c:pt>
              </c:numCache>
            </c:numRef>
          </c:xVal>
          <c:yVal>
            <c:numRef>
              <c:f>Lambda!$BD$7:$BD$11</c:f>
              <c:numCache>
                <c:formatCode>General</c:formatCode>
                <c:ptCount val="5"/>
                <c:pt idx="0">
                  <c:v>-142</c:v>
                </c:pt>
                <c:pt idx="1">
                  <c:v>-145</c:v>
                </c:pt>
                <c:pt idx="2">
                  <c:v>-159</c:v>
                </c:pt>
                <c:pt idx="3">
                  <c:v>-140</c:v>
                </c:pt>
                <c:pt idx="4">
                  <c:v>-136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B-41A8-90C1-CC1C1F2D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3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3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Lambda!$BM$23</c:f>
              <c:strCache>
                <c:ptCount val="1"/>
                <c:pt idx="0">
                  <c:v>d H Naftaleen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397765932053546"/>
                  <c:y val="-0.3996778351556228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Lambda!$BL$24:$BL$27</c:f>
              <c:numCache>
                <c:formatCode>General</c:formatCode>
                <c:ptCount val="4"/>
                <c:pt idx="0">
                  <c:v>-27</c:v>
                </c:pt>
                <c:pt idx="1">
                  <c:v>-26.8</c:v>
                </c:pt>
                <c:pt idx="2">
                  <c:v>-27.2</c:v>
                </c:pt>
                <c:pt idx="3">
                  <c:v>-26.9</c:v>
                </c:pt>
              </c:numCache>
            </c:numRef>
          </c:xVal>
          <c:yVal>
            <c:numRef>
              <c:f>Lambda!$BM$24:$BM$27</c:f>
              <c:numCache>
                <c:formatCode>General</c:formatCode>
                <c:ptCount val="4"/>
                <c:pt idx="0">
                  <c:v>-55</c:v>
                </c:pt>
                <c:pt idx="1">
                  <c:v>-60</c:v>
                </c:pt>
                <c:pt idx="2">
                  <c:v>-27</c:v>
                </c:pt>
                <c:pt idx="3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F-436C-9AC3-19D38235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6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00"/>
        <c:crossBetween val="midCat"/>
      </c:valAx>
      <c:valAx>
        <c:axId val="135477888"/>
        <c:scaling>
          <c:orientation val="minMax"/>
          <c:max val="-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Lambda!$BM$37</c:f>
              <c:strCache>
                <c:ptCount val="1"/>
                <c:pt idx="0">
                  <c:v>d H Naftaleen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3046514530363118"/>
                  <c:y val="-0.167750007334805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Lambda!$BL$38:$BL$42</c:f>
              <c:numCache>
                <c:formatCode>General</c:formatCode>
                <c:ptCount val="5"/>
                <c:pt idx="0">
                  <c:v>-27</c:v>
                </c:pt>
                <c:pt idx="1">
                  <c:v>-26.6</c:v>
                </c:pt>
                <c:pt idx="2">
                  <c:v>-26.7</c:v>
                </c:pt>
                <c:pt idx="3">
                  <c:v>-26.8</c:v>
                </c:pt>
                <c:pt idx="4">
                  <c:v>-26.8</c:v>
                </c:pt>
              </c:numCache>
            </c:numRef>
          </c:xVal>
          <c:yVal>
            <c:numRef>
              <c:f>Lambda!$BM$38:$BM$42</c:f>
              <c:numCache>
                <c:formatCode>General</c:formatCode>
                <c:ptCount val="5"/>
                <c:pt idx="0">
                  <c:v>-52</c:v>
                </c:pt>
                <c:pt idx="1">
                  <c:v>-49</c:v>
                </c:pt>
                <c:pt idx="2">
                  <c:v>-55</c:v>
                </c:pt>
                <c:pt idx="3">
                  <c:v>-47</c:v>
                </c:pt>
                <c:pt idx="4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1-480B-8727-F98A548F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.1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Lambda!$BM$48</c:f>
              <c:strCache>
                <c:ptCount val="1"/>
                <c:pt idx="0">
                  <c:v>d H Naftaleen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14180638000987689"/>
                  <c:y val="0.169646554545350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Lambda!$BL$49:$BL$63</c:f>
              <c:numCache>
                <c:formatCode>General</c:formatCode>
                <c:ptCount val="15"/>
                <c:pt idx="0">
                  <c:v>-26.3</c:v>
                </c:pt>
                <c:pt idx="1">
                  <c:v>-26.8</c:v>
                </c:pt>
                <c:pt idx="2">
                  <c:v>-26.7</c:v>
                </c:pt>
                <c:pt idx="3">
                  <c:v>-26.7</c:v>
                </c:pt>
                <c:pt idx="4">
                  <c:v>-26.7</c:v>
                </c:pt>
                <c:pt idx="5">
                  <c:v>-26.3</c:v>
                </c:pt>
                <c:pt idx="6">
                  <c:v>-27</c:v>
                </c:pt>
                <c:pt idx="7">
                  <c:v>-26.8</c:v>
                </c:pt>
                <c:pt idx="8">
                  <c:v>-27.2</c:v>
                </c:pt>
                <c:pt idx="9">
                  <c:v>-26.9</c:v>
                </c:pt>
                <c:pt idx="10">
                  <c:v>-27</c:v>
                </c:pt>
                <c:pt idx="11">
                  <c:v>-26.6</c:v>
                </c:pt>
                <c:pt idx="12">
                  <c:v>-26.7</c:v>
                </c:pt>
                <c:pt idx="13">
                  <c:v>-26.8</c:v>
                </c:pt>
                <c:pt idx="14">
                  <c:v>-26.8</c:v>
                </c:pt>
              </c:numCache>
            </c:numRef>
          </c:xVal>
          <c:yVal>
            <c:numRef>
              <c:f>Lambda!$BM$49:$BM$63</c:f>
              <c:numCache>
                <c:formatCode>General</c:formatCode>
                <c:ptCount val="15"/>
                <c:pt idx="0">
                  <c:v>-43</c:v>
                </c:pt>
                <c:pt idx="1">
                  <c:v>-54</c:v>
                </c:pt>
                <c:pt idx="2">
                  <c:v>-39</c:v>
                </c:pt>
                <c:pt idx="3">
                  <c:v>-42</c:v>
                </c:pt>
                <c:pt idx="4">
                  <c:v>-34</c:v>
                </c:pt>
                <c:pt idx="5">
                  <c:v>-28</c:v>
                </c:pt>
                <c:pt idx="6">
                  <c:v>-55</c:v>
                </c:pt>
                <c:pt idx="7">
                  <c:v>-60</c:v>
                </c:pt>
                <c:pt idx="8">
                  <c:v>-27</c:v>
                </c:pt>
                <c:pt idx="9">
                  <c:v>-60</c:v>
                </c:pt>
                <c:pt idx="10">
                  <c:v>-52</c:v>
                </c:pt>
                <c:pt idx="11">
                  <c:v>-49</c:v>
                </c:pt>
                <c:pt idx="12">
                  <c:v>-55</c:v>
                </c:pt>
                <c:pt idx="13">
                  <c:v>-47</c:v>
                </c:pt>
                <c:pt idx="14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1-4CA8-A876-EDB52DD4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6.2"/>
          <c:min val="-27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  <c:max val="-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Lambda!$BM$6</c:f>
              <c:strCache>
                <c:ptCount val="1"/>
                <c:pt idx="0">
                  <c:v>d H Naftaleen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2.0483068908358985E-2"/>
                  <c:y val="0.222857840832826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Lambda!$BL$7:$BL$12</c:f>
              <c:numCache>
                <c:formatCode>General</c:formatCode>
                <c:ptCount val="6"/>
                <c:pt idx="0">
                  <c:v>-26.3</c:v>
                </c:pt>
                <c:pt idx="1">
                  <c:v>-26.8</c:v>
                </c:pt>
                <c:pt idx="2">
                  <c:v>-26.7</c:v>
                </c:pt>
                <c:pt idx="3">
                  <c:v>-26.7</c:v>
                </c:pt>
                <c:pt idx="4">
                  <c:v>-26.7</c:v>
                </c:pt>
                <c:pt idx="5">
                  <c:v>-26.3</c:v>
                </c:pt>
              </c:numCache>
            </c:numRef>
          </c:xVal>
          <c:yVal>
            <c:numRef>
              <c:f>Lambda!$BM$7:$BM$12</c:f>
              <c:numCache>
                <c:formatCode>General</c:formatCode>
                <c:ptCount val="6"/>
                <c:pt idx="0">
                  <c:v>-43</c:v>
                </c:pt>
                <c:pt idx="1">
                  <c:v>-54</c:v>
                </c:pt>
                <c:pt idx="2">
                  <c:v>-39</c:v>
                </c:pt>
                <c:pt idx="3">
                  <c:v>-42</c:v>
                </c:pt>
                <c:pt idx="4">
                  <c:v>-34</c:v>
                </c:pt>
                <c:pt idx="5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F-45A9-8E51-52172CC3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300"/>
        <c:crossBetween val="midCat"/>
      </c:valAx>
      <c:valAx>
        <c:axId val="135477888"/>
        <c:scaling>
          <c:orientation val="minMax"/>
          <c:max val="-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(Λ=13)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2344906340326921"/>
                  <c:y val="2.7753504897253697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Lambda!$I$38:$I$42</c:f>
              <c:numCache>
                <c:formatCode>General</c:formatCode>
                <c:ptCount val="5"/>
                <c:pt idx="0">
                  <c:v>-26.7</c:v>
                </c:pt>
                <c:pt idx="1">
                  <c:v>-25.8</c:v>
                </c:pt>
                <c:pt idx="2">
                  <c:v>-26</c:v>
                </c:pt>
                <c:pt idx="3">
                  <c:v>-26</c:v>
                </c:pt>
                <c:pt idx="4">
                  <c:v>-25.5</c:v>
                </c:pt>
              </c:numCache>
            </c:numRef>
          </c:xVal>
          <c:yVal>
            <c:numRef>
              <c:f>Lambda!$J$38:$J$42</c:f>
              <c:numCache>
                <c:formatCode>General</c:formatCode>
                <c:ptCount val="5"/>
                <c:pt idx="0">
                  <c:v>-99</c:v>
                </c:pt>
                <c:pt idx="1">
                  <c:v>-67</c:v>
                </c:pt>
                <c:pt idx="2">
                  <c:v>-93</c:v>
                </c:pt>
                <c:pt idx="3">
                  <c:v>-72</c:v>
                </c:pt>
                <c:pt idx="4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64-495C-B7E4-FE525C3CC1F8}"/>
            </c:ext>
          </c:extLst>
        </c:ser>
        <c:ser>
          <c:idx val="1"/>
          <c:order val="1"/>
          <c:tx>
            <c:v>B2 (Λ=21)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13650480757251071"/>
                  <c:y val="-1.0785361052429422E-2"/>
                </c:manualLayout>
              </c:layout>
              <c:numFmt formatCode="#,##0.00" sourceLinked="0"/>
            </c:trendlineLbl>
          </c:trendline>
          <c:xVal>
            <c:numRef>
              <c:f>Lambda!$I$24:$I$27</c:f>
              <c:numCache>
                <c:formatCode>General</c:formatCode>
                <c:ptCount val="4"/>
                <c:pt idx="0">
                  <c:v>-26.5</c:v>
                </c:pt>
                <c:pt idx="1">
                  <c:v>-26.2</c:v>
                </c:pt>
                <c:pt idx="2">
                  <c:v>-25.2</c:v>
                </c:pt>
                <c:pt idx="3">
                  <c:v>-25.7</c:v>
                </c:pt>
              </c:numCache>
            </c:numRef>
          </c:xVal>
          <c:yVal>
            <c:numRef>
              <c:f>Lambda!$J$24:$J$27</c:f>
              <c:numCache>
                <c:formatCode>General</c:formatCode>
                <c:ptCount val="4"/>
                <c:pt idx="0">
                  <c:v>-77</c:v>
                </c:pt>
                <c:pt idx="1">
                  <c:v>-75</c:v>
                </c:pt>
                <c:pt idx="2">
                  <c:v>-51</c:v>
                </c:pt>
                <c:pt idx="3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64-495C-B7E4-FE525C3CC1F8}"/>
            </c:ext>
          </c:extLst>
        </c:ser>
        <c:ser>
          <c:idx val="2"/>
          <c:order val="2"/>
          <c:tx>
            <c:v>B (Λ=-7)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8.7252107109040161E-2"/>
                  <c:y val="-6.0924596696754367E-2"/>
                </c:manualLayout>
              </c:layout>
              <c:numFmt formatCode="#,##0.00" sourceLinked="0"/>
              <c:txPr>
                <a:bodyPr/>
                <a:lstStyle/>
                <a:p>
                  <a:pPr algn="ctr" rtl="0">
                    <a:defRPr lang="nl-NL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Lambda!$I$7:$I$11</c:f>
              <c:numCache>
                <c:formatCode>General</c:formatCode>
                <c:ptCount val="5"/>
                <c:pt idx="0">
                  <c:v>-26.1</c:v>
                </c:pt>
                <c:pt idx="1">
                  <c:v>-25.8</c:v>
                </c:pt>
                <c:pt idx="2">
                  <c:v>-24.1</c:v>
                </c:pt>
                <c:pt idx="3">
                  <c:v>-24.1</c:v>
                </c:pt>
                <c:pt idx="4">
                  <c:v>-25.3</c:v>
                </c:pt>
              </c:numCache>
            </c:numRef>
          </c:xVal>
          <c:yVal>
            <c:numRef>
              <c:f>Lambda!$J$7:$J$11</c:f>
              <c:numCache>
                <c:formatCode>General</c:formatCode>
                <c:ptCount val="5"/>
                <c:pt idx="0">
                  <c:v>-106</c:v>
                </c:pt>
                <c:pt idx="1">
                  <c:v>-110</c:v>
                </c:pt>
                <c:pt idx="2">
                  <c:v>-118</c:v>
                </c:pt>
                <c:pt idx="3">
                  <c:v>-117</c:v>
                </c:pt>
                <c:pt idx="4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64-495C-B7E4-FE525C3C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3"/>
          <c:min val="-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  <c:max val="-50"/>
          <c:min val="-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Ethylbenzene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(Λ=4)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3.5125492125984252E-2"/>
                  <c:y val="6.5805646245438901E-2"/>
                </c:manualLayout>
              </c:layout>
              <c:numFmt formatCode="#,##0.00" sourceLinked="0"/>
            </c:trendlineLbl>
          </c:trendline>
          <c:xVal>
            <c:numRef>
              <c:f>Lambda!$AB$38:$AB$42</c:f>
              <c:numCache>
                <c:formatCode>General</c:formatCode>
                <c:ptCount val="5"/>
                <c:pt idx="0">
                  <c:v>-25.2</c:v>
                </c:pt>
                <c:pt idx="1">
                  <c:v>-24.2</c:v>
                </c:pt>
                <c:pt idx="2">
                  <c:v>-24.3</c:v>
                </c:pt>
                <c:pt idx="3">
                  <c:v>-24.4</c:v>
                </c:pt>
                <c:pt idx="4">
                  <c:v>-24.3</c:v>
                </c:pt>
              </c:numCache>
            </c:numRef>
          </c:xVal>
          <c:yVal>
            <c:numRef>
              <c:f>Lambda!$AC$38:$AC$42</c:f>
              <c:numCache>
                <c:formatCode>General</c:formatCode>
                <c:ptCount val="5"/>
                <c:pt idx="0">
                  <c:v>-165</c:v>
                </c:pt>
                <c:pt idx="1">
                  <c:v>-167</c:v>
                </c:pt>
                <c:pt idx="2">
                  <c:v>-155</c:v>
                </c:pt>
                <c:pt idx="3">
                  <c:v>-155</c:v>
                </c:pt>
                <c:pt idx="4">
                  <c:v>-163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2-4555-B731-2883CA3F8C1D}"/>
            </c:ext>
          </c:extLst>
        </c:ser>
        <c:ser>
          <c:idx val="1"/>
          <c:order val="1"/>
          <c:tx>
            <c:v>B2 (Λ=74)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1028887873143626"/>
                  <c:y val="6.5063856347224891E-2"/>
                </c:manualLayout>
              </c:layout>
              <c:numFmt formatCode="#,##0.00" sourceLinked="0"/>
            </c:trendlineLbl>
          </c:trendline>
          <c:xVal>
            <c:numRef>
              <c:f>Lambda!$AB$24:$AB$27</c:f>
              <c:numCache>
                <c:formatCode>General</c:formatCode>
                <c:ptCount val="4"/>
                <c:pt idx="0">
                  <c:v>-24.1</c:v>
                </c:pt>
                <c:pt idx="1">
                  <c:v>-22.8</c:v>
                </c:pt>
                <c:pt idx="2">
                  <c:v>-24.1</c:v>
                </c:pt>
                <c:pt idx="3">
                  <c:v>-22.5</c:v>
                </c:pt>
              </c:numCache>
            </c:numRef>
          </c:xVal>
          <c:yVal>
            <c:numRef>
              <c:f>Lambda!$AC$24:$AC$27</c:f>
              <c:numCache>
                <c:formatCode>General</c:formatCode>
                <c:ptCount val="4"/>
                <c:pt idx="0">
                  <c:v>-179</c:v>
                </c:pt>
                <c:pt idx="1">
                  <c:v>-161</c:v>
                </c:pt>
                <c:pt idx="2">
                  <c:v>-164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2-4555-B731-2883CA3F8C1D}"/>
            </c:ext>
          </c:extLst>
        </c:ser>
        <c:ser>
          <c:idx val="2"/>
          <c:order val="2"/>
          <c:tx>
            <c:v>B (Λ=92)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numFmt formatCode="#,##0.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Lambda!$AB$7:$AB$12</c:f>
              <c:numCache>
                <c:formatCode>General</c:formatCode>
                <c:ptCount val="6"/>
                <c:pt idx="0">
                  <c:v>-21.5</c:v>
                </c:pt>
                <c:pt idx="1">
                  <c:v>-23.2</c:v>
                </c:pt>
                <c:pt idx="2">
                  <c:v>-23.4</c:v>
                </c:pt>
                <c:pt idx="3">
                  <c:v>-24.2</c:v>
                </c:pt>
                <c:pt idx="4">
                  <c:v>-23.7</c:v>
                </c:pt>
                <c:pt idx="5">
                  <c:v>-24.2</c:v>
                </c:pt>
              </c:numCache>
            </c:numRef>
          </c:xVal>
          <c:yVal>
            <c:numRef>
              <c:f>Lambda!$AC$7:$AC$12</c:f>
              <c:numCache>
                <c:formatCode>General</c:formatCode>
                <c:ptCount val="6"/>
                <c:pt idx="0">
                  <c:v>80</c:v>
                </c:pt>
                <c:pt idx="1">
                  <c:v>-154</c:v>
                </c:pt>
                <c:pt idx="2">
                  <c:v>-169</c:v>
                </c:pt>
                <c:pt idx="3">
                  <c:v>-170</c:v>
                </c:pt>
                <c:pt idx="4">
                  <c:v>-173</c:v>
                </c:pt>
                <c:pt idx="5">
                  <c:v>-162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32-4555-B731-2883CA3F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1"/>
          <c:min val="-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  <c:max val="100"/>
          <c:min val="-2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m/p-Xylene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(Λ=6)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2.8449476103857271E-2"/>
                  <c:y val="-4.0879465143076631E-2"/>
                </c:manualLayout>
              </c:layout>
              <c:numFmt formatCode="#,##0.00" sourceLinked="0"/>
            </c:trendlineLbl>
          </c:trendline>
          <c:xVal>
            <c:numRef>
              <c:f>Lambda!$AK$38:$AK$42</c:f>
              <c:numCache>
                <c:formatCode>General</c:formatCode>
                <c:ptCount val="5"/>
                <c:pt idx="0">
                  <c:v>-26.2</c:v>
                </c:pt>
                <c:pt idx="1">
                  <c:v>-24.7</c:v>
                </c:pt>
                <c:pt idx="2">
                  <c:v>-25.7</c:v>
                </c:pt>
                <c:pt idx="3">
                  <c:v>-25.5</c:v>
                </c:pt>
                <c:pt idx="4">
                  <c:v>-25.4</c:v>
                </c:pt>
              </c:numCache>
            </c:numRef>
          </c:xVal>
          <c:yVal>
            <c:numRef>
              <c:f>Lambda!$AL$38:$AL$42</c:f>
              <c:numCache>
                <c:formatCode>General</c:formatCode>
                <c:ptCount val="5"/>
                <c:pt idx="0">
                  <c:v>-131</c:v>
                </c:pt>
                <c:pt idx="1">
                  <c:v>-122</c:v>
                </c:pt>
                <c:pt idx="2">
                  <c:v>-134</c:v>
                </c:pt>
                <c:pt idx="3">
                  <c:v>-127</c:v>
                </c:pt>
                <c:pt idx="4">
                  <c:v>-138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E-4F9F-AE8C-632BD3972C38}"/>
            </c:ext>
          </c:extLst>
        </c:ser>
        <c:ser>
          <c:idx val="1"/>
          <c:order val="1"/>
          <c:tx>
            <c:v>B2 (Λ=11)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7.3164611469650156E-2"/>
                  <c:y val="6.8297484155943847E-2"/>
                </c:manualLayout>
              </c:layout>
              <c:numFmt formatCode="#,##0.00" sourceLinked="0"/>
            </c:trendlineLbl>
          </c:trendline>
          <c:xVal>
            <c:numRef>
              <c:f>Lambda!$AK$24:$AK$26</c:f>
              <c:numCache>
                <c:formatCode>General</c:formatCode>
                <c:ptCount val="3"/>
                <c:pt idx="0">
                  <c:v>-26.2</c:v>
                </c:pt>
                <c:pt idx="1">
                  <c:v>-23.7</c:v>
                </c:pt>
                <c:pt idx="2">
                  <c:v>-25</c:v>
                </c:pt>
              </c:numCache>
            </c:numRef>
          </c:xVal>
          <c:yVal>
            <c:numRef>
              <c:f>Lambda!$AL$24:$AL$26</c:f>
              <c:numCache>
                <c:formatCode>General</c:formatCode>
                <c:ptCount val="3"/>
                <c:pt idx="0">
                  <c:v>-165</c:v>
                </c:pt>
                <c:pt idx="1">
                  <c:v>-136</c:v>
                </c:pt>
                <c:pt idx="2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E-4F9F-AE8C-632BD3972C38}"/>
            </c:ext>
          </c:extLst>
        </c:ser>
        <c:ser>
          <c:idx val="2"/>
          <c:order val="2"/>
          <c:tx>
            <c:v>B (Λ=22)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numFmt formatCode="#,##0.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Lambda!$AK$7:$AK$12</c:f>
              <c:numCache>
                <c:formatCode>General</c:formatCode>
                <c:ptCount val="6"/>
                <c:pt idx="0">
                  <c:v>-17.5</c:v>
                </c:pt>
                <c:pt idx="1">
                  <c:v>-24.5</c:v>
                </c:pt>
                <c:pt idx="2">
                  <c:v>-25.1</c:v>
                </c:pt>
                <c:pt idx="3">
                  <c:v>-22</c:v>
                </c:pt>
                <c:pt idx="4">
                  <c:v>-23.1</c:v>
                </c:pt>
                <c:pt idx="5">
                  <c:v>-21</c:v>
                </c:pt>
              </c:numCache>
            </c:numRef>
          </c:xVal>
          <c:yVal>
            <c:numRef>
              <c:f>Lambda!$AL$7:$AL$12</c:f>
              <c:numCache>
                <c:formatCode>General</c:formatCode>
                <c:ptCount val="6"/>
                <c:pt idx="0">
                  <c:v>62</c:v>
                </c:pt>
                <c:pt idx="1">
                  <c:v>-99</c:v>
                </c:pt>
                <c:pt idx="2">
                  <c:v>-115</c:v>
                </c:pt>
                <c:pt idx="3">
                  <c:v>-49</c:v>
                </c:pt>
                <c:pt idx="4">
                  <c:v>-65</c:v>
                </c:pt>
                <c:pt idx="5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E-4F9F-AE8C-632BD397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6"/>
          <c:min val="-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  <c:max val="1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o-Xylene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(Λ=12)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8.6460773198445365E-3"/>
                  <c:y val="-3.0320962166314577E-2"/>
                </c:manualLayout>
              </c:layout>
              <c:numFmt formatCode="#,##0.00" sourceLinked="0"/>
            </c:trendlineLbl>
          </c:trendline>
          <c:xVal>
            <c:numRef>
              <c:f>Lambda!$AT$38:$AT$42</c:f>
              <c:numCache>
                <c:formatCode>General</c:formatCode>
                <c:ptCount val="5"/>
                <c:pt idx="0">
                  <c:v>-25.6</c:v>
                </c:pt>
                <c:pt idx="1">
                  <c:v>-24.6</c:v>
                </c:pt>
                <c:pt idx="2">
                  <c:v>-24.6</c:v>
                </c:pt>
                <c:pt idx="3">
                  <c:v>-24.7</c:v>
                </c:pt>
                <c:pt idx="4">
                  <c:v>-25.2</c:v>
                </c:pt>
              </c:numCache>
            </c:numRef>
          </c:xVal>
          <c:yVal>
            <c:numRef>
              <c:f>Lambda!$AU$38:$AU$42</c:f>
              <c:numCache>
                <c:formatCode>General</c:formatCode>
                <c:ptCount val="5"/>
                <c:pt idx="0">
                  <c:v>-108</c:v>
                </c:pt>
                <c:pt idx="1">
                  <c:v>-101</c:v>
                </c:pt>
                <c:pt idx="2">
                  <c:v>-96</c:v>
                </c:pt>
                <c:pt idx="3">
                  <c:v>-100</c:v>
                </c:pt>
                <c:pt idx="4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F-4589-A889-A4011DCF43CD}"/>
            </c:ext>
          </c:extLst>
        </c:ser>
        <c:ser>
          <c:idx val="1"/>
          <c:order val="1"/>
          <c:tx>
            <c:v>B2 (Λ=28)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4.5879846506528457E-3"/>
                  <c:y val="-6.2061887843287882E-3"/>
                </c:manualLayout>
              </c:layout>
              <c:numFmt formatCode="#,##0.00" sourceLinked="0"/>
            </c:trendlineLbl>
          </c:trendline>
          <c:xVal>
            <c:numRef>
              <c:f>Lambda!$AT$24:$AT$26</c:f>
              <c:numCache>
                <c:formatCode>General</c:formatCode>
                <c:ptCount val="3"/>
                <c:pt idx="0">
                  <c:v>-25.7</c:v>
                </c:pt>
                <c:pt idx="1">
                  <c:v>-25.1</c:v>
                </c:pt>
                <c:pt idx="2">
                  <c:v>-21.1</c:v>
                </c:pt>
              </c:numCache>
            </c:numRef>
          </c:xVal>
          <c:yVal>
            <c:numRef>
              <c:f>Lambda!$AU$24:$AU$26</c:f>
              <c:numCache>
                <c:formatCode>General</c:formatCode>
                <c:ptCount val="3"/>
                <c:pt idx="0">
                  <c:v>-138</c:v>
                </c:pt>
                <c:pt idx="1">
                  <c:v>-126</c:v>
                </c:pt>
                <c:pt idx="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F-4589-A889-A4011DCF43CD}"/>
            </c:ext>
          </c:extLst>
        </c:ser>
        <c:ser>
          <c:idx val="2"/>
          <c:order val="2"/>
          <c:tx>
            <c:v>B (Λ=17)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6.4008109177215194E-2"/>
                  <c:y val="5.0190248703668137E-2"/>
                </c:manualLayout>
              </c:layout>
              <c:numFmt formatCode="#,##0.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Lambda!$AT$7:$AT$12</c:f>
              <c:numCache>
                <c:formatCode>General</c:formatCode>
                <c:ptCount val="6"/>
                <c:pt idx="0">
                  <c:v>-14</c:v>
                </c:pt>
                <c:pt idx="1">
                  <c:v>-21.1</c:v>
                </c:pt>
                <c:pt idx="2">
                  <c:v>-22.1</c:v>
                </c:pt>
                <c:pt idx="3">
                  <c:v>-18</c:v>
                </c:pt>
                <c:pt idx="4">
                  <c:v>-19.399999999999999</c:v>
                </c:pt>
                <c:pt idx="5">
                  <c:v>-23.8</c:v>
                </c:pt>
              </c:numCache>
            </c:numRef>
          </c:xVal>
          <c:yVal>
            <c:numRef>
              <c:f>Lambda!$AU$7:$AU$12</c:f>
              <c:numCache>
                <c:formatCode>General</c:formatCode>
                <c:ptCount val="6"/>
                <c:pt idx="0">
                  <c:v>70</c:v>
                </c:pt>
                <c:pt idx="1">
                  <c:v>-43</c:v>
                </c:pt>
                <c:pt idx="2">
                  <c:v>-64</c:v>
                </c:pt>
                <c:pt idx="3">
                  <c:v>9</c:v>
                </c:pt>
                <c:pt idx="4">
                  <c:v>-22</c:v>
                </c:pt>
                <c:pt idx="5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F-4589-A889-A4011DCF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6"/>
          <c:min val="-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  <c:max val="1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nl-NL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Bacteria vs soil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nl-NL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9078151496494"/>
          <c:y val="0.10804547591837751"/>
          <c:w val="0.85629215746774689"/>
          <c:h val="0.521404883274116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'All vs soil type'!$C$3:$C$25</c:f>
              <c:strCache>
                <c:ptCount val="23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extremely course sand</c:v>
                </c:pt>
                <c:pt idx="4">
                  <c:v>extremely course sand</c:v>
                </c:pt>
                <c:pt idx="5">
                  <c:v>very course sand</c:v>
                </c:pt>
                <c:pt idx="6">
                  <c:v>very course sand</c:v>
                </c:pt>
                <c:pt idx="7">
                  <c:v>very course sand</c:v>
                </c:pt>
                <c:pt idx="8">
                  <c:v>very course sand</c:v>
                </c:pt>
                <c:pt idx="9">
                  <c:v>very course sand</c:v>
                </c:pt>
                <c:pt idx="10">
                  <c:v>moderately course sand</c:v>
                </c:pt>
                <c:pt idx="11">
                  <c:v>moderately course sand</c:v>
                </c:pt>
                <c:pt idx="12">
                  <c:v>moderately course sand</c:v>
                </c:pt>
                <c:pt idx="13">
                  <c:v>moderately fine sand</c:v>
                </c:pt>
                <c:pt idx="14">
                  <c:v>moderately fine sand</c:v>
                </c:pt>
                <c:pt idx="15">
                  <c:v>moderately fine sand</c:v>
                </c:pt>
                <c:pt idx="16">
                  <c:v>moderately fine sand</c:v>
                </c:pt>
                <c:pt idx="17">
                  <c:v>very fine sand</c:v>
                </c:pt>
                <c:pt idx="18">
                  <c:v>very fine sand</c:v>
                </c:pt>
                <c:pt idx="19">
                  <c:v>very fine sand</c:v>
                </c:pt>
                <c:pt idx="20">
                  <c:v>very fine sand</c:v>
                </c:pt>
                <c:pt idx="21">
                  <c:v>extremely fine sand</c:v>
                </c:pt>
                <c:pt idx="22">
                  <c:v>clay</c:v>
                </c:pt>
              </c:strCache>
            </c:strRef>
          </c:cat>
          <c:val>
            <c:numRef>
              <c:f>'All vs soil type'!$E$3:$E$25</c:f>
              <c:numCache>
                <c:formatCode>General</c:formatCode>
                <c:ptCount val="23"/>
                <c:pt idx="0">
                  <c:v>507717</c:v>
                </c:pt>
                <c:pt idx="1">
                  <c:v>23726</c:v>
                </c:pt>
                <c:pt idx="2">
                  <c:v>366889</c:v>
                </c:pt>
                <c:pt idx="3">
                  <c:v>503575</c:v>
                </c:pt>
                <c:pt idx="4">
                  <c:v>74248</c:v>
                </c:pt>
                <c:pt idx="5">
                  <c:v>567889</c:v>
                </c:pt>
                <c:pt idx="6">
                  <c:v>50500</c:v>
                </c:pt>
                <c:pt idx="7">
                  <c:v>85956</c:v>
                </c:pt>
                <c:pt idx="8">
                  <c:v>150267</c:v>
                </c:pt>
                <c:pt idx="9">
                  <c:v>1190175</c:v>
                </c:pt>
                <c:pt idx="10">
                  <c:v>261333</c:v>
                </c:pt>
                <c:pt idx="11">
                  <c:v>195478</c:v>
                </c:pt>
                <c:pt idx="12">
                  <c:v>35761</c:v>
                </c:pt>
                <c:pt idx="13">
                  <c:v>2149167</c:v>
                </c:pt>
                <c:pt idx="14">
                  <c:v>149993</c:v>
                </c:pt>
                <c:pt idx="15">
                  <c:v>4446</c:v>
                </c:pt>
                <c:pt idx="16">
                  <c:v>640333</c:v>
                </c:pt>
                <c:pt idx="17">
                  <c:v>5667500</c:v>
                </c:pt>
                <c:pt idx="18">
                  <c:v>116456</c:v>
                </c:pt>
                <c:pt idx="19">
                  <c:v>355444</c:v>
                </c:pt>
                <c:pt idx="20">
                  <c:v>720167</c:v>
                </c:pt>
                <c:pt idx="21">
                  <c:v>42120</c:v>
                </c:pt>
                <c:pt idx="22">
                  <c:v>1475833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9-4C31-97CD-F6DAC5F2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675008"/>
        <c:axId val="425675336"/>
      </c:barChart>
      <c:catAx>
        <c:axId val="42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336"/>
        <c:crosses val="autoZero"/>
        <c:auto val="1"/>
        <c:lblAlgn val="ctr"/>
        <c:lblOffset val="100"/>
        <c:noMultiLvlLbl val="0"/>
      </c:catAx>
      <c:valAx>
        <c:axId val="4256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count (\m</a:t>
                </a:r>
                <a:r>
                  <a:rPr lang="nl-NL"/>
                  <a:t>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Indane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(Λ=-12)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4.8127118010565136E-2"/>
                  <c:y val="2.5088822738621088E-2"/>
                </c:manualLayout>
              </c:layout>
              <c:numFmt formatCode="#,##0.00" sourceLinked="0"/>
            </c:trendlineLbl>
          </c:trendline>
          <c:xVal>
            <c:numRef>
              <c:f>Lambda!$BC$38:$BC$42</c:f>
              <c:numCache>
                <c:formatCode>General</c:formatCode>
                <c:ptCount val="5"/>
                <c:pt idx="0">
                  <c:v>-23.8</c:v>
                </c:pt>
                <c:pt idx="1">
                  <c:v>-24.8</c:v>
                </c:pt>
                <c:pt idx="2">
                  <c:v>-25.2</c:v>
                </c:pt>
                <c:pt idx="3">
                  <c:v>-25.2</c:v>
                </c:pt>
                <c:pt idx="4">
                  <c:v>-25.1</c:v>
                </c:pt>
              </c:numCache>
            </c:numRef>
          </c:xVal>
          <c:yVal>
            <c:numRef>
              <c:f>Lambda!$BD$38:$BD$42</c:f>
              <c:numCache>
                <c:formatCode>General</c:formatCode>
                <c:ptCount val="5"/>
                <c:pt idx="0">
                  <c:v>-153</c:v>
                </c:pt>
                <c:pt idx="1">
                  <c:v>-155</c:v>
                </c:pt>
                <c:pt idx="2">
                  <c:v>-147</c:v>
                </c:pt>
                <c:pt idx="3">
                  <c:v>-109</c:v>
                </c:pt>
                <c:pt idx="4">
                  <c:v>-159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C-4DC5-B68B-1EEF2F97E7A6}"/>
            </c:ext>
          </c:extLst>
        </c:ser>
        <c:ser>
          <c:idx val="1"/>
          <c:order val="1"/>
          <c:tx>
            <c:v>B2 (Λ=13)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45770364048639489"/>
                  <c:y val="0.20538187776070674"/>
                </c:manualLayout>
              </c:layout>
              <c:numFmt formatCode="#,##0.00" sourceLinked="0"/>
            </c:trendlineLbl>
          </c:trendline>
          <c:xVal>
            <c:numRef>
              <c:f>Lambda!$BC$24:$BC$27</c:f>
              <c:numCache>
                <c:formatCode>General</c:formatCode>
                <c:ptCount val="4"/>
                <c:pt idx="0">
                  <c:v>-27.6</c:v>
                </c:pt>
                <c:pt idx="1">
                  <c:v>-26.9</c:v>
                </c:pt>
                <c:pt idx="2">
                  <c:v>-25.6</c:v>
                </c:pt>
                <c:pt idx="3">
                  <c:v>-23</c:v>
                </c:pt>
              </c:numCache>
            </c:numRef>
          </c:xVal>
          <c:yVal>
            <c:numRef>
              <c:f>Lambda!$BD$24:$BD$27</c:f>
              <c:numCache>
                <c:formatCode>General</c:formatCode>
                <c:ptCount val="4"/>
                <c:pt idx="0">
                  <c:v>-132</c:v>
                </c:pt>
                <c:pt idx="1">
                  <c:v>-150</c:v>
                </c:pt>
                <c:pt idx="2">
                  <c:v>-106</c:v>
                </c:pt>
                <c:pt idx="3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C-4DC5-B68B-1EEF2F97E7A6}"/>
            </c:ext>
          </c:extLst>
        </c:ser>
        <c:ser>
          <c:idx val="2"/>
          <c:order val="2"/>
          <c:tx>
            <c:v>B (Λ=15)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7.0129704786703884E-2"/>
                  <c:y val="-2.547832245054734E-2"/>
                </c:manualLayout>
              </c:layout>
              <c:numFmt formatCode="#,##0.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Lambda!$BC$7:$BC$11</c:f>
              <c:numCache>
                <c:formatCode>General</c:formatCode>
                <c:ptCount val="5"/>
                <c:pt idx="0">
                  <c:v>-24.7</c:v>
                </c:pt>
                <c:pt idx="1">
                  <c:v>-24.7</c:v>
                </c:pt>
                <c:pt idx="2">
                  <c:v>-24.9</c:v>
                </c:pt>
                <c:pt idx="3">
                  <c:v>-24</c:v>
                </c:pt>
                <c:pt idx="4">
                  <c:v>-24.6</c:v>
                </c:pt>
              </c:numCache>
            </c:numRef>
          </c:xVal>
          <c:yVal>
            <c:numRef>
              <c:f>Lambda!$BD$7:$BD$11</c:f>
              <c:numCache>
                <c:formatCode>General</c:formatCode>
                <c:ptCount val="5"/>
                <c:pt idx="0">
                  <c:v>-142</c:v>
                </c:pt>
                <c:pt idx="1">
                  <c:v>-145</c:v>
                </c:pt>
                <c:pt idx="2">
                  <c:v>-159</c:v>
                </c:pt>
                <c:pt idx="3">
                  <c:v>-140</c:v>
                </c:pt>
                <c:pt idx="4">
                  <c:v>-136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C-4DC5-B68B-1EEF2F97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2"/>
          <c:min val="-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  <c:max val="-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Naphthalene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(Λ=3)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9.492502865543706E-2"/>
                  <c:y val="3.4762699251008257E-2"/>
                </c:manualLayout>
              </c:layout>
              <c:numFmt formatCode="#,##0.00" sourceLinked="0"/>
            </c:trendlineLbl>
          </c:trendline>
          <c:xVal>
            <c:numRef>
              <c:f>Lambda!$BL$38:$BL$42</c:f>
              <c:numCache>
                <c:formatCode>General</c:formatCode>
                <c:ptCount val="5"/>
                <c:pt idx="0">
                  <c:v>-27</c:v>
                </c:pt>
                <c:pt idx="1">
                  <c:v>-26.6</c:v>
                </c:pt>
                <c:pt idx="2">
                  <c:v>-26.7</c:v>
                </c:pt>
                <c:pt idx="3">
                  <c:v>-26.8</c:v>
                </c:pt>
                <c:pt idx="4">
                  <c:v>-26.8</c:v>
                </c:pt>
              </c:numCache>
            </c:numRef>
          </c:xVal>
          <c:yVal>
            <c:numRef>
              <c:f>Lambda!$BM$38:$BM$42</c:f>
              <c:numCache>
                <c:formatCode>General</c:formatCode>
                <c:ptCount val="5"/>
                <c:pt idx="0">
                  <c:v>-52</c:v>
                </c:pt>
                <c:pt idx="1">
                  <c:v>-49</c:v>
                </c:pt>
                <c:pt idx="2">
                  <c:v>-55</c:v>
                </c:pt>
                <c:pt idx="3">
                  <c:v>-47</c:v>
                </c:pt>
                <c:pt idx="4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4-45C5-BCDE-72806E0E17B9}"/>
            </c:ext>
          </c:extLst>
        </c:ser>
        <c:ser>
          <c:idx val="1"/>
          <c:order val="1"/>
          <c:tx>
            <c:v>B2 (Λ=-86)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6382247178062395"/>
                  <c:y val="-0.31731743326291528"/>
                </c:manualLayout>
              </c:layout>
              <c:numFmt formatCode="#,##0.00" sourceLinked="0"/>
            </c:trendlineLbl>
          </c:trendline>
          <c:xVal>
            <c:numRef>
              <c:f>Lambda!$BL$24:$BL$27</c:f>
              <c:numCache>
                <c:formatCode>General</c:formatCode>
                <c:ptCount val="4"/>
                <c:pt idx="0">
                  <c:v>-27</c:v>
                </c:pt>
                <c:pt idx="1">
                  <c:v>-26.8</c:v>
                </c:pt>
                <c:pt idx="2">
                  <c:v>-27.2</c:v>
                </c:pt>
                <c:pt idx="3">
                  <c:v>-26.9</c:v>
                </c:pt>
              </c:numCache>
            </c:numRef>
          </c:xVal>
          <c:yVal>
            <c:numRef>
              <c:f>Lambda!$BM$24:$BM$27</c:f>
              <c:numCache>
                <c:formatCode>General</c:formatCode>
                <c:ptCount val="4"/>
                <c:pt idx="0">
                  <c:v>-55</c:v>
                </c:pt>
                <c:pt idx="1">
                  <c:v>-60</c:v>
                </c:pt>
                <c:pt idx="2">
                  <c:v>-27</c:v>
                </c:pt>
                <c:pt idx="3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4-45C5-BCDE-72806E0E17B9}"/>
            </c:ext>
          </c:extLst>
        </c:ser>
        <c:ser>
          <c:idx val="2"/>
          <c:order val="2"/>
          <c:tx>
            <c:v>B (Λ=20)</c:v>
          </c:tx>
          <c:spPr>
            <a:ln w="19050"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8.3768485871623638E-2"/>
                  <c:y val="3.8997083253312845E-2"/>
                </c:manualLayout>
              </c:layout>
              <c:numFmt formatCode="#,##0.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Lambda!$BL$7:$BL$12</c:f>
              <c:numCache>
                <c:formatCode>General</c:formatCode>
                <c:ptCount val="6"/>
                <c:pt idx="0">
                  <c:v>-26.3</c:v>
                </c:pt>
                <c:pt idx="1">
                  <c:v>-26.8</c:v>
                </c:pt>
                <c:pt idx="2">
                  <c:v>-26.7</c:v>
                </c:pt>
                <c:pt idx="3">
                  <c:v>-26.7</c:v>
                </c:pt>
                <c:pt idx="4">
                  <c:v>-26.7</c:v>
                </c:pt>
                <c:pt idx="5">
                  <c:v>-26.3</c:v>
                </c:pt>
              </c:numCache>
            </c:numRef>
          </c:xVal>
          <c:yVal>
            <c:numRef>
              <c:f>Lambda!$BM$7:$BM$12</c:f>
              <c:numCache>
                <c:formatCode>General</c:formatCode>
                <c:ptCount val="6"/>
                <c:pt idx="0">
                  <c:v>-43</c:v>
                </c:pt>
                <c:pt idx="1">
                  <c:v>-54</c:v>
                </c:pt>
                <c:pt idx="2">
                  <c:v>-39</c:v>
                </c:pt>
                <c:pt idx="3">
                  <c:v>-42</c:v>
                </c:pt>
                <c:pt idx="4">
                  <c:v>-34</c:v>
                </c:pt>
                <c:pt idx="5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64-45C5-BCDE-72806E0E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6"/>
          <c:min val="-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  <c:majorUnit val="0.5"/>
      </c:valAx>
      <c:valAx>
        <c:axId val="135477888"/>
        <c:scaling>
          <c:orientation val="minMax"/>
          <c:max val="-20"/>
          <c:min val="-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8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Metabolites vs soil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372694038208"/>
          <c:y val="0.11595487284243174"/>
          <c:w val="0.85629215746774689"/>
          <c:h val="0.48976729557789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'All vs soil type'!$C$3:$C$25</c:f>
              <c:strCache>
                <c:ptCount val="23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extremely course sand</c:v>
                </c:pt>
                <c:pt idx="4">
                  <c:v>extremely course sand</c:v>
                </c:pt>
                <c:pt idx="5">
                  <c:v>very course sand</c:v>
                </c:pt>
                <c:pt idx="6">
                  <c:v>very course sand</c:v>
                </c:pt>
                <c:pt idx="7">
                  <c:v>very course sand</c:v>
                </c:pt>
                <c:pt idx="8">
                  <c:v>very course sand</c:v>
                </c:pt>
                <c:pt idx="9">
                  <c:v>very course sand</c:v>
                </c:pt>
                <c:pt idx="10">
                  <c:v>moderately course sand</c:v>
                </c:pt>
                <c:pt idx="11">
                  <c:v>moderately course sand</c:v>
                </c:pt>
                <c:pt idx="12">
                  <c:v>moderately course sand</c:v>
                </c:pt>
                <c:pt idx="13">
                  <c:v>moderately fine sand</c:v>
                </c:pt>
                <c:pt idx="14">
                  <c:v>moderately fine sand</c:v>
                </c:pt>
                <c:pt idx="15">
                  <c:v>moderately fine sand</c:v>
                </c:pt>
                <c:pt idx="16">
                  <c:v>moderately fine sand</c:v>
                </c:pt>
                <c:pt idx="17">
                  <c:v>very fine sand</c:v>
                </c:pt>
                <c:pt idx="18">
                  <c:v>very fine sand</c:v>
                </c:pt>
                <c:pt idx="19">
                  <c:v>very fine sand</c:v>
                </c:pt>
                <c:pt idx="20">
                  <c:v>very fine sand</c:v>
                </c:pt>
                <c:pt idx="21">
                  <c:v>extremely fine sand</c:v>
                </c:pt>
                <c:pt idx="22">
                  <c:v>clay</c:v>
                </c:pt>
              </c:strCache>
            </c:strRef>
          </c:cat>
          <c:val>
            <c:numRef>
              <c:f>'All vs soil type'!$F$3:$F$25</c:f>
              <c:numCache>
                <c:formatCode>General</c:formatCode>
                <c:ptCount val="23"/>
                <c:pt idx="0">
                  <c:v>674</c:v>
                </c:pt>
                <c:pt idx="1">
                  <c:v>6</c:v>
                </c:pt>
                <c:pt idx="2">
                  <c:v>8</c:v>
                </c:pt>
                <c:pt idx="3">
                  <c:v>431</c:v>
                </c:pt>
                <c:pt idx="4">
                  <c:v>107</c:v>
                </c:pt>
                <c:pt idx="5">
                  <c:v>90</c:v>
                </c:pt>
                <c:pt idx="6">
                  <c:v>514</c:v>
                </c:pt>
                <c:pt idx="7">
                  <c:v>16</c:v>
                </c:pt>
                <c:pt idx="8">
                  <c:v>7</c:v>
                </c:pt>
                <c:pt idx="9">
                  <c:v>0</c:v>
                </c:pt>
                <c:pt idx="10">
                  <c:v>589</c:v>
                </c:pt>
                <c:pt idx="11">
                  <c:v>600</c:v>
                </c:pt>
                <c:pt idx="12">
                  <c:v>5</c:v>
                </c:pt>
                <c:pt idx="13">
                  <c:v>0</c:v>
                </c:pt>
                <c:pt idx="14">
                  <c:v>354</c:v>
                </c:pt>
                <c:pt idx="15">
                  <c:v>84</c:v>
                </c:pt>
                <c:pt idx="16">
                  <c:v>290</c:v>
                </c:pt>
                <c:pt idx="17">
                  <c:v>0</c:v>
                </c:pt>
                <c:pt idx="18">
                  <c:v>15</c:v>
                </c:pt>
                <c:pt idx="19">
                  <c:v>101</c:v>
                </c:pt>
                <c:pt idx="20">
                  <c:v>0</c:v>
                </c:pt>
                <c:pt idx="21">
                  <c:v>41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6-4451-BA89-7F2DAA90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675008"/>
        <c:axId val="425675336"/>
      </c:barChart>
      <c:catAx>
        <c:axId val="42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336"/>
        <c:crosses val="autoZero"/>
        <c:auto val="1"/>
        <c:lblAlgn val="ctr"/>
        <c:lblOffset val="100"/>
        <c:noMultiLvlLbl val="0"/>
      </c:catAx>
      <c:valAx>
        <c:axId val="4256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Metabolites (</a:t>
                </a:r>
                <a:r>
                  <a:rPr lang="el-GR" sz="1050"/>
                  <a:t>μ</a:t>
                </a:r>
                <a:r>
                  <a:rPr lang="nl-NL" sz="1050"/>
                  <a:t>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'Tar fractions'!$T$4</c:f>
              <c:strCache>
                <c:ptCount val="1"/>
                <c:pt idx="0">
                  <c:v>Benzene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fractions'!$T$5:$T$25</c:f>
              <c:numCache>
                <c:formatCode>0.0</c:formatCode>
                <c:ptCount val="21"/>
                <c:pt idx="0">
                  <c:v>5.6853893414418426</c:v>
                </c:pt>
                <c:pt idx="1">
                  <c:v>1.7164502414633127</c:v>
                </c:pt>
                <c:pt idx="2">
                  <c:v>10.016724678973283</c:v>
                </c:pt>
                <c:pt idx="3">
                  <c:v>20.659310739679505</c:v>
                </c:pt>
                <c:pt idx="4">
                  <c:v>6.5201680346172974</c:v>
                </c:pt>
                <c:pt idx="5">
                  <c:v>2.5399317906734131</c:v>
                </c:pt>
                <c:pt idx="6">
                  <c:v>13.150163641922488</c:v>
                </c:pt>
                <c:pt idx="7">
                  <c:v>21.261441768115709</c:v>
                </c:pt>
                <c:pt idx="8">
                  <c:v>22.311872677443503</c:v>
                </c:pt>
                <c:pt idx="9">
                  <c:v>2.1265225044053389</c:v>
                </c:pt>
                <c:pt idx="10">
                  <c:v>25.515695936290417</c:v>
                </c:pt>
                <c:pt idx="11">
                  <c:v>2.1786347591830078</c:v>
                </c:pt>
                <c:pt idx="12">
                  <c:v>27.357859467594377</c:v>
                </c:pt>
                <c:pt idx="13">
                  <c:v>20.880582653163817</c:v>
                </c:pt>
                <c:pt idx="14">
                  <c:v>16.310923728375219</c:v>
                </c:pt>
                <c:pt idx="15">
                  <c:v>3.7055950725639932</c:v>
                </c:pt>
                <c:pt idx="16">
                  <c:v>3.4339389076231588</c:v>
                </c:pt>
                <c:pt idx="17">
                  <c:v>4.3783799420043135</c:v>
                </c:pt>
                <c:pt idx="18">
                  <c:v>3.8851899260581821</c:v>
                </c:pt>
                <c:pt idx="19">
                  <c:v>23.793522145682608</c:v>
                </c:pt>
                <c:pt idx="20">
                  <c:v>18.3452432102847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0-4353-9F87-24A1E8056DD5}"/>
            </c:ext>
          </c:extLst>
        </c:ser>
        <c:ser>
          <c:idx val="1"/>
          <c:order val="1"/>
          <c:tx>
            <c:strRef>
              <c:f>'Tar fractions'!$U$4</c:f>
              <c:strCache>
                <c:ptCount val="1"/>
                <c:pt idx="0">
                  <c:v>Toluene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fractions'!$U$5:$U$25</c:f>
              <c:numCache>
                <c:formatCode>0.0</c:formatCode>
                <c:ptCount val="21"/>
                <c:pt idx="0">
                  <c:v>4.0924727389973457E-2</c:v>
                </c:pt>
                <c:pt idx="1">
                  <c:v>6.6337772711013057E-2</c:v>
                </c:pt>
                <c:pt idx="2">
                  <c:v>0.20452586989375332</c:v>
                </c:pt>
                <c:pt idx="3">
                  <c:v>0.15774959771642655</c:v>
                </c:pt>
                <c:pt idx="4">
                  <c:v>0.12894935937252902</c:v>
                </c:pt>
                <c:pt idx="5">
                  <c:v>0.32882291078655002</c:v>
                </c:pt>
                <c:pt idx="6">
                  <c:v>0.5127827432894716</c:v>
                </c:pt>
                <c:pt idx="7">
                  <c:v>2.3815582266486937</c:v>
                </c:pt>
                <c:pt idx="8">
                  <c:v>1.2743568810071055</c:v>
                </c:pt>
                <c:pt idx="9">
                  <c:v>6.9627051717975078E-2</c:v>
                </c:pt>
                <c:pt idx="10">
                  <c:v>0.24828643030430528</c:v>
                </c:pt>
                <c:pt idx="11">
                  <c:v>0.24615969680435429</c:v>
                </c:pt>
                <c:pt idx="12">
                  <c:v>0.14969296330192003</c:v>
                </c:pt>
                <c:pt idx="13">
                  <c:v>0.86403559393498697</c:v>
                </c:pt>
                <c:pt idx="14">
                  <c:v>3.6703106547987598</c:v>
                </c:pt>
                <c:pt idx="15">
                  <c:v>1.1253577615293762</c:v>
                </c:pt>
                <c:pt idx="16">
                  <c:v>0.30446154051080992</c:v>
                </c:pt>
                <c:pt idx="17">
                  <c:v>4.3488384894133925E-2</c:v>
                </c:pt>
                <c:pt idx="18">
                  <c:v>0.20936706435368346</c:v>
                </c:pt>
                <c:pt idx="19">
                  <c:v>5.4220058865127578</c:v>
                </c:pt>
                <c:pt idx="20">
                  <c:v>3.6724400671071411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353-9F87-24A1E8056DD5}"/>
            </c:ext>
          </c:extLst>
        </c:ser>
        <c:ser>
          <c:idx val="2"/>
          <c:order val="2"/>
          <c:tx>
            <c:strRef>
              <c:f>'Tar fractions'!$V$4</c:f>
              <c:strCache>
                <c:ptCount val="1"/>
                <c:pt idx="0">
                  <c:v>Ethylbenzene</c:v>
                </c:pt>
              </c:strCache>
            </c:strRef>
          </c:tx>
          <c:spPr>
            <a:pattFill prst="dashVert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fractions'!$V$5:$V$25</c:f>
              <c:numCache>
                <c:formatCode>0.0</c:formatCode>
                <c:ptCount val="21"/>
                <c:pt idx="0">
                  <c:v>5.8215781977700036</c:v>
                </c:pt>
                <c:pt idx="1">
                  <c:v>16.176371429988702</c:v>
                </c:pt>
                <c:pt idx="2">
                  <c:v>15.103427809860722</c:v>
                </c:pt>
                <c:pt idx="3">
                  <c:v>19.792075382071527</c:v>
                </c:pt>
                <c:pt idx="4">
                  <c:v>32.15995677471836</c:v>
                </c:pt>
                <c:pt idx="5">
                  <c:v>14.76463007237308</c:v>
                </c:pt>
                <c:pt idx="6">
                  <c:v>23.33888309569079</c:v>
                </c:pt>
                <c:pt idx="7">
                  <c:v>3.8234677058910718</c:v>
                </c:pt>
                <c:pt idx="8">
                  <c:v>9.0669959176722159</c:v>
                </c:pt>
                <c:pt idx="9">
                  <c:v>2.4488549636337367</c:v>
                </c:pt>
                <c:pt idx="10">
                  <c:v>11.025683360482226</c:v>
                </c:pt>
                <c:pt idx="11">
                  <c:v>8.8512043645470833</c:v>
                </c:pt>
                <c:pt idx="12">
                  <c:v>9.4927777114686247</c:v>
                </c:pt>
                <c:pt idx="13">
                  <c:v>8.4954273517066614</c:v>
                </c:pt>
                <c:pt idx="14">
                  <c:v>5.4201249747159199</c:v>
                </c:pt>
                <c:pt idx="15">
                  <c:v>11.52466184780732</c:v>
                </c:pt>
                <c:pt idx="16">
                  <c:v>14.86800089621036</c:v>
                </c:pt>
                <c:pt idx="17">
                  <c:v>9.408797426754786</c:v>
                </c:pt>
                <c:pt idx="18">
                  <c:v>13.937127283468701</c:v>
                </c:pt>
                <c:pt idx="19">
                  <c:v>8.9745403430059643</c:v>
                </c:pt>
                <c:pt idx="20">
                  <c:v>10.480445527372716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0-4353-9F87-24A1E8056DD5}"/>
            </c:ext>
          </c:extLst>
        </c:ser>
        <c:ser>
          <c:idx val="3"/>
          <c:order val="3"/>
          <c:tx>
            <c:strRef>
              <c:f>'Tar fractions'!$W$4</c:f>
              <c:strCache>
                <c:ptCount val="1"/>
                <c:pt idx="0">
                  <c:v>P/M Xylene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fractions'!$W$5:$W$25</c:f>
              <c:numCache>
                <c:formatCode>0.0</c:formatCode>
                <c:ptCount val="21"/>
                <c:pt idx="0">
                  <c:v>0.29400523088463748</c:v>
                </c:pt>
                <c:pt idx="1">
                  <c:v>7.1930694530135089</c:v>
                </c:pt>
                <c:pt idx="2">
                  <c:v>6.2027946526448838</c:v>
                </c:pt>
                <c:pt idx="3">
                  <c:v>1.3077748294124438</c:v>
                </c:pt>
                <c:pt idx="4">
                  <c:v>3.1380927058646231</c:v>
                </c:pt>
                <c:pt idx="5">
                  <c:v>1.9294829872592467</c:v>
                </c:pt>
                <c:pt idx="6">
                  <c:v>29.365709602403307</c:v>
                </c:pt>
                <c:pt idx="7">
                  <c:v>2.9713059052061666</c:v>
                </c:pt>
                <c:pt idx="8">
                  <c:v>4.5098625447604412</c:v>
                </c:pt>
                <c:pt idx="9">
                  <c:v>2.3824969805706009</c:v>
                </c:pt>
                <c:pt idx="10">
                  <c:v>14.095168263066526</c:v>
                </c:pt>
                <c:pt idx="11">
                  <c:v>5.1625188248241045</c:v>
                </c:pt>
                <c:pt idx="12">
                  <c:v>1.4030724729502395</c:v>
                </c:pt>
                <c:pt idx="13">
                  <c:v>3.5823335693653231</c:v>
                </c:pt>
                <c:pt idx="14">
                  <c:v>4.3466637022514512</c:v>
                </c:pt>
                <c:pt idx="15">
                  <c:v>6.5157256846898841</c:v>
                </c:pt>
                <c:pt idx="16">
                  <c:v>6.2156407782039995</c:v>
                </c:pt>
                <c:pt idx="17">
                  <c:v>3.7628845591812876</c:v>
                </c:pt>
                <c:pt idx="18">
                  <c:v>5.6833755953986502</c:v>
                </c:pt>
                <c:pt idx="19">
                  <c:v>6.8566639237902463</c:v>
                </c:pt>
                <c:pt idx="20">
                  <c:v>7.753391767139675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0-4353-9F87-24A1E8056DD5}"/>
            </c:ext>
          </c:extLst>
        </c:ser>
        <c:ser>
          <c:idx val="4"/>
          <c:order val="4"/>
          <c:tx>
            <c:strRef>
              <c:f>'Tar fractions'!$X$4</c:f>
              <c:strCache>
                <c:ptCount val="1"/>
                <c:pt idx="0">
                  <c:v>O Xylene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fractions'!$X$5:$X$25</c:f>
              <c:numCache>
                <c:formatCode>0.0</c:formatCode>
                <c:ptCount val="21"/>
                <c:pt idx="0">
                  <c:v>1.1062114425183367</c:v>
                </c:pt>
                <c:pt idx="1">
                  <c:v>2.4230862351921409</c:v>
                </c:pt>
                <c:pt idx="2">
                  <c:v>2.5135058657619691</c:v>
                </c:pt>
                <c:pt idx="3">
                  <c:v>1.0051387196626795</c:v>
                </c:pt>
                <c:pt idx="4">
                  <c:v>2.3061416715184748</c:v>
                </c:pt>
                <c:pt idx="5">
                  <c:v>3.6376746724443332</c:v>
                </c:pt>
                <c:pt idx="6">
                  <c:v>1.3626688381650562</c:v>
                </c:pt>
                <c:pt idx="7">
                  <c:v>2.945183222442989</c:v>
                </c:pt>
                <c:pt idx="8">
                  <c:v>1.8769033953270891</c:v>
                </c:pt>
                <c:pt idx="9">
                  <c:v>1.0730766218865682</c:v>
                </c:pt>
                <c:pt idx="10">
                  <c:v>0.31885773134489087</c:v>
                </c:pt>
                <c:pt idx="11">
                  <c:v>3.2011166599218606</c:v>
                </c:pt>
                <c:pt idx="12">
                  <c:v>1.1138826352266344</c:v>
                </c:pt>
                <c:pt idx="13">
                  <c:v>1.7762418302005951</c:v>
                </c:pt>
                <c:pt idx="14">
                  <c:v>5.3335200922954957</c:v>
                </c:pt>
                <c:pt idx="15">
                  <c:v>3.9578271506378582</c:v>
                </c:pt>
                <c:pt idx="16">
                  <c:v>4.9228910351392114</c:v>
                </c:pt>
                <c:pt idx="17">
                  <c:v>2.7905360171822107</c:v>
                </c:pt>
                <c:pt idx="18">
                  <c:v>3.8731120067339511</c:v>
                </c:pt>
                <c:pt idx="19">
                  <c:v>3.227961155084782</c:v>
                </c:pt>
                <c:pt idx="20">
                  <c:v>3.7077907627566296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0-4353-9F87-24A1E8056DD5}"/>
            </c:ext>
          </c:extLst>
        </c:ser>
        <c:ser>
          <c:idx val="5"/>
          <c:order val="5"/>
          <c:tx>
            <c:strRef>
              <c:f>'Tar fractions'!$Y$4</c:f>
              <c:strCache>
                <c:ptCount val="1"/>
                <c:pt idx="0">
                  <c:v>Cumene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fractions'!$Y$5:$Y$25</c:f>
              <c:numCache>
                <c:formatCode>0.0</c:formatCode>
                <c:ptCount val="21"/>
                <c:pt idx="0">
                  <c:v>2.2465343983683246</c:v>
                </c:pt>
                <c:pt idx="1">
                  <c:v>0.9637290902530864</c:v>
                </c:pt>
                <c:pt idx="2">
                  <c:v>1.0461387928739221</c:v>
                </c:pt>
                <c:pt idx="3">
                  <c:v>1.5283765560894857</c:v>
                </c:pt>
                <c:pt idx="4">
                  <c:v>2.8006742235426496</c:v>
                </c:pt>
                <c:pt idx="5">
                  <c:v>2.8490155131680162</c:v>
                </c:pt>
                <c:pt idx="6">
                  <c:v>3.9213777904511353</c:v>
                </c:pt>
                <c:pt idx="7">
                  <c:v>0.926614572191793</c:v>
                </c:pt>
                <c:pt idx="8">
                  <c:v>1.1266064407954459</c:v>
                </c:pt>
                <c:pt idx="9">
                  <c:v>0.46745642454641567</c:v>
                </c:pt>
                <c:pt idx="10">
                  <c:v>3.0850931902680978</c:v>
                </c:pt>
                <c:pt idx="11">
                  <c:v>0.97945764866123763</c:v>
                </c:pt>
                <c:pt idx="12">
                  <c:v>4.4753050540905042</c:v>
                </c:pt>
                <c:pt idx="13">
                  <c:v>1.1414693078935687</c:v>
                </c:pt>
                <c:pt idx="14">
                  <c:v>0.73335118633993102</c:v>
                </c:pt>
                <c:pt idx="15">
                  <c:v>0.44777914426252341</c:v>
                </c:pt>
                <c:pt idx="16">
                  <c:v>0.4166965919166844</c:v>
                </c:pt>
                <c:pt idx="17">
                  <c:v>0.25589132407743664</c:v>
                </c:pt>
                <c:pt idx="18">
                  <c:v>0.54646617245193607</c:v>
                </c:pt>
                <c:pt idx="19">
                  <c:v>0.14970657799212425</c:v>
                </c:pt>
                <c:pt idx="20">
                  <c:v>0.26885487878213038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0-4353-9F87-24A1E8056DD5}"/>
            </c:ext>
          </c:extLst>
        </c:ser>
        <c:ser>
          <c:idx val="6"/>
          <c:order val="6"/>
          <c:tx>
            <c:strRef>
              <c:f>'Tar fractions'!$Z$4</c:f>
              <c:strCache>
                <c:ptCount val="1"/>
                <c:pt idx="0">
                  <c:v>Propylbenzene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fractions'!$Z$5:$Z$25</c:f>
              <c:numCache>
                <c:formatCode>0.0</c:formatCode>
                <c:ptCount val="21"/>
                <c:pt idx="0">
                  <c:v>0.31129463634947163</c:v>
                </c:pt>
                <c:pt idx="1">
                  <c:v>0.19588976541433378</c:v>
                </c:pt>
                <c:pt idx="2">
                  <c:v>0.33038045379061171</c:v>
                </c:pt>
                <c:pt idx="3">
                  <c:v>0.64372389172852063</c:v>
                </c:pt>
                <c:pt idx="4">
                  <c:v>1.3000560712777671</c:v>
                </c:pt>
                <c:pt idx="5">
                  <c:v>1.1278518139854672</c:v>
                </c:pt>
                <c:pt idx="6">
                  <c:v>0.6583088928995191</c:v>
                </c:pt>
                <c:pt idx="7">
                  <c:v>0.3732269998611526</c:v>
                </c:pt>
                <c:pt idx="8">
                  <c:v>0.45657222739289693</c:v>
                </c:pt>
                <c:pt idx="9">
                  <c:v>0.25556758205698027</c:v>
                </c:pt>
                <c:pt idx="10">
                  <c:v>3.6494175971895881</c:v>
                </c:pt>
                <c:pt idx="11">
                  <c:v>0.25383037534493025</c:v>
                </c:pt>
                <c:pt idx="12">
                  <c:v>1.2337312742573534</c:v>
                </c:pt>
                <c:pt idx="13">
                  <c:v>0.5145717662156567</c:v>
                </c:pt>
                <c:pt idx="14">
                  <c:v>0.37118510798206672</c:v>
                </c:pt>
                <c:pt idx="15">
                  <c:v>0.11812257646603096</c:v>
                </c:pt>
                <c:pt idx="16">
                  <c:v>5.5700297532684288E-2</c:v>
                </c:pt>
                <c:pt idx="17">
                  <c:v>4.3064172351211238E-2</c:v>
                </c:pt>
                <c:pt idx="18">
                  <c:v>8.4121197405814474E-2</c:v>
                </c:pt>
                <c:pt idx="19">
                  <c:v>4.1007832011283427E-2</c:v>
                </c:pt>
                <c:pt idx="20">
                  <c:v>3.8664095842491801E-2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0-4353-9F87-24A1E8056DD5}"/>
            </c:ext>
          </c:extLst>
        </c:ser>
        <c:ser>
          <c:idx val="7"/>
          <c:order val="7"/>
          <c:tx>
            <c:strRef>
              <c:f>'Tar fractions'!$AA$4</c:f>
              <c:strCache>
                <c:ptCount val="1"/>
                <c:pt idx="0">
                  <c:v>M-Ethyltoluene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fractions'!$AA$5:$AA$25</c:f>
              <c:numCache>
                <c:formatCode>0.0</c:formatCode>
                <c:ptCount val="21"/>
                <c:pt idx="0">
                  <c:v>6.8348365312294948E-3</c:v>
                </c:pt>
                <c:pt idx="1">
                  <c:v>1.3801654530800016</c:v>
                </c:pt>
                <c:pt idx="2">
                  <c:v>0.97495000716073632</c:v>
                </c:pt>
                <c:pt idx="3">
                  <c:v>0.27850986963846358</c:v>
                </c:pt>
                <c:pt idx="4">
                  <c:v>0.13623989431709985</c:v>
                </c:pt>
                <c:pt idx="5">
                  <c:v>0.71050570471266483</c:v>
                </c:pt>
                <c:pt idx="6">
                  <c:v>6.5054639849779924E-2</c:v>
                </c:pt>
                <c:pt idx="7">
                  <c:v>0.35140412169903923</c:v>
                </c:pt>
                <c:pt idx="8">
                  <c:v>0.91231101084370647</c:v>
                </c:pt>
                <c:pt idx="9">
                  <c:v>1.3215872540983709</c:v>
                </c:pt>
                <c:pt idx="10">
                  <c:v>5.3832346509657188E-2</c:v>
                </c:pt>
                <c:pt idx="11">
                  <c:v>1.6937178182181027</c:v>
                </c:pt>
                <c:pt idx="12">
                  <c:v>2.2590670347783495</c:v>
                </c:pt>
                <c:pt idx="13">
                  <c:v>0.82036440540758671</c:v>
                </c:pt>
                <c:pt idx="14">
                  <c:v>0.43381891653343646</c:v>
                </c:pt>
                <c:pt idx="15">
                  <c:v>0.78046955808599816</c:v>
                </c:pt>
                <c:pt idx="16">
                  <c:v>0.83112900622933761</c:v>
                </c:pt>
                <c:pt idx="17">
                  <c:v>0.98427495689440425</c:v>
                </c:pt>
                <c:pt idx="18">
                  <c:v>0.90009631748525654</c:v>
                </c:pt>
                <c:pt idx="19">
                  <c:v>0.64891906129664467</c:v>
                </c:pt>
                <c:pt idx="20">
                  <c:v>1.6987732560804394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0-4353-9F87-24A1E8056DD5}"/>
            </c:ext>
          </c:extLst>
        </c:ser>
        <c:ser>
          <c:idx val="8"/>
          <c:order val="8"/>
          <c:tx>
            <c:strRef>
              <c:f>'Tar fractions'!$AB$4</c:f>
              <c:strCache>
                <c:ptCount val="1"/>
                <c:pt idx="0">
                  <c:v>O-Ethyltoluene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fractions'!$AB$5:$AB$25</c:f>
              <c:numCache>
                <c:formatCode>0.0</c:formatCode>
                <c:ptCount val="21"/>
                <c:pt idx="0">
                  <c:v>1.968279045579461</c:v>
                </c:pt>
                <c:pt idx="1">
                  <c:v>0.58700070264233151</c:v>
                </c:pt>
                <c:pt idx="2">
                  <c:v>0.6967041918539385</c:v>
                </c:pt>
                <c:pt idx="3">
                  <c:v>1.0924435110281148</c:v>
                </c:pt>
                <c:pt idx="4">
                  <c:v>2.2358229528301501</c:v>
                </c:pt>
                <c:pt idx="5">
                  <c:v>2.0953500420886364</c:v>
                </c:pt>
                <c:pt idx="6">
                  <c:v>3.3192310185059393</c:v>
                </c:pt>
                <c:pt idx="7">
                  <c:v>1.500126282581112E-2</c:v>
                </c:pt>
                <c:pt idx="8">
                  <c:v>0.42998404473970275</c:v>
                </c:pt>
                <c:pt idx="9">
                  <c:v>0.4004415348776712</c:v>
                </c:pt>
                <c:pt idx="10">
                  <c:v>3.0449407381087501</c:v>
                </c:pt>
                <c:pt idx="11">
                  <c:v>0.6040030267832367</c:v>
                </c:pt>
                <c:pt idx="12">
                  <c:v>4.1755174545967959</c:v>
                </c:pt>
                <c:pt idx="13">
                  <c:v>0.61527777156113828</c:v>
                </c:pt>
                <c:pt idx="14">
                  <c:v>0.33376888458125398</c:v>
                </c:pt>
                <c:pt idx="15">
                  <c:v>0.35248945614541033</c:v>
                </c:pt>
                <c:pt idx="16">
                  <c:v>0.22751646950099694</c:v>
                </c:pt>
                <c:pt idx="17">
                  <c:v>0.28753480947907217</c:v>
                </c:pt>
                <c:pt idx="18">
                  <c:v>0.34447674690206231</c:v>
                </c:pt>
                <c:pt idx="19">
                  <c:v>0.20342998766197284</c:v>
                </c:pt>
                <c:pt idx="20">
                  <c:v>0.22409610972067015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0-4353-9F87-24A1E8056DD5}"/>
            </c:ext>
          </c:extLst>
        </c:ser>
        <c:ser>
          <c:idx val="9"/>
          <c:order val="9"/>
          <c:tx>
            <c:strRef>
              <c:f>'Tar fractions'!$AC$4</c:f>
              <c:strCache>
                <c:ptCount val="1"/>
                <c:pt idx="0">
                  <c:v>1,2,4-Trimethylbenzene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fractions'!$AC$5:$AC$25</c:f>
              <c:numCache>
                <c:formatCode>0.0</c:formatCode>
                <c:ptCount val="21"/>
                <c:pt idx="0">
                  <c:v>4.2294053942686878</c:v>
                </c:pt>
                <c:pt idx="1">
                  <c:v>3.0075585089264929</c:v>
                </c:pt>
                <c:pt idx="2">
                  <c:v>3.3330399701207076</c:v>
                </c:pt>
                <c:pt idx="3">
                  <c:v>4.5861091787646444</c:v>
                </c:pt>
                <c:pt idx="4">
                  <c:v>6.3334822418275314</c:v>
                </c:pt>
                <c:pt idx="5">
                  <c:v>8.5583486070490107</c:v>
                </c:pt>
                <c:pt idx="6">
                  <c:v>1.9647999424541505</c:v>
                </c:pt>
                <c:pt idx="7">
                  <c:v>1.691091476543322</c:v>
                </c:pt>
                <c:pt idx="8">
                  <c:v>2.1791518001771046</c:v>
                </c:pt>
                <c:pt idx="9">
                  <c:v>3.2963786845099499</c:v>
                </c:pt>
                <c:pt idx="10">
                  <c:v>0.22318148400181292</c:v>
                </c:pt>
                <c:pt idx="11">
                  <c:v>3.6207054262182394</c:v>
                </c:pt>
                <c:pt idx="12">
                  <c:v>2.2253903295038877</c:v>
                </c:pt>
                <c:pt idx="13">
                  <c:v>2.512039556661513</c:v>
                </c:pt>
                <c:pt idx="14">
                  <c:v>2.004032673743084</c:v>
                </c:pt>
                <c:pt idx="15">
                  <c:v>1.4932403400650802</c:v>
                </c:pt>
                <c:pt idx="16">
                  <c:v>1.50215617942081</c:v>
                </c:pt>
                <c:pt idx="17">
                  <c:v>1.1525407877165053</c:v>
                </c:pt>
                <c:pt idx="18">
                  <c:v>1.9604628352276636</c:v>
                </c:pt>
                <c:pt idx="19">
                  <c:v>0.99453149413327258</c:v>
                </c:pt>
                <c:pt idx="20">
                  <c:v>1.0107438863001426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F0-4353-9F87-24A1E8056DD5}"/>
            </c:ext>
          </c:extLst>
        </c:ser>
        <c:ser>
          <c:idx val="10"/>
          <c:order val="10"/>
          <c:tx>
            <c:strRef>
              <c:f>'Tar fractions'!$AD$4</c:f>
              <c:strCache>
                <c:ptCount val="1"/>
                <c:pt idx="0">
                  <c:v>1,2,3-Trimethylbenzene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fractions'!$AD$5:$AD$25</c:f>
              <c:numCache>
                <c:formatCode>0.0</c:formatCode>
                <c:ptCount val="21"/>
                <c:pt idx="0">
                  <c:v>2.6150822265940685</c:v>
                </c:pt>
                <c:pt idx="1">
                  <c:v>1.4079236113932183</c:v>
                </c:pt>
                <c:pt idx="2">
                  <c:v>1.5717274559417089</c:v>
                </c:pt>
                <c:pt idx="3">
                  <c:v>2.1404801307577701</c:v>
                </c:pt>
                <c:pt idx="4">
                  <c:v>3.3266241370624874</c:v>
                </c:pt>
                <c:pt idx="5">
                  <c:v>4.0249931991042471</c:v>
                </c:pt>
                <c:pt idx="6">
                  <c:v>0.80324071633927197</c:v>
                </c:pt>
                <c:pt idx="7">
                  <c:v>1.1363565612995965</c:v>
                </c:pt>
                <c:pt idx="8">
                  <c:v>1.1374319477823369</c:v>
                </c:pt>
                <c:pt idx="9">
                  <c:v>1.4967749863239501</c:v>
                </c:pt>
                <c:pt idx="10">
                  <c:v>8.1075653666297587</c:v>
                </c:pt>
                <c:pt idx="11">
                  <c:v>1.747985632092637</c:v>
                </c:pt>
                <c:pt idx="12">
                  <c:v>1.7475644932284622</c:v>
                </c:pt>
                <c:pt idx="13">
                  <c:v>1.4386370192249454</c:v>
                </c:pt>
                <c:pt idx="14">
                  <c:v>1.3773562960282699</c:v>
                </c:pt>
                <c:pt idx="15">
                  <c:v>0.81445923835167933</c:v>
                </c:pt>
                <c:pt idx="16">
                  <c:v>0.75402431899615285</c:v>
                </c:pt>
                <c:pt idx="17">
                  <c:v>0.55643239110455389</c:v>
                </c:pt>
                <c:pt idx="18">
                  <c:v>0.95074319050353417</c:v>
                </c:pt>
                <c:pt idx="19">
                  <c:v>0.50414386863413796</c:v>
                </c:pt>
                <c:pt idx="20">
                  <c:v>0.51028642128648716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F0-4353-9F87-24A1E8056DD5}"/>
            </c:ext>
          </c:extLst>
        </c:ser>
        <c:ser>
          <c:idx val="11"/>
          <c:order val="11"/>
          <c:tx>
            <c:strRef>
              <c:f>'Tar fractions'!$AE$4</c:f>
              <c:strCache>
                <c:ptCount val="1"/>
                <c:pt idx="0">
                  <c:v>Indane</c:v>
                </c:pt>
              </c:strCache>
            </c:strRef>
          </c:tx>
          <c:spPr>
            <a:pattFill prst="dk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fractions'!$AE$5:$AE$25</c:f>
              <c:numCache>
                <c:formatCode>0.0</c:formatCode>
                <c:ptCount val="21"/>
                <c:pt idx="0">
                  <c:v>27.09407820085551</c:v>
                </c:pt>
                <c:pt idx="1">
                  <c:v>12.946887672643042</c:v>
                </c:pt>
                <c:pt idx="2">
                  <c:v>12.10161536568417</c:v>
                </c:pt>
                <c:pt idx="3">
                  <c:v>13.398877345369062</c:v>
                </c:pt>
                <c:pt idx="4">
                  <c:v>18.343618565799346</c:v>
                </c:pt>
                <c:pt idx="5">
                  <c:v>5.1157709863544625</c:v>
                </c:pt>
                <c:pt idx="6">
                  <c:v>2.7169917331228786</c:v>
                </c:pt>
                <c:pt idx="7">
                  <c:v>5.6486561103130457</c:v>
                </c:pt>
                <c:pt idx="8">
                  <c:v>8.3033716137111089</c:v>
                </c:pt>
                <c:pt idx="9">
                  <c:v>0.88526909475996596</c:v>
                </c:pt>
                <c:pt idx="10">
                  <c:v>26.066801742868041</c:v>
                </c:pt>
                <c:pt idx="11">
                  <c:v>4.1097653246873165</c:v>
                </c:pt>
                <c:pt idx="12">
                  <c:v>8.0662920430795459</c:v>
                </c:pt>
                <c:pt idx="13">
                  <c:v>7.1881904969635464</c:v>
                </c:pt>
                <c:pt idx="14">
                  <c:v>4.3510169823836629</c:v>
                </c:pt>
                <c:pt idx="15">
                  <c:v>10.016215665840154</c:v>
                </c:pt>
                <c:pt idx="16">
                  <c:v>11.930870549305967</c:v>
                </c:pt>
                <c:pt idx="17">
                  <c:v>13.248496512350489</c:v>
                </c:pt>
                <c:pt idx="18">
                  <c:v>11.507233335204683</c:v>
                </c:pt>
                <c:pt idx="19">
                  <c:v>4.9855092803901941</c:v>
                </c:pt>
                <c:pt idx="20">
                  <c:v>9.8414556450140473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F0-4353-9F87-24A1E8056DD5}"/>
            </c:ext>
          </c:extLst>
        </c:ser>
        <c:ser>
          <c:idx val="12"/>
          <c:order val="12"/>
          <c:tx>
            <c:strRef>
              <c:f>'Tar fractions'!$AF$4</c:f>
              <c:strCache>
                <c:ptCount val="1"/>
                <c:pt idx="0">
                  <c:v>Indene</c:v>
                </c:pt>
              </c:strCache>
            </c:strRef>
          </c:tx>
          <c:spPr>
            <a:pattFill prst="pct8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fractions'!$AF$5:$AF$25</c:f>
              <c:numCache>
                <c:formatCode>0.0</c:formatCode>
                <c:ptCount val="21"/>
                <c:pt idx="0">
                  <c:v>0.88279955975643831</c:v>
                </c:pt>
                <c:pt idx="1">
                  <c:v>0.140188953776331</c:v>
                </c:pt>
                <c:pt idx="2">
                  <c:v>0.36281003217467012</c:v>
                </c:pt>
                <c:pt idx="3">
                  <c:v>0.96421701400178694</c:v>
                </c:pt>
                <c:pt idx="4">
                  <c:v>2.671239205831454</c:v>
                </c:pt>
                <c:pt idx="5">
                  <c:v>14.654280411690756</c:v>
                </c:pt>
                <c:pt idx="6">
                  <c:v>13.059378472463285</c:v>
                </c:pt>
                <c:pt idx="7">
                  <c:v>4.2110100373687818</c:v>
                </c:pt>
                <c:pt idx="8">
                  <c:v>1.4134901643572415</c:v>
                </c:pt>
                <c:pt idx="9">
                  <c:v>9.7470570990036602</c:v>
                </c:pt>
                <c:pt idx="10">
                  <c:v>1.0999306571648657</c:v>
                </c:pt>
                <c:pt idx="11">
                  <c:v>11.118421297390803</c:v>
                </c:pt>
                <c:pt idx="12">
                  <c:v>3.8957646601752161</c:v>
                </c:pt>
                <c:pt idx="13">
                  <c:v>3.882527170912943</c:v>
                </c:pt>
                <c:pt idx="14">
                  <c:v>7.9296716809628975</c:v>
                </c:pt>
                <c:pt idx="15">
                  <c:v>2.3205201005641292</c:v>
                </c:pt>
                <c:pt idx="16">
                  <c:v>0.50307880714504627</c:v>
                </c:pt>
                <c:pt idx="17">
                  <c:v>2.7849642577463581E-2</c:v>
                </c:pt>
                <c:pt idx="18">
                  <c:v>1.8877119222990533</c:v>
                </c:pt>
                <c:pt idx="19">
                  <c:v>7.5728774311250273</c:v>
                </c:pt>
                <c:pt idx="20">
                  <c:v>0.84646505723553933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F0-4353-9F87-24A1E8056DD5}"/>
            </c:ext>
          </c:extLst>
        </c:ser>
        <c:ser>
          <c:idx val="13"/>
          <c:order val="13"/>
          <c:tx>
            <c:strRef>
              <c:f>'Tar fractions'!$AG$4</c:f>
              <c:strCache>
                <c:ptCount val="1"/>
                <c:pt idx="0">
                  <c:v>Naphthalene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fractions'!$S$5:$S$25</c:f>
              <c:strCache>
                <c:ptCount val="21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</c:strCache>
            </c:strRef>
          </c:cat>
          <c:val>
            <c:numRef>
              <c:f>'Tar fractions'!$AG$5:$AG$25</c:f>
              <c:numCache>
                <c:formatCode>0.0</c:formatCode>
                <c:ptCount val="21"/>
                <c:pt idx="0">
                  <c:v>47.697582761692026</c:v>
                </c:pt>
                <c:pt idx="1">
                  <c:v>51.795341109502466</c:v>
                </c:pt>
                <c:pt idx="2">
                  <c:v>45.541654853264937</c:v>
                </c:pt>
                <c:pt idx="3">
                  <c:v>32.445213234079553</c:v>
                </c:pt>
                <c:pt idx="4">
                  <c:v>18.598934161420235</c:v>
                </c:pt>
                <c:pt idx="5">
                  <c:v>37.663341288310129</c:v>
                </c:pt>
                <c:pt idx="6">
                  <c:v>5.7614088724429191</c:v>
                </c:pt>
                <c:pt idx="7">
                  <c:v>52.263682029592829</c:v>
                </c:pt>
                <c:pt idx="8">
                  <c:v>45.001089333990087</c:v>
                </c:pt>
                <c:pt idx="9">
                  <c:v>74.028889217608807</c:v>
                </c:pt>
                <c:pt idx="10">
                  <c:v>3.465545155771049</c:v>
                </c:pt>
                <c:pt idx="11">
                  <c:v>56.232479145323076</c:v>
                </c:pt>
                <c:pt idx="12">
                  <c:v>32.404082405748078</c:v>
                </c:pt>
                <c:pt idx="13">
                  <c:v>46.288301506787725</c:v>
                </c:pt>
                <c:pt idx="14">
                  <c:v>47.384255119008557</c:v>
                </c:pt>
                <c:pt idx="15">
                  <c:v>56.827536402990575</c:v>
                </c:pt>
                <c:pt idx="16">
                  <c:v>54.033894622264789</c:v>
                </c:pt>
                <c:pt idx="17">
                  <c:v>63.059829073432127</c:v>
                </c:pt>
                <c:pt idx="18">
                  <c:v>54.230516406506837</c:v>
                </c:pt>
                <c:pt idx="19">
                  <c:v>36.625181012678979</c:v>
                </c:pt>
                <c:pt idx="20">
                  <c:v>41.601349315077201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F0-4353-9F87-24A1E805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796976"/>
        <c:axId val="893797304"/>
      </c:barChart>
      <c:lineChart>
        <c:grouping val="standard"/>
        <c:varyColors val="0"/>
        <c:ser>
          <c:idx val="14"/>
          <c:order val="14"/>
          <c:tx>
            <c:strRef>
              <c:f>'Tar fractions'!$AH$4</c:f>
              <c:strCache>
                <c:ptCount val="1"/>
                <c:pt idx="0">
                  <c:v>total aromatics</c:v>
                </c:pt>
              </c:strCache>
            </c:strRef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diamond"/>
            <c:size val="21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  <a:effectLst/>
            </c:spPr>
          </c:marker>
          <c:val>
            <c:numRef>
              <c:f>'Tar fractions'!$AH$5:$AH$25</c:f>
              <c:numCache>
                <c:formatCode>0</c:formatCode>
                <c:ptCount val="21"/>
                <c:pt idx="0">
                  <c:v>4627.6082418081851</c:v>
                </c:pt>
                <c:pt idx="1">
                  <c:v>10445.299637632412</c:v>
                </c:pt>
                <c:pt idx="2">
                  <c:v>8517.7206461662863</c:v>
                </c:pt>
                <c:pt idx="3">
                  <c:v>6072.2362002911341</c:v>
                </c:pt>
                <c:pt idx="4">
                  <c:v>3363.7875359597292</c:v>
                </c:pt>
                <c:pt idx="5">
                  <c:v>1976.9096035899397</c:v>
                </c:pt>
                <c:pt idx="6">
                  <c:v>205.01316083293236</c:v>
                </c:pt>
                <c:pt idx="7">
                  <c:v>24.769927925219562</c:v>
                </c:pt>
                <c:pt idx="8">
                  <c:v>22.031508881945314</c:v>
                </c:pt>
                <c:pt idx="9">
                  <c:v>9683.2077668474703</c:v>
                </c:pt>
                <c:pt idx="10">
                  <c:v>606.99112448763299</c:v>
                </c:pt>
                <c:pt idx="11">
                  <c:v>10123.158243273032</c:v>
                </c:pt>
                <c:pt idx="12">
                  <c:v>707.26364243081412</c:v>
                </c:pt>
                <c:pt idx="13">
                  <c:v>26.329635294249172</c:v>
                </c:pt>
                <c:pt idx="14">
                  <c:v>33.438457743231837</c:v>
                </c:pt>
                <c:pt idx="15">
                  <c:v>120.82128078730307</c:v>
                </c:pt>
                <c:pt idx="16">
                  <c:v>8878.3692042921448</c:v>
                </c:pt>
                <c:pt idx="17">
                  <c:v>12092.753769476491</c:v>
                </c:pt>
                <c:pt idx="18">
                  <c:v>10296.619441004364</c:v>
                </c:pt>
                <c:pt idx="19">
                  <c:v>8523.4388136869402</c:v>
                </c:pt>
                <c:pt idx="20">
                  <c:v>13644.107807809884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F0-4353-9F87-24A1E805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72112"/>
        <c:axId val="904778016"/>
      </c:lineChart>
      <c:catAx>
        <c:axId val="8937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7304"/>
        <c:crosses val="autoZero"/>
        <c:auto val="1"/>
        <c:lblAlgn val="ctr"/>
        <c:lblOffset val="100"/>
        <c:noMultiLvlLbl val="0"/>
      </c:catAx>
      <c:valAx>
        <c:axId val="8937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="0" i="0" baseline="0">
                    <a:effectLst/>
                  </a:rPr>
                  <a:t>Portion individual compounds</a:t>
                </a:r>
                <a:endParaRPr lang="nl-N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6976"/>
        <c:crosses val="autoZero"/>
        <c:crossBetween val="between"/>
      </c:valAx>
      <c:valAx>
        <c:axId val="904778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="0" i="0" baseline="0">
                    <a:effectLst/>
                  </a:rPr>
                  <a:t>Total aromatics (mg/L)</a:t>
                </a:r>
                <a:endParaRPr lang="nl-N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2112"/>
        <c:crosses val="max"/>
        <c:crossBetween val="between"/>
      </c:valAx>
      <c:catAx>
        <c:axId val="90477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47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4647212420846E-4"/>
          <c:y val="0.82642583299538308"/>
          <c:w val="0.82433728332623435"/>
          <c:h val="0.17280240084709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Aromate compound fractions along declining total aromate concentration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'Tar fractions'!$CL$4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fractions'!$CL$5:$CL$56</c:f>
              <c:numCache>
                <c:formatCode>0.0</c:formatCode>
                <c:ptCount val="52"/>
                <c:pt idx="0">
                  <c:v>18.3452432102847</c:v>
                </c:pt>
                <c:pt idx="1">
                  <c:v>4.3783799420043135</c:v>
                </c:pt>
                <c:pt idx="2">
                  <c:v>1.7164502414633127</c:v>
                </c:pt>
                <c:pt idx="3">
                  <c:v>3.8851899260581821</c:v>
                </c:pt>
                <c:pt idx="4">
                  <c:v>2.1786347591830078</c:v>
                </c:pt>
                <c:pt idx="5">
                  <c:v>2.1265225044053389</c:v>
                </c:pt>
                <c:pt idx="6">
                  <c:v>3.2745786830603647</c:v>
                </c:pt>
                <c:pt idx="7">
                  <c:v>4.1783169182690187</c:v>
                </c:pt>
                <c:pt idx="8">
                  <c:v>3.4339389076231588</c:v>
                </c:pt>
                <c:pt idx="9">
                  <c:v>2.9020096511887976</c:v>
                </c:pt>
                <c:pt idx="10">
                  <c:v>23.793522145682608</c:v>
                </c:pt>
                <c:pt idx="11">
                  <c:v>10.016724678973283</c:v>
                </c:pt>
                <c:pt idx="12">
                  <c:v>15.701098460018493</c:v>
                </c:pt>
                <c:pt idx="13">
                  <c:v>14.011078342482843</c:v>
                </c:pt>
                <c:pt idx="14">
                  <c:v>12.405650116871628</c:v>
                </c:pt>
                <c:pt idx="15">
                  <c:v>20.659310739679505</c:v>
                </c:pt>
                <c:pt idx="16">
                  <c:v>5.6853893414418426</c:v>
                </c:pt>
                <c:pt idx="17">
                  <c:v>5.5334314841686814</c:v>
                </c:pt>
                <c:pt idx="18">
                  <c:v>6.5201680346172974</c:v>
                </c:pt>
                <c:pt idx="19">
                  <c:v>2.5399317906734131</c:v>
                </c:pt>
                <c:pt idx="20">
                  <c:v>10.102734032621353</c:v>
                </c:pt>
                <c:pt idx="21">
                  <c:v>22.910189523996628</c:v>
                </c:pt>
                <c:pt idx="22">
                  <c:v>4.1010528706775551</c:v>
                </c:pt>
                <c:pt idx="23">
                  <c:v>27.357859467594377</c:v>
                </c:pt>
                <c:pt idx="24">
                  <c:v>25.515695936290417</c:v>
                </c:pt>
                <c:pt idx="25">
                  <c:v>8.1341938894710051</c:v>
                </c:pt>
                <c:pt idx="26">
                  <c:v>13.887037659449797</c:v>
                </c:pt>
                <c:pt idx="27">
                  <c:v>13.150163641922488</c:v>
                </c:pt>
                <c:pt idx="28">
                  <c:v>3.7055950725639932</c:v>
                </c:pt>
                <c:pt idx="29">
                  <c:v>3.7055950725639932</c:v>
                </c:pt>
                <c:pt idx="30">
                  <c:v>8.8521010037795271</c:v>
                </c:pt>
                <c:pt idx="31">
                  <c:v>18.630609307341896</c:v>
                </c:pt>
                <c:pt idx="32">
                  <c:v>19.094616261030005</c:v>
                </c:pt>
                <c:pt idx="33">
                  <c:v>11.176076751073236</c:v>
                </c:pt>
                <c:pt idx="34">
                  <c:v>12.384611938484095</c:v>
                </c:pt>
                <c:pt idx="35">
                  <c:v>16.310923728375219</c:v>
                </c:pt>
                <c:pt idx="36">
                  <c:v>21.821588780060413</c:v>
                </c:pt>
                <c:pt idx="37">
                  <c:v>18.540831825084286</c:v>
                </c:pt>
                <c:pt idx="38">
                  <c:v>20.880582653163817</c:v>
                </c:pt>
                <c:pt idx="39">
                  <c:v>21.261441768115709</c:v>
                </c:pt>
                <c:pt idx="40">
                  <c:v>20.988214393269082</c:v>
                </c:pt>
                <c:pt idx="41">
                  <c:v>22.311872677443503</c:v>
                </c:pt>
                <c:pt idx="42">
                  <c:v>24.771671680395254</c:v>
                </c:pt>
                <c:pt idx="43">
                  <c:v>26.840889060123725</c:v>
                </c:pt>
                <c:pt idx="44">
                  <c:v>26.981896677782576</c:v>
                </c:pt>
                <c:pt idx="45">
                  <c:v>57.135155452215514</c:v>
                </c:pt>
                <c:pt idx="46">
                  <c:v>32.709566737598031</c:v>
                </c:pt>
                <c:pt idx="47">
                  <c:v>33.443350638402976</c:v>
                </c:pt>
                <c:pt idx="48">
                  <c:v>40.651016472164883</c:v>
                </c:pt>
                <c:pt idx="49">
                  <c:v>41.667122233776219</c:v>
                </c:pt>
                <c:pt idx="50">
                  <c:v>41.521941927238402</c:v>
                </c:pt>
                <c:pt idx="51">
                  <c:v>48.837823866414979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DEF-907E-887B4E0E9D0B}"/>
            </c:ext>
          </c:extLst>
        </c:ser>
        <c:ser>
          <c:idx val="1"/>
          <c:order val="1"/>
          <c:tx>
            <c:strRef>
              <c:f>'Tar fractions'!$CM$4</c:f>
              <c:strCache>
                <c:ptCount val="1"/>
                <c:pt idx="0">
                  <c:v>Toluene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fractions'!$CM$5:$CM$56</c:f>
              <c:numCache>
                <c:formatCode>0.0</c:formatCode>
                <c:ptCount val="52"/>
                <c:pt idx="0">
                  <c:v>3.6724400671071411</c:v>
                </c:pt>
                <c:pt idx="1">
                  <c:v>4.3488384894133925E-2</c:v>
                </c:pt>
                <c:pt idx="2">
                  <c:v>6.6337772711013057E-2</c:v>
                </c:pt>
                <c:pt idx="3">
                  <c:v>0.20936706435368346</c:v>
                </c:pt>
                <c:pt idx="4">
                  <c:v>0.24615969680435429</c:v>
                </c:pt>
                <c:pt idx="5">
                  <c:v>6.9627051717975078E-2</c:v>
                </c:pt>
                <c:pt idx="6">
                  <c:v>5.0856856718782054E-2</c:v>
                </c:pt>
                <c:pt idx="7">
                  <c:v>0.22271861856570846</c:v>
                </c:pt>
                <c:pt idx="8">
                  <c:v>0.30446154051080992</c:v>
                </c:pt>
                <c:pt idx="9">
                  <c:v>9.3059489620847313E-2</c:v>
                </c:pt>
                <c:pt idx="10">
                  <c:v>5.4220058865127578</c:v>
                </c:pt>
                <c:pt idx="11">
                  <c:v>0.20452586989375332</c:v>
                </c:pt>
                <c:pt idx="12">
                  <c:v>0.61970833895473998</c:v>
                </c:pt>
                <c:pt idx="13">
                  <c:v>0.75827659592916696</c:v>
                </c:pt>
                <c:pt idx="14">
                  <c:v>0.27406940464442303</c:v>
                </c:pt>
                <c:pt idx="15">
                  <c:v>0.15774959771642655</c:v>
                </c:pt>
                <c:pt idx="16">
                  <c:v>4.0924727389973457E-2</c:v>
                </c:pt>
                <c:pt idx="17">
                  <c:v>3.9982494135422535E-2</c:v>
                </c:pt>
                <c:pt idx="18">
                  <c:v>0.12894935937252902</c:v>
                </c:pt>
                <c:pt idx="19">
                  <c:v>0.32882291078655002</c:v>
                </c:pt>
                <c:pt idx="20">
                  <c:v>0.16038868406188178</c:v>
                </c:pt>
                <c:pt idx="21">
                  <c:v>0.12433187328231782</c:v>
                </c:pt>
                <c:pt idx="22">
                  <c:v>0.54990927160288172</c:v>
                </c:pt>
                <c:pt idx="23">
                  <c:v>0.14969296330192003</c:v>
                </c:pt>
                <c:pt idx="24">
                  <c:v>0.24828643030430528</c:v>
                </c:pt>
                <c:pt idx="25">
                  <c:v>8.1980474669632736E-2</c:v>
                </c:pt>
                <c:pt idx="26">
                  <c:v>0.14324658743068269</c:v>
                </c:pt>
                <c:pt idx="27">
                  <c:v>0.5127827432894716</c:v>
                </c:pt>
                <c:pt idx="28">
                  <c:v>1.1253577615293762</c:v>
                </c:pt>
                <c:pt idx="29">
                  <c:v>1.1253577615293762</c:v>
                </c:pt>
                <c:pt idx="30">
                  <c:v>2.3699199149596271</c:v>
                </c:pt>
                <c:pt idx="31">
                  <c:v>1.0932944313991264</c:v>
                </c:pt>
                <c:pt idx="32">
                  <c:v>4.1811765825874652</c:v>
                </c:pt>
                <c:pt idx="33">
                  <c:v>0.90059832147394614</c:v>
                </c:pt>
                <c:pt idx="34">
                  <c:v>0.94049390244930542</c:v>
                </c:pt>
                <c:pt idx="35">
                  <c:v>3.6703106547987598</c:v>
                </c:pt>
                <c:pt idx="36">
                  <c:v>0.81180584573609682</c:v>
                </c:pt>
                <c:pt idx="37">
                  <c:v>0.92248941141383056</c:v>
                </c:pt>
                <c:pt idx="38">
                  <c:v>0.86403559393498697</c:v>
                </c:pt>
                <c:pt idx="39">
                  <c:v>2.3815582266486937</c:v>
                </c:pt>
                <c:pt idx="40">
                  <c:v>1.4407797081303788</c:v>
                </c:pt>
                <c:pt idx="41">
                  <c:v>1.2743568810071055</c:v>
                </c:pt>
                <c:pt idx="42">
                  <c:v>1.0142851201854419</c:v>
                </c:pt>
                <c:pt idx="43">
                  <c:v>0.9899744951619186</c:v>
                </c:pt>
                <c:pt idx="44">
                  <c:v>1.4572429578403132</c:v>
                </c:pt>
                <c:pt idx="45">
                  <c:v>2.2066446869526497</c:v>
                </c:pt>
                <c:pt idx="46">
                  <c:v>3.650324956631283</c:v>
                </c:pt>
                <c:pt idx="47">
                  <c:v>2.660013513250147</c:v>
                </c:pt>
                <c:pt idx="48">
                  <c:v>3.5682533870184669</c:v>
                </c:pt>
                <c:pt idx="49">
                  <c:v>1.9107855898310913</c:v>
                </c:pt>
                <c:pt idx="50">
                  <c:v>2.0524677958339268</c:v>
                </c:pt>
                <c:pt idx="51">
                  <c:v>3.7636629702048818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4-4DEF-907E-887B4E0E9D0B}"/>
            </c:ext>
          </c:extLst>
        </c:ser>
        <c:ser>
          <c:idx val="2"/>
          <c:order val="2"/>
          <c:tx>
            <c:strRef>
              <c:f>'Tar fractions'!$CN$4</c:f>
              <c:strCache>
                <c:ptCount val="1"/>
                <c:pt idx="0">
                  <c:v>Ethylbenzene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fractions'!$CN$5:$CN$56</c:f>
              <c:numCache>
                <c:formatCode>0.0</c:formatCode>
                <c:ptCount val="52"/>
                <c:pt idx="0">
                  <c:v>10.480445527372716</c:v>
                </c:pt>
                <c:pt idx="1">
                  <c:v>9.408797426754786</c:v>
                </c:pt>
                <c:pt idx="2">
                  <c:v>16.176371429988702</c:v>
                </c:pt>
                <c:pt idx="3">
                  <c:v>13.937127283468701</c:v>
                </c:pt>
                <c:pt idx="4">
                  <c:v>8.8512043645470833</c:v>
                </c:pt>
                <c:pt idx="5">
                  <c:v>2.4488549636337367</c:v>
                </c:pt>
                <c:pt idx="6">
                  <c:v>9.4171887032976098</c:v>
                </c:pt>
                <c:pt idx="7">
                  <c:v>10.429743542839876</c:v>
                </c:pt>
                <c:pt idx="8">
                  <c:v>14.86800089621036</c:v>
                </c:pt>
                <c:pt idx="9">
                  <c:v>8.6866908417024113</c:v>
                </c:pt>
                <c:pt idx="10">
                  <c:v>8.9745403430059643</c:v>
                </c:pt>
                <c:pt idx="11">
                  <c:v>15.103427809860722</c:v>
                </c:pt>
                <c:pt idx="12">
                  <c:v>12.493509175483231</c:v>
                </c:pt>
                <c:pt idx="13">
                  <c:v>12.632946882251545</c:v>
                </c:pt>
                <c:pt idx="14">
                  <c:v>15.840735305632595</c:v>
                </c:pt>
                <c:pt idx="15">
                  <c:v>19.792075382071527</c:v>
                </c:pt>
                <c:pt idx="16">
                  <c:v>5.8215781977700036</c:v>
                </c:pt>
                <c:pt idx="17">
                  <c:v>3.6135119328050838</c:v>
                </c:pt>
                <c:pt idx="18">
                  <c:v>32.15995677471836</c:v>
                </c:pt>
                <c:pt idx="19">
                  <c:v>14.76463007237308</c:v>
                </c:pt>
                <c:pt idx="20">
                  <c:v>15.342632501202544</c:v>
                </c:pt>
                <c:pt idx="21">
                  <c:v>5.1649441854291407</c:v>
                </c:pt>
                <c:pt idx="22">
                  <c:v>28.242184162327284</c:v>
                </c:pt>
                <c:pt idx="23">
                  <c:v>9.4927777114686247</c:v>
                </c:pt>
                <c:pt idx="24">
                  <c:v>11.025683360482226</c:v>
                </c:pt>
                <c:pt idx="25">
                  <c:v>8.9025827965414308</c:v>
                </c:pt>
                <c:pt idx="26">
                  <c:v>3.4007859150872677</c:v>
                </c:pt>
                <c:pt idx="27">
                  <c:v>23.33888309569079</c:v>
                </c:pt>
                <c:pt idx="28">
                  <c:v>11.52466184780732</c:v>
                </c:pt>
                <c:pt idx="29">
                  <c:v>11.52466184780732</c:v>
                </c:pt>
                <c:pt idx="30">
                  <c:v>6.7983561650341624</c:v>
                </c:pt>
                <c:pt idx="31">
                  <c:v>18.570070234666328</c:v>
                </c:pt>
                <c:pt idx="32">
                  <c:v>3.4511229191893067</c:v>
                </c:pt>
                <c:pt idx="33">
                  <c:v>3.9106618883309769</c:v>
                </c:pt>
                <c:pt idx="34">
                  <c:v>7.9105860352763111</c:v>
                </c:pt>
                <c:pt idx="35">
                  <c:v>5.4201249747159199</c:v>
                </c:pt>
                <c:pt idx="36">
                  <c:v>3.0958558777598522</c:v>
                </c:pt>
                <c:pt idx="37">
                  <c:v>9.6044615237627973</c:v>
                </c:pt>
                <c:pt idx="38">
                  <c:v>8.4954273517066614</c:v>
                </c:pt>
                <c:pt idx="39">
                  <c:v>3.8234677058910718</c:v>
                </c:pt>
                <c:pt idx="40">
                  <c:v>5.250152696254359</c:v>
                </c:pt>
                <c:pt idx="41">
                  <c:v>9.0669959176722159</c:v>
                </c:pt>
                <c:pt idx="42">
                  <c:v>9.2652325574291456</c:v>
                </c:pt>
                <c:pt idx="43">
                  <c:v>4.7463638789774025</c:v>
                </c:pt>
                <c:pt idx="44">
                  <c:v>3.0669321676245058</c:v>
                </c:pt>
                <c:pt idx="45">
                  <c:v>3.2737249127001955</c:v>
                </c:pt>
                <c:pt idx="46">
                  <c:v>2.642855858855329</c:v>
                </c:pt>
                <c:pt idx="47">
                  <c:v>3.5641813694477378</c:v>
                </c:pt>
                <c:pt idx="48">
                  <c:v>4.0271464323349049</c:v>
                </c:pt>
                <c:pt idx="49">
                  <c:v>4.9234974935624543</c:v>
                </c:pt>
                <c:pt idx="50">
                  <c:v>3.4959097353804647</c:v>
                </c:pt>
                <c:pt idx="51">
                  <c:v>3.919533061269636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4-4DEF-907E-887B4E0E9D0B}"/>
            </c:ext>
          </c:extLst>
        </c:ser>
        <c:ser>
          <c:idx val="3"/>
          <c:order val="3"/>
          <c:tx>
            <c:strRef>
              <c:f>'Tar fractions'!$CO$4</c:f>
              <c:strCache>
                <c:ptCount val="1"/>
                <c:pt idx="0">
                  <c:v>P/M Xylene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fractions'!$CO$5:$CO$56</c:f>
              <c:numCache>
                <c:formatCode>0.0</c:formatCode>
                <c:ptCount val="52"/>
                <c:pt idx="0">
                  <c:v>7.753391767139675</c:v>
                </c:pt>
                <c:pt idx="1">
                  <c:v>3.7628845591812876</c:v>
                </c:pt>
                <c:pt idx="2">
                  <c:v>7.1930694530135089</c:v>
                </c:pt>
                <c:pt idx="3">
                  <c:v>5.6833755953986502</c:v>
                </c:pt>
                <c:pt idx="4">
                  <c:v>5.1625188248241045</c:v>
                </c:pt>
                <c:pt idx="5">
                  <c:v>2.3824969805706009</c:v>
                </c:pt>
                <c:pt idx="6">
                  <c:v>3.103530519373416</c:v>
                </c:pt>
                <c:pt idx="7">
                  <c:v>5.3920543254107871</c:v>
                </c:pt>
                <c:pt idx="8">
                  <c:v>6.2156407782039995</c:v>
                </c:pt>
                <c:pt idx="9">
                  <c:v>1.7056965461889146</c:v>
                </c:pt>
                <c:pt idx="10">
                  <c:v>6.8566639237902463</c:v>
                </c:pt>
                <c:pt idx="11">
                  <c:v>6.2027946526448838</c:v>
                </c:pt>
                <c:pt idx="12">
                  <c:v>6.8009038273639204</c:v>
                </c:pt>
                <c:pt idx="13">
                  <c:v>6.9983432582842857</c:v>
                </c:pt>
                <c:pt idx="14">
                  <c:v>5.8476264186659028</c:v>
                </c:pt>
                <c:pt idx="15">
                  <c:v>1.3077748294124438</c:v>
                </c:pt>
                <c:pt idx="16">
                  <c:v>0.29400523088463748</c:v>
                </c:pt>
                <c:pt idx="17">
                  <c:v>0.21965671025641959</c:v>
                </c:pt>
                <c:pt idx="18">
                  <c:v>3.1380927058646231</c:v>
                </c:pt>
                <c:pt idx="19">
                  <c:v>1.9294829872592467</c:v>
                </c:pt>
                <c:pt idx="20">
                  <c:v>19.637450397877913</c:v>
                </c:pt>
                <c:pt idx="21">
                  <c:v>2.0554228244085002</c:v>
                </c:pt>
                <c:pt idx="22">
                  <c:v>35.789483383124185</c:v>
                </c:pt>
                <c:pt idx="23">
                  <c:v>1.4030724729502395</c:v>
                </c:pt>
                <c:pt idx="24">
                  <c:v>14.095168263066526</c:v>
                </c:pt>
                <c:pt idx="25">
                  <c:v>1.3809916749538889</c:v>
                </c:pt>
                <c:pt idx="26">
                  <c:v>1.709230744639477</c:v>
                </c:pt>
                <c:pt idx="27">
                  <c:v>29.365709602403307</c:v>
                </c:pt>
                <c:pt idx="28">
                  <c:v>6.5157256846898841</c:v>
                </c:pt>
                <c:pt idx="29">
                  <c:v>6.5157256846898841</c:v>
                </c:pt>
                <c:pt idx="30">
                  <c:v>4.3815333886557521</c:v>
                </c:pt>
                <c:pt idx="31">
                  <c:v>1.1468528169048977</c:v>
                </c:pt>
                <c:pt idx="32">
                  <c:v>3.4897281634509425</c:v>
                </c:pt>
                <c:pt idx="33">
                  <c:v>1.8648743876720726</c:v>
                </c:pt>
                <c:pt idx="34">
                  <c:v>4.5832862644506873</c:v>
                </c:pt>
                <c:pt idx="35">
                  <c:v>4.3466637022514512</c:v>
                </c:pt>
                <c:pt idx="36">
                  <c:v>2.1728776745753944</c:v>
                </c:pt>
                <c:pt idx="37">
                  <c:v>4.5809060099753296</c:v>
                </c:pt>
                <c:pt idx="38">
                  <c:v>3.5823335693653231</c:v>
                </c:pt>
                <c:pt idx="39">
                  <c:v>2.9713059052061666</c:v>
                </c:pt>
                <c:pt idx="40">
                  <c:v>2.2090394934646702</c:v>
                </c:pt>
                <c:pt idx="41">
                  <c:v>4.5098625447604412</c:v>
                </c:pt>
                <c:pt idx="42">
                  <c:v>4.2361373644797506</c:v>
                </c:pt>
                <c:pt idx="43">
                  <c:v>1.6109742585172468</c:v>
                </c:pt>
                <c:pt idx="44">
                  <c:v>1.791884519892355</c:v>
                </c:pt>
                <c:pt idx="45">
                  <c:v>2.0043812747349161</c:v>
                </c:pt>
                <c:pt idx="46">
                  <c:v>3.1344906345414749</c:v>
                </c:pt>
                <c:pt idx="47">
                  <c:v>1.9998378604379061</c:v>
                </c:pt>
                <c:pt idx="48">
                  <c:v>3.4477190504938844</c:v>
                </c:pt>
                <c:pt idx="49">
                  <c:v>2.0434393106275039</c:v>
                </c:pt>
                <c:pt idx="50">
                  <c:v>2.4558121550455634</c:v>
                </c:pt>
                <c:pt idx="51">
                  <c:v>2.8119246949662307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4-4DEF-907E-887B4E0E9D0B}"/>
            </c:ext>
          </c:extLst>
        </c:ser>
        <c:ser>
          <c:idx val="4"/>
          <c:order val="4"/>
          <c:tx>
            <c:strRef>
              <c:f>'Tar fractions'!$CP$4</c:f>
              <c:strCache>
                <c:ptCount val="1"/>
                <c:pt idx="0">
                  <c:v>O Xylene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fractions'!$CP$5:$CP$56</c:f>
              <c:numCache>
                <c:formatCode>0.0</c:formatCode>
                <c:ptCount val="52"/>
                <c:pt idx="0">
                  <c:v>3.7077907627566296</c:v>
                </c:pt>
                <c:pt idx="1">
                  <c:v>2.7905360171822107</c:v>
                </c:pt>
                <c:pt idx="2">
                  <c:v>2.4230862351921409</c:v>
                </c:pt>
                <c:pt idx="3">
                  <c:v>3.8731120067339511</c:v>
                </c:pt>
                <c:pt idx="4">
                  <c:v>3.2011166599218606</c:v>
                </c:pt>
                <c:pt idx="5">
                  <c:v>1.0730766218865682</c:v>
                </c:pt>
                <c:pt idx="6">
                  <c:v>2.8269161292979472</c:v>
                </c:pt>
                <c:pt idx="7">
                  <c:v>3.1774232708401953</c:v>
                </c:pt>
                <c:pt idx="8">
                  <c:v>4.9228910351392114</c:v>
                </c:pt>
                <c:pt idx="9">
                  <c:v>2.4422696866142726</c:v>
                </c:pt>
                <c:pt idx="10">
                  <c:v>3.227961155084782</c:v>
                </c:pt>
                <c:pt idx="11">
                  <c:v>2.5135058657619691</c:v>
                </c:pt>
                <c:pt idx="12">
                  <c:v>2.5485168125526361</c:v>
                </c:pt>
                <c:pt idx="13">
                  <c:v>3.7566057682885949</c:v>
                </c:pt>
                <c:pt idx="14">
                  <c:v>2.3021863732690462</c:v>
                </c:pt>
                <c:pt idx="15">
                  <c:v>1.0051387196626795</c:v>
                </c:pt>
                <c:pt idx="16">
                  <c:v>1.1062114425183367</c:v>
                </c:pt>
                <c:pt idx="17">
                  <c:v>1.049411910775929</c:v>
                </c:pt>
                <c:pt idx="18">
                  <c:v>2.3061416715184748</c:v>
                </c:pt>
                <c:pt idx="19">
                  <c:v>3.6376746724443332</c:v>
                </c:pt>
                <c:pt idx="20">
                  <c:v>0.57128210806724022</c:v>
                </c:pt>
                <c:pt idx="21">
                  <c:v>1.4144187322246309</c:v>
                </c:pt>
                <c:pt idx="22">
                  <c:v>1.5107801258154812</c:v>
                </c:pt>
                <c:pt idx="23">
                  <c:v>1.1138826352266344</c:v>
                </c:pt>
                <c:pt idx="24">
                  <c:v>0.31885773134489087</c:v>
                </c:pt>
                <c:pt idx="25">
                  <c:v>1.3118436864331755</c:v>
                </c:pt>
                <c:pt idx="26">
                  <c:v>0.85685174088528782</c:v>
                </c:pt>
                <c:pt idx="27">
                  <c:v>1.3626688381650562</c:v>
                </c:pt>
                <c:pt idx="28">
                  <c:v>3.9578271506378582</c:v>
                </c:pt>
                <c:pt idx="29">
                  <c:v>3.9578271506378582</c:v>
                </c:pt>
                <c:pt idx="30">
                  <c:v>4.6311799191869012</c:v>
                </c:pt>
                <c:pt idx="31">
                  <c:v>1.7978087468125885</c:v>
                </c:pt>
                <c:pt idx="32">
                  <c:v>5.9512039413395756</c:v>
                </c:pt>
                <c:pt idx="33">
                  <c:v>1.550779262222781</c:v>
                </c:pt>
                <c:pt idx="34">
                  <c:v>3.1526237731073365</c:v>
                </c:pt>
                <c:pt idx="35">
                  <c:v>5.3335200922954957</c:v>
                </c:pt>
                <c:pt idx="36">
                  <c:v>1.2946164487915655</c:v>
                </c:pt>
                <c:pt idx="37">
                  <c:v>2.055525610711078</c:v>
                </c:pt>
                <c:pt idx="38">
                  <c:v>1.7762418302005951</c:v>
                </c:pt>
                <c:pt idx="39">
                  <c:v>2.945183222442989</c:v>
                </c:pt>
                <c:pt idx="40">
                  <c:v>2.2712163169410626</c:v>
                </c:pt>
                <c:pt idx="41">
                  <c:v>1.8769033953270891</c:v>
                </c:pt>
                <c:pt idx="42">
                  <c:v>1.9704943839676909</c:v>
                </c:pt>
                <c:pt idx="43">
                  <c:v>1.3356782377349432</c:v>
                </c:pt>
                <c:pt idx="44">
                  <c:v>1.8394970567061255</c:v>
                </c:pt>
                <c:pt idx="45">
                  <c:v>1.9984999651957849</c:v>
                </c:pt>
                <c:pt idx="46">
                  <c:v>3.8691374797133351</c:v>
                </c:pt>
                <c:pt idx="47">
                  <c:v>2.1868870170713528</c:v>
                </c:pt>
                <c:pt idx="48">
                  <c:v>4.0352885040033808</c:v>
                </c:pt>
                <c:pt idx="49">
                  <c:v>1.9097747982167641</c:v>
                </c:pt>
                <c:pt idx="50">
                  <c:v>2.2447285993473729</c:v>
                </c:pt>
                <c:pt idx="51">
                  <c:v>3.6020124728946801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4-4DEF-907E-887B4E0E9D0B}"/>
            </c:ext>
          </c:extLst>
        </c:ser>
        <c:ser>
          <c:idx val="5"/>
          <c:order val="5"/>
          <c:tx>
            <c:strRef>
              <c:f>'Tar fractions'!$CQ$4</c:f>
              <c:strCache>
                <c:ptCount val="1"/>
                <c:pt idx="0">
                  <c:v>Cumene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fractions'!$CQ$5:$CQ$56</c:f>
              <c:numCache>
                <c:formatCode>0.0</c:formatCode>
                <c:ptCount val="52"/>
                <c:pt idx="0">
                  <c:v>0.26885487878213038</c:v>
                </c:pt>
                <c:pt idx="1">
                  <c:v>0.25589132407743664</c:v>
                </c:pt>
                <c:pt idx="2">
                  <c:v>0.9637290902530864</c:v>
                </c:pt>
                <c:pt idx="3">
                  <c:v>0.54646617245193607</c:v>
                </c:pt>
                <c:pt idx="4">
                  <c:v>0.97945764866123763</c:v>
                </c:pt>
                <c:pt idx="5">
                  <c:v>0.46745642454641567</c:v>
                </c:pt>
                <c:pt idx="6">
                  <c:v>0.28700510387442096</c:v>
                </c:pt>
                <c:pt idx="7">
                  <c:v>0.33741555656999711</c:v>
                </c:pt>
                <c:pt idx="8">
                  <c:v>0.4166965919166844</c:v>
                </c:pt>
                <c:pt idx="9">
                  <c:v>0.30777575342027796</c:v>
                </c:pt>
                <c:pt idx="10">
                  <c:v>0.14970657799212425</c:v>
                </c:pt>
                <c:pt idx="11">
                  <c:v>1.0461387928739221</c:v>
                </c:pt>
                <c:pt idx="12">
                  <c:v>0.30167138284195322</c:v>
                </c:pt>
                <c:pt idx="13">
                  <c:v>0.28505185376096903</c:v>
                </c:pt>
                <c:pt idx="14">
                  <c:v>1.0568369239423783</c:v>
                </c:pt>
                <c:pt idx="15">
                  <c:v>1.5283765560894857</c:v>
                </c:pt>
                <c:pt idx="16">
                  <c:v>2.2465343983683246</c:v>
                </c:pt>
                <c:pt idx="17">
                  <c:v>2.1476262822082068</c:v>
                </c:pt>
                <c:pt idx="18">
                  <c:v>2.8006742235426496</c:v>
                </c:pt>
                <c:pt idx="19">
                  <c:v>2.8490155131680162</c:v>
                </c:pt>
                <c:pt idx="20">
                  <c:v>1.8312243604428327</c:v>
                </c:pt>
                <c:pt idx="21">
                  <c:v>1.0114611591629095</c:v>
                </c:pt>
                <c:pt idx="22">
                  <c:v>3.5654668112510715</c:v>
                </c:pt>
                <c:pt idx="23">
                  <c:v>4.4753050540905042</c:v>
                </c:pt>
                <c:pt idx="24">
                  <c:v>3.0850931902680978</c:v>
                </c:pt>
                <c:pt idx="25">
                  <c:v>1.7183182875899266</c:v>
                </c:pt>
                <c:pt idx="26">
                  <c:v>2.881413138259532</c:v>
                </c:pt>
                <c:pt idx="27">
                  <c:v>3.9213777904511353</c:v>
                </c:pt>
                <c:pt idx="28">
                  <c:v>0.44777914426252341</c:v>
                </c:pt>
                <c:pt idx="29">
                  <c:v>0.44777914426252341</c:v>
                </c:pt>
                <c:pt idx="30">
                  <c:v>0.38892956060858436</c:v>
                </c:pt>
                <c:pt idx="31">
                  <c:v>16.802992938016555</c:v>
                </c:pt>
                <c:pt idx="32">
                  <c:v>2.2627544997219617</c:v>
                </c:pt>
                <c:pt idx="33">
                  <c:v>0.81861688537199029</c:v>
                </c:pt>
                <c:pt idx="34">
                  <c:v>1.342872141426162</c:v>
                </c:pt>
                <c:pt idx="35">
                  <c:v>0.73335118633993102</c:v>
                </c:pt>
                <c:pt idx="36">
                  <c:v>0.88343307640026247</c:v>
                </c:pt>
                <c:pt idx="37">
                  <c:v>1.0443882369163087</c:v>
                </c:pt>
                <c:pt idx="38">
                  <c:v>1.1414693078935687</c:v>
                </c:pt>
                <c:pt idx="39">
                  <c:v>0.926614572191793</c:v>
                </c:pt>
                <c:pt idx="40">
                  <c:v>1.2445261260505025</c:v>
                </c:pt>
                <c:pt idx="41">
                  <c:v>1.1266064407954459</c:v>
                </c:pt>
                <c:pt idx="42">
                  <c:v>1.3724945784261888</c:v>
                </c:pt>
                <c:pt idx="43">
                  <c:v>1.6345434854985081</c:v>
                </c:pt>
                <c:pt idx="44">
                  <c:v>1.2693823719380373</c:v>
                </c:pt>
                <c:pt idx="45">
                  <c:v>1.5705002370258108</c:v>
                </c:pt>
                <c:pt idx="46">
                  <c:v>0.96852108408379334</c:v>
                </c:pt>
                <c:pt idx="47">
                  <c:v>1.9858358035016461</c:v>
                </c:pt>
                <c:pt idx="48">
                  <c:v>1.1548154850387669</c:v>
                </c:pt>
                <c:pt idx="49">
                  <c:v>1.4814224990802058</c:v>
                </c:pt>
                <c:pt idx="50">
                  <c:v>1.2679354130492158</c:v>
                </c:pt>
                <c:pt idx="51">
                  <c:v>1.4422805933402534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4-4DEF-907E-887B4E0E9D0B}"/>
            </c:ext>
          </c:extLst>
        </c:ser>
        <c:ser>
          <c:idx val="6"/>
          <c:order val="6"/>
          <c:tx>
            <c:strRef>
              <c:f>'Tar fractions'!$CR$4</c:f>
              <c:strCache>
                <c:ptCount val="1"/>
                <c:pt idx="0">
                  <c:v>Propylbenzene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fractions'!$CR$5:$CR$56</c:f>
              <c:numCache>
                <c:formatCode>0.0</c:formatCode>
                <c:ptCount val="52"/>
                <c:pt idx="0">
                  <c:v>3.8664095842491801E-2</c:v>
                </c:pt>
                <c:pt idx="1">
                  <c:v>4.3064172351211238E-2</c:v>
                </c:pt>
                <c:pt idx="2">
                  <c:v>0.19588976541433378</c:v>
                </c:pt>
                <c:pt idx="3">
                  <c:v>8.4121197405814474E-2</c:v>
                </c:pt>
                <c:pt idx="4">
                  <c:v>0.25383037534493025</c:v>
                </c:pt>
                <c:pt idx="5">
                  <c:v>0.25556758205698027</c:v>
                </c:pt>
                <c:pt idx="6">
                  <c:v>6.1956693731215387E-2</c:v>
                </c:pt>
                <c:pt idx="7">
                  <c:v>7.2760324446405969E-2</c:v>
                </c:pt>
                <c:pt idx="8">
                  <c:v>5.5700297532684288E-2</c:v>
                </c:pt>
                <c:pt idx="9">
                  <c:v>7.1298386848443723E-2</c:v>
                </c:pt>
                <c:pt idx="10">
                  <c:v>4.1007832011283427E-2</c:v>
                </c:pt>
                <c:pt idx="11">
                  <c:v>0.33038045379061171</c:v>
                </c:pt>
                <c:pt idx="12">
                  <c:v>7.4852951264122281E-2</c:v>
                </c:pt>
                <c:pt idx="13">
                  <c:v>4.4310696054099923E-2</c:v>
                </c:pt>
                <c:pt idx="14">
                  <c:v>0.27165858477515736</c:v>
                </c:pt>
                <c:pt idx="15">
                  <c:v>0.64372389172852063</c:v>
                </c:pt>
                <c:pt idx="16">
                  <c:v>0.31129463634947163</c:v>
                </c:pt>
                <c:pt idx="17">
                  <c:v>0.34711485311483992</c:v>
                </c:pt>
                <c:pt idx="18">
                  <c:v>1.3000560712777671</c:v>
                </c:pt>
                <c:pt idx="19">
                  <c:v>1.1278518139854672</c:v>
                </c:pt>
                <c:pt idx="20">
                  <c:v>2.4038378643969009</c:v>
                </c:pt>
                <c:pt idx="21">
                  <c:v>0.67779362292673417</c:v>
                </c:pt>
                <c:pt idx="22">
                  <c:v>0.82600325552449827</c:v>
                </c:pt>
                <c:pt idx="23">
                  <c:v>1.2337312742573534</c:v>
                </c:pt>
                <c:pt idx="24">
                  <c:v>3.6494175971895881</c:v>
                </c:pt>
                <c:pt idx="25">
                  <c:v>0.40865870321932912</c:v>
                </c:pt>
                <c:pt idx="26">
                  <c:v>0.64323464522061946</c:v>
                </c:pt>
                <c:pt idx="27">
                  <c:v>0.6583088928995191</c:v>
                </c:pt>
                <c:pt idx="28">
                  <c:v>0.11812257646603096</c:v>
                </c:pt>
                <c:pt idx="29">
                  <c:v>0.11812257646603096</c:v>
                </c:pt>
                <c:pt idx="30">
                  <c:v>0.14704922789582803</c:v>
                </c:pt>
                <c:pt idx="31">
                  <c:v>0.75539725181921691</c:v>
                </c:pt>
                <c:pt idx="32">
                  <c:v>0.4664174825669537</c:v>
                </c:pt>
                <c:pt idx="33">
                  <c:v>0.2626894567709846</c:v>
                </c:pt>
                <c:pt idx="34">
                  <c:v>0.45994045514740622</c:v>
                </c:pt>
                <c:pt idx="35">
                  <c:v>0.37118510798206672</c:v>
                </c:pt>
                <c:pt idx="36">
                  <c:v>0.49423744061942748</c:v>
                </c:pt>
                <c:pt idx="37">
                  <c:v>0.41299591157746335</c:v>
                </c:pt>
                <c:pt idx="38">
                  <c:v>0.5145717662156567</c:v>
                </c:pt>
                <c:pt idx="39">
                  <c:v>0.3732269998611526</c:v>
                </c:pt>
                <c:pt idx="40">
                  <c:v>0.57935492027501434</c:v>
                </c:pt>
                <c:pt idx="41">
                  <c:v>0.45657222739289693</c:v>
                </c:pt>
                <c:pt idx="42">
                  <c:v>0.55170457313377674</c:v>
                </c:pt>
                <c:pt idx="43">
                  <c:v>0.79258964042227664</c:v>
                </c:pt>
                <c:pt idx="44">
                  <c:v>0.50930422317582758</c:v>
                </c:pt>
                <c:pt idx="45">
                  <c:v>0.80897642812986603</c:v>
                </c:pt>
                <c:pt idx="46">
                  <c:v>0.55310457893332199</c:v>
                </c:pt>
                <c:pt idx="47">
                  <c:v>0.7548444708451999</c:v>
                </c:pt>
                <c:pt idx="48">
                  <c:v>0.67264102523860769</c:v>
                </c:pt>
                <c:pt idx="49">
                  <c:v>3.148919301310403E-2</c:v>
                </c:pt>
                <c:pt idx="50">
                  <c:v>0.6503585413098727</c:v>
                </c:pt>
                <c:pt idx="51">
                  <c:v>0.77987823406016721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4-4DEF-907E-887B4E0E9D0B}"/>
            </c:ext>
          </c:extLst>
        </c:ser>
        <c:ser>
          <c:idx val="7"/>
          <c:order val="7"/>
          <c:tx>
            <c:strRef>
              <c:f>'Tar fractions'!$CS$4</c:f>
              <c:strCache>
                <c:ptCount val="1"/>
                <c:pt idx="0">
                  <c:v>M-Ethyltoluene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fractions'!$CS$5:$CS$56</c:f>
              <c:numCache>
                <c:formatCode>0.0</c:formatCode>
                <c:ptCount val="52"/>
                <c:pt idx="0">
                  <c:v>1.6987732560804394</c:v>
                </c:pt>
                <c:pt idx="1">
                  <c:v>0.98427495689440425</c:v>
                </c:pt>
                <c:pt idx="2">
                  <c:v>1.3801654530800016</c:v>
                </c:pt>
                <c:pt idx="3">
                  <c:v>0.90009631748525654</c:v>
                </c:pt>
                <c:pt idx="4">
                  <c:v>1.6937178182181027</c:v>
                </c:pt>
                <c:pt idx="5">
                  <c:v>1.3215872540983709</c:v>
                </c:pt>
                <c:pt idx="6">
                  <c:v>0.9890252359311964</c:v>
                </c:pt>
                <c:pt idx="7">
                  <c:v>0.97289090048908367</c:v>
                </c:pt>
                <c:pt idx="8">
                  <c:v>0.83112900622933761</c:v>
                </c:pt>
                <c:pt idx="9">
                  <c:v>0.96450655625436177</c:v>
                </c:pt>
                <c:pt idx="10">
                  <c:v>0.64891906129664467</c:v>
                </c:pt>
                <c:pt idx="11">
                  <c:v>0.97495000716073632</c:v>
                </c:pt>
                <c:pt idx="12">
                  <c:v>0.74177266519872287</c:v>
                </c:pt>
                <c:pt idx="13">
                  <c:v>0.62448704718818215</c:v>
                </c:pt>
                <c:pt idx="14">
                  <c:v>0.81185153412989697</c:v>
                </c:pt>
                <c:pt idx="15">
                  <c:v>0.27850986963846358</c:v>
                </c:pt>
                <c:pt idx="16">
                  <c:v>6.8348365312294948E-3</c:v>
                </c:pt>
                <c:pt idx="17">
                  <c:v>6.3195132755423699E-3</c:v>
                </c:pt>
                <c:pt idx="18">
                  <c:v>0.13623989431709985</c:v>
                </c:pt>
                <c:pt idx="19">
                  <c:v>0.71050570471266483</c:v>
                </c:pt>
                <c:pt idx="20">
                  <c:v>2.8876252233212441E-2</c:v>
                </c:pt>
                <c:pt idx="21">
                  <c:v>0.62457890698164265</c:v>
                </c:pt>
                <c:pt idx="22">
                  <c:v>8.7477062142985368E-2</c:v>
                </c:pt>
                <c:pt idx="23">
                  <c:v>2.2590670347783495</c:v>
                </c:pt>
                <c:pt idx="24">
                  <c:v>5.3832346509657188E-2</c:v>
                </c:pt>
                <c:pt idx="25">
                  <c:v>0.12995197949083806</c:v>
                </c:pt>
                <c:pt idx="26">
                  <c:v>2.1006349578160251</c:v>
                </c:pt>
                <c:pt idx="27">
                  <c:v>6.5054639849779924E-2</c:v>
                </c:pt>
                <c:pt idx="28">
                  <c:v>0.78046955808599816</c:v>
                </c:pt>
                <c:pt idx="29">
                  <c:v>0.78046955808599816</c:v>
                </c:pt>
                <c:pt idx="30">
                  <c:v>0.70271174694767735</c:v>
                </c:pt>
                <c:pt idx="31">
                  <c:v>0.15209631226618672</c:v>
                </c:pt>
                <c:pt idx="32">
                  <c:v>8.2944298941259348E-2</c:v>
                </c:pt>
                <c:pt idx="33">
                  <c:v>0.38851891223964824</c:v>
                </c:pt>
                <c:pt idx="34">
                  <c:v>1.3669488747452549</c:v>
                </c:pt>
                <c:pt idx="35">
                  <c:v>0.43381891653343646</c:v>
                </c:pt>
                <c:pt idx="36">
                  <c:v>0.97454023965577918</c:v>
                </c:pt>
                <c:pt idx="37">
                  <c:v>0.9766931872454957</c:v>
                </c:pt>
                <c:pt idx="38">
                  <c:v>0.82036440540758671</c:v>
                </c:pt>
                <c:pt idx="39">
                  <c:v>0.35140412169903923</c:v>
                </c:pt>
                <c:pt idx="40">
                  <c:v>0.4540599908460981</c:v>
                </c:pt>
                <c:pt idx="41">
                  <c:v>0.91231101084370647</c:v>
                </c:pt>
                <c:pt idx="42">
                  <c:v>0.87609028309398929</c:v>
                </c:pt>
                <c:pt idx="43">
                  <c:v>0.51413602572632633</c:v>
                </c:pt>
                <c:pt idx="44">
                  <c:v>0.25471402868416049</c:v>
                </c:pt>
                <c:pt idx="45">
                  <c:v>0.21893904553021842</c:v>
                </c:pt>
                <c:pt idx="46">
                  <c:v>0.77546153453408539</c:v>
                </c:pt>
                <c:pt idx="47">
                  <c:v>0.74119621759035892</c:v>
                </c:pt>
                <c:pt idx="48">
                  <c:v>0.29376335242494694</c:v>
                </c:pt>
                <c:pt idx="49">
                  <c:v>3.2856208327159138E-2</c:v>
                </c:pt>
                <c:pt idx="50">
                  <c:v>0.32366142072583814</c:v>
                </c:pt>
                <c:pt idx="51">
                  <c:v>0.2792790415937661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44-4DEF-907E-887B4E0E9D0B}"/>
            </c:ext>
          </c:extLst>
        </c:ser>
        <c:ser>
          <c:idx val="8"/>
          <c:order val="8"/>
          <c:tx>
            <c:strRef>
              <c:f>'Tar fractions'!$CT$4</c:f>
              <c:strCache>
                <c:ptCount val="1"/>
                <c:pt idx="0">
                  <c:v>O-Ethyltoluene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fractions'!$CT$5:$CT$56</c:f>
              <c:numCache>
                <c:formatCode>0.0</c:formatCode>
                <c:ptCount val="52"/>
                <c:pt idx="0">
                  <c:v>0.22409610972067015</c:v>
                </c:pt>
                <c:pt idx="1">
                  <c:v>0.28753480947907217</c:v>
                </c:pt>
                <c:pt idx="2">
                  <c:v>0.58700070264233151</c:v>
                </c:pt>
                <c:pt idx="3">
                  <c:v>0.34447674690206231</c:v>
                </c:pt>
                <c:pt idx="4">
                  <c:v>0.6040030267832367</c:v>
                </c:pt>
                <c:pt idx="5">
                  <c:v>0.4004415348776712</c:v>
                </c:pt>
                <c:pt idx="6">
                  <c:v>0.34830164523835594</c:v>
                </c:pt>
                <c:pt idx="7">
                  <c:v>0.31386875051271279</c:v>
                </c:pt>
                <c:pt idx="8">
                  <c:v>0.22751646950099694</c:v>
                </c:pt>
                <c:pt idx="9">
                  <c:v>0.3215463008128604</c:v>
                </c:pt>
                <c:pt idx="10">
                  <c:v>0.20342998766197284</c:v>
                </c:pt>
                <c:pt idx="11">
                  <c:v>0.6967041918539385</c:v>
                </c:pt>
                <c:pt idx="12">
                  <c:v>0.37986145991925258</c:v>
                </c:pt>
                <c:pt idx="13">
                  <c:v>0.33702270952925834</c:v>
                </c:pt>
                <c:pt idx="14">
                  <c:v>0.63379865360934229</c:v>
                </c:pt>
                <c:pt idx="15">
                  <c:v>1.0924435110281148</c:v>
                </c:pt>
                <c:pt idx="16">
                  <c:v>1.968279045579461</c:v>
                </c:pt>
                <c:pt idx="17">
                  <c:v>1.8195887133403914</c:v>
                </c:pt>
                <c:pt idx="18">
                  <c:v>2.2358229528301501</c:v>
                </c:pt>
                <c:pt idx="19">
                  <c:v>2.0953500420886364</c:v>
                </c:pt>
                <c:pt idx="20">
                  <c:v>1.1886737224057733</c:v>
                </c:pt>
                <c:pt idx="21">
                  <c:v>1.225226891166004</c:v>
                </c:pt>
                <c:pt idx="22">
                  <c:v>3.1721383624606228</c:v>
                </c:pt>
                <c:pt idx="23">
                  <c:v>4.1755174545967959</c:v>
                </c:pt>
                <c:pt idx="24">
                  <c:v>3.0449407381087501</c:v>
                </c:pt>
                <c:pt idx="25">
                  <c:v>1.468632331315038</c:v>
                </c:pt>
                <c:pt idx="26">
                  <c:v>1.9458242810598447</c:v>
                </c:pt>
                <c:pt idx="27">
                  <c:v>3.3192310185059393</c:v>
                </c:pt>
                <c:pt idx="28">
                  <c:v>0.35248945614541033</c:v>
                </c:pt>
                <c:pt idx="29">
                  <c:v>0.35248945614541033</c:v>
                </c:pt>
                <c:pt idx="30">
                  <c:v>0.25124344518203645</c:v>
                </c:pt>
                <c:pt idx="31">
                  <c:v>16.702904294752077</c:v>
                </c:pt>
                <c:pt idx="32">
                  <c:v>0.94677266381965541</c:v>
                </c:pt>
                <c:pt idx="33">
                  <c:v>0.59357527202502736</c:v>
                </c:pt>
                <c:pt idx="34">
                  <c:v>0.73230438713185553</c:v>
                </c:pt>
                <c:pt idx="35">
                  <c:v>0.33376888458125398</c:v>
                </c:pt>
                <c:pt idx="36">
                  <c:v>0.47708210060574902</c:v>
                </c:pt>
                <c:pt idx="37">
                  <c:v>0.4568061640172873</c:v>
                </c:pt>
                <c:pt idx="38">
                  <c:v>0.61527777156113828</c:v>
                </c:pt>
                <c:pt idx="39">
                  <c:v>1.500126282581112E-2</c:v>
                </c:pt>
                <c:pt idx="40">
                  <c:v>0.6970214164173606</c:v>
                </c:pt>
                <c:pt idx="41">
                  <c:v>0.42998404473970275</c:v>
                </c:pt>
                <c:pt idx="42">
                  <c:v>0.64553769880051171</c:v>
                </c:pt>
                <c:pt idx="43">
                  <c:v>1.1771541857616867</c:v>
                </c:pt>
                <c:pt idx="44">
                  <c:v>0.61569295520612566</c:v>
                </c:pt>
                <c:pt idx="45">
                  <c:v>1.5605143736694478E-2</c:v>
                </c:pt>
                <c:pt idx="46">
                  <c:v>0.34110691203639903</c:v>
                </c:pt>
                <c:pt idx="47">
                  <c:v>1.1806526104190382</c:v>
                </c:pt>
                <c:pt idx="48">
                  <c:v>0.32510174051716051</c:v>
                </c:pt>
                <c:pt idx="49">
                  <c:v>0.58510615219975048</c:v>
                </c:pt>
                <c:pt idx="50">
                  <c:v>0.42533172025982691</c:v>
                </c:pt>
                <c:pt idx="51">
                  <c:v>0.69278516260794465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4-4DEF-907E-887B4E0E9D0B}"/>
            </c:ext>
          </c:extLst>
        </c:ser>
        <c:ser>
          <c:idx val="9"/>
          <c:order val="9"/>
          <c:tx>
            <c:strRef>
              <c:f>'Tar fractions'!$CU$4</c:f>
              <c:strCache>
                <c:ptCount val="1"/>
                <c:pt idx="0">
                  <c:v>1,2,4-Trimethylbenzene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fractions'!$CU$5:$CU$56</c:f>
              <c:numCache>
                <c:formatCode>0.0</c:formatCode>
                <c:ptCount val="52"/>
                <c:pt idx="0">
                  <c:v>1.0107438863001426</c:v>
                </c:pt>
                <c:pt idx="1">
                  <c:v>1.1525407877165053</c:v>
                </c:pt>
                <c:pt idx="2">
                  <c:v>3.0075585089264929</c:v>
                </c:pt>
                <c:pt idx="3">
                  <c:v>1.9604628352276636</c:v>
                </c:pt>
                <c:pt idx="4">
                  <c:v>3.6207054262182394</c:v>
                </c:pt>
                <c:pt idx="5">
                  <c:v>3.2963786845099499</c:v>
                </c:pt>
                <c:pt idx="6">
                  <c:v>1.2499616853184747</c:v>
                </c:pt>
                <c:pt idx="7">
                  <c:v>1.405334759554014</c:v>
                </c:pt>
                <c:pt idx="8">
                  <c:v>1.50215617942081</c:v>
                </c:pt>
                <c:pt idx="9">
                  <c:v>1.3911094907445438</c:v>
                </c:pt>
                <c:pt idx="10">
                  <c:v>0.99453149413327258</c:v>
                </c:pt>
                <c:pt idx="11">
                  <c:v>3.3330399701207076</c:v>
                </c:pt>
                <c:pt idx="12">
                  <c:v>1.2503196463755533</c:v>
                </c:pt>
                <c:pt idx="13">
                  <c:v>1.1234772734080221</c:v>
                </c:pt>
                <c:pt idx="14">
                  <c:v>2.9879859822811454</c:v>
                </c:pt>
                <c:pt idx="15">
                  <c:v>4.5861091787646444</c:v>
                </c:pt>
                <c:pt idx="16">
                  <c:v>4.2294053942686878</c:v>
                </c:pt>
                <c:pt idx="17">
                  <c:v>4.4244863509297172</c:v>
                </c:pt>
                <c:pt idx="18">
                  <c:v>6.3334822418275314</c:v>
                </c:pt>
                <c:pt idx="19">
                  <c:v>8.5583486070490107</c:v>
                </c:pt>
                <c:pt idx="20">
                  <c:v>2.6039590708329055</c:v>
                </c:pt>
                <c:pt idx="21">
                  <c:v>1.9964484348933529</c:v>
                </c:pt>
                <c:pt idx="22">
                  <c:v>2.2551023729873476</c:v>
                </c:pt>
                <c:pt idx="23">
                  <c:v>2.2253903295038877</c:v>
                </c:pt>
                <c:pt idx="24">
                  <c:v>0.22318148400181292</c:v>
                </c:pt>
                <c:pt idx="25">
                  <c:v>3.8281770126194865</c:v>
                </c:pt>
                <c:pt idx="26">
                  <c:v>4.6065095790136619</c:v>
                </c:pt>
                <c:pt idx="27">
                  <c:v>1.9647999424541505</c:v>
                </c:pt>
                <c:pt idx="28">
                  <c:v>1.4932403400650802</c:v>
                </c:pt>
                <c:pt idx="29">
                  <c:v>1.4932403400650802</c:v>
                </c:pt>
                <c:pt idx="30">
                  <c:v>1.3825565665741437</c:v>
                </c:pt>
                <c:pt idx="31">
                  <c:v>0.70123885899852345</c:v>
                </c:pt>
                <c:pt idx="32">
                  <c:v>1.7177614684898816</c:v>
                </c:pt>
                <c:pt idx="33">
                  <c:v>2.0893516230191174</c:v>
                </c:pt>
                <c:pt idx="34">
                  <c:v>3.8498322106430836</c:v>
                </c:pt>
                <c:pt idx="35">
                  <c:v>2.004032673743084</c:v>
                </c:pt>
                <c:pt idx="36">
                  <c:v>2.6861441802818598</c:v>
                </c:pt>
                <c:pt idx="37">
                  <c:v>2.0891030265481203</c:v>
                </c:pt>
                <c:pt idx="38">
                  <c:v>2.512039556661513</c:v>
                </c:pt>
                <c:pt idx="39">
                  <c:v>1.691091476543322</c:v>
                </c:pt>
                <c:pt idx="40">
                  <c:v>3.1312297374249454</c:v>
                </c:pt>
                <c:pt idx="41">
                  <c:v>2.1791518001771046</c:v>
                </c:pt>
                <c:pt idx="42">
                  <c:v>2.8129835094686393</c:v>
                </c:pt>
                <c:pt idx="43">
                  <c:v>2.320719952555137</c:v>
                </c:pt>
                <c:pt idx="44">
                  <c:v>2.0775219752678513</c:v>
                </c:pt>
                <c:pt idx="45">
                  <c:v>0.81111289869449932</c:v>
                </c:pt>
                <c:pt idx="46">
                  <c:v>1.6360524409133799</c:v>
                </c:pt>
                <c:pt idx="47">
                  <c:v>2.0364873847375895</c:v>
                </c:pt>
                <c:pt idx="48">
                  <c:v>1.5338313307873186</c:v>
                </c:pt>
                <c:pt idx="49">
                  <c:v>1.4130176331594284</c:v>
                </c:pt>
                <c:pt idx="50">
                  <c:v>1.3976059601475848</c:v>
                </c:pt>
                <c:pt idx="51">
                  <c:v>1.7356423965534189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44-4DEF-907E-887B4E0E9D0B}"/>
            </c:ext>
          </c:extLst>
        </c:ser>
        <c:ser>
          <c:idx val="10"/>
          <c:order val="10"/>
          <c:tx>
            <c:strRef>
              <c:f>'Tar fractions'!$CV$4</c:f>
              <c:strCache>
                <c:ptCount val="1"/>
                <c:pt idx="0">
                  <c:v>1,2,3-Trimethylbenzene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fractions'!$CV$5:$CV$56</c:f>
              <c:numCache>
                <c:formatCode>0.0</c:formatCode>
                <c:ptCount val="52"/>
                <c:pt idx="0">
                  <c:v>0.51028642128648716</c:v>
                </c:pt>
                <c:pt idx="1">
                  <c:v>0.55643239110455389</c:v>
                </c:pt>
                <c:pt idx="2">
                  <c:v>1.4079236113932183</c:v>
                </c:pt>
                <c:pt idx="3">
                  <c:v>0.95074319050353417</c:v>
                </c:pt>
                <c:pt idx="4">
                  <c:v>1.747985632092637</c:v>
                </c:pt>
                <c:pt idx="5">
                  <c:v>1.4967749863239501</c:v>
                </c:pt>
                <c:pt idx="6">
                  <c:v>0.60675766892262029</c:v>
                </c:pt>
                <c:pt idx="7">
                  <c:v>0.68149850768782649</c:v>
                </c:pt>
                <c:pt idx="8">
                  <c:v>0.75402431899615285</c:v>
                </c:pt>
                <c:pt idx="9">
                  <c:v>0.68805459514547773</c:v>
                </c:pt>
                <c:pt idx="10">
                  <c:v>0.50414386863413796</c:v>
                </c:pt>
                <c:pt idx="11">
                  <c:v>1.5717274559417089</c:v>
                </c:pt>
                <c:pt idx="12">
                  <c:v>0.64469273763930524</c:v>
                </c:pt>
                <c:pt idx="13">
                  <c:v>0.59211982135181451</c:v>
                </c:pt>
                <c:pt idx="14">
                  <c:v>1.4327797017704782</c:v>
                </c:pt>
                <c:pt idx="15">
                  <c:v>2.1404801307577701</c:v>
                </c:pt>
                <c:pt idx="16">
                  <c:v>2.6150822265940685</c:v>
                </c:pt>
                <c:pt idx="17">
                  <c:v>2.5625231915652806</c:v>
                </c:pt>
                <c:pt idx="18">
                  <c:v>3.3266241370624874</c:v>
                </c:pt>
                <c:pt idx="19">
                  <c:v>4.0249931991042471</c:v>
                </c:pt>
                <c:pt idx="20">
                  <c:v>2.6024863358435004</c:v>
                </c:pt>
                <c:pt idx="21">
                  <c:v>2.7124939165569883</c:v>
                </c:pt>
                <c:pt idx="22">
                  <c:v>0.78272847826538072</c:v>
                </c:pt>
                <c:pt idx="23">
                  <c:v>1.7475644932284622</c:v>
                </c:pt>
                <c:pt idx="24">
                  <c:v>8.1075653666297587</c:v>
                </c:pt>
                <c:pt idx="25">
                  <c:v>2.0270921267759734</c:v>
                </c:pt>
                <c:pt idx="26">
                  <c:v>2.4514255495384032</c:v>
                </c:pt>
                <c:pt idx="27">
                  <c:v>0.80324071633927197</c:v>
                </c:pt>
                <c:pt idx="28">
                  <c:v>0.81445923835167933</c:v>
                </c:pt>
                <c:pt idx="29">
                  <c:v>0.81445923835167933</c:v>
                </c:pt>
                <c:pt idx="30">
                  <c:v>0.87274709580192933</c:v>
                </c:pt>
                <c:pt idx="31">
                  <c:v>0.6550528393717735</c:v>
                </c:pt>
                <c:pt idx="32">
                  <c:v>1.3263281692498976</c:v>
                </c:pt>
                <c:pt idx="33">
                  <c:v>1.2978316383886419</c:v>
                </c:pt>
                <c:pt idx="34">
                  <c:v>1.9759255193032652</c:v>
                </c:pt>
                <c:pt idx="35">
                  <c:v>1.3773562960282699</c:v>
                </c:pt>
                <c:pt idx="36">
                  <c:v>1.4163758075393569</c:v>
                </c:pt>
                <c:pt idx="37">
                  <c:v>1.1694234472893628</c:v>
                </c:pt>
                <c:pt idx="38">
                  <c:v>1.4386370192249454</c:v>
                </c:pt>
                <c:pt idx="39">
                  <c:v>1.1363565612995965</c:v>
                </c:pt>
                <c:pt idx="40">
                  <c:v>1.7212330123302977</c:v>
                </c:pt>
                <c:pt idx="41">
                  <c:v>1.1374319477823369</c:v>
                </c:pt>
                <c:pt idx="42">
                  <c:v>1.4799429042488907</c:v>
                </c:pt>
                <c:pt idx="43">
                  <c:v>2.1911236261075171</c:v>
                </c:pt>
                <c:pt idx="44">
                  <c:v>1.3809319989727935</c:v>
                </c:pt>
                <c:pt idx="45">
                  <c:v>0</c:v>
                </c:pt>
                <c:pt idx="46">
                  <c:v>1.1674395784126439</c:v>
                </c:pt>
                <c:pt idx="47">
                  <c:v>1.3803037683476218</c:v>
                </c:pt>
                <c:pt idx="48">
                  <c:v>1.031957965390093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44-4DEF-907E-887B4E0E9D0B}"/>
            </c:ext>
          </c:extLst>
        </c:ser>
        <c:ser>
          <c:idx val="11"/>
          <c:order val="11"/>
          <c:tx>
            <c:strRef>
              <c:f>'Tar fractions'!$CW$4</c:f>
              <c:strCache>
                <c:ptCount val="1"/>
                <c:pt idx="0">
                  <c:v>Indane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fractions'!$CW$5:$CW$56</c:f>
              <c:numCache>
                <c:formatCode>0.0</c:formatCode>
                <c:ptCount val="52"/>
                <c:pt idx="0">
                  <c:v>9.8414556450140473</c:v>
                </c:pt>
                <c:pt idx="1">
                  <c:v>13.248496512350489</c:v>
                </c:pt>
                <c:pt idx="2">
                  <c:v>12.946887672643042</c:v>
                </c:pt>
                <c:pt idx="3">
                  <c:v>11.507233335204683</c:v>
                </c:pt>
                <c:pt idx="4">
                  <c:v>4.1097653246873165</c:v>
                </c:pt>
                <c:pt idx="5">
                  <c:v>0.88526909475996596</c:v>
                </c:pt>
                <c:pt idx="6">
                  <c:v>12.900541950448735</c:v>
                </c:pt>
                <c:pt idx="7">
                  <c:v>12.809623130478709</c:v>
                </c:pt>
                <c:pt idx="8">
                  <c:v>11.930870549305967</c:v>
                </c:pt>
                <c:pt idx="9">
                  <c:v>13.188655042797336</c:v>
                </c:pt>
                <c:pt idx="10">
                  <c:v>4.9855092803901941</c:v>
                </c:pt>
                <c:pt idx="11">
                  <c:v>12.10161536568417</c:v>
                </c:pt>
                <c:pt idx="12">
                  <c:v>10.517284281383033</c:v>
                </c:pt>
                <c:pt idx="13">
                  <c:v>10.886420229423024</c:v>
                </c:pt>
                <c:pt idx="14">
                  <c:v>12.670485604640799</c:v>
                </c:pt>
                <c:pt idx="15">
                  <c:v>13.398877345369062</c:v>
                </c:pt>
                <c:pt idx="16">
                  <c:v>27.09407820085551</c:v>
                </c:pt>
                <c:pt idx="17">
                  <c:v>25.991496850991819</c:v>
                </c:pt>
                <c:pt idx="18">
                  <c:v>18.343618565799346</c:v>
                </c:pt>
                <c:pt idx="19">
                  <c:v>5.1157709863544625</c:v>
                </c:pt>
                <c:pt idx="20">
                  <c:v>12.298373608487628</c:v>
                </c:pt>
                <c:pt idx="21">
                  <c:v>1.3690886306053058</c:v>
                </c:pt>
                <c:pt idx="22">
                  <c:v>1.4888694853435858</c:v>
                </c:pt>
                <c:pt idx="23">
                  <c:v>8.0662920430795459</c:v>
                </c:pt>
                <c:pt idx="24">
                  <c:v>26.066801742868041</c:v>
                </c:pt>
                <c:pt idx="25">
                  <c:v>18.57294319061166</c:v>
                </c:pt>
                <c:pt idx="26">
                  <c:v>9.333132881244266</c:v>
                </c:pt>
                <c:pt idx="27">
                  <c:v>2.7169917331228786</c:v>
                </c:pt>
                <c:pt idx="28">
                  <c:v>10.016215665840154</c:v>
                </c:pt>
                <c:pt idx="29">
                  <c:v>10.016215665840154</c:v>
                </c:pt>
                <c:pt idx="30">
                  <c:v>8.7743417439674847</c:v>
                </c:pt>
                <c:pt idx="31">
                  <c:v>1.3186924965575866</c:v>
                </c:pt>
                <c:pt idx="32">
                  <c:v>3.9298907002573458</c:v>
                </c:pt>
                <c:pt idx="33">
                  <c:v>9.4518317917809913</c:v>
                </c:pt>
                <c:pt idx="34">
                  <c:v>3.9906859514686492</c:v>
                </c:pt>
                <c:pt idx="35">
                  <c:v>4.3510169823836629</c:v>
                </c:pt>
                <c:pt idx="36">
                  <c:v>1.642404384448743</c:v>
                </c:pt>
                <c:pt idx="37">
                  <c:v>8.4060128025355159</c:v>
                </c:pt>
                <c:pt idx="38">
                  <c:v>7.1881904969635464</c:v>
                </c:pt>
                <c:pt idx="39">
                  <c:v>5.6486561103130457</c:v>
                </c:pt>
                <c:pt idx="40">
                  <c:v>5.7513699559548437</c:v>
                </c:pt>
                <c:pt idx="41">
                  <c:v>8.3033716137111089</c:v>
                </c:pt>
                <c:pt idx="42">
                  <c:v>8.8127644564564616</c:v>
                </c:pt>
                <c:pt idx="43">
                  <c:v>6.3537242228614605</c:v>
                </c:pt>
                <c:pt idx="44">
                  <c:v>9.7152998597583728</c:v>
                </c:pt>
                <c:pt idx="45">
                  <c:v>1.7491708438804068</c:v>
                </c:pt>
                <c:pt idx="46">
                  <c:v>1.158216621904449</c:v>
                </c:pt>
                <c:pt idx="47">
                  <c:v>7.5124014684959519</c:v>
                </c:pt>
                <c:pt idx="48">
                  <c:v>3.890010167331722</c:v>
                </c:pt>
                <c:pt idx="49">
                  <c:v>3.876897590859322</c:v>
                </c:pt>
                <c:pt idx="50">
                  <c:v>4.288521229145263</c:v>
                </c:pt>
                <c:pt idx="51">
                  <c:v>3.4362169454347113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44-4DEF-907E-887B4E0E9D0B}"/>
            </c:ext>
          </c:extLst>
        </c:ser>
        <c:ser>
          <c:idx val="12"/>
          <c:order val="12"/>
          <c:tx>
            <c:strRef>
              <c:f>'Tar fractions'!$CX$4</c:f>
              <c:strCache>
                <c:ptCount val="1"/>
                <c:pt idx="0">
                  <c:v>Indene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fractions'!$CX$5:$CX$56</c:f>
              <c:numCache>
                <c:formatCode>0.0</c:formatCode>
                <c:ptCount val="52"/>
                <c:pt idx="0">
                  <c:v>0.84646505723553933</c:v>
                </c:pt>
                <c:pt idx="1">
                  <c:v>2.7849642577463581E-2</c:v>
                </c:pt>
                <c:pt idx="2">
                  <c:v>0.140188953776331</c:v>
                </c:pt>
                <c:pt idx="3">
                  <c:v>1.8877119222990533</c:v>
                </c:pt>
                <c:pt idx="4">
                  <c:v>11.118421297390803</c:v>
                </c:pt>
                <c:pt idx="5">
                  <c:v>9.7470570990036602</c:v>
                </c:pt>
                <c:pt idx="6">
                  <c:v>3.3910570063148911E-2</c:v>
                </c:pt>
                <c:pt idx="7">
                  <c:v>0.21241806607998986</c:v>
                </c:pt>
                <c:pt idx="8">
                  <c:v>0.50307880714504627</c:v>
                </c:pt>
                <c:pt idx="9">
                  <c:v>8.8948796400035765E-2</c:v>
                </c:pt>
                <c:pt idx="10">
                  <c:v>7.5728774311250273</c:v>
                </c:pt>
                <c:pt idx="11">
                  <c:v>0.36281003217467012</c:v>
                </c:pt>
                <c:pt idx="12">
                  <c:v>3.0079863238812696</c:v>
                </c:pt>
                <c:pt idx="13">
                  <c:v>1.3111801858466985</c:v>
                </c:pt>
                <c:pt idx="14">
                  <c:v>0.32890815205373886</c:v>
                </c:pt>
                <c:pt idx="15">
                  <c:v>0.96421701400178694</c:v>
                </c:pt>
                <c:pt idx="16">
                  <c:v>0.88279955975643831</c:v>
                </c:pt>
                <c:pt idx="17">
                  <c:v>0.52771032502601556</c:v>
                </c:pt>
                <c:pt idx="18">
                  <c:v>2.671239205831454</c:v>
                </c:pt>
                <c:pt idx="19">
                  <c:v>14.654280411690756</c:v>
                </c:pt>
                <c:pt idx="20">
                  <c:v>22.229291335768426</c:v>
                </c:pt>
                <c:pt idx="21">
                  <c:v>14.214646715532236</c:v>
                </c:pt>
                <c:pt idx="22">
                  <c:v>13.016372175023735</c:v>
                </c:pt>
                <c:pt idx="23">
                  <c:v>3.8957646601752161</c:v>
                </c:pt>
                <c:pt idx="24">
                  <c:v>1.0999306571648657</c:v>
                </c:pt>
                <c:pt idx="25">
                  <c:v>0.38890134313508473</c:v>
                </c:pt>
                <c:pt idx="26">
                  <c:v>3.1548765754436667</c:v>
                </c:pt>
                <c:pt idx="27">
                  <c:v>13.059378472463285</c:v>
                </c:pt>
                <c:pt idx="28">
                  <c:v>2.3205201005641292</c:v>
                </c:pt>
                <c:pt idx="29">
                  <c:v>2.3205201005641292</c:v>
                </c:pt>
                <c:pt idx="30">
                  <c:v>4.2981402862933571</c:v>
                </c:pt>
                <c:pt idx="31">
                  <c:v>10.935208687989157</c:v>
                </c:pt>
                <c:pt idx="32">
                  <c:v>9.8321452100312694</c:v>
                </c:pt>
                <c:pt idx="33">
                  <c:v>1.9987731249317175</c:v>
                </c:pt>
                <c:pt idx="34">
                  <c:v>9.0841485478980282</c:v>
                </c:pt>
                <c:pt idx="35">
                  <c:v>7.9296716809628975</c:v>
                </c:pt>
                <c:pt idx="36">
                  <c:v>7.3627397133996189</c:v>
                </c:pt>
                <c:pt idx="37">
                  <c:v>1.3767417238886743</c:v>
                </c:pt>
                <c:pt idx="38">
                  <c:v>3.882527170912943</c:v>
                </c:pt>
                <c:pt idx="39">
                  <c:v>4.2110100373687818</c:v>
                </c:pt>
                <c:pt idx="40">
                  <c:v>4.858832206511317</c:v>
                </c:pt>
                <c:pt idx="41">
                  <c:v>1.4134901643572415</c:v>
                </c:pt>
                <c:pt idx="42">
                  <c:v>1.5795967593201306</c:v>
                </c:pt>
                <c:pt idx="43">
                  <c:v>6.8738579864817071</c:v>
                </c:pt>
                <c:pt idx="44">
                  <c:v>2.4943289026441442</c:v>
                </c:pt>
                <c:pt idx="45">
                  <c:v>4.2598090332838954</c:v>
                </c:pt>
                <c:pt idx="46">
                  <c:v>8.0616877952409336</c:v>
                </c:pt>
                <c:pt idx="47">
                  <c:v>4.7211249976653944</c:v>
                </c:pt>
                <c:pt idx="48">
                  <c:v>6.3788080333236286</c:v>
                </c:pt>
                <c:pt idx="49">
                  <c:v>4.0921834854045898</c:v>
                </c:pt>
                <c:pt idx="50">
                  <c:v>3.6445936989541377</c:v>
                </c:pt>
                <c:pt idx="51">
                  <c:v>8.2257447894283988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44-4DEF-907E-887B4E0E9D0B}"/>
            </c:ext>
          </c:extLst>
        </c:ser>
        <c:ser>
          <c:idx val="13"/>
          <c:order val="13"/>
          <c:tx>
            <c:strRef>
              <c:f>'Tar fractions'!$CY$4</c:f>
              <c:strCache>
                <c:ptCount val="1"/>
                <c:pt idx="0">
                  <c:v>Naphthalene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fractions'!$CY$5:$CY$56</c:f>
              <c:numCache>
                <c:formatCode>0.0</c:formatCode>
                <c:ptCount val="52"/>
                <c:pt idx="0">
                  <c:v>41.601349315077201</c:v>
                </c:pt>
                <c:pt idx="1">
                  <c:v>63.059829073432127</c:v>
                </c:pt>
                <c:pt idx="2">
                  <c:v>51.795341109502466</c:v>
                </c:pt>
                <c:pt idx="3">
                  <c:v>54.230516406506837</c:v>
                </c:pt>
                <c:pt idx="4">
                  <c:v>56.232479145323076</c:v>
                </c:pt>
                <c:pt idx="5">
                  <c:v>74.028889217608807</c:v>
                </c:pt>
                <c:pt idx="6">
                  <c:v>64.8494685547237</c:v>
                </c:pt>
                <c:pt idx="7">
                  <c:v>59.793933328255669</c:v>
                </c:pt>
                <c:pt idx="8">
                  <c:v>54.033894622264789</c:v>
                </c:pt>
                <c:pt idx="9">
                  <c:v>67.148378862261424</c:v>
                </c:pt>
                <c:pt idx="10">
                  <c:v>36.625181012678979</c:v>
                </c:pt>
                <c:pt idx="11">
                  <c:v>45.541654853264937</c:v>
                </c:pt>
                <c:pt idx="12">
                  <c:v>44.917821937123776</c:v>
                </c:pt>
                <c:pt idx="13">
                  <c:v>46.638679336201491</c:v>
                </c:pt>
                <c:pt idx="14">
                  <c:v>43.135427243713487</c:v>
                </c:pt>
                <c:pt idx="15">
                  <c:v>32.445213234079553</c:v>
                </c:pt>
                <c:pt idx="16">
                  <c:v>47.697582761692026</c:v>
                </c:pt>
                <c:pt idx="17">
                  <c:v>51.717139387406661</c:v>
                </c:pt>
                <c:pt idx="18">
                  <c:v>18.598934161420235</c:v>
                </c:pt>
                <c:pt idx="19">
                  <c:v>37.663341288310129</c:v>
                </c:pt>
                <c:pt idx="20">
                  <c:v>8.9987897257578595</c:v>
                </c:pt>
                <c:pt idx="21">
                  <c:v>44.498954582833605</c:v>
                </c:pt>
                <c:pt idx="22">
                  <c:v>4.6124321834533921</c:v>
                </c:pt>
                <c:pt idx="23">
                  <c:v>32.404082405748078</c:v>
                </c:pt>
                <c:pt idx="24">
                  <c:v>3.465545155771049</c:v>
                </c:pt>
                <c:pt idx="25">
                  <c:v>51.645732503173527</c:v>
                </c:pt>
                <c:pt idx="26">
                  <c:v>52.885795744911455</c:v>
                </c:pt>
                <c:pt idx="27">
                  <c:v>5.7614088724429191</c:v>
                </c:pt>
                <c:pt idx="28">
                  <c:v>56.827536402990575</c:v>
                </c:pt>
                <c:pt idx="29">
                  <c:v>56.827536402990575</c:v>
                </c:pt>
                <c:pt idx="30">
                  <c:v>56.149189935112986</c:v>
                </c:pt>
                <c:pt idx="31">
                  <c:v>10.737780783104078</c:v>
                </c:pt>
                <c:pt idx="32">
                  <c:v>43.267137639324474</c:v>
                </c:pt>
                <c:pt idx="33">
                  <c:v>63.695820684698866</c:v>
                </c:pt>
                <c:pt idx="34">
                  <c:v>48.225739998468555</c:v>
                </c:pt>
                <c:pt idx="35">
                  <c:v>47.384255119008557</c:v>
                </c:pt>
                <c:pt idx="36">
                  <c:v>54.866298430125894</c:v>
                </c:pt>
                <c:pt idx="37">
                  <c:v>48.363621119034441</c:v>
                </c:pt>
                <c:pt idx="38">
                  <c:v>46.288301506787725</c:v>
                </c:pt>
                <c:pt idx="39">
                  <c:v>52.263682029592829</c:v>
                </c:pt>
                <c:pt idx="40">
                  <c:v>49.402970026130063</c:v>
                </c:pt>
                <c:pt idx="41">
                  <c:v>45.001089333990087</c:v>
                </c:pt>
                <c:pt idx="42">
                  <c:v>40.611064130594137</c:v>
                </c:pt>
                <c:pt idx="43">
                  <c:v>42.618270944070161</c:v>
                </c:pt>
                <c:pt idx="44">
                  <c:v>46.545370304506811</c:v>
                </c:pt>
                <c:pt idx="45">
                  <c:v>23.94748007791955</c:v>
                </c:pt>
                <c:pt idx="46">
                  <c:v>39.332033786601542</c:v>
                </c:pt>
                <c:pt idx="47">
                  <c:v>35.832882879787078</c:v>
                </c:pt>
                <c:pt idx="48">
                  <c:v>28.989647053932238</c:v>
                </c:pt>
                <c:pt idx="49">
                  <c:v>36.032407811942406</c:v>
                </c:pt>
                <c:pt idx="50">
                  <c:v>36.231131803562526</c:v>
                </c:pt>
                <c:pt idx="51">
                  <c:v>20.473215771230986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44-4DEF-907E-887B4E0E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796976"/>
        <c:axId val="893797304"/>
      </c:barChart>
      <c:lineChart>
        <c:grouping val="standard"/>
        <c:varyColors val="0"/>
        <c:ser>
          <c:idx val="14"/>
          <c:order val="14"/>
          <c:tx>
            <c:strRef>
              <c:f>'Tar fractions'!$CZ$4</c:f>
              <c:strCache>
                <c:ptCount val="1"/>
                <c:pt idx="0">
                  <c:v>Total tar aromatics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'Tar fractions'!$S$5:$S$56</c:f>
              <c:strCache>
                <c:ptCount val="22"/>
                <c:pt idx="0">
                  <c:v>B 12</c:v>
                </c:pt>
                <c:pt idx="1">
                  <c:v>B 15,5</c:v>
                </c:pt>
                <c:pt idx="2">
                  <c:v>B 17</c:v>
                </c:pt>
                <c:pt idx="3">
                  <c:v>B 19</c:v>
                </c:pt>
                <c:pt idx="4">
                  <c:v>B 20,5</c:v>
                </c:pt>
                <c:pt idx="5">
                  <c:v>B 28</c:v>
                </c:pt>
                <c:pt idx="6">
                  <c:v>B 31</c:v>
                </c:pt>
                <c:pt idx="7">
                  <c:v>B 45</c:v>
                </c:pt>
                <c:pt idx="8">
                  <c:v>B 64</c:v>
                </c:pt>
                <c:pt idx="9">
                  <c:v>B2 7</c:v>
                </c:pt>
                <c:pt idx="10">
                  <c:v>B2 10,5</c:v>
                </c:pt>
                <c:pt idx="11">
                  <c:v>B2 14</c:v>
                </c:pt>
                <c:pt idx="12">
                  <c:v>B2 15,5</c:v>
                </c:pt>
                <c:pt idx="13">
                  <c:v>B2 20</c:v>
                </c:pt>
                <c:pt idx="14">
                  <c:v>B2 43</c:v>
                </c:pt>
                <c:pt idx="15">
                  <c:v>B2 65</c:v>
                </c:pt>
                <c:pt idx="16">
                  <c:v>C 15,5</c:v>
                </c:pt>
                <c:pt idx="17">
                  <c:v>C 19</c:v>
                </c:pt>
                <c:pt idx="18">
                  <c:v>C 26</c:v>
                </c:pt>
                <c:pt idx="19">
                  <c:v>C 39</c:v>
                </c:pt>
                <c:pt idx="20">
                  <c:v>C 46</c:v>
                </c:pt>
                <c:pt idx="21">
                  <c:v>average</c:v>
                </c:pt>
              </c:strCache>
            </c:strRef>
          </c:cat>
          <c:val>
            <c:numRef>
              <c:f>'Tar fractions'!$CZ$5:$CZ$56</c:f>
              <c:numCache>
                <c:formatCode>0</c:formatCode>
                <c:ptCount val="52"/>
                <c:pt idx="0">
                  <c:v>13644.107807809884</c:v>
                </c:pt>
                <c:pt idx="1">
                  <c:v>12092.753769476491</c:v>
                </c:pt>
                <c:pt idx="2">
                  <c:v>10445.299637632412</c:v>
                </c:pt>
                <c:pt idx="3">
                  <c:v>10296.619441004364</c:v>
                </c:pt>
                <c:pt idx="4">
                  <c:v>10123.158243273032</c:v>
                </c:pt>
                <c:pt idx="5">
                  <c:v>9683.2077668474703</c:v>
                </c:pt>
                <c:pt idx="6">
                  <c:v>9673.0263442075884</c:v>
                </c:pt>
                <c:pt idx="7">
                  <c:v>9456.6874048596765</c:v>
                </c:pt>
                <c:pt idx="8">
                  <c:v>8878.3692042921448</c:v>
                </c:pt>
                <c:pt idx="9">
                  <c:v>8733.5485876714192</c:v>
                </c:pt>
                <c:pt idx="10">
                  <c:v>8523.4388136869402</c:v>
                </c:pt>
                <c:pt idx="11">
                  <c:v>8517.7206461662863</c:v>
                </c:pt>
                <c:pt idx="12">
                  <c:v>8464.6548365281978</c:v>
                </c:pt>
                <c:pt idx="13">
                  <c:v>7756.1329104635161</c:v>
                </c:pt>
                <c:pt idx="14">
                  <c:v>6823.0379880820947</c:v>
                </c:pt>
                <c:pt idx="15">
                  <c:v>6072.2362002911341</c:v>
                </c:pt>
                <c:pt idx="16">
                  <c:v>4627.6082418081851</c:v>
                </c:pt>
                <c:pt idx="17">
                  <c:v>4391.855486575274</c:v>
                </c:pt>
                <c:pt idx="18">
                  <c:v>3363.7875359597292</c:v>
                </c:pt>
                <c:pt idx="19">
                  <c:v>1976.9096035899397</c:v>
                </c:pt>
                <c:pt idx="20">
                  <c:v>1946.5845817780255</c:v>
                </c:pt>
                <c:pt idx="21">
                  <c:v>1329.6081408206694</c:v>
                </c:pt>
                <c:pt idx="22">
                  <c:v>999.98649397170402</c:v>
                </c:pt>
                <c:pt idx="23">
                  <c:v>707.26364243081412</c:v>
                </c:pt>
                <c:pt idx="24">
                  <c:v>606.99112448763299</c:v>
                </c:pt>
                <c:pt idx="25">
                  <c:v>563.18591952990619</c:v>
                </c:pt>
                <c:pt idx="26">
                  <c:v>305.70133444855048</c:v>
                </c:pt>
                <c:pt idx="27">
                  <c:v>205.01316083293236</c:v>
                </c:pt>
                <c:pt idx="28">
                  <c:v>120.82128078730307</c:v>
                </c:pt>
                <c:pt idx="29">
                  <c:v>120.82128078730307</c:v>
                </c:pt>
                <c:pt idx="30">
                  <c:v>67.39807390416118</c:v>
                </c:pt>
                <c:pt idx="31">
                  <c:v>57.927176990748904</c:v>
                </c:pt>
                <c:pt idx="32">
                  <c:v>55.968238221817558</c:v>
                </c:pt>
                <c:pt idx="33">
                  <c:v>45.973514723287913</c:v>
                </c:pt>
                <c:pt idx="34">
                  <c:v>40.869824758328221</c:v>
                </c:pt>
                <c:pt idx="35">
                  <c:v>33.438457743231837</c:v>
                </c:pt>
                <c:pt idx="36">
                  <c:v>28.481094482810178</c:v>
                </c:pt>
                <c:pt idx="37">
                  <c:v>26.832977956535146</c:v>
                </c:pt>
                <c:pt idx="38">
                  <c:v>26.329635294249172</c:v>
                </c:pt>
                <c:pt idx="39">
                  <c:v>24.769927925219562</c:v>
                </c:pt>
                <c:pt idx="40">
                  <c:v>23.911461335810994</c:v>
                </c:pt>
                <c:pt idx="41">
                  <c:v>22.031508881945314</c:v>
                </c:pt>
                <c:pt idx="42">
                  <c:v>20.209450758932476</c:v>
                </c:pt>
                <c:pt idx="43">
                  <c:v>19.78754889643178</c:v>
                </c:pt>
                <c:pt idx="44">
                  <c:v>18.393809061085197</c:v>
                </c:pt>
                <c:pt idx="45">
                  <c:v>17.087316174681867</c:v>
                </c:pt>
                <c:pt idx="46">
                  <c:v>15.542800365841039</c:v>
                </c:pt>
                <c:pt idx="47">
                  <c:v>15.096293918921351</c:v>
                </c:pt>
                <c:pt idx="48">
                  <c:v>12.682668307534325</c:v>
                </c:pt>
                <c:pt idx="49">
                  <c:v>11.906494760485327</c:v>
                </c:pt>
                <c:pt idx="50">
                  <c:v>11.832230751683369</c:v>
                </c:pt>
                <c:pt idx="51">
                  <c:v>10.352138260080199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44-4DEF-907E-887B4E0E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72112"/>
        <c:axId val="904778016"/>
      </c:lineChart>
      <c:catAx>
        <c:axId val="8937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7304"/>
        <c:crosses val="autoZero"/>
        <c:auto val="1"/>
        <c:lblAlgn val="ctr"/>
        <c:lblOffset val="100"/>
        <c:noMultiLvlLbl val="0"/>
      </c:catAx>
      <c:valAx>
        <c:axId val="8937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Portion individual compounds</a:t>
                </a:r>
                <a:endParaRPr lang="nl-N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6976"/>
        <c:crosses val="autoZero"/>
        <c:crossBetween val="between"/>
      </c:valAx>
      <c:valAx>
        <c:axId val="904778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</a:t>
                </a:r>
                <a:r>
                  <a:rPr lang="nl-NL" baseline="0"/>
                  <a:t> aromates (ug/L)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2112"/>
        <c:crosses val="max"/>
        <c:crossBetween val="between"/>
      </c:valAx>
      <c:catAx>
        <c:axId val="90477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47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3536337634247861E-2"/>
          <c:y val="1.9357020283005597E-2"/>
          <c:w val="0.88662982331148021"/>
          <c:h val="0.747032398482424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'Tar fractions'!$AK$4</c:f>
              <c:strCache>
                <c:ptCount val="1"/>
                <c:pt idx="0">
                  <c:v>Benzene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rgbClr val="E2C5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fractions'!$AK$5:$AK$26</c:f>
              <c:numCache>
                <c:formatCode>0.0</c:formatCode>
                <c:ptCount val="22"/>
                <c:pt idx="0" formatCode="General">
                  <c:v>15.34</c:v>
                </c:pt>
                <c:pt idx="1">
                  <c:v>18.3452432102847</c:v>
                </c:pt>
                <c:pt idx="2">
                  <c:v>4.3783799420043135</c:v>
                </c:pt>
                <c:pt idx="3">
                  <c:v>1.7164502414633127</c:v>
                </c:pt>
                <c:pt idx="4">
                  <c:v>3.8851899260581821</c:v>
                </c:pt>
                <c:pt idx="5">
                  <c:v>2.1786347591830078</c:v>
                </c:pt>
                <c:pt idx="6">
                  <c:v>2.1265225044053389</c:v>
                </c:pt>
                <c:pt idx="7">
                  <c:v>3.4339389076231588</c:v>
                </c:pt>
                <c:pt idx="8">
                  <c:v>23.793522145682608</c:v>
                </c:pt>
                <c:pt idx="9">
                  <c:v>10.016724678973283</c:v>
                </c:pt>
                <c:pt idx="10">
                  <c:v>20.659310739679505</c:v>
                </c:pt>
                <c:pt idx="11">
                  <c:v>5.6853893414418426</c:v>
                </c:pt>
                <c:pt idx="12">
                  <c:v>6.5201680346172974</c:v>
                </c:pt>
                <c:pt idx="13">
                  <c:v>2.5399317906734131</c:v>
                </c:pt>
                <c:pt idx="14">
                  <c:v>27.357859467594377</c:v>
                </c:pt>
                <c:pt idx="15">
                  <c:v>25.515695936290417</c:v>
                </c:pt>
                <c:pt idx="16">
                  <c:v>13.150163641922488</c:v>
                </c:pt>
                <c:pt idx="17">
                  <c:v>3.7055950725639932</c:v>
                </c:pt>
                <c:pt idx="18">
                  <c:v>16.310923728375219</c:v>
                </c:pt>
                <c:pt idx="19">
                  <c:v>20.880582653163817</c:v>
                </c:pt>
                <c:pt idx="20">
                  <c:v>21.261441768115709</c:v>
                </c:pt>
                <c:pt idx="21">
                  <c:v>22.311872677443503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338-957E-F6FC415DA134}"/>
            </c:ext>
          </c:extLst>
        </c:ser>
        <c:ser>
          <c:idx val="1"/>
          <c:order val="1"/>
          <c:tx>
            <c:strRef>
              <c:f>'Tar fractions'!$AL$4</c:f>
              <c:strCache>
                <c:ptCount val="1"/>
                <c:pt idx="0">
                  <c:v>Toluene</c:v>
                </c:pt>
              </c:strCache>
            </c:strRef>
          </c:tx>
          <c:spPr>
            <a:pattFill prst="ltVert">
              <a:fgClr>
                <a:sysClr val="windowText" lastClr="000000"/>
              </a:fgClr>
              <a:bgClr>
                <a:sysClr val="window" lastClr="FFFFFF">
                  <a:lumMod val="85000"/>
                </a:sys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fractions'!$AL$5:$AL$26</c:f>
              <c:numCache>
                <c:formatCode>0.0</c:formatCode>
                <c:ptCount val="22"/>
                <c:pt idx="0" formatCode="General">
                  <c:v>7.35</c:v>
                </c:pt>
                <c:pt idx="1">
                  <c:v>3.6724400671071411</c:v>
                </c:pt>
                <c:pt idx="2">
                  <c:v>4.3488384894133925E-2</c:v>
                </c:pt>
                <c:pt idx="3">
                  <c:v>6.6337772711013057E-2</c:v>
                </c:pt>
                <c:pt idx="4">
                  <c:v>0.20936706435368346</c:v>
                </c:pt>
                <c:pt idx="5">
                  <c:v>0.24615969680435429</c:v>
                </c:pt>
                <c:pt idx="6">
                  <c:v>6.9627051717975078E-2</c:v>
                </c:pt>
                <c:pt idx="7">
                  <c:v>0.30446154051080992</c:v>
                </c:pt>
                <c:pt idx="8">
                  <c:v>5.4220058865127578</c:v>
                </c:pt>
                <c:pt idx="9">
                  <c:v>0.20452586989375332</c:v>
                </c:pt>
                <c:pt idx="10">
                  <c:v>0.15774959771642655</c:v>
                </c:pt>
                <c:pt idx="11">
                  <c:v>4.0924727389973457E-2</c:v>
                </c:pt>
                <c:pt idx="12">
                  <c:v>0.12894935937252902</c:v>
                </c:pt>
                <c:pt idx="13">
                  <c:v>0.32882291078655002</c:v>
                </c:pt>
                <c:pt idx="14">
                  <c:v>0.14969296330192003</c:v>
                </c:pt>
                <c:pt idx="15">
                  <c:v>0.24828643030430528</c:v>
                </c:pt>
                <c:pt idx="16">
                  <c:v>0.5127827432894716</c:v>
                </c:pt>
                <c:pt idx="17">
                  <c:v>1.1253577615293762</c:v>
                </c:pt>
                <c:pt idx="18">
                  <c:v>3.6703106547987598</c:v>
                </c:pt>
                <c:pt idx="19">
                  <c:v>0.86403559393498697</c:v>
                </c:pt>
                <c:pt idx="20">
                  <c:v>2.3815582266486937</c:v>
                </c:pt>
                <c:pt idx="21">
                  <c:v>1.2743568810071055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0-4338-957E-F6FC415DA134}"/>
            </c:ext>
          </c:extLst>
        </c:ser>
        <c:ser>
          <c:idx val="2"/>
          <c:order val="2"/>
          <c:tx>
            <c:strRef>
              <c:f>'Tar fractions'!$AM$4</c:f>
              <c:strCache>
                <c:ptCount val="1"/>
                <c:pt idx="0">
                  <c:v>Ethylbenzene</c:v>
                </c:pt>
              </c:strCache>
            </c:strRef>
          </c:tx>
          <c:spPr>
            <a:pattFill prst="dashVert">
              <a:fgClr>
                <a:sysClr val="windowText" lastClr="000000"/>
              </a:fgClr>
              <a:bgClr>
                <a:srgbClr val="4472C4">
                  <a:lumMod val="40000"/>
                  <a:lumOff val="6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fractions'!$AM$5:$AM$26</c:f>
              <c:numCache>
                <c:formatCode>0.0</c:formatCode>
                <c:ptCount val="22"/>
                <c:pt idx="0" formatCode="General">
                  <c:v>9.6999999999999993</c:v>
                </c:pt>
                <c:pt idx="1">
                  <c:v>10.480445527372716</c:v>
                </c:pt>
                <c:pt idx="2">
                  <c:v>9.408797426754786</c:v>
                </c:pt>
                <c:pt idx="3">
                  <c:v>16.176371429988702</c:v>
                </c:pt>
                <c:pt idx="4">
                  <c:v>13.937127283468701</c:v>
                </c:pt>
                <c:pt idx="5">
                  <c:v>8.8512043645470833</c:v>
                </c:pt>
                <c:pt idx="6">
                  <c:v>2.4488549636337367</c:v>
                </c:pt>
                <c:pt idx="7">
                  <c:v>14.86800089621036</c:v>
                </c:pt>
                <c:pt idx="8">
                  <c:v>8.9745403430059643</c:v>
                </c:pt>
                <c:pt idx="9">
                  <c:v>15.103427809860722</c:v>
                </c:pt>
                <c:pt idx="10">
                  <c:v>19.792075382071527</c:v>
                </c:pt>
                <c:pt idx="11">
                  <c:v>5.8215781977700036</c:v>
                </c:pt>
                <c:pt idx="12">
                  <c:v>32.15995677471836</c:v>
                </c:pt>
                <c:pt idx="13">
                  <c:v>14.76463007237308</c:v>
                </c:pt>
                <c:pt idx="14">
                  <c:v>9.4927777114686247</c:v>
                </c:pt>
                <c:pt idx="15">
                  <c:v>11.025683360482226</c:v>
                </c:pt>
                <c:pt idx="16">
                  <c:v>23.33888309569079</c:v>
                </c:pt>
                <c:pt idx="17">
                  <c:v>11.52466184780732</c:v>
                </c:pt>
                <c:pt idx="18">
                  <c:v>5.4201249747159199</c:v>
                </c:pt>
                <c:pt idx="19">
                  <c:v>8.4954273517066614</c:v>
                </c:pt>
                <c:pt idx="20">
                  <c:v>3.8234677058910718</c:v>
                </c:pt>
                <c:pt idx="21">
                  <c:v>9.0669959176722159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0-4338-957E-F6FC415DA134}"/>
            </c:ext>
          </c:extLst>
        </c:ser>
        <c:ser>
          <c:idx val="3"/>
          <c:order val="3"/>
          <c:tx>
            <c:strRef>
              <c:f>'Tar fractions'!$AN$4</c:f>
              <c:strCache>
                <c:ptCount val="1"/>
                <c:pt idx="0">
                  <c:v>p/m-Xylene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rgbClr val="70AD47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fractions'!$AN$5:$AN$26</c:f>
              <c:numCache>
                <c:formatCode>0.0</c:formatCode>
                <c:ptCount val="22"/>
                <c:pt idx="0" formatCode="General">
                  <c:v>17.350000000000001</c:v>
                </c:pt>
                <c:pt idx="1">
                  <c:v>7.753391767139675</c:v>
                </c:pt>
                <c:pt idx="2">
                  <c:v>3.7628845591812876</c:v>
                </c:pt>
                <c:pt idx="3">
                  <c:v>7.1930694530135089</c:v>
                </c:pt>
                <c:pt idx="4">
                  <c:v>5.6833755953986502</c:v>
                </c:pt>
                <c:pt idx="5">
                  <c:v>5.1625188248241045</c:v>
                </c:pt>
                <c:pt idx="6">
                  <c:v>2.3824969805706009</c:v>
                </c:pt>
                <c:pt idx="7">
                  <c:v>6.2156407782039995</c:v>
                </c:pt>
                <c:pt idx="8">
                  <c:v>6.8566639237902463</c:v>
                </c:pt>
                <c:pt idx="9">
                  <c:v>6.2027946526448838</c:v>
                </c:pt>
                <c:pt idx="10">
                  <c:v>1.3077748294124438</c:v>
                </c:pt>
                <c:pt idx="11">
                  <c:v>0.29400523088463748</c:v>
                </c:pt>
                <c:pt idx="12">
                  <c:v>3.1380927058646231</c:v>
                </c:pt>
                <c:pt idx="13">
                  <c:v>1.9294829872592467</c:v>
                </c:pt>
                <c:pt idx="14">
                  <c:v>1.4030724729502395</c:v>
                </c:pt>
                <c:pt idx="15">
                  <c:v>14.095168263066526</c:v>
                </c:pt>
                <c:pt idx="16">
                  <c:v>29.365709602403307</c:v>
                </c:pt>
                <c:pt idx="17">
                  <c:v>6.5157256846898841</c:v>
                </c:pt>
                <c:pt idx="18">
                  <c:v>4.3466637022514512</c:v>
                </c:pt>
                <c:pt idx="19">
                  <c:v>3.5823335693653231</c:v>
                </c:pt>
                <c:pt idx="20">
                  <c:v>2.9713059052061666</c:v>
                </c:pt>
                <c:pt idx="21">
                  <c:v>4.5098625447604412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0-4338-957E-F6FC415DA134}"/>
            </c:ext>
          </c:extLst>
        </c:ser>
        <c:ser>
          <c:idx val="4"/>
          <c:order val="4"/>
          <c:tx>
            <c:strRef>
              <c:f>'Tar fractions'!$AO$4</c:f>
              <c:strCache>
                <c:ptCount val="1"/>
                <c:pt idx="0">
                  <c:v>o-Xylene</c:v>
                </c:pt>
              </c:strCache>
            </c:strRef>
          </c:tx>
          <c:spPr>
            <a:pattFill prst="dkVert">
              <a:fgClr>
                <a:sysClr val="windowText" lastClr="000000"/>
              </a:fgClr>
              <a:bgClr>
                <a:srgbClr val="FFC000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fractions'!$AO$5:$AO$26</c:f>
              <c:numCache>
                <c:formatCode>0.0</c:formatCode>
                <c:ptCount val="22"/>
                <c:pt idx="0" formatCode="General">
                  <c:v>7.84</c:v>
                </c:pt>
                <c:pt idx="1">
                  <c:v>3.7077907627566296</c:v>
                </c:pt>
                <c:pt idx="2">
                  <c:v>2.7905360171822107</c:v>
                </c:pt>
                <c:pt idx="3">
                  <c:v>2.4230862351921409</c:v>
                </c:pt>
                <c:pt idx="4">
                  <c:v>3.8731120067339511</c:v>
                </c:pt>
                <c:pt idx="5">
                  <c:v>3.2011166599218606</c:v>
                </c:pt>
                <c:pt idx="6">
                  <c:v>1.0730766218865682</c:v>
                </c:pt>
                <c:pt idx="7">
                  <c:v>4.9228910351392114</c:v>
                </c:pt>
                <c:pt idx="8">
                  <c:v>3.227961155084782</c:v>
                </c:pt>
                <c:pt idx="9">
                  <c:v>2.5135058657619691</c:v>
                </c:pt>
                <c:pt idx="10">
                  <c:v>1.0051387196626795</c:v>
                </c:pt>
                <c:pt idx="11">
                  <c:v>1.1062114425183367</c:v>
                </c:pt>
                <c:pt idx="12">
                  <c:v>2.3061416715184748</c:v>
                </c:pt>
                <c:pt idx="13">
                  <c:v>3.6376746724443332</c:v>
                </c:pt>
                <c:pt idx="14">
                  <c:v>1.1138826352266344</c:v>
                </c:pt>
                <c:pt idx="15">
                  <c:v>0.31885773134489087</c:v>
                </c:pt>
                <c:pt idx="16">
                  <c:v>1.3626688381650562</c:v>
                </c:pt>
                <c:pt idx="17">
                  <c:v>3.9578271506378582</c:v>
                </c:pt>
                <c:pt idx="18">
                  <c:v>5.3335200922954957</c:v>
                </c:pt>
                <c:pt idx="19">
                  <c:v>1.7762418302005951</c:v>
                </c:pt>
                <c:pt idx="20">
                  <c:v>2.945183222442989</c:v>
                </c:pt>
                <c:pt idx="21">
                  <c:v>1.8769033953270891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0-4338-957E-F6FC415DA134}"/>
            </c:ext>
          </c:extLst>
        </c:ser>
        <c:ser>
          <c:idx val="5"/>
          <c:order val="5"/>
          <c:tx>
            <c:strRef>
              <c:f>'Tar fractions'!$AP$4</c:f>
              <c:strCache>
                <c:ptCount val="1"/>
                <c:pt idx="0">
                  <c:v>Cumene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fractions'!$AP$5:$AP$26</c:f>
              <c:numCache>
                <c:formatCode>0.0</c:formatCode>
                <c:ptCount val="22"/>
                <c:pt idx="0" formatCode="General">
                  <c:v>0.31</c:v>
                </c:pt>
                <c:pt idx="1">
                  <c:v>0.26885487878213038</c:v>
                </c:pt>
                <c:pt idx="2">
                  <c:v>0.25589132407743664</c:v>
                </c:pt>
                <c:pt idx="3">
                  <c:v>0.9637290902530864</c:v>
                </c:pt>
                <c:pt idx="4">
                  <c:v>0.54646617245193607</c:v>
                </c:pt>
                <c:pt idx="5">
                  <c:v>0.97945764866123763</c:v>
                </c:pt>
                <c:pt idx="6">
                  <c:v>0.46745642454641567</c:v>
                </c:pt>
                <c:pt idx="7">
                  <c:v>0.4166965919166844</c:v>
                </c:pt>
                <c:pt idx="8">
                  <c:v>0.14970657799212425</c:v>
                </c:pt>
                <c:pt idx="9">
                  <c:v>1.0461387928739221</c:v>
                </c:pt>
                <c:pt idx="10">
                  <c:v>1.5283765560894857</c:v>
                </c:pt>
                <c:pt idx="11">
                  <c:v>2.2465343983683246</c:v>
                </c:pt>
                <c:pt idx="12">
                  <c:v>2.8006742235426496</c:v>
                </c:pt>
                <c:pt idx="13">
                  <c:v>2.8490155131680162</c:v>
                </c:pt>
                <c:pt idx="14">
                  <c:v>4.4753050540905042</c:v>
                </c:pt>
                <c:pt idx="15">
                  <c:v>3.0850931902680978</c:v>
                </c:pt>
                <c:pt idx="16">
                  <c:v>3.9213777904511353</c:v>
                </c:pt>
                <c:pt idx="17">
                  <c:v>0.44777914426252341</c:v>
                </c:pt>
                <c:pt idx="18">
                  <c:v>0.73335118633993102</c:v>
                </c:pt>
                <c:pt idx="19">
                  <c:v>1.1414693078935687</c:v>
                </c:pt>
                <c:pt idx="20">
                  <c:v>0.926614572191793</c:v>
                </c:pt>
                <c:pt idx="21">
                  <c:v>1.1266064407954459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80-4338-957E-F6FC415DA134}"/>
            </c:ext>
          </c:extLst>
        </c:ser>
        <c:ser>
          <c:idx val="6"/>
          <c:order val="6"/>
          <c:tx>
            <c:strRef>
              <c:f>'Tar fractions'!$AQ$4</c:f>
              <c:strCache>
                <c:ptCount val="1"/>
                <c:pt idx="0">
                  <c:v>Propylbenzene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fractions'!$AQ$5:$AQ$26</c:f>
              <c:numCache>
                <c:formatCode>0.0</c:formatCode>
                <c:ptCount val="22"/>
                <c:pt idx="0" formatCode="General">
                  <c:v>0</c:v>
                </c:pt>
                <c:pt idx="1">
                  <c:v>3.8664095842491801E-2</c:v>
                </c:pt>
                <c:pt idx="2">
                  <c:v>4.3064172351211238E-2</c:v>
                </c:pt>
                <c:pt idx="3">
                  <c:v>0.19588976541433378</c:v>
                </c:pt>
                <c:pt idx="4">
                  <c:v>8.4121197405814474E-2</c:v>
                </c:pt>
                <c:pt idx="5">
                  <c:v>0.25383037534493025</c:v>
                </c:pt>
                <c:pt idx="6">
                  <c:v>0.25556758205698027</c:v>
                </c:pt>
                <c:pt idx="7">
                  <c:v>5.5700297532684288E-2</c:v>
                </c:pt>
                <c:pt idx="8">
                  <c:v>4.1007832011283427E-2</c:v>
                </c:pt>
                <c:pt idx="9">
                  <c:v>0.33038045379061171</c:v>
                </c:pt>
                <c:pt idx="10">
                  <c:v>0.64372389172852063</c:v>
                </c:pt>
                <c:pt idx="11">
                  <c:v>0.31129463634947163</c:v>
                </c:pt>
                <c:pt idx="12">
                  <c:v>1.3000560712777671</c:v>
                </c:pt>
                <c:pt idx="13">
                  <c:v>1.1278518139854672</c:v>
                </c:pt>
                <c:pt idx="14">
                  <c:v>1.2337312742573534</c:v>
                </c:pt>
                <c:pt idx="15">
                  <c:v>3.6494175971895881</c:v>
                </c:pt>
                <c:pt idx="16">
                  <c:v>0.6583088928995191</c:v>
                </c:pt>
                <c:pt idx="17">
                  <c:v>0.11812257646603096</c:v>
                </c:pt>
                <c:pt idx="18">
                  <c:v>0.37118510798206672</c:v>
                </c:pt>
                <c:pt idx="19">
                  <c:v>0.5145717662156567</c:v>
                </c:pt>
                <c:pt idx="20">
                  <c:v>0.3732269998611526</c:v>
                </c:pt>
                <c:pt idx="21">
                  <c:v>0.45657222739289693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80-4338-957E-F6FC415DA134}"/>
            </c:ext>
          </c:extLst>
        </c:ser>
        <c:ser>
          <c:idx val="7"/>
          <c:order val="7"/>
          <c:tx>
            <c:strRef>
              <c:f>'Tar fractions'!$AR$4</c:f>
              <c:strCache>
                <c:ptCount val="1"/>
                <c:pt idx="0">
                  <c:v>m-Ethyltoluene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fractions'!$AR$5:$AR$26</c:f>
              <c:numCache>
                <c:formatCode>0.0</c:formatCode>
                <c:ptCount val="22"/>
                <c:pt idx="0" formatCode="General">
                  <c:v>3.14</c:v>
                </c:pt>
                <c:pt idx="1">
                  <c:v>1.6987732560804394</c:v>
                </c:pt>
                <c:pt idx="2">
                  <c:v>0.98427495689440425</c:v>
                </c:pt>
                <c:pt idx="3">
                  <c:v>1.3801654530800016</c:v>
                </c:pt>
                <c:pt idx="4">
                  <c:v>0.90009631748525654</c:v>
                </c:pt>
                <c:pt idx="5">
                  <c:v>1.6937178182181027</c:v>
                </c:pt>
                <c:pt idx="6">
                  <c:v>1.3215872540983709</c:v>
                </c:pt>
                <c:pt idx="7">
                  <c:v>0.83112900622933761</c:v>
                </c:pt>
                <c:pt idx="8">
                  <c:v>0.64891906129664467</c:v>
                </c:pt>
                <c:pt idx="9">
                  <c:v>0.97495000716073632</c:v>
                </c:pt>
                <c:pt idx="10">
                  <c:v>0.27850986963846358</c:v>
                </c:pt>
                <c:pt idx="11">
                  <c:v>6.8348365312294948E-3</c:v>
                </c:pt>
                <c:pt idx="12">
                  <c:v>0.13623989431709985</c:v>
                </c:pt>
                <c:pt idx="13">
                  <c:v>0.71050570471266483</c:v>
                </c:pt>
                <c:pt idx="14">
                  <c:v>2.2590670347783495</c:v>
                </c:pt>
                <c:pt idx="15">
                  <c:v>5.3832346509657188E-2</c:v>
                </c:pt>
                <c:pt idx="16">
                  <c:v>6.5054639849779924E-2</c:v>
                </c:pt>
                <c:pt idx="17">
                  <c:v>0.78046955808599816</c:v>
                </c:pt>
                <c:pt idx="18">
                  <c:v>0.43381891653343646</c:v>
                </c:pt>
                <c:pt idx="19">
                  <c:v>0.82036440540758671</c:v>
                </c:pt>
                <c:pt idx="20">
                  <c:v>0.35140412169903923</c:v>
                </c:pt>
                <c:pt idx="21">
                  <c:v>0.91231101084370647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80-4338-957E-F6FC415DA134}"/>
            </c:ext>
          </c:extLst>
        </c:ser>
        <c:ser>
          <c:idx val="8"/>
          <c:order val="8"/>
          <c:tx>
            <c:strRef>
              <c:f>'Tar fractions'!$AS$4</c:f>
              <c:strCache>
                <c:ptCount val="1"/>
                <c:pt idx="0">
                  <c:v>o-Ethyltoluene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fractions'!$AS$5:$AS$26</c:f>
              <c:numCache>
                <c:formatCode>0.0</c:formatCode>
                <c:ptCount val="22"/>
                <c:pt idx="0" formatCode="General">
                  <c:v>0.34</c:v>
                </c:pt>
                <c:pt idx="1">
                  <c:v>0.22409610972067015</c:v>
                </c:pt>
                <c:pt idx="2">
                  <c:v>0.28753480947907217</c:v>
                </c:pt>
                <c:pt idx="3">
                  <c:v>0.58700070264233151</c:v>
                </c:pt>
                <c:pt idx="4">
                  <c:v>0.34447674690206231</c:v>
                </c:pt>
                <c:pt idx="5">
                  <c:v>0.6040030267832367</c:v>
                </c:pt>
                <c:pt idx="6">
                  <c:v>0.4004415348776712</c:v>
                </c:pt>
                <c:pt idx="7">
                  <c:v>0.22751646950099694</c:v>
                </c:pt>
                <c:pt idx="8">
                  <c:v>0.20342998766197284</c:v>
                </c:pt>
                <c:pt idx="9">
                  <c:v>0.6967041918539385</c:v>
                </c:pt>
                <c:pt idx="10">
                  <c:v>1.0924435110281148</c:v>
                </c:pt>
                <c:pt idx="11">
                  <c:v>1.968279045579461</c:v>
                </c:pt>
                <c:pt idx="12">
                  <c:v>2.2358229528301501</c:v>
                </c:pt>
                <c:pt idx="13">
                  <c:v>2.0953500420886364</c:v>
                </c:pt>
                <c:pt idx="14">
                  <c:v>4.1755174545967959</c:v>
                </c:pt>
                <c:pt idx="15">
                  <c:v>3.0449407381087501</c:v>
                </c:pt>
                <c:pt idx="16">
                  <c:v>3.3192310185059393</c:v>
                </c:pt>
                <c:pt idx="17">
                  <c:v>0.35248945614541033</c:v>
                </c:pt>
                <c:pt idx="18">
                  <c:v>0.33376888458125398</c:v>
                </c:pt>
                <c:pt idx="19">
                  <c:v>0.61527777156113828</c:v>
                </c:pt>
                <c:pt idx="20">
                  <c:v>1.500126282581112E-2</c:v>
                </c:pt>
                <c:pt idx="21">
                  <c:v>0.42998404473970275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80-4338-957E-F6FC415DA134}"/>
            </c:ext>
          </c:extLst>
        </c:ser>
        <c:ser>
          <c:idx val="9"/>
          <c:order val="9"/>
          <c:tx>
            <c:strRef>
              <c:f>'Tar fractions'!$AT$4</c:f>
              <c:strCache>
                <c:ptCount val="1"/>
                <c:pt idx="0">
                  <c:v>1,2,4-Trimethylbenzene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rgbClr val="FF5757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fractions'!$AT$5:$AT$26</c:f>
              <c:numCache>
                <c:formatCode>0.0</c:formatCode>
                <c:ptCount val="22"/>
                <c:pt idx="0" formatCode="General">
                  <c:v>1.58</c:v>
                </c:pt>
                <c:pt idx="1">
                  <c:v>1.0107438863001426</c:v>
                </c:pt>
                <c:pt idx="2">
                  <c:v>1.1525407877165053</c:v>
                </c:pt>
                <c:pt idx="3">
                  <c:v>3.0075585089264929</c:v>
                </c:pt>
                <c:pt idx="4">
                  <c:v>1.9604628352276636</c:v>
                </c:pt>
                <c:pt idx="5">
                  <c:v>3.6207054262182394</c:v>
                </c:pt>
                <c:pt idx="6">
                  <c:v>3.2963786845099499</c:v>
                </c:pt>
                <c:pt idx="7">
                  <c:v>1.50215617942081</c:v>
                </c:pt>
                <c:pt idx="8">
                  <c:v>0.99453149413327258</c:v>
                </c:pt>
                <c:pt idx="9">
                  <c:v>3.3330399701207076</c:v>
                </c:pt>
                <c:pt idx="10">
                  <c:v>4.5861091787646444</c:v>
                </c:pt>
                <c:pt idx="11">
                  <c:v>4.2294053942686878</c:v>
                </c:pt>
                <c:pt idx="12">
                  <c:v>6.3334822418275314</c:v>
                </c:pt>
                <c:pt idx="13">
                  <c:v>8.5583486070490107</c:v>
                </c:pt>
                <c:pt idx="14">
                  <c:v>2.2253903295038877</c:v>
                </c:pt>
                <c:pt idx="15">
                  <c:v>0.22318148400181292</c:v>
                </c:pt>
                <c:pt idx="16">
                  <c:v>1.9647999424541505</c:v>
                </c:pt>
                <c:pt idx="17">
                  <c:v>1.4932403400650802</c:v>
                </c:pt>
                <c:pt idx="18">
                  <c:v>2.004032673743084</c:v>
                </c:pt>
                <c:pt idx="19">
                  <c:v>2.512039556661513</c:v>
                </c:pt>
                <c:pt idx="20">
                  <c:v>1.691091476543322</c:v>
                </c:pt>
                <c:pt idx="21">
                  <c:v>2.1791518001771046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80-4338-957E-F6FC415DA134}"/>
            </c:ext>
          </c:extLst>
        </c:ser>
        <c:ser>
          <c:idx val="10"/>
          <c:order val="10"/>
          <c:tx>
            <c:strRef>
              <c:f>'Tar fractions'!$AU$4</c:f>
              <c:strCache>
                <c:ptCount val="1"/>
                <c:pt idx="0">
                  <c:v>1,2,3-Trimethylbenzene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fractions'!$AU$5:$AU$26</c:f>
              <c:numCache>
                <c:formatCode>0.0</c:formatCode>
                <c:ptCount val="22"/>
                <c:pt idx="0" formatCode="General">
                  <c:v>0.51</c:v>
                </c:pt>
                <c:pt idx="1">
                  <c:v>0.51028642128648716</c:v>
                </c:pt>
                <c:pt idx="2">
                  <c:v>0.55643239110455389</c:v>
                </c:pt>
                <c:pt idx="3">
                  <c:v>1.4079236113932183</c:v>
                </c:pt>
                <c:pt idx="4">
                  <c:v>0.95074319050353417</c:v>
                </c:pt>
                <c:pt idx="5">
                  <c:v>1.747985632092637</c:v>
                </c:pt>
                <c:pt idx="6">
                  <c:v>1.4967749863239501</c:v>
                </c:pt>
                <c:pt idx="7">
                  <c:v>0.75402431899615285</c:v>
                </c:pt>
                <c:pt idx="8">
                  <c:v>0.50414386863413796</c:v>
                </c:pt>
                <c:pt idx="9">
                  <c:v>1.5717274559417089</c:v>
                </c:pt>
                <c:pt idx="10">
                  <c:v>2.1404801307577701</c:v>
                </c:pt>
                <c:pt idx="11">
                  <c:v>2.6150822265940685</c:v>
                </c:pt>
                <c:pt idx="12">
                  <c:v>3.3266241370624874</c:v>
                </c:pt>
                <c:pt idx="13">
                  <c:v>4.0249931991042471</c:v>
                </c:pt>
                <c:pt idx="14">
                  <c:v>1.7475644932284622</c:v>
                </c:pt>
                <c:pt idx="15">
                  <c:v>8.1075653666297587</c:v>
                </c:pt>
                <c:pt idx="16">
                  <c:v>0.80324071633927197</c:v>
                </c:pt>
                <c:pt idx="17">
                  <c:v>0.81445923835167933</c:v>
                </c:pt>
                <c:pt idx="18">
                  <c:v>1.3773562960282699</c:v>
                </c:pt>
                <c:pt idx="19">
                  <c:v>1.4386370192249454</c:v>
                </c:pt>
                <c:pt idx="20">
                  <c:v>1.1363565612995965</c:v>
                </c:pt>
                <c:pt idx="21">
                  <c:v>1.1374319477823369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80-4338-957E-F6FC415DA134}"/>
            </c:ext>
          </c:extLst>
        </c:ser>
        <c:ser>
          <c:idx val="11"/>
          <c:order val="11"/>
          <c:tx>
            <c:strRef>
              <c:f>'Tar fractions'!$AV$4</c:f>
              <c:strCache>
                <c:ptCount val="1"/>
                <c:pt idx="0">
                  <c:v>Indane</c:v>
                </c:pt>
              </c:strCache>
            </c:strRef>
          </c:tx>
          <c:spPr>
            <a:pattFill prst="dkDnDiag">
              <a:fgClr>
                <a:sysClr val="windowText" lastClr="000000"/>
              </a:fgClr>
              <a:bgClr>
                <a:srgbClr val="ED7D31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fractions'!$AV$5:$AV$26</c:f>
              <c:numCache>
                <c:formatCode>0.0</c:formatCode>
                <c:ptCount val="22"/>
                <c:pt idx="0" formatCode="General">
                  <c:v>5.71</c:v>
                </c:pt>
                <c:pt idx="1">
                  <c:v>9.8414556450140473</c:v>
                </c:pt>
                <c:pt idx="2">
                  <c:v>13.248496512350489</c:v>
                </c:pt>
                <c:pt idx="3">
                  <c:v>12.946887672643042</c:v>
                </c:pt>
                <c:pt idx="4">
                  <c:v>11.507233335204683</c:v>
                </c:pt>
                <c:pt idx="5">
                  <c:v>4.1097653246873165</c:v>
                </c:pt>
                <c:pt idx="6">
                  <c:v>0.88526909475996596</c:v>
                </c:pt>
                <c:pt idx="7">
                  <c:v>11.930870549305967</c:v>
                </c:pt>
                <c:pt idx="8">
                  <c:v>4.9855092803901941</c:v>
                </c:pt>
                <c:pt idx="9">
                  <c:v>12.10161536568417</c:v>
                </c:pt>
                <c:pt idx="10">
                  <c:v>13.398877345369062</c:v>
                </c:pt>
                <c:pt idx="11">
                  <c:v>27.09407820085551</c:v>
                </c:pt>
                <c:pt idx="12">
                  <c:v>18.343618565799346</c:v>
                </c:pt>
                <c:pt idx="13">
                  <c:v>5.1157709863544625</c:v>
                </c:pt>
                <c:pt idx="14">
                  <c:v>8.0662920430795459</c:v>
                </c:pt>
                <c:pt idx="15">
                  <c:v>26.066801742868041</c:v>
                </c:pt>
                <c:pt idx="16">
                  <c:v>2.7169917331228786</c:v>
                </c:pt>
                <c:pt idx="17">
                  <c:v>10.016215665840154</c:v>
                </c:pt>
                <c:pt idx="18">
                  <c:v>4.3510169823836629</c:v>
                </c:pt>
                <c:pt idx="19">
                  <c:v>7.1881904969635464</c:v>
                </c:pt>
                <c:pt idx="20">
                  <c:v>5.6486561103130457</c:v>
                </c:pt>
                <c:pt idx="21">
                  <c:v>8.3033716137111089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80-4338-957E-F6FC415DA134}"/>
            </c:ext>
          </c:extLst>
        </c:ser>
        <c:ser>
          <c:idx val="12"/>
          <c:order val="12"/>
          <c:tx>
            <c:strRef>
              <c:f>'Tar fractions'!$AW$4</c:f>
              <c:strCache>
                <c:ptCount val="1"/>
                <c:pt idx="0">
                  <c:v>Indene</c:v>
                </c:pt>
              </c:strCache>
            </c:strRef>
          </c:tx>
          <c:spPr>
            <a:pattFill prst="pct8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fractions'!$AW$5:$AW$26</c:f>
              <c:numCache>
                <c:formatCode>0.0</c:formatCode>
                <c:ptCount val="22"/>
                <c:pt idx="0" formatCode="General">
                  <c:v>0.15</c:v>
                </c:pt>
                <c:pt idx="1">
                  <c:v>0.84646505723553933</c:v>
                </c:pt>
                <c:pt idx="2">
                  <c:v>2.7849642577463581E-2</c:v>
                </c:pt>
                <c:pt idx="3">
                  <c:v>0.140188953776331</c:v>
                </c:pt>
                <c:pt idx="4">
                  <c:v>1.8877119222990533</c:v>
                </c:pt>
                <c:pt idx="5">
                  <c:v>11.118421297390803</c:v>
                </c:pt>
                <c:pt idx="6">
                  <c:v>9.7470570990036602</c:v>
                </c:pt>
                <c:pt idx="7">
                  <c:v>0.50307880714504627</c:v>
                </c:pt>
                <c:pt idx="8">
                  <c:v>7.5728774311250273</c:v>
                </c:pt>
                <c:pt idx="9">
                  <c:v>0.36281003217467012</c:v>
                </c:pt>
                <c:pt idx="10">
                  <c:v>0.96421701400178694</c:v>
                </c:pt>
                <c:pt idx="11">
                  <c:v>0.88279955975643831</c:v>
                </c:pt>
                <c:pt idx="12">
                  <c:v>2.671239205831454</c:v>
                </c:pt>
                <c:pt idx="13">
                  <c:v>14.654280411690756</c:v>
                </c:pt>
                <c:pt idx="14">
                  <c:v>3.8957646601752161</c:v>
                </c:pt>
                <c:pt idx="15">
                  <c:v>1.0999306571648657</c:v>
                </c:pt>
                <c:pt idx="16">
                  <c:v>13.059378472463285</c:v>
                </c:pt>
                <c:pt idx="17">
                  <c:v>2.3205201005641292</c:v>
                </c:pt>
                <c:pt idx="18">
                  <c:v>7.9296716809628975</c:v>
                </c:pt>
                <c:pt idx="19">
                  <c:v>3.882527170912943</c:v>
                </c:pt>
                <c:pt idx="20">
                  <c:v>4.2110100373687818</c:v>
                </c:pt>
                <c:pt idx="21">
                  <c:v>1.4134901643572415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80-4338-957E-F6FC415DA134}"/>
            </c:ext>
          </c:extLst>
        </c:ser>
        <c:ser>
          <c:idx val="13"/>
          <c:order val="13"/>
          <c:tx>
            <c:strRef>
              <c:f>'Tar fractions'!$AX$4</c:f>
              <c:strCache>
                <c:ptCount val="1"/>
                <c:pt idx="0">
                  <c:v>Naphthalene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rgbClr val="FFC000">
                  <a:lumMod val="20000"/>
                  <a:lumOff val="8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fractions'!$AX$5:$AX$26</c:f>
              <c:numCache>
                <c:formatCode>0.0</c:formatCode>
                <c:ptCount val="22"/>
                <c:pt idx="0" formatCode="General">
                  <c:v>26.87</c:v>
                </c:pt>
                <c:pt idx="1">
                  <c:v>41.601349315077201</c:v>
                </c:pt>
                <c:pt idx="2">
                  <c:v>63.059829073432127</c:v>
                </c:pt>
                <c:pt idx="3">
                  <c:v>51.795341109502466</c:v>
                </c:pt>
                <c:pt idx="4">
                  <c:v>54.230516406506837</c:v>
                </c:pt>
                <c:pt idx="5">
                  <c:v>56.232479145323076</c:v>
                </c:pt>
                <c:pt idx="6">
                  <c:v>74.028889217608807</c:v>
                </c:pt>
                <c:pt idx="7">
                  <c:v>54.033894622264789</c:v>
                </c:pt>
                <c:pt idx="8">
                  <c:v>36.625181012678979</c:v>
                </c:pt>
                <c:pt idx="9">
                  <c:v>45.541654853264937</c:v>
                </c:pt>
                <c:pt idx="10">
                  <c:v>32.445213234079553</c:v>
                </c:pt>
                <c:pt idx="11">
                  <c:v>47.697582761692026</c:v>
                </c:pt>
                <c:pt idx="12">
                  <c:v>18.598934161420235</c:v>
                </c:pt>
                <c:pt idx="13">
                  <c:v>37.663341288310129</c:v>
                </c:pt>
                <c:pt idx="14">
                  <c:v>32.404082405748078</c:v>
                </c:pt>
                <c:pt idx="15">
                  <c:v>3.465545155771049</c:v>
                </c:pt>
                <c:pt idx="16">
                  <c:v>5.7614088724429191</c:v>
                </c:pt>
                <c:pt idx="17">
                  <c:v>56.827536402990575</c:v>
                </c:pt>
                <c:pt idx="18">
                  <c:v>47.384255119008557</c:v>
                </c:pt>
                <c:pt idx="19">
                  <c:v>46.288301506787725</c:v>
                </c:pt>
                <c:pt idx="20">
                  <c:v>52.263682029592829</c:v>
                </c:pt>
                <c:pt idx="21">
                  <c:v>45.001089333990087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80-4338-957E-F6FC415D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796976"/>
        <c:axId val="893797304"/>
      </c:barChart>
      <c:lineChart>
        <c:grouping val="standard"/>
        <c:varyColors val="0"/>
        <c:ser>
          <c:idx val="14"/>
          <c:order val="14"/>
          <c:tx>
            <c:strRef>
              <c:f>'Tar fractions'!$AY$4</c:f>
              <c:strCache>
                <c:ptCount val="1"/>
                <c:pt idx="0">
                  <c:v>total aromatics</c:v>
                </c:pt>
              </c:strCache>
            </c:strRef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diamond"/>
            <c:size val="21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  <a:effectLst/>
            </c:spPr>
          </c:marker>
          <c:cat>
            <c:strRef>
              <c:f>'Tar fractions'!$AJ$5:$AJ$26</c:f>
              <c:strCache>
                <c:ptCount val="22"/>
                <c:pt idx="0">
                  <c:v>B22</c:v>
                </c:pt>
                <c:pt idx="1">
                  <c:v>C 46</c:v>
                </c:pt>
                <c:pt idx="2">
                  <c:v>C 19</c:v>
                </c:pt>
                <c:pt idx="3">
                  <c:v>B 15.5</c:v>
                </c:pt>
                <c:pt idx="4">
                  <c:v>C 26</c:v>
                </c:pt>
                <c:pt idx="5">
                  <c:v>B2 14</c:v>
                </c:pt>
                <c:pt idx="6">
                  <c:v>B2 7</c:v>
                </c:pt>
                <c:pt idx="7">
                  <c:v>C 15.5</c:v>
                </c:pt>
                <c:pt idx="8">
                  <c:v>C 39</c:v>
                </c:pt>
                <c:pt idx="9">
                  <c:v>B 17</c:v>
                </c:pt>
                <c:pt idx="10">
                  <c:v>B 19</c:v>
                </c:pt>
                <c:pt idx="11">
                  <c:v>B 12</c:v>
                </c:pt>
                <c:pt idx="12">
                  <c:v>B 20.5</c:v>
                </c:pt>
                <c:pt idx="13">
                  <c:v>B 28</c:v>
                </c:pt>
                <c:pt idx="14">
                  <c:v>B2 15.5</c:v>
                </c:pt>
                <c:pt idx="15">
                  <c:v>B2 10.5</c:v>
                </c:pt>
                <c:pt idx="16">
                  <c:v>B 31</c:v>
                </c:pt>
                <c:pt idx="17">
                  <c:v>B2 65</c:v>
                </c:pt>
                <c:pt idx="18">
                  <c:v>B2 43</c:v>
                </c:pt>
                <c:pt idx="19">
                  <c:v>B2 20</c:v>
                </c:pt>
                <c:pt idx="20">
                  <c:v>B 45</c:v>
                </c:pt>
                <c:pt idx="21">
                  <c:v>B 64</c:v>
                </c:pt>
              </c:strCache>
            </c:strRef>
          </c:cat>
          <c:val>
            <c:numRef>
              <c:f>'Tar fractions'!$AY$5:$AY$26</c:f>
              <c:numCache>
                <c:formatCode>0</c:formatCode>
                <c:ptCount val="22"/>
                <c:pt idx="0" formatCode="0.0">
                  <c:v>40.2847155544465</c:v>
                </c:pt>
                <c:pt idx="1">
                  <c:v>13.644107807809901</c:v>
                </c:pt>
                <c:pt idx="2">
                  <c:v>12.09275376947649</c:v>
                </c:pt>
                <c:pt idx="3">
                  <c:v>10.445299637632411</c:v>
                </c:pt>
                <c:pt idx="4">
                  <c:v>10.296619441004365</c:v>
                </c:pt>
                <c:pt idx="5">
                  <c:v>10.123158243273032</c:v>
                </c:pt>
                <c:pt idx="6">
                  <c:v>9.6832077668474703</c:v>
                </c:pt>
                <c:pt idx="7">
                  <c:v>8.8783692042921452</c:v>
                </c:pt>
                <c:pt idx="8">
                  <c:v>8.5234388136869406</c:v>
                </c:pt>
                <c:pt idx="9">
                  <c:v>8.5177206461662855</c:v>
                </c:pt>
                <c:pt idx="10">
                  <c:v>6.0722362002911341</c:v>
                </c:pt>
                <c:pt idx="11">
                  <c:v>4.6276082418081854</c:v>
                </c:pt>
                <c:pt idx="12">
                  <c:v>3.3637875359597293</c:v>
                </c:pt>
                <c:pt idx="13">
                  <c:v>1.9769096035899396</c:v>
                </c:pt>
                <c:pt idx="14">
                  <c:v>0.70726364243081408</c:v>
                </c:pt>
                <c:pt idx="15">
                  <c:v>0.60699112448763304</c:v>
                </c:pt>
                <c:pt idx="16">
                  <c:v>0.20501316083293236</c:v>
                </c:pt>
                <c:pt idx="17">
                  <c:v>0.12082128078730307</c:v>
                </c:pt>
                <c:pt idx="18">
                  <c:v>3.3438457743231835E-2</c:v>
                </c:pt>
                <c:pt idx="19" formatCode="0.000">
                  <c:v>2.6329635294249171E-2</c:v>
                </c:pt>
                <c:pt idx="20">
                  <c:v>2.4769927925219561E-2</c:v>
                </c:pt>
                <c:pt idx="21">
                  <c:v>2.2031508881945314E-2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80-4338-957E-F6FC415D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72112"/>
        <c:axId val="904778016"/>
      </c:lineChart>
      <c:catAx>
        <c:axId val="8937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7304"/>
        <c:crosses val="autoZero"/>
        <c:auto val="1"/>
        <c:lblAlgn val="ctr"/>
        <c:lblOffset val="100"/>
        <c:noMultiLvlLbl val="0"/>
      </c:catAx>
      <c:valAx>
        <c:axId val="8937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="0" i="0" baseline="0">
                    <a:effectLst/>
                  </a:rPr>
                  <a:t>Portion individual compounds</a:t>
                </a:r>
                <a:endParaRPr lang="nl-NL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6976"/>
        <c:crosses val="autoZero"/>
        <c:crossBetween val="between"/>
      </c:valAx>
      <c:valAx>
        <c:axId val="904778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="0" i="0" baseline="0">
                    <a:effectLst/>
                  </a:rPr>
                  <a:t>Total aromatics (mg/L)</a:t>
                </a:r>
                <a:endParaRPr lang="nl-NL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2112"/>
        <c:crosses val="max"/>
        <c:crossBetween val="between"/>
      </c:valAx>
      <c:catAx>
        <c:axId val="90477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47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06138503779121"/>
          <c:y val="0.81773077162471264"/>
          <c:w val="0.82433728332623435"/>
          <c:h val="0.17280240084709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5790973209017"/>
          <c:y val="3.7305488077194249E-2"/>
          <c:w val="0.66905109689730469"/>
          <c:h val="0.79939139354008482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Profiles!$D$55</c:f>
              <c:strCache>
                <c:ptCount val="1"/>
                <c:pt idx="0">
                  <c:v>Fe3+ in soil mg/kg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Profiles!$D$64:$D$70</c:f>
              <c:numCache>
                <c:formatCode>General</c:formatCode>
                <c:ptCount val="7"/>
                <c:pt idx="0">
                  <c:v>2000</c:v>
                </c:pt>
                <c:pt idx="1">
                  <c:v>17000</c:v>
                </c:pt>
                <c:pt idx="2">
                  <c:v>4600</c:v>
                </c:pt>
                <c:pt idx="3">
                  <c:v>5300</c:v>
                </c:pt>
                <c:pt idx="4">
                  <c:v>8700</c:v>
                </c:pt>
                <c:pt idx="5">
                  <c:v>7200</c:v>
                </c:pt>
                <c:pt idx="6">
                  <c:v>3700</c:v>
                </c:pt>
              </c:numCache>
            </c:numRef>
          </c:xVal>
          <c:yVal>
            <c:numRef>
              <c:f>Profiles!$C$64:$C$70</c:f>
              <c:numCache>
                <c:formatCode>General</c:formatCode>
                <c:ptCount val="7"/>
                <c:pt idx="0">
                  <c:v>13.5</c:v>
                </c:pt>
                <c:pt idx="1">
                  <c:v>26.5</c:v>
                </c:pt>
                <c:pt idx="2">
                  <c:v>39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A-4521-8DE0-5E61715A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2"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nl-NL" sz="1100"/>
                  <a:t>Fe(III) in soil (mg/kgds)</a:t>
                </a:r>
              </a:p>
            </c:rich>
          </c:tx>
          <c:layout>
            <c:manualLayout>
              <c:xMode val="edge"/>
              <c:yMode val="edge"/>
              <c:x val="0.17797293204349249"/>
              <c:y val="0.926186799048891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5981112"/>
        <c:crosses val="autoZero"/>
        <c:crossBetween val="midCat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5974224"/>
        <c:crossesAt val="1.0000000000000002E-2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0001639401851"/>
          <c:y val="3.7305488077194249E-2"/>
          <c:w val="0.70347599014526019"/>
          <c:h val="0.79939139354008482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Profiles!$C$3:$C$27</c:f>
              <c:numCache>
                <c:formatCode>0</c:formatCode>
                <c:ptCount val="25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</c:numCache>
            </c:numRef>
          </c:xVal>
          <c:yVal>
            <c:numRef>
              <c:f>Profiles!$B$3:$B$27</c:f>
              <c:numCache>
                <c:formatCode>General</c:formatCode>
                <c:ptCount val="25"/>
                <c:pt idx="0">
                  <c:v>8.5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15.5</c:v>
                </c:pt>
                <c:pt idx="5">
                  <c:v>17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45</c:v>
                </c:pt>
                <c:pt idx="16">
                  <c:v>49.5</c:v>
                </c:pt>
                <c:pt idx="17">
                  <c:v>51</c:v>
                </c:pt>
                <c:pt idx="18">
                  <c:v>53</c:v>
                </c:pt>
                <c:pt idx="19">
                  <c:v>54.5</c:v>
                </c:pt>
                <c:pt idx="20">
                  <c:v>55</c:v>
                </c:pt>
                <c:pt idx="21">
                  <c:v>56.5</c:v>
                </c:pt>
                <c:pt idx="22">
                  <c:v>58</c:v>
                </c:pt>
                <c:pt idx="23">
                  <c:v>59.5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5-434E-A996-F412381D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Sulphate (mg/L)</a:t>
                </a:r>
              </a:p>
            </c:rich>
          </c:tx>
          <c:layout>
            <c:manualLayout>
              <c:xMode val="edge"/>
              <c:yMode val="edge"/>
              <c:x val="0.26628519177183191"/>
              <c:y val="0.9269388076207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 val="autoZero"/>
        <c:crossBetween val="midCat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0001639401851"/>
          <c:y val="3.2548877435070407E-2"/>
          <c:w val="0.70347599014526019"/>
          <c:h val="0.8041479435185761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Profiles!$D$56:$D$62</c:f>
              <c:numCache>
                <c:formatCode>General</c:formatCode>
                <c:ptCount val="7"/>
                <c:pt idx="0">
                  <c:v>5000</c:v>
                </c:pt>
                <c:pt idx="1">
                  <c:v>3900</c:v>
                </c:pt>
                <c:pt idx="2">
                  <c:v>3700</c:v>
                </c:pt>
                <c:pt idx="3">
                  <c:v>1200</c:v>
                </c:pt>
                <c:pt idx="4">
                  <c:v>870</c:v>
                </c:pt>
                <c:pt idx="5">
                  <c:v>1600</c:v>
                </c:pt>
                <c:pt idx="6">
                  <c:v>5100</c:v>
                </c:pt>
              </c:numCache>
            </c:numRef>
          </c:xVal>
          <c:yVal>
            <c:numRef>
              <c:f>Profiles!$C$56:$C$62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23</c:v>
                </c:pt>
                <c:pt idx="4">
                  <c:v>24.5</c:v>
                </c:pt>
                <c:pt idx="5">
                  <c:v>27</c:v>
                </c:pt>
                <c:pt idx="6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46D9-BB27-56A14761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  <c:max val="2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Fe(III) in soil (mg/kgs)</a:t>
                </a:r>
              </a:p>
            </c:rich>
          </c:tx>
          <c:layout>
            <c:manualLayout>
              <c:xMode val="edge"/>
              <c:yMode val="edge"/>
              <c:x val="0.26628519177183191"/>
              <c:y val="0.9269388076207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 val="autoZero"/>
        <c:crossBetween val="midCat"/>
      </c:valAx>
      <c:valAx>
        <c:axId val="585981112"/>
        <c:scaling>
          <c:orientation val="maxMin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Total bacteria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type'!$AC$2</c:f>
              <c:strCache>
                <c:ptCount val="1"/>
                <c:pt idx="0">
                  <c:v>Total 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type'!$X$3:$X$11</c:f>
              <c:strCache>
                <c:ptCount val="9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very course sand</c:v>
                </c:pt>
                <c:pt idx="4">
                  <c:v>very course sand</c:v>
                </c:pt>
                <c:pt idx="5">
                  <c:v>course sand</c:v>
                </c:pt>
                <c:pt idx="6">
                  <c:v>moderately course sand</c:v>
                </c:pt>
                <c:pt idx="7">
                  <c:v>moderately course sand</c:v>
                </c:pt>
                <c:pt idx="8">
                  <c:v>very fine sand</c:v>
                </c:pt>
              </c:strCache>
            </c:strRef>
          </c:cat>
          <c:val>
            <c:numRef>
              <c:f>'All vs soil type'!$AC$3:$AC$11</c:f>
              <c:numCache>
                <c:formatCode>General</c:formatCode>
                <c:ptCount val="9"/>
                <c:pt idx="0">
                  <c:v>1475833</c:v>
                </c:pt>
                <c:pt idx="1">
                  <c:v>5667500</c:v>
                </c:pt>
                <c:pt idx="2">
                  <c:v>507717</c:v>
                </c:pt>
                <c:pt idx="3">
                  <c:v>195478</c:v>
                </c:pt>
                <c:pt idx="4">
                  <c:v>35761</c:v>
                </c:pt>
                <c:pt idx="5">
                  <c:v>366889</c:v>
                </c:pt>
                <c:pt idx="6">
                  <c:v>42120</c:v>
                </c:pt>
                <c:pt idx="7">
                  <c:v>355444</c:v>
                </c:pt>
                <c:pt idx="8">
                  <c:v>503575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5-4C22-90B2-9A726D9E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0001639401851"/>
          <c:y val="3.7305488077194249E-2"/>
          <c:w val="0.70347599014526019"/>
          <c:h val="0.79939139354008482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Profiles!$C$43:$C$52</c:f>
              <c:numCache>
                <c:formatCode>0</c:formatCode>
                <c:ptCount val="10"/>
                <c:pt idx="0">
                  <c:v>11</c:v>
                </c:pt>
                <c:pt idx="1">
                  <c:v>1.2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13.7</c:v>
                </c:pt>
                <c:pt idx="6">
                  <c:v>10</c:v>
                </c:pt>
                <c:pt idx="7">
                  <c:v>16</c:v>
                </c:pt>
                <c:pt idx="8">
                  <c:v>81</c:v>
                </c:pt>
                <c:pt idx="9">
                  <c:v>28</c:v>
                </c:pt>
              </c:numCache>
            </c:numRef>
          </c:xVal>
          <c:yVal>
            <c:numRef>
              <c:f>Profiles!$B$43:$B$52</c:f>
              <c:numCache>
                <c:formatCode>General</c:formatCode>
                <c:ptCount val="10"/>
                <c:pt idx="0">
                  <c:v>15.5</c:v>
                </c:pt>
                <c:pt idx="1">
                  <c:v>17</c:v>
                </c:pt>
                <c:pt idx="2">
                  <c:v>19</c:v>
                </c:pt>
                <c:pt idx="3">
                  <c:v>20.5</c:v>
                </c:pt>
                <c:pt idx="4">
                  <c:v>22.5</c:v>
                </c:pt>
                <c:pt idx="5">
                  <c:v>26</c:v>
                </c:pt>
                <c:pt idx="6">
                  <c:v>39</c:v>
                </c:pt>
                <c:pt idx="7">
                  <c:v>41</c:v>
                </c:pt>
                <c:pt idx="8">
                  <c:v>43.5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1-4C99-AEDC-DFD9459A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  <c:max val="4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Sulphate (mg/L)</a:t>
                </a:r>
              </a:p>
            </c:rich>
          </c:tx>
          <c:layout>
            <c:manualLayout>
              <c:xMode val="edge"/>
              <c:yMode val="edge"/>
              <c:x val="0.26628519177183191"/>
              <c:y val="0.9269388076207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 val="autoZero"/>
        <c:crossBetween val="midCat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09756236566469"/>
          <c:y val="4.1066428321229115E-2"/>
          <c:w val="0.61050817559830906"/>
          <c:h val="0.79402204037215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Profiles!$D$43:$D$52</c:f>
              <c:numCache>
                <c:formatCode>0.0000</c:formatCode>
                <c:ptCount val="10"/>
                <c:pt idx="0">
                  <c:v>8.8783692042921452</c:v>
                </c:pt>
                <c:pt idx="1">
                  <c:v>8.7335485876714198</c:v>
                </c:pt>
                <c:pt idx="2">
                  <c:v>12.09275376947649</c:v>
                </c:pt>
                <c:pt idx="3">
                  <c:v>9.6730263442075888</c:v>
                </c:pt>
                <c:pt idx="4">
                  <c:v>9.456687404859677</c:v>
                </c:pt>
                <c:pt idx="5">
                  <c:v>10.296619441004365</c:v>
                </c:pt>
                <c:pt idx="6">
                  <c:v>8.5234388136869406</c:v>
                </c:pt>
                <c:pt idx="7">
                  <c:v>8.4646548365281973</c:v>
                </c:pt>
                <c:pt idx="8">
                  <c:v>7.7561329104635162</c:v>
                </c:pt>
                <c:pt idx="9">
                  <c:v>13.644107807809883</c:v>
                </c:pt>
              </c:numCache>
            </c:numRef>
          </c:xVal>
          <c:yVal>
            <c:numRef>
              <c:f>Profiles!$B$43:$B$52</c:f>
              <c:numCache>
                <c:formatCode>General</c:formatCode>
                <c:ptCount val="10"/>
                <c:pt idx="0">
                  <c:v>15.5</c:v>
                </c:pt>
                <c:pt idx="1">
                  <c:v>17</c:v>
                </c:pt>
                <c:pt idx="2">
                  <c:v>19</c:v>
                </c:pt>
                <c:pt idx="3">
                  <c:v>20.5</c:v>
                </c:pt>
                <c:pt idx="4">
                  <c:v>22.5</c:v>
                </c:pt>
                <c:pt idx="5">
                  <c:v>26</c:v>
                </c:pt>
                <c:pt idx="6">
                  <c:v>39</c:v>
                </c:pt>
                <c:pt idx="7">
                  <c:v>41</c:v>
                </c:pt>
                <c:pt idx="8">
                  <c:v>43.5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D-4FCE-9D15-60F6F848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logBase val="10"/>
          <c:orientation val="minMax"/>
          <c:min val="1.0000000000000002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288822204090534"/>
              <c:y val="0.922387869509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100"/>
        <c:minorUnit val="10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 i="0" baseline="0">
                    <a:solidFill>
                      <a:sysClr val="windowText" lastClr="000000"/>
                    </a:solidFill>
                    <a:effectLst/>
                  </a:rPr>
                  <a:t>Well C</a:t>
                </a:r>
                <a:endParaRPr lang="nl-NL" sz="14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nl-NL" sz="1100" b="0" i="0" baseline="0">
                    <a:solidFill>
                      <a:sysClr val="windowText" lastClr="000000"/>
                    </a:solidFill>
                    <a:effectLst/>
                  </a:rPr>
                  <a:t>Depth (m-bgl)</a:t>
                </a:r>
                <a:endParaRPr lang="nl-NL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24420170343635"/>
          <c:y val="3.7267498781799961E-2"/>
          <c:w val="0.59540757383814968"/>
          <c:h val="0.79782096991158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Profiles!$D$28:$D$42</c:f>
              <c:numCache>
                <c:formatCode>0.0000</c:formatCode>
                <c:ptCount val="15"/>
                <c:pt idx="0">
                  <c:v>9.6832077668474703</c:v>
                </c:pt>
                <c:pt idx="1">
                  <c:v>1.3296081408206695</c:v>
                </c:pt>
                <c:pt idx="2">
                  <c:v>0.60699112448763304</c:v>
                </c:pt>
                <c:pt idx="3">
                  <c:v>1.9465845817780254</c:v>
                </c:pt>
                <c:pt idx="4">
                  <c:v>10.123158243273032</c:v>
                </c:pt>
                <c:pt idx="5">
                  <c:v>0.70726364243081408</c:v>
                </c:pt>
                <c:pt idx="6">
                  <c:v>0.30570133444855047</c:v>
                </c:pt>
                <c:pt idx="7">
                  <c:v>2.6329635294249171E-2</c:v>
                </c:pt>
                <c:pt idx="8">
                  <c:v>2.8481094482810179E-2</c:v>
                </c:pt>
                <c:pt idx="9">
                  <c:v>1.9787548896431778E-2</c:v>
                </c:pt>
                <c:pt idx="10">
                  <c:v>3.3438457743231835E-2</c:v>
                </c:pt>
                <c:pt idx="11">
                  <c:v>1.5542800365841039E-2</c:v>
                </c:pt>
                <c:pt idx="12">
                  <c:v>4.0869824758328219E-2</c:v>
                </c:pt>
                <c:pt idx="13">
                  <c:v>1.5096293918921351E-2</c:v>
                </c:pt>
                <c:pt idx="14">
                  <c:v>0.12082128078730307</c:v>
                </c:pt>
              </c:numCache>
            </c:numRef>
          </c:xVal>
          <c:yVal>
            <c:numRef>
              <c:f>Profiles!$B$28:$B$42</c:f>
              <c:numCache>
                <c:formatCode>General</c:formatCode>
                <c:ptCount val="15"/>
                <c:pt idx="0">
                  <c:v>7</c:v>
                </c:pt>
                <c:pt idx="1">
                  <c:v>8.5</c:v>
                </c:pt>
                <c:pt idx="2">
                  <c:v>10.5</c:v>
                </c:pt>
                <c:pt idx="3">
                  <c:v>12</c:v>
                </c:pt>
                <c:pt idx="4">
                  <c:v>14</c:v>
                </c:pt>
                <c:pt idx="5">
                  <c:v>15.5</c:v>
                </c:pt>
                <c:pt idx="6">
                  <c:v>17</c:v>
                </c:pt>
                <c:pt idx="7">
                  <c:v>20</c:v>
                </c:pt>
                <c:pt idx="8">
                  <c:v>23.5</c:v>
                </c:pt>
                <c:pt idx="9">
                  <c:v>26</c:v>
                </c:pt>
                <c:pt idx="10">
                  <c:v>43</c:v>
                </c:pt>
                <c:pt idx="11">
                  <c:v>50</c:v>
                </c:pt>
                <c:pt idx="12">
                  <c:v>55.5</c:v>
                </c:pt>
                <c:pt idx="13">
                  <c:v>60</c:v>
                </c:pt>
                <c:pt idx="14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3-4F64-BA5D-B544C5F2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288822204090534"/>
              <c:y val="0.922387869509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100"/>
        <c:minorUnit val="10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 i="0" baseline="0">
                    <a:effectLst/>
                  </a:rPr>
                  <a:t>Well B2</a:t>
                </a:r>
                <a:endParaRPr lang="nl-NL" sz="1400">
                  <a:effectLst/>
                </a:endParaRPr>
              </a:p>
              <a:p>
                <a:pPr>
                  <a:defRPr/>
                </a:pPr>
                <a:r>
                  <a:rPr lang="nl-NL" sz="1100" b="0" i="0" baseline="0">
                    <a:effectLst/>
                  </a:rPr>
                  <a:t>Depth (m-bgl)</a:t>
                </a:r>
                <a:endParaRPr lang="nl-NL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81962537148139E-2"/>
              <c:y val="0.29507601897311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0001639401851"/>
          <c:y val="3.7305488077194249E-2"/>
          <c:w val="0.70347599014526019"/>
          <c:h val="0.79939139354008482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Profiles!$C$3:$C$27</c:f>
              <c:numCache>
                <c:formatCode>0</c:formatCode>
                <c:ptCount val="25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</c:numCache>
            </c:numRef>
          </c:xVal>
          <c:yVal>
            <c:numRef>
              <c:f>Profiles!$B$3:$B$27</c:f>
              <c:numCache>
                <c:formatCode>General</c:formatCode>
                <c:ptCount val="25"/>
                <c:pt idx="0">
                  <c:v>8.5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15.5</c:v>
                </c:pt>
                <c:pt idx="5">
                  <c:v>17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45</c:v>
                </c:pt>
                <c:pt idx="16">
                  <c:v>49.5</c:v>
                </c:pt>
                <c:pt idx="17">
                  <c:v>51</c:v>
                </c:pt>
                <c:pt idx="18">
                  <c:v>53</c:v>
                </c:pt>
                <c:pt idx="19">
                  <c:v>54.5</c:v>
                </c:pt>
                <c:pt idx="20">
                  <c:v>55</c:v>
                </c:pt>
                <c:pt idx="21">
                  <c:v>56.5</c:v>
                </c:pt>
                <c:pt idx="22">
                  <c:v>58</c:v>
                </c:pt>
                <c:pt idx="23">
                  <c:v>59.5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4-4B09-91E7-EBA56484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Sulphate (mg/L)</a:t>
                </a:r>
              </a:p>
            </c:rich>
          </c:tx>
          <c:layout>
            <c:manualLayout>
              <c:xMode val="edge"/>
              <c:yMode val="edge"/>
              <c:x val="0.26628519177183191"/>
              <c:y val="0.9269388076207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 val="autoZero"/>
        <c:crossBetween val="midCat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914076256473"/>
          <c:y val="4.1066428321229115E-2"/>
          <c:w val="0.60425030867153418"/>
          <c:h val="0.79782096991158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Profiles!$D$3:$D$27</c:f>
              <c:numCache>
                <c:formatCode>0.0000</c:formatCode>
                <c:ptCount val="25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</c:numCache>
            </c:numRef>
          </c:xVal>
          <c:yVal>
            <c:numRef>
              <c:f>Profiles!$B$3:$B$27</c:f>
              <c:numCache>
                <c:formatCode>General</c:formatCode>
                <c:ptCount val="25"/>
                <c:pt idx="0">
                  <c:v>8.5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15.5</c:v>
                </c:pt>
                <c:pt idx="5">
                  <c:v>17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45</c:v>
                </c:pt>
                <c:pt idx="16">
                  <c:v>49.5</c:v>
                </c:pt>
                <c:pt idx="17">
                  <c:v>51</c:v>
                </c:pt>
                <c:pt idx="18">
                  <c:v>53</c:v>
                </c:pt>
                <c:pt idx="19">
                  <c:v>54.5</c:v>
                </c:pt>
                <c:pt idx="20">
                  <c:v>55</c:v>
                </c:pt>
                <c:pt idx="21">
                  <c:v>56.5</c:v>
                </c:pt>
                <c:pt idx="22">
                  <c:v>58</c:v>
                </c:pt>
                <c:pt idx="23">
                  <c:v>59.5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5-4769-AE53-38E7871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793523679785919"/>
              <c:y val="0.9299857285883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100"/>
        <c:minorUnit val="10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ysClr val="windowText" lastClr="000000"/>
                    </a:solidFill>
                  </a:rPr>
                  <a:t>Well B</a:t>
                </a:r>
              </a:p>
              <a:p>
                <a:pPr>
                  <a:defRPr/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Depth (m-bgl)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914076256473"/>
          <c:y val="4.1066428321229115E-2"/>
          <c:w val="0.60425030867153418"/>
          <c:h val="0.79782096991158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Profiles!$D$3:$D$27</c:f>
              <c:numCache>
                <c:formatCode>0.0000</c:formatCode>
                <c:ptCount val="25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</c:numCache>
            </c:numRef>
          </c:xVal>
          <c:yVal>
            <c:numRef>
              <c:f>Profiles!$B$3:$B$27</c:f>
              <c:numCache>
                <c:formatCode>General</c:formatCode>
                <c:ptCount val="25"/>
                <c:pt idx="0">
                  <c:v>8.5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15.5</c:v>
                </c:pt>
                <c:pt idx="5">
                  <c:v>17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45</c:v>
                </c:pt>
                <c:pt idx="16">
                  <c:v>49.5</c:v>
                </c:pt>
                <c:pt idx="17">
                  <c:v>51</c:v>
                </c:pt>
                <c:pt idx="18">
                  <c:v>53</c:v>
                </c:pt>
                <c:pt idx="19">
                  <c:v>54.5</c:v>
                </c:pt>
                <c:pt idx="20">
                  <c:v>55</c:v>
                </c:pt>
                <c:pt idx="21">
                  <c:v>56.5</c:v>
                </c:pt>
                <c:pt idx="22">
                  <c:v>58</c:v>
                </c:pt>
                <c:pt idx="23">
                  <c:v>59.5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9-428B-9A55-D589EA12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  <c:max val="1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793523679785919"/>
              <c:y val="0.9299857285883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5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ysClr val="windowText" lastClr="000000"/>
                    </a:solidFill>
                  </a:rPr>
                  <a:t>Well B</a:t>
                </a:r>
              </a:p>
              <a:p>
                <a:pPr>
                  <a:defRPr/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Depth (m-bgl)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24420170343635"/>
          <c:y val="3.7267498781799961E-2"/>
          <c:w val="0.59540757383814968"/>
          <c:h val="0.79782096991158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Profiles!$D$28:$D$42</c:f>
              <c:numCache>
                <c:formatCode>0.0000</c:formatCode>
                <c:ptCount val="15"/>
                <c:pt idx="0">
                  <c:v>9.6832077668474703</c:v>
                </c:pt>
                <c:pt idx="1">
                  <c:v>1.3296081408206695</c:v>
                </c:pt>
                <c:pt idx="2">
                  <c:v>0.60699112448763304</c:v>
                </c:pt>
                <c:pt idx="3">
                  <c:v>1.9465845817780254</c:v>
                </c:pt>
                <c:pt idx="4">
                  <c:v>10.123158243273032</c:v>
                </c:pt>
                <c:pt idx="5">
                  <c:v>0.70726364243081408</c:v>
                </c:pt>
                <c:pt idx="6">
                  <c:v>0.30570133444855047</c:v>
                </c:pt>
                <c:pt idx="7">
                  <c:v>2.6329635294249171E-2</c:v>
                </c:pt>
                <c:pt idx="8">
                  <c:v>2.8481094482810179E-2</c:v>
                </c:pt>
                <c:pt idx="9">
                  <c:v>1.9787548896431778E-2</c:v>
                </c:pt>
                <c:pt idx="10">
                  <c:v>3.3438457743231835E-2</c:v>
                </c:pt>
                <c:pt idx="11">
                  <c:v>1.5542800365841039E-2</c:v>
                </c:pt>
                <c:pt idx="12">
                  <c:v>4.0869824758328219E-2</c:v>
                </c:pt>
                <c:pt idx="13">
                  <c:v>1.5096293918921351E-2</c:v>
                </c:pt>
                <c:pt idx="14">
                  <c:v>0.12082128078730307</c:v>
                </c:pt>
              </c:numCache>
            </c:numRef>
          </c:xVal>
          <c:yVal>
            <c:numRef>
              <c:f>Profiles!$B$28:$B$42</c:f>
              <c:numCache>
                <c:formatCode>General</c:formatCode>
                <c:ptCount val="15"/>
                <c:pt idx="0">
                  <c:v>7</c:v>
                </c:pt>
                <c:pt idx="1">
                  <c:v>8.5</c:v>
                </c:pt>
                <c:pt idx="2">
                  <c:v>10.5</c:v>
                </c:pt>
                <c:pt idx="3">
                  <c:v>12</c:v>
                </c:pt>
                <c:pt idx="4">
                  <c:v>14</c:v>
                </c:pt>
                <c:pt idx="5">
                  <c:v>15.5</c:v>
                </c:pt>
                <c:pt idx="6">
                  <c:v>17</c:v>
                </c:pt>
                <c:pt idx="7">
                  <c:v>20</c:v>
                </c:pt>
                <c:pt idx="8">
                  <c:v>23.5</c:v>
                </c:pt>
                <c:pt idx="9">
                  <c:v>26</c:v>
                </c:pt>
                <c:pt idx="10">
                  <c:v>43</c:v>
                </c:pt>
                <c:pt idx="11">
                  <c:v>50</c:v>
                </c:pt>
                <c:pt idx="12">
                  <c:v>55.5</c:v>
                </c:pt>
                <c:pt idx="13">
                  <c:v>60</c:v>
                </c:pt>
                <c:pt idx="14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640-AFE1-488BD1A8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  <c:max val="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288822204090534"/>
              <c:y val="0.922387869509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5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 i="0" baseline="0">
                    <a:effectLst/>
                  </a:rPr>
                  <a:t>Well B2</a:t>
                </a:r>
                <a:endParaRPr lang="nl-NL" sz="1400">
                  <a:effectLst/>
                </a:endParaRPr>
              </a:p>
              <a:p>
                <a:pPr>
                  <a:defRPr/>
                </a:pPr>
                <a:r>
                  <a:rPr lang="nl-NL" sz="1100" b="0" i="0" baseline="0">
                    <a:effectLst/>
                  </a:rPr>
                  <a:t>Depth (m-bgl)</a:t>
                </a:r>
                <a:endParaRPr lang="nl-NL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81962537148139E-2"/>
              <c:y val="0.29507601897311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09756236566469"/>
          <c:y val="4.1066428321229115E-2"/>
          <c:w val="0.61050817559830906"/>
          <c:h val="0.79402204037215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Profiles!$D$2</c:f>
              <c:strCache>
                <c:ptCount val="1"/>
                <c:pt idx="0">
                  <c:v>total aromatics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Profiles!$D$43:$D$52</c:f>
              <c:numCache>
                <c:formatCode>0.0000</c:formatCode>
                <c:ptCount val="10"/>
                <c:pt idx="0">
                  <c:v>8.8783692042921452</c:v>
                </c:pt>
                <c:pt idx="1">
                  <c:v>8.7335485876714198</c:v>
                </c:pt>
                <c:pt idx="2">
                  <c:v>12.09275376947649</c:v>
                </c:pt>
                <c:pt idx="3">
                  <c:v>9.6730263442075888</c:v>
                </c:pt>
                <c:pt idx="4">
                  <c:v>9.456687404859677</c:v>
                </c:pt>
                <c:pt idx="5">
                  <c:v>10.296619441004365</c:v>
                </c:pt>
                <c:pt idx="6">
                  <c:v>8.5234388136869406</c:v>
                </c:pt>
                <c:pt idx="7">
                  <c:v>8.4646548365281973</c:v>
                </c:pt>
                <c:pt idx="8">
                  <c:v>7.7561329104635162</c:v>
                </c:pt>
                <c:pt idx="9">
                  <c:v>13.644107807809883</c:v>
                </c:pt>
              </c:numCache>
            </c:numRef>
          </c:xVal>
          <c:yVal>
            <c:numRef>
              <c:f>Profiles!$B$43:$B$52</c:f>
              <c:numCache>
                <c:formatCode>General</c:formatCode>
                <c:ptCount val="10"/>
                <c:pt idx="0">
                  <c:v>15.5</c:v>
                </c:pt>
                <c:pt idx="1">
                  <c:v>17</c:v>
                </c:pt>
                <c:pt idx="2">
                  <c:v>19</c:v>
                </c:pt>
                <c:pt idx="3">
                  <c:v>20.5</c:v>
                </c:pt>
                <c:pt idx="4">
                  <c:v>22.5</c:v>
                </c:pt>
                <c:pt idx="5">
                  <c:v>26</c:v>
                </c:pt>
                <c:pt idx="6">
                  <c:v>39</c:v>
                </c:pt>
                <c:pt idx="7">
                  <c:v>41</c:v>
                </c:pt>
                <c:pt idx="8">
                  <c:v>43.5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8-4344-9282-11418D43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4224"/>
        <c:axId val="585981112"/>
      </c:scatterChart>
      <c:valAx>
        <c:axId val="585974224"/>
        <c:scaling>
          <c:orientation val="minMax"/>
          <c:max val="1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Total aromatics (mg/L)</a:t>
                </a:r>
              </a:p>
            </c:rich>
          </c:tx>
          <c:layout>
            <c:manualLayout>
              <c:xMode val="edge"/>
              <c:yMode val="edge"/>
              <c:x val="0.26288822204090534"/>
              <c:y val="0.922387869509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1112"/>
        <c:crossesAt val="70"/>
        <c:crossBetween val="midCat"/>
        <c:majorUnit val="5"/>
      </c:valAx>
      <c:valAx>
        <c:axId val="585981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 i="0" baseline="0">
                    <a:solidFill>
                      <a:sysClr val="windowText" lastClr="000000"/>
                    </a:solidFill>
                    <a:effectLst/>
                  </a:rPr>
                  <a:t>Well C</a:t>
                </a:r>
                <a:endParaRPr lang="nl-NL" sz="14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nl-NL" sz="1100" b="0" i="0" baseline="0">
                    <a:solidFill>
                      <a:sysClr val="windowText" lastClr="000000"/>
                    </a:solidFill>
                    <a:effectLst/>
                  </a:rPr>
                  <a:t>Depth (m-bgl)</a:t>
                </a:r>
                <a:endParaRPr lang="nl-NL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4224"/>
        <c:crossesAt val="1.0000000000000002E-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Sulphide vs sulphate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EAs!$E$2</c:f>
              <c:strCache>
                <c:ptCount val="1"/>
                <c:pt idx="0">
                  <c:v>Sulphide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EAs!$D$5:$D$54</c:f>
              <c:numCache>
                <c:formatCode>0.0</c:formatCode>
                <c:ptCount val="50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  <c:pt idx="25">
                  <c:v>176</c:v>
                </c:pt>
                <c:pt idx="26">
                  <c:v>101</c:v>
                </c:pt>
                <c:pt idx="27">
                  <c:v>42</c:v>
                </c:pt>
                <c:pt idx="28">
                  <c:v>29</c:v>
                </c:pt>
                <c:pt idx="29">
                  <c:v>88</c:v>
                </c:pt>
                <c:pt idx="30">
                  <c:v>136</c:v>
                </c:pt>
                <c:pt idx="31">
                  <c:v>204</c:v>
                </c:pt>
                <c:pt idx="32">
                  <c:v>169</c:v>
                </c:pt>
                <c:pt idx="33">
                  <c:v>204</c:v>
                </c:pt>
                <c:pt idx="34">
                  <c:v>169</c:v>
                </c:pt>
                <c:pt idx="35">
                  <c:v>141</c:v>
                </c:pt>
                <c:pt idx="36">
                  <c:v>97</c:v>
                </c:pt>
                <c:pt idx="37">
                  <c:v>102</c:v>
                </c:pt>
                <c:pt idx="38">
                  <c:v>74</c:v>
                </c:pt>
                <c:pt idx="39">
                  <c:v>209</c:v>
                </c:pt>
                <c:pt idx="40">
                  <c:v>11</c:v>
                </c:pt>
                <c:pt idx="41">
                  <c:v>1.2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13.7</c:v>
                </c:pt>
                <c:pt idx="46">
                  <c:v>10</c:v>
                </c:pt>
                <c:pt idx="47">
                  <c:v>16</c:v>
                </c:pt>
                <c:pt idx="48">
                  <c:v>81</c:v>
                </c:pt>
                <c:pt idx="49">
                  <c:v>28</c:v>
                </c:pt>
              </c:numCache>
            </c:numRef>
          </c:xVal>
          <c:yVal>
            <c:numRef>
              <c:f>EAs!$E$5:$E$54</c:f>
              <c:numCache>
                <c:formatCode>0.0</c:formatCode>
                <c:ptCount val="50"/>
                <c:pt idx="0">
                  <c:v>0.39184444444444444</c:v>
                </c:pt>
                <c:pt idx="1">
                  <c:v>0.12467777777777779</c:v>
                </c:pt>
                <c:pt idx="2">
                  <c:v>8.9055555555555554E-2</c:v>
                </c:pt>
                <c:pt idx="3">
                  <c:v>7.1244444444444457E-2</c:v>
                </c:pt>
                <c:pt idx="4">
                  <c:v>3.5622222222222229E-2</c:v>
                </c:pt>
                <c:pt idx="5">
                  <c:v>0.30278888888888889</c:v>
                </c:pt>
                <c:pt idx="6">
                  <c:v>6.4476222222222228</c:v>
                </c:pt>
                <c:pt idx="7">
                  <c:v>7.1244444444444457E-2</c:v>
                </c:pt>
                <c:pt idx="8">
                  <c:v>9.4755111111111106</c:v>
                </c:pt>
                <c:pt idx="9">
                  <c:v>20.518399999999996</c:v>
                </c:pt>
                <c:pt idx="10">
                  <c:v>0.83712222222222221</c:v>
                </c:pt>
                <c:pt idx="11">
                  <c:v>5.3433333333333333E-2</c:v>
                </c:pt>
                <c:pt idx="12">
                  <c:v>15.477855555555553</c:v>
                </c:pt>
                <c:pt idx="13">
                  <c:v>7.1244444444444457E-2</c:v>
                </c:pt>
                <c:pt idx="14">
                  <c:v>4.9514888888888899</c:v>
                </c:pt>
                <c:pt idx="15">
                  <c:v>5.3433333333333333E-2</c:v>
                </c:pt>
                <c:pt idx="16">
                  <c:v>5.3433333333333333E-2</c:v>
                </c:pt>
                <c:pt idx="17">
                  <c:v>7.1244444444444457E-2</c:v>
                </c:pt>
                <c:pt idx="18">
                  <c:v>5.3433333333333333E-2</c:v>
                </c:pt>
                <c:pt idx="19">
                  <c:v>5.3433333333333333E-2</c:v>
                </c:pt>
                <c:pt idx="20">
                  <c:v>0.12467777777777779</c:v>
                </c:pt>
                <c:pt idx="21">
                  <c:v>5.3433333333333333E-2</c:v>
                </c:pt>
                <c:pt idx="22">
                  <c:v>3.5622222222222229E-2</c:v>
                </c:pt>
                <c:pt idx="23">
                  <c:v>3.5622222222222229E-2</c:v>
                </c:pt>
                <c:pt idx="24">
                  <c:v>5.3433333333333333E-2</c:v>
                </c:pt>
                <c:pt idx="25">
                  <c:v>0.62338888888888899</c:v>
                </c:pt>
                <c:pt idx="26">
                  <c:v>0.26716666666666661</c:v>
                </c:pt>
                <c:pt idx="27">
                  <c:v>0.23154444444444441</c:v>
                </c:pt>
                <c:pt idx="28">
                  <c:v>0.19592222222222222</c:v>
                </c:pt>
                <c:pt idx="29">
                  <c:v>1.1933444444444445</c:v>
                </c:pt>
                <c:pt idx="30">
                  <c:v>0.10686666666666667</c:v>
                </c:pt>
                <c:pt idx="31">
                  <c:v>8.9055555555555554E-2</c:v>
                </c:pt>
                <c:pt idx="32">
                  <c:v>3.5622222222222229E-2</c:v>
                </c:pt>
                <c:pt idx="33">
                  <c:v>5.3433333333333333E-2</c:v>
                </c:pt>
                <c:pt idx="34">
                  <c:v>7.1244444444444457E-2</c:v>
                </c:pt>
                <c:pt idx="35">
                  <c:v>8.9055555555555554E-2</c:v>
                </c:pt>
                <c:pt idx="36">
                  <c:v>0.12467777777777779</c:v>
                </c:pt>
                <c:pt idx="37">
                  <c:v>7.1244444444444457E-2</c:v>
                </c:pt>
                <c:pt idx="38">
                  <c:v>0.10686666666666667</c:v>
                </c:pt>
                <c:pt idx="39">
                  <c:v>3.5622222222222229E-2</c:v>
                </c:pt>
                <c:pt idx="40">
                  <c:v>19.253811111111112</c:v>
                </c:pt>
                <c:pt idx="41">
                  <c:v>0.51652222222222222</c:v>
                </c:pt>
                <c:pt idx="42">
                  <c:v>0.40965555555555555</c:v>
                </c:pt>
                <c:pt idx="43">
                  <c:v>3.8472000000000004</c:v>
                </c:pt>
                <c:pt idx="44">
                  <c:v>2.6894777777777779</c:v>
                </c:pt>
                <c:pt idx="45">
                  <c:v>27.660655555555561</c:v>
                </c:pt>
                <c:pt idx="46">
                  <c:v>0.30278888888888889</c:v>
                </c:pt>
                <c:pt idx="47">
                  <c:v>3.5622222222222229E-2</c:v>
                </c:pt>
                <c:pt idx="48">
                  <c:v>5.3433333333333333E-2</c:v>
                </c:pt>
                <c:pt idx="49">
                  <c:v>7.1244444444444457E-2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8-47D2-9735-6BB686DD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Sulphate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 val="autoZero"/>
        <c:crossBetween val="midCat"/>
      </c:valAx>
      <c:valAx>
        <c:axId val="872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Sulphide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vs sulphate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EAs!$F$2</c:f>
              <c:strCache>
                <c:ptCount val="1"/>
                <c:pt idx="0">
                  <c:v>methane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EAs!$D$5:$D$54</c:f>
              <c:numCache>
                <c:formatCode>0.0</c:formatCode>
                <c:ptCount val="50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  <c:pt idx="25">
                  <c:v>176</c:v>
                </c:pt>
                <c:pt idx="26">
                  <c:v>101</c:v>
                </c:pt>
                <c:pt idx="27">
                  <c:v>42</c:v>
                </c:pt>
                <c:pt idx="28">
                  <c:v>29</c:v>
                </c:pt>
                <c:pt idx="29">
                  <c:v>88</c:v>
                </c:pt>
                <c:pt idx="30">
                  <c:v>136</c:v>
                </c:pt>
                <c:pt idx="31">
                  <c:v>204</c:v>
                </c:pt>
                <c:pt idx="32">
                  <c:v>169</c:v>
                </c:pt>
                <c:pt idx="33">
                  <c:v>204</c:v>
                </c:pt>
                <c:pt idx="34">
                  <c:v>169</c:v>
                </c:pt>
                <c:pt idx="35">
                  <c:v>141</c:v>
                </c:pt>
                <c:pt idx="36">
                  <c:v>97</c:v>
                </c:pt>
                <c:pt idx="37">
                  <c:v>102</c:v>
                </c:pt>
                <c:pt idx="38">
                  <c:v>74</c:v>
                </c:pt>
                <c:pt idx="39">
                  <c:v>209</c:v>
                </c:pt>
                <c:pt idx="40">
                  <c:v>11</c:v>
                </c:pt>
                <c:pt idx="41">
                  <c:v>1.2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13.7</c:v>
                </c:pt>
                <c:pt idx="46">
                  <c:v>10</c:v>
                </c:pt>
                <c:pt idx="47">
                  <c:v>16</c:v>
                </c:pt>
                <c:pt idx="48">
                  <c:v>81</c:v>
                </c:pt>
                <c:pt idx="49">
                  <c:v>28</c:v>
                </c:pt>
              </c:numCache>
            </c:numRef>
          </c:xVal>
          <c:yVal>
            <c:numRef>
              <c:f>EAs!$F$5:$F$54</c:f>
              <c:numCache>
                <c:formatCode>0.0</c:formatCode>
                <c:ptCount val="50"/>
                <c:pt idx="0">
                  <c:v>1047.6268494764397</c:v>
                </c:pt>
                <c:pt idx="1">
                  <c:v>280.35698276614306</c:v>
                </c:pt>
                <c:pt idx="2">
                  <c:v>748.39467233856874</c:v>
                </c:pt>
                <c:pt idx="3">
                  <c:v>742.90993935427571</c:v>
                </c:pt>
                <c:pt idx="4">
                  <c:v>2022.2096247818497</c:v>
                </c:pt>
                <c:pt idx="5">
                  <c:v>200.41414288830714</c:v>
                </c:pt>
                <c:pt idx="6">
                  <c:v>122.34953839441535</c:v>
                </c:pt>
                <c:pt idx="7">
                  <c:v>214.54732853403144</c:v>
                </c:pt>
                <c:pt idx="8">
                  <c:v>91.05513743455495</c:v>
                </c:pt>
                <c:pt idx="9">
                  <c:v>8.0699847294938891</c:v>
                </c:pt>
                <c:pt idx="10">
                  <c:v>6.6780909031413618</c:v>
                </c:pt>
                <c:pt idx="11">
                  <c:v>5.7532563699825472</c:v>
                </c:pt>
                <c:pt idx="12">
                  <c:v>6.6195299520069808</c:v>
                </c:pt>
                <c:pt idx="13">
                  <c:v>6.2338846640488645</c:v>
                </c:pt>
                <c:pt idx="14">
                  <c:v>6.941615183246074</c:v>
                </c:pt>
                <c:pt idx="15">
                  <c:v>8.2842321116928428</c:v>
                </c:pt>
                <c:pt idx="16">
                  <c:v>4.3385094895287946</c:v>
                </c:pt>
                <c:pt idx="17">
                  <c:v>4.9262614746945905</c:v>
                </c:pt>
                <c:pt idx="18">
                  <c:v>4.6548814572425838</c:v>
                </c:pt>
                <c:pt idx="19">
                  <c:v>4.3120856457242569</c:v>
                </c:pt>
                <c:pt idx="20">
                  <c:v>4.6206018760907499</c:v>
                </c:pt>
                <c:pt idx="21">
                  <c:v>4.2406698516579402</c:v>
                </c:pt>
                <c:pt idx="22">
                  <c:v>1.5097298865619548</c:v>
                </c:pt>
                <c:pt idx="23">
                  <c:v>1.444027356020942</c:v>
                </c:pt>
                <c:pt idx="24">
                  <c:v>21.539003490401392</c:v>
                </c:pt>
                <c:pt idx="25">
                  <c:v>1.8668088568935424</c:v>
                </c:pt>
                <c:pt idx="26">
                  <c:v>1.4690228839441533</c:v>
                </c:pt>
                <c:pt idx="27">
                  <c:v>1.7268339005235598</c:v>
                </c:pt>
                <c:pt idx="28">
                  <c:v>0.90340979493891793</c:v>
                </c:pt>
                <c:pt idx="29">
                  <c:v>2.4502758944153578</c:v>
                </c:pt>
                <c:pt idx="30">
                  <c:v>912.20107918848146</c:v>
                </c:pt>
                <c:pt idx="31">
                  <c:v>15.235845506108204</c:v>
                </c:pt>
                <c:pt idx="32">
                  <c:v>3.9964278359511334</c:v>
                </c:pt>
                <c:pt idx="33">
                  <c:v>2.4731289485165791</c:v>
                </c:pt>
                <c:pt idx="34">
                  <c:v>2.2338860383944157</c:v>
                </c:pt>
                <c:pt idx="35">
                  <c:v>2.0396350785340314</c:v>
                </c:pt>
                <c:pt idx="36">
                  <c:v>2.5038377399650962</c:v>
                </c:pt>
                <c:pt idx="37">
                  <c:v>2.3124434118673647</c:v>
                </c:pt>
                <c:pt idx="38">
                  <c:v>1.3590425610820245</c:v>
                </c:pt>
                <c:pt idx="39">
                  <c:v>1.9817882853403139</c:v>
                </c:pt>
                <c:pt idx="40">
                  <c:v>102.24456404886561</c:v>
                </c:pt>
                <c:pt idx="41">
                  <c:v>55.040152486910976</c:v>
                </c:pt>
                <c:pt idx="42">
                  <c:v>305.7952886125654</c:v>
                </c:pt>
                <c:pt idx="43">
                  <c:v>347.80920026178006</c:v>
                </c:pt>
                <c:pt idx="44">
                  <c:v>389.07324607329838</c:v>
                </c:pt>
                <c:pt idx="45">
                  <c:v>41.79823595113438</c:v>
                </c:pt>
                <c:pt idx="46">
                  <c:v>75.343662739965083</c:v>
                </c:pt>
                <c:pt idx="47">
                  <c:v>58.449542495636997</c:v>
                </c:pt>
                <c:pt idx="48">
                  <c:v>148.35202901396158</c:v>
                </c:pt>
                <c:pt idx="49">
                  <c:v>125.85962467277484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C9D-80A6-6B9DFB24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Sulphate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 val="autoZero"/>
        <c:crossBetween val="midCat"/>
      </c:valAx>
      <c:valAx>
        <c:axId val="87252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Methane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Total archaea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type'!$AD$2</c:f>
              <c:strCache>
                <c:ptCount val="1"/>
                <c:pt idx="0">
                  <c:v>Total archaea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type'!$X$3:$X$11</c:f>
              <c:strCache>
                <c:ptCount val="9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very course sand</c:v>
                </c:pt>
                <c:pt idx="4">
                  <c:v>very course sand</c:v>
                </c:pt>
                <c:pt idx="5">
                  <c:v>course sand</c:v>
                </c:pt>
                <c:pt idx="6">
                  <c:v>moderately course sand</c:v>
                </c:pt>
                <c:pt idx="7">
                  <c:v>moderately course sand</c:v>
                </c:pt>
                <c:pt idx="8">
                  <c:v>very fine sand</c:v>
                </c:pt>
              </c:strCache>
            </c:strRef>
          </c:cat>
          <c:val>
            <c:numRef>
              <c:f>'All vs soil type'!$AD$3:$AD$11</c:f>
              <c:numCache>
                <c:formatCode>General</c:formatCode>
                <c:ptCount val="9"/>
                <c:pt idx="0">
                  <c:v>18439</c:v>
                </c:pt>
                <c:pt idx="1">
                  <c:v>7470</c:v>
                </c:pt>
                <c:pt idx="2">
                  <c:v>16618</c:v>
                </c:pt>
                <c:pt idx="3">
                  <c:v>1237084</c:v>
                </c:pt>
                <c:pt idx="4">
                  <c:v>33433</c:v>
                </c:pt>
                <c:pt idx="5">
                  <c:v>999</c:v>
                </c:pt>
                <c:pt idx="6">
                  <c:v>425667</c:v>
                </c:pt>
                <c:pt idx="7">
                  <c:v>101500</c:v>
                </c:pt>
                <c:pt idx="8">
                  <c:v>38261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041-9E15-F6632969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Sulphide vs iron (2+)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EAs!$E$2</c:f>
              <c:strCache>
                <c:ptCount val="1"/>
                <c:pt idx="0">
                  <c:v>Sulphide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EAs!$G$3:$G$54</c:f>
              <c:numCache>
                <c:formatCode>0.0</c:formatCode>
                <c:ptCount val="52"/>
                <c:pt idx="0">
                  <c:v>12.0744701119241</c:v>
                </c:pt>
                <c:pt idx="1">
                  <c:v>5.4826296935321297</c:v>
                </c:pt>
                <c:pt idx="2">
                  <c:v>2.87694866756945</c:v>
                </c:pt>
                <c:pt idx="3">
                  <c:v>3.24179532767866</c:v>
                </c:pt>
                <c:pt idx="4">
                  <c:v>2.9641369233805599</c:v>
                </c:pt>
                <c:pt idx="5">
                  <c:v>3.8366324151128102</c:v>
                </c:pt>
                <c:pt idx="6">
                  <c:v>1.1262627950833</c:v>
                </c:pt>
                <c:pt idx="7">
                  <c:v>1.12915831935543</c:v>
                </c:pt>
                <c:pt idx="8">
                  <c:v>0.156013410008567</c:v>
                </c:pt>
                <c:pt idx="9">
                  <c:v>5.0502472914271399</c:v>
                </c:pt>
                <c:pt idx="10">
                  <c:v>4.0728365462998503E-2</c:v>
                </c:pt>
                <c:pt idx="11">
                  <c:v>9.9684669011121899E-2</c:v>
                </c:pt>
                <c:pt idx="12">
                  <c:v>3.9949253808153902</c:v>
                </c:pt>
                <c:pt idx="13">
                  <c:v>2.3019177945171601</c:v>
                </c:pt>
                <c:pt idx="14">
                  <c:v>0.113612295106787</c:v>
                </c:pt>
                <c:pt idx="15">
                  <c:v>3.4858349749339501</c:v>
                </c:pt>
                <c:pt idx="16">
                  <c:v>3.1863076334926901</c:v>
                </c:pt>
                <c:pt idx="17">
                  <c:v>9.9551880568739506</c:v>
                </c:pt>
                <c:pt idx="18">
                  <c:v>9.5745828978454792</c:v>
                </c:pt>
                <c:pt idx="19">
                  <c:v>12.4930829277627</c:v>
                </c:pt>
                <c:pt idx="20">
                  <c:v>9.28571163287479</c:v>
                </c:pt>
                <c:pt idx="21">
                  <c:v>9.3655630683361597</c:v>
                </c:pt>
                <c:pt idx="22">
                  <c:v>10.230692226240899</c:v>
                </c:pt>
                <c:pt idx="23">
                  <c:v>8.2793653906467508</c:v>
                </c:pt>
                <c:pt idx="24">
                  <c:v>3.2365833105944701</c:v>
                </c:pt>
                <c:pt idx="25">
                  <c:v>2.9302530797751398</c:v>
                </c:pt>
                <c:pt idx="26">
                  <c:v>5.5635663777949604</c:v>
                </c:pt>
                <c:pt idx="27">
                  <c:v>11.082864877668699</c:v>
                </c:pt>
                <c:pt idx="28">
                  <c:v>6.8814461681478001</c:v>
                </c:pt>
                <c:pt idx="29">
                  <c:v>6.4321751667865703</c:v>
                </c:pt>
                <c:pt idx="30">
                  <c:v>4.6566704177515899</c:v>
                </c:pt>
                <c:pt idx="31">
                  <c:v>1.6005894160555101</c:v>
                </c:pt>
                <c:pt idx="32">
                  <c:v>2.0326463153345502</c:v>
                </c:pt>
                <c:pt idx="33">
                  <c:v>4.0587019959145696</c:v>
                </c:pt>
                <c:pt idx="34">
                  <c:v>14.889529466079001</c:v>
                </c:pt>
                <c:pt idx="35">
                  <c:v>15.026182223749601</c:v>
                </c:pt>
                <c:pt idx="36">
                  <c:v>11.6569911158049</c:v>
                </c:pt>
                <c:pt idx="37">
                  <c:v>9.0513954763816606</c:v>
                </c:pt>
                <c:pt idx="38">
                  <c:v>8.9653113300044396</c:v>
                </c:pt>
                <c:pt idx="39">
                  <c:v>10.7675128515474</c:v>
                </c:pt>
                <c:pt idx="40">
                  <c:v>6.18194213218543</c:v>
                </c:pt>
                <c:pt idx="41">
                  <c:v>8.5161466416858307</c:v>
                </c:pt>
                <c:pt idx="42">
                  <c:v>2.7283535104929601E-2</c:v>
                </c:pt>
                <c:pt idx="43">
                  <c:v>1.0927633839825399</c:v>
                </c:pt>
                <c:pt idx="44">
                  <c:v>0.61339781005528504</c:v>
                </c:pt>
                <c:pt idx="45">
                  <c:v>0.45767494549029902</c:v>
                </c:pt>
                <c:pt idx="46">
                  <c:v>0.6288479208094</c:v>
                </c:pt>
                <c:pt idx="47">
                  <c:v>2.0818129596617899E-2</c:v>
                </c:pt>
                <c:pt idx="48">
                  <c:v>2.2401960591924999</c:v>
                </c:pt>
                <c:pt idx="49">
                  <c:v>6.5133711426805201</c:v>
                </c:pt>
                <c:pt idx="50">
                  <c:v>7.3592826012287098</c:v>
                </c:pt>
                <c:pt idx="51">
                  <c:v>7.56683640329714</c:v>
                </c:pt>
              </c:numCache>
            </c:numRef>
          </c:xVal>
          <c:yVal>
            <c:numRef>
              <c:f>EAs!$E$3:$E$54</c:f>
              <c:numCache>
                <c:formatCode>0.0</c:formatCode>
                <c:ptCount val="52"/>
                <c:pt idx="0">
                  <c:v>0.10686666666666667</c:v>
                </c:pt>
                <c:pt idx="1">
                  <c:v>0.28497777777777783</c:v>
                </c:pt>
                <c:pt idx="2">
                  <c:v>0.39184444444444444</c:v>
                </c:pt>
                <c:pt idx="3">
                  <c:v>0.12467777777777779</c:v>
                </c:pt>
                <c:pt idx="4">
                  <c:v>8.9055555555555554E-2</c:v>
                </c:pt>
                <c:pt idx="5">
                  <c:v>7.1244444444444457E-2</c:v>
                </c:pt>
                <c:pt idx="6">
                  <c:v>3.5622222222222229E-2</c:v>
                </c:pt>
                <c:pt idx="7">
                  <c:v>0.30278888888888889</c:v>
                </c:pt>
                <c:pt idx="8">
                  <c:v>6.4476222222222228</c:v>
                </c:pt>
                <c:pt idx="9">
                  <c:v>7.1244444444444457E-2</c:v>
                </c:pt>
                <c:pt idx="10">
                  <c:v>9.4755111111111106</c:v>
                </c:pt>
                <c:pt idx="11">
                  <c:v>20.518399999999996</c:v>
                </c:pt>
                <c:pt idx="12">
                  <c:v>0.83712222222222221</c:v>
                </c:pt>
                <c:pt idx="13">
                  <c:v>5.3433333333333333E-2</c:v>
                </c:pt>
                <c:pt idx="14">
                  <c:v>15.477855555555553</c:v>
                </c:pt>
                <c:pt idx="15">
                  <c:v>7.1244444444444457E-2</c:v>
                </c:pt>
                <c:pt idx="16">
                  <c:v>4.9514888888888899</c:v>
                </c:pt>
                <c:pt idx="17">
                  <c:v>5.3433333333333333E-2</c:v>
                </c:pt>
                <c:pt idx="18">
                  <c:v>5.3433333333333333E-2</c:v>
                </c:pt>
                <c:pt idx="19">
                  <c:v>7.1244444444444457E-2</c:v>
                </c:pt>
                <c:pt idx="20">
                  <c:v>5.3433333333333333E-2</c:v>
                </c:pt>
                <c:pt idx="21">
                  <c:v>5.3433333333333333E-2</c:v>
                </c:pt>
                <c:pt idx="22">
                  <c:v>0.12467777777777779</c:v>
                </c:pt>
                <c:pt idx="23">
                  <c:v>5.3433333333333333E-2</c:v>
                </c:pt>
                <c:pt idx="24">
                  <c:v>3.5622222222222229E-2</c:v>
                </c:pt>
                <c:pt idx="25">
                  <c:v>3.5622222222222229E-2</c:v>
                </c:pt>
                <c:pt idx="26">
                  <c:v>5.3433333333333333E-2</c:v>
                </c:pt>
                <c:pt idx="27">
                  <c:v>0.62338888888888899</c:v>
                </c:pt>
                <c:pt idx="28">
                  <c:v>0.26716666666666661</c:v>
                </c:pt>
                <c:pt idx="29">
                  <c:v>0.23154444444444441</c:v>
                </c:pt>
                <c:pt idx="30">
                  <c:v>0.19592222222222222</c:v>
                </c:pt>
                <c:pt idx="31">
                  <c:v>1.1933444444444445</c:v>
                </c:pt>
                <c:pt idx="32">
                  <c:v>0.10686666666666667</c:v>
                </c:pt>
                <c:pt idx="33">
                  <c:v>8.9055555555555554E-2</c:v>
                </c:pt>
                <c:pt idx="34">
                  <c:v>3.5622222222222229E-2</c:v>
                </c:pt>
                <c:pt idx="35">
                  <c:v>5.3433333333333333E-2</c:v>
                </c:pt>
                <c:pt idx="36">
                  <c:v>7.1244444444444457E-2</c:v>
                </c:pt>
                <c:pt idx="37">
                  <c:v>8.9055555555555554E-2</c:v>
                </c:pt>
                <c:pt idx="38">
                  <c:v>0.12467777777777779</c:v>
                </c:pt>
                <c:pt idx="39">
                  <c:v>7.1244444444444457E-2</c:v>
                </c:pt>
                <c:pt idx="40">
                  <c:v>0.10686666666666667</c:v>
                </c:pt>
                <c:pt idx="41">
                  <c:v>3.5622222222222229E-2</c:v>
                </c:pt>
                <c:pt idx="42">
                  <c:v>19.253811111111112</c:v>
                </c:pt>
                <c:pt idx="43">
                  <c:v>0.51652222222222222</c:v>
                </c:pt>
                <c:pt idx="44">
                  <c:v>0.40965555555555555</c:v>
                </c:pt>
                <c:pt idx="45">
                  <c:v>3.8472000000000004</c:v>
                </c:pt>
                <c:pt idx="46">
                  <c:v>2.6894777777777779</c:v>
                </c:pt>
                <c:pt idx="47">
                  <c:v>27.660655555555561</c:v>
                </c:pt>
                <c:pt idx="48">
                  <c:v>0.30278888888888889</c:v>
                </c:pt>
                <c:pt idx="49">
                  <c:v>3.5622222222222229E-2</c:v>
                </c:pt>
                <c:pt idx="50">
                  <c:v>5.3433333333333333E-2</c:v>
                </c:pt>
                <c:pt idx="51">
                  <c:v>7.1244444444444457E-2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1-4976-9731-214FAF6A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Iron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 val="autoZero"/>
        <c:crossBetween val="midCat"/>
      </c:valAx>
      <c:valAx>
        <c:axId val="872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Sulphide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vs sulphate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7805430444673"/>
          <c:y val="0.15353296530868424"/>
          <c:w val="0.79650439189288735"/>
          <c:h val="0.6533418279286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EAs!$F$2</c:f>
              <c:strCache>
                <c:ptCount val="1"/>
                <c:pt idx="0">
                  <c:v>methane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C99FF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EAs!$D$5:$D$54</c:f>
              <c:numCache>
                <c:formatCode>0.0</c:formatCode>
                <c:ptCount val="50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  <c:pt idx="25">
                  <c:v>176</c:v>
                </c:pt>
                <c:pt idx="26">
                  <c:v>101</c:v>
                </c:pt>
                <c:pt idx="27">
                  <c:v>42</c:v>
                </c:pt>
                <c:pt idx="28">
                  <c:v>29</c:v>
                </c:pt>
                <c:pt idx="29">
                  <c:v>88</c:v>
                </c:pt>
                <c:pt idx="30">
                  <c:v>136</c:v>
                </c:pt>
                <c:pt idx="31">
                  <c:v>204</c:v>
                </c:pt>
                <c:pt idx="32">
                  <c:v>169</c:v>
                </c:pt>
                <c:pt idx="33">
                  <c:v>204</c:v>
                </c:pt>
                <c:pt idx="34">
                  <c:v>169</c:v>
                </c:pt>
                <c:pt idx="35">
                  <c:v>141</c:v>
                </c:pt>
                <c:pt idx="36">
                  <c:v>97</c:v>
                </c:pt>
                <c:pt idx="37">
                  <c:v>102</c:v>
                </c:pt>
                <c:pt idx="38">
                  <c:v>74</c:v>
                </c:pt>
                <c:pt idx="39">
                  <c:v>209</c:v>
                </c:pt>
                <c:pt idx="40">
                  <c:v>11</c:v>
                </c:pt>
                <c:pt idx="41">
                  <c:v>1.2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13.7</c:v>
                </c:pt>
                <c:pt idx="46">
                  <c:v>10</c:v>
                </c:pt>
                <c:pt idx="47">
                  <c:v>16</c:v>
                </c:pt>
                <c:pt idx="48">
                  <c:v>81</c:v>
                </c:pt>
                <c:pt idx="49">
                  <c:v>28</c:v>
                </c:pt>
              </c:numCache>
            </c:numRef>
          </c:xVal>
          <c:yVal>
            <c:numRef>
              <c:f>EAs!$F$5:$F$54</c:f>
              <c:numCache>
                <c:formatCode>0.0</c:formatCode>
                <c:ptCount val="50"/>
                <c:pt idx="0">
                  <c:v>1047.6268494764397</c:v>
                </c:pt>
                <c:pt idx="1">
                  <c:v>280.35698276614306</c:v>
                </c:pt>
                <c:pt idx="2">
                  <c:v>748.39467233856874</c:v>
                </c:pt>
                <c:pt idx="3">
                  <c:v>742.90993935427571</c:v>
                </c:pt>
                <c:pt idx="4">
                  <c:v>2022.2096247818497</c:v>
                </c:pt>
                <c:pt idx="5">
                  <c:v>200.41414288830714</c:v>
                </c:pt>
                <c:pt idx="6">
                  <c:v>122.34953839441535</c:v>
                </c:pt>
                <c:pt idx="7">
                  <c:v>214.54732853403144</c:v>
                </c:pt>
                <c:pt idx="8">
                  <c:v>91.05513743455495</c:v>
                </c:pt>
                <c:pt idx="9">
                  <c:v>8.0699847294938891</c:v>
                </c:pt>
                <c:pt idx="10">
                  <c:v>6.6780909031413618</c:v>
                </c:pt>
                <c:pt idx="11">
                  <c:v>5.7532563699825472</c:v>
                </c:pt>
                <c:pt idx="12">
                  <c:v>6.6195299520069808</c:v>
                </c:pt>
                <c:pt idx="13">
                  <c:v>6.2338846640488645</c:v>
                </c:pt>
                <c:pt idx="14">
                  <c:v>6.941615183246074</c:v>
                </c:pt>
                <c:pt idx="15">
                  <c:v>8.2842321116928428</c:v>
                </c:pt>
                <c:pt idx="16">
                  <c:v>4.3385094895287946</c:v>
                </c:pt>
                <c:pt idx="17">
                  <c:v>4.9262614746945905</c:v>
                </c:pt>
                <c:pt idx="18">
                  <c:v>4.6548814572425838</c:v>
                </c:pt>
                <c:pt idx="19">
                  <c:v>4.3120856457242569</c:v>
                </c:pt>
                <c:pt idx="20">
                  <c:v>4.6206018760907499</c:v>
                </c:pt>
                <c:pt idx="21">
                  <c:v>4.2406698516579402</c:v>
                </c:pt>
                <c:pt idx="22">
                  <c:v>1.5097298865619548</c:v>
                </c:pt>
                <c:pt idx="23">
                  <c:v>1.444027356020942</c:v>
                </c:pt>
                <c:pt idx="24">
                  <c:v>21.539003490401392</c:v>
                </c:pt>
                <c:pt idx="25">
                  <c:v>1.8668088568935424</c:v>
                </c:pt>
                <c:pt idx="26">
                  <c:v>1.4690228839441533</c:v>
                </c:pt>
                <c:pt idx="27">
                  <c:v>1.7268339005235598</c:v>
                </c:pt>
                <c:pt idx="28">
                  <c:v>0.90340979493891793</c:v>
                </c:pt>
                <c:pt idx="29">
                  <c:v>2.4502758944153578</c:v>
                </c:pt>
                <c:pt idx="30">
                  <c:v>912.20107918848146</c:v>
                </c:pt>
                <c:pt idx="31">
                  <c:v>15.235845506108204</c:v>
                </c:pt>
                <c:pt idx="32">
                  <c:v>3.9964278359511334</c:v>
                </c:pt>
                <c:pt idx="33">
                  <c:v>2.4731289485165791</c:v>
                </c:pt>
                <c:pt idx="34">
                  <c:v>2.2338860383944157</c:v>
                </c:pt>
                <c:pt idx="35">
                  <c:v>2.0396350785340314</c:v>
                </c:pt>
                <c:pt idx="36">
                  <c:v>2.5038377399650962</c:v>
                </c:pt>
                <c:pt idx="37">
                  <c:v>2.3124434118673647</c:v>
                </c:pt>
                <c:pt idx="38">
                  <c:v>1.3590425610820245</c:v>
                </c:pt>
                <c:pt idx="39">
                  <c:v>1.9817882853403139</c:v>
                </c:pt>
                <c:pt idx="40">
                  <c:v>102.24456404886561</c:v>
                </c:pt>
                <c:pt idx="41">
                  <c:v>55.040152486910976</c:v>
                </c:pt>
                <c:pt idx="42">
                  <c:v>305.7952886125654</c:v>
                </c:pt>
                <c:pt idx="43">
                  <c:v>347.80920026178006</c:v>
                </c:pt>
                <c:pt idx="44">
                  <c:v>389.07324607329838</c:v>
                </c:pt>
                <c:pt idx="45">
                  <c:v>41.79823595113438</c:v>
                </c:pt>
                <c:pt idx="46">
                  <c:v>75.343662739965083</c:v>
                </c:pt>
                <c:pt idx="47">
                  <c:v>58.449542495636997</c:v>
                </c:pt>
                <c:pt idx="48">
                  <c:v>148.35202901396158</c:v>
                </c:pt>
                <c:pt idx="49">
                  <c:v>125.85962467277484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4-4BFC-A128-36C256E8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SO4 (mg/L)</a:t>
                </a:r>
              </a:p>
            </c:rich>
          </c:tx>
          <c:layout>
            <c:manualLayout>
              <c:xMode val="edge"/>
              <c:yMode val="edge"/>
              <c:x val="0.41516166329102988"/>
              <c:y val="0.9064764492753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 val="autoZero"/>
        <c:crossBetween val="midCat"/>
      </c:valAx>
      <c:valAx>
        <c:axId val="8725275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CH4 (ug/L)</a:t>
                </a:r>
              </a:p>
            </c:rich>
          </c:tx>
          <c:layout>
            <c:manualLayout>
              <c:xMode val="edge"/>
              <c:yMode val="edge"/>
              <c:x val="5.5001281623708693E-3"/>
              <c:y val="0.3379742953326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vs iron (II)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0676926142933"/>
          <c:y val="0.14900397980143787"/>
          <c:w val="0.80066913753923963"/>
          <c:h val="0.65889107611548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EAs!$F$2</c:f>
              <c:strCache>
                <c:ptCount val="1"/>
                <c:pt idx="0">
                  <c:v>methane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EAs!$G$5:$G$54</c:f>
              <c:numCache>
                <c:formatCode>0.0</c:formatCode>
                <c:ptCount val="50"/>
                <c:pt idx="0">
                  <c:v>2.87694866756945</c:v>
                </c:pt>
                <c:pt idx="1">
                  <c:v>3.24179532767866</c:v>
                </c:pt>
                <c:pt idx="2">
                  <c:v>2.9641369233805599</c:v>
                </c:pt>
                <c:pt idx="3">
                  <c:v>3.8366324151128102</c:v>
                </c:pt>
                <c:pt idx="4">
                  <c:v>1.1262627950833</c:v>
                </c:pt>
                <c:pt idx="5">
                  <c:v>1.12915831935543</c:v>
                </c:pt>
                <c:pt idx="6">
                  <c:v>0.156013410008567</c:v>
                </c:pt>
                <c:pt idx="7">
                  <c:v>5.0502472914271399</c:v>
                </c:pt>
                <c:pt idx="8">
                  <c:v>4.0728365462998503E-2</c:v>
                </c:pt>
                <c:pt idx="9">
                  <c:v>9.9684669011121899E-2</c:v>
                </c:pt>
                <c:pt idx="10">
                  <c:v>3.9949253808153902</c:v>
                </c:pt>
                <c:pt idx="11">
                  <c:v>2.3019177945171601</c:v>
                </c:pt>
                <c:pt idx="12">
                  <c:v>0.113612295106787</c:v>
                </c:pt>
                <c:pt idx="13">
                  <c:v>3.4858349749339501</c:v>
                </c:pt>
                <c:pt idx="14">
                  <c:v>3.1863076334926901</c:v>
                </c:pt>
                <c:pt idx="15">
                  <c:v>9.9551880568739506</c:v>
                </c:pt>
                <c:pt idx="16">
                  <c:v>9.5745828978454792</c:v>
                </c:pt>
                <c:pt idx="17">
                  <c:v>12.4930829277627</c:v>
                </c:pt>
                <c:pt idx="18">
                  <c:v>9.28571163287479</c:v>
                </c:pt>
                <c:pt idx="19">
                  <c:v>9.3655630683361597</c:v>
                </c:pt>
                <c:pt idx="20">
                  <c:v>10.230692226240899</c:v>
                </c:pt>
                <c:pt idx="21">
                  <c:v>8.2793653906467508</c:v>
                </c:pt>
                <c:pt idx="22">
                  <c:v>3.2365833105944701</c:v>
                </c:pt>
                <c:pt idx="23">
                  <c:v>2.9302530797751398</c:v>
                </c:pt>
                <c:pt idx="24">
                  <c:v>5.5635663777949604</c:v>
                </c:pt>
                <c:pt idx="25">
                  <c:v>11.082864877668699</c:v>
                </c:pt>
                <c:pt idx="26">
                  <c:v>6.8814461681478001</c:v>
                </c:pt>
                <c:pt idx="27">
                  <c:v>6.4321751667865703</c:v>
                </c:pt>
                <c:pt idx="28">
                  <c:v>4.6566704177515899</c:v>
                </c:pt>
                <c:pt idx="29">
                  <c:v>1.6005894160555101</c:v>
                </c:pt>
                <c:pt idx="30">
                  <c:v>2.0326463153345502</c:v>
                </c:pt>
                <c:pt idx="31">
                  <c:v>4.0587019959145696</c:v>
                </c:pt>
                <c:pt idx="32">
                  <c:v>14.889529466079001</c:v>
                </c:pt>
                <c:pt idx="33">
                  <c:v>15.026182223749601</c:v>
                </c:pt>
                <c:pt idx="34">
                  <c:v>11.6569911158049</c:v>
                </c:pt>
                <c:pt idx="35">
                  <c:v>9.0513954763816606</c:v>
                </c:pt>
                <c:pt idx="36">
                  <c:v>8.9653113300044396</c:v>
                </c:pt>
                <c:pt idx="37">
                  <c:v>10.7675128515474</c:v>
                </c:pt>
                <c:pt idx="38">
                  <c:v>6.18194213218543</c:v>
                </c:pt>
                <c:pt idx="39">
                  <c:v>8.5161466416858307</c:v>
                </c:pt>
                <c:pt idx="40">
                  <c:v>2.7283535104929601E-2</c:v>
                </c:pt>
                <c:pt idx="41">
                  <c:v>1.0927633839825399</c:v>
                </c:pt>
                <c:pt idx="42">
                  <c:v>0.61339781005528504</c:v>
                </c:pt>
                <c:pt idx="43">
                  <c:v>0.45767494549029902</c:v>
                </c:pt>
                <c:pt idx="44">
                  <c:v>0.6288479208094</c:v>
                </c:pt>
                <c:pt idx="45">
                  <c:v>2.0818129596617899E-2</c:v>
                </c:pt>
                <c:pt idx="46">
                  <c:v>2.2401960591924999</c:v>
                </c:pt>
                <c:pt idx="47">
                  <c:v>6.5133711426805201</c:v>
                </c:pt>
                <c:pt idx="48">
                  <c:v>7.3592826012287098</c:v>
                </c:pt>
                <c:pt idx="49">
                  <c:v>7.56683640329714</c:v>
                </c:pt>
              </c:numCache>
            </c:numRef>
          </c:xVal>
          <c:yVal>
            <c:numRef>
              <c:f>EAs!$F$5:$F$54</c:f>
              <c:numCache>
                <c:formatCode>0.0</c:formatCode>
                <c:ptCount val="50"/>
                <c:pt idx="0">
                  <c:v>1047.6268494764397</c:v>
                </c:pt>
                <c:pt idx="1">
                  <c:v>280.35698276614306</c:v>
                </c:pt>
                <c:pt idx="2">
                  <c:v>748.39467233856874</c:v>
                </c:pt>
                <c:pt idx="3">
                  <c:v>742.90993935427571</c:v>
                </c:pt>
                <c:pt idx="4">
                  <c:v>2022.2096247818497</c:v>
                </c:pt>
                <c:pt idx="5">
                  <c:v>200.41414288830714</c:v>
                </c:pt>
                <c:pt idx="6">
                  <c:v>122.34953839441535</c:v>
                </c:pt>
                <c:pt idx="7">
                  <c:v>214.54732853403144</c:v>
                </c:pt>
                <c:pt idx="8">
                  <c:v>91.05513743455495</c:v>
                </c:pt>
                <c:pt idx="9">
                  <c:v>8.0699847294938891</c:v>
                </c:pt>
                <c:pt idx="10">
                  <c:v>6.6780909031413618</c:v>
                </c:pt>
                <c:pt idx="11">
                  <c:v>5.7532563699825472</c:v>
                </c:pt>
                <c:pt idx="12">
                  <c:v>6.6195299520069808</c:v>
                </c:pt>
                <c:pt idx="13">
                  <c:v>6.2338846640488645</c:v>
                </c:pt>
                <c:pt idx="14">
                  <c:v>6.941615183246074</c:v>
                </c:pt>
                <c:pt idx="15">
                  <c:v>8.2842321116928428</c:v>
                </c:pt>
                <c:pt idx="16">
                  <c:v>4.3385094895287946</c:v>
                </c:pt>
                <c:pt idx="17">
                  <c:v>4.9262614746945905</c:v>
                </c:pt>
                <c:pt idx="18">
                  <c:v>4.6548814572425838</c:v>
                </c:pt>
                <c:pt idx="19">
                  <c:v>4.3120856457242569</c:v>
                </c:pt>
                <c:pt idx="20">
                  <c:v>4.6206018760907499</c:v>
                </c:pt>
                <c:pt idx="21">
                  <c:v>4.2406698516579402</c:v>
                </c:pt>
                <c:pt idx="22">
                  <c:v>1.5097298865619548</c:v>
                </c:pt>
                <c:pt idx="23">
                  <c:v>1.444027356020942</c:v>
                </c:pt>
                <c:pt idx="24">
                  <c:v>21.539003490401392</c:v>
                </c:pt>
                <c:pt idx="25">
                  <c:v>1.8668088568935424</c:v>
                </c:pt>
                <c:pt idx="26">
                  <c:v>1.4690228839441533</c:v>
                </c:pt>
                <c:pt idx="27">
                  <c:v>1.7268339005235598</c:v>
                </c:pt>
                <c:pt idx="28">
                  <c:v>0.90340979493891793</c:v>
                </c:pt>
                <c:pt idx="29">
                  <c:v>2.4502758944153578</c:v>
                </c:pt>
                <c:pt idx="30">
                  <c:v>912.20107918848146</c:v>
                </c:pt>
                <c:pt idx="31">
                  <c:v>15.235845506108204</c:v>
                </c:pt>
                <c:pt idx="32">
                  <c:v>3.9964278359511334</c:v>
                </c:pt>
                <c:pt idx="33">
                  <c:v>2.4731289485165791</c:v>
                </c:pt>
                <c:pt idx="34">
                  <c:v>2.2338860383944157</c:v>
                </c:pt>
                <c:pt idx="35">
                  <c:v>2.0396350785340314</c:v>
                </c:pt>
                <c:pt idx="36">
                  <c:v>2.5038377399650962</c:v>
                </c:pt>
                <c:pt idx="37">
                  <c:v>2.3124434118673647</c:v>
                </c:pt>
                <c:pt idx="38">
                  <c:v>1.3590425610820245</c:v>
                </c:pt>
                <c:pt idx="39">
                  <c:v>1.9817882853403139</c:v>
                </c:pt>
                <c:pt idx="40">
                  <c:v>102.24456404886561</c:v>
                </c:pt>
                <c:pt idx="41">
                  <c:v>55.040152486910976</c:v>
                </c:pt>
                <c:pt idx="42">
                  <c:v>305.7952886125654</c:v>
                </c:pt>
                <c:pt idx="43">
                  <c:v>347.80920026178006</c:v>
                </c:pt>
                <c:pt idx="44">
                  <c:v>389.07324607329838</c:v>
                </c:pt>
                <c:pt idx="45">
                  <c:v>41.79823595113438</c:v>
                </c:pt>
                <c:pt idx="46">
                  <c:v>75.343662739965083</c:v>
                </c:pt>
                <c:pt idx="47">
                  <c:v>58.449542495636997</c:v>
                </c:pt>
                <c:pt idx="48">
                  <c:v>148.35202901396158</c:v>
                </c:pt>
                <c:pt idx="49">
                  <c:v>125.85962467277484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A-4935-A789-98DA1CD3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Fe(II) (mg/L)</a:t>
                </a:r>
              </a:p>
            </c:rich>
          </c:tx>
          <c:layout>
            <c:manualLayout>
              <c:xMode val="edge"/>
              <c:yMode val="edge"/>
              <c:x val="0.41175717336677903"/>
              <c:y val="0.9064764492753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At val="1"/>
        <c:crossBetween val="midCat"/>
      </c:valAx>
      <c:valAx>
        <c:axId val="8725275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CH4 (ug/L)</a:t>
                </a:r>
              </a:p>
            </c:rich>
          </c:tx>
          <c:layout>
            <c:manualLayout>
              <c:xMode val="edge"/>
              <c:yMode val="edge"/>
              <c:x val="8.2848384649455552E-3"/>
              <c:y val="0.3470322663471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Sulphide vs iron (2+)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1355065913182"/>
          <c:y val="0.15083558891076115"/>
          <c:w val="0.67324511663279019"/>
          <c:h val="0.58894493657042879"/>
        </c:manualLayout>
      </c:layout>
      <c:scatterChart>
        <c:scatterStyle val="lineMarker"/>
        <c:varyColors val="0"/>
        <c:ser>
          <c:idx val="0"/>
          <c:order val="1"/>
          <c:tx>
            <c:strRef>
              <c:f>EAs!$E$2</c:f>
              <c:strCache>
                <c:ptCount val="1"/>
                <c:pt idx="0">
                  <c:v>Sulphide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EAs!$G$3:$G$54</c:f>
              <c:numCache>
                <c:formatCode>0.0</c:formatCode>
                <c:ptCount val="52"/>
                <c:pt idx="0">
                  <c:v>12.0744701119241</c:v>
                </c:pt>
                <c:pt idx="1">
                  <c:v>5.4826296935321297</c:v>
                </c:pt>
                <c:pt idx="2">
                  <c:v>2.87694866756945</c:v>
                </c:pt>
                <c:pt idx="3">
                  <c:v>3.24179532767866</c:v>
                </c:pt>
                <c:pt idx="4">
                  <c:v>2.9641369233805599</c:v>
                </c:pt>
                <c:pt idx="5">
                  <c:v>3.8366324151128102</c:v>
                </c:pt>
                <c:pt idx="6">
                  <c:v>1.1262627950833</c:v>
                </c:pt>
                <c:pt idx="7">
                  <c:v>1.12915831935543</c:v>
                </c:pt>
                <c:pt idx="8">
                  <c:v>0.156013410008567</c:v>
                </c:pt>
                <c:pt idx="9">
                  <c:v>5.0502472914271399</c:v>
                </c:pt>
                <c:pt idx="10">
                  <c:v>4.0728365462998503E-2</c:v>
                </c:pt>
                <c:pt idx="11">
                  <c:v>9.9684669011121899E-2</c:v>
                </c:pt>
                <c:pt idx="12">
                  <c:v>3.9949253808153902</c:v>
                </c:pt>
                <c:pt idx="13">
                  <c:v>2.3019177945171601</c:v>
                </c:pt>
                <c:pt idx="14">
                  <c:v>0.113612295106787</c:v>
                </c:pt>
                <c:pt idx="15">
                  <c:v>3.4858349749339501</c:v>
                </c:pt>
                <c:pt idx="16">
                  <c:v>3.1863076334926901</c:v>
                </c:pt>
                <c:pt idx="17">
                  <c:v>9.9551880568739506</c:v>
                </c:pt>
                <c:pt idx="18">
                  <c:v>9.5745828978454792</c:v>
                </c:pt>
                <c:pt idx="19">
                  <c:v>12.4930829277627</c:v>
                </c:pt>
                <c:pt idx="20">
                  <c:v>9.28571163287479</c:v>
                </c:pt>
                <c:pt idx="21">
                  <c:v>9.3655630683361597</c:v>
                </c:pt>
                <c:pt idx="22">
                  <c:v>10.230692226240899</c:v>
                </c:pt>
                <c:pt idx="23">
                  <c:v>8.2793653906467508</c:v>
                </c:pt>
                <c:pt idx="24">
                  <c:v>3.2365833105944701</c:v>
                </c:pt>
                <c:pt idx="25">
                  <c:v>2.9302530797751398</c:v>
                </c:pt>
                <c:pt idx="26">
                  <c:v>5.5635663777949604</c:v>
                </c:pt>
                <c:pt idx="27">
                  <c:v>11.082864877668699</c:v>
                </c:pt>
                <c:pt idx="28">
                  <c:v>6.8814461681478001</c:v>
                </c:pt>
                <c:pt idx="29">
                  <c:v>6.4321751667865703</c:v>
                </c:pt>
                <c:pt idx="30">
                  <c:v>4.6566704177515899</c:v>
                </c:pt>
                <c:pt idx="31">
                  <c:v>1.6005894160555101</c:v>
                </c:pt>
                <c:pt idx="32">
                  <c:v>2.0326463153345502</c:v>
                </c:pt>
                <c:pt idx="33">
                  <c:v>4.0587019959145696</c:v>
                </c:pt>
                <c:pt idx="34">
                  <c:v>14.889529466079001</c:v>
                </c:pt>
                <c:pt idx="35">
                  <c:v>15.026182223749601</c:v>
                </c:pt>
                <c:pt idx="36">
                  <c:v>11.6569911158049</c:v>
                </c:pt>
                <c:pt idx="37">
                  <c:v>9.0513954763816606</c:v>
                </c:pt>
                <c:pt idx="38">
                  <c:v>8.9653113300044396</c:v>
                </c:pt>
                <c:pt idx="39">
                  <c:v>10.7675128515474</c:v>
                </c:pt>
                <c:pt idx="40">
                  <c:v>6.18194213218543</c:v>
                </c:pt>
                <c:pt idx="41">
                  <c:v>8.5161466416858307</c:v>
                </c:pt>
                <c:pt idx="42">
                  <c:v>2.7283535104929601E-2</c:v>
                </c:pt>
                <c:pt idx="43">
                  <c:v>1.0927633839825399</c:v>
                </c:pt>
                <c:pt idx="44">
                  <c:v>0.61339781005528504</c:v>
                </c:pt>
                <c:pt idx="45">
                  <c:v>0.45767494549029902</c:v>
                </c:pt>
                <c:pt idx="46">
                  <c:v>0.6288479208094</c:v>
                </c:pt>
                <c:pt idx="47">
                  <c:v>2.0818129596617899E-2</c:v>
                </c:pt>
                <c:pt idx="48">
                  <c:v>2.2401960591924999</c:v>
                </c:pt>
                <c:pt idx="49">
                  <c:v>6.5133711426805201</c:v>
                </c:pt>
                <c:pt idx="50">
                  <c:v>7.3592826012287098</c:v>
                </c:pt>
                <c:pt idx="51">
                  <c:v>7.56683640329714</c:v>
                </c:pt>
              </c:numCache>
            </c:numRef>
          </c:xVal>
          <c:yVal>
            <c:numRef>
              <c:f>EAs!$E$3:$E$54</c:f>
              <c:numCache>
                <c:formatCode>0.0</c:formatCode>
                <c:ptCount val="52"/>
                <c:pt idx="0">
                  <c:v>0.10686666666666667</c:v>
                </c:pt>
                <c:pt idx="1">
                  <c:v>0.28497777777777783</c:v>
                </c:pt>
                <c:pt idx="2">
                  <c:v>0.39184444444444444</c:v>
                </c:pt>
                <c:pt idx="3">
                  <c:v>0.12467777777777779</c:v>
                </c:pt>
                <c:pt idx="4">
                  <c:v>8.9055555555555554E-2</c:v>
                </c:pt>
                <c:pt idx="5">
                  <c:v>7.1244444444444457E-2</c:v>
                </c:pt>
                <c:pt idx="6">
                  <c:v>3.5622222222222229E-2</c:v>
                </c:pt>
                <c:pt idx="7">
                  <c:v>0.30278888888888889</c:v>
                </c:pt>
                <c:pt idx="8">
                  <c:v>6.4476222222222228</c:v>
                </c:pt>
                <c:pt idx="9">
                  <c:v>7.1244444444444457E-2</c:v>
                </c:pt>
                <c:pt idx="10">
                  <c:v>9.4755111111111106</c:v>
                </c:pt>
                <c:pt idx="11">
                  <c:v>20.518399999999996</c:v>
                </c:pt>
                <c:pt idx="12">
                  <c:v>0.83712222222222221</c:v>
                </c:pt>
                <c:pt idx="13">
                  <c:v>5.3433333333333333E-2</c:v>
                </c:pt>
                <c:pt idx="14">
                  <c:v>15.477855555555553</c:v>
                </c:pt>
                <c:pt idx="15">
                  <c:v>7.1244444444444457E-2</c:v>
                </c:pt>
                <c:pt idx="16">
                  <c:v>4.9514888888888899</c:v>
                </c:pt>
                <c:pt idx="17">
                  <c:v>5.3433333333333333E-2</c:v>
                </c:pt>
                <c:pt idx="18">
                  <c:v>5.3433333333333333E-2</c:v>
                </c:pt>
                <c:pt idx="19">
                  <c:v>7.1244444444444457E-2</c:v>
                </c:pt>
                <c:pt idx="20">
                  <c:v>5.3433333333333333E-2</c:v>
                </c:pt>
                <c:pt idx="21">
                  <c:v>5.3433333333333333E-2</c:v>
                </c:pt>
                <c:pt idx="22">
                  <c:v>0.12467777777777779</c:v>
                </c:pt>
                <c:pt idx="23">
                  <c:v>5.3433333333333333E-2</c:v>
                </c:pt>
                <c:pt idx="24">
                  <c:v>3.5622222222222229E-2</c:v>
                </c:pt>
                <c:pt idx="25">
                  <c:v>3.5622222222222229E-2</c:v>
                </c:pt>
                <c:pt idx="26">
                  <c:v>5.3433333333333333E-2</c:v>
                </c:pt>
                <c:pt idx="27">
                  <c:v>0.62338888888888899</c:v>
                </c:pt>
                <c:pt idx="28">
                  <c:v>0.26716666666666661</c:v>
                </c:pt>
                <c:pt idx="29">
                  <c:v>0.23154444444444441</c:v>
                </c:pt>
                <c:pt idx="30">
                  <c:v>0.19592222222222222</c:v>
                </c:pt>
                <c:pt idx="31">
                  <c:v>1.1933444444444445</c:v>
                </c:pt>
                <c:pt idx="32">
                  <c:v>0.10686666666666667</c:v>
                </c:pt>
                <c:pt idx="33">
                  <c:v>8.9055555555555554E-2</c:v>
                </c:pt>
                <c:pt idx="34">
                  <c:v>3.5622222222222229E-2</c:v>
                </c:pt>
                <c:pt idx="35">
                  <c:v>5.3433333333333333E-2</c:v>
                </c:pt>
                <c:pt idx="36">
                  <c:v>7.1244444444444457E-2</c:v>
                </c:pt>
                <c:pt idx="37">
                  <c:v>8.9055555555555554E-2</c:v>
                </c:pt>
                <c:pt idx="38">
                  <c:v>0.12467777777777779</c:v>
                </c:pt>
                <c:pt idx="39">
                  <c:v>7.1244444444444457E-2</c:v>
                </c:pt>
                <c:pt idx="40">
                  <c:v>0.10686666666666667</c:v>
                </c:pt>
                <c:pt idx="41">
                  <c:v>3.5622222222222229E-2</c:v>
                </c:pt>
                <c:pt idx="42">
                  <c:v>19.253811111111112</c:v>
                </c:pt>
                <c:pt idx="43">
                  <c:v>0.51652222222222222</c:v>
                </c:pt>
                <c:pt idx="44">
                  <c:v>0.40965555555555555</c:v>
                </c:pt>
                <c:pt idx="45">
                  <c:v>3.8472000000000004</c:v>
                </c:pt>
                <c:pt idx="46">
                  <c:v>2.6894777777777779</c:v>
                </c:pt>
                <c:pt idx="47">
                  <c:v>27.660655555555561</c:v>
                </c:pt>
                <c:pt idx="48">
                  <c:v>0.30278888888888889</c:v>
                </c:pt>
                <c:pt idx="49">
                  <c:v>3.5622222222222229E-2</c:v>
                </c:pt>
                <c:pt idx="50">
                  <c:v>5.3433333333333333E-2</c:v>
                </c:pt>
                <c:pt idx="51">
                  <c:v>7.1244444444444457E-2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BF4-91EE-6FA18ED9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3944"/>
        <c:axId val="872527552"/>
      </c:scatterChart>
      <c:scatterChart>
        <c:scatterStyle val="lineMarker"/>
        <c:varyColors val="0"/>
        <c:ser>
          <c:idx val="1"/>
          <c:order val="0"/>
          <c:tx>
            <c:strRef>
              <c:f>EAs!$I$2</c:f>
              <c:strCache>
                <c:ptCount val="1"/>
                <c:pt idx="0">
                  <c:v>Total tar aromatics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75000"/>
                  <a:alpha val="60000"/>
                </a:schemeClr>
              </a:solidFill>
              <a:ln w="9525">
                <a:solidFill>
                  <a:schemeClr val="bg2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EAs!$G$3:$G$54</c:f>
              <c:numCache>
                <c:formatCode>0.0</c:formatCode>
                <c:ptCount val="52"/>
                <c:pt idx="0">
                  <c:v>12.0744701119241</c:v>
                </c:pt>
                <c:pt idx="1">
                  <c:v>5.4826296935321297</c:v>
                </c:pt>
                <c:pt idx="2">
                  <c:v>2.87694866756945</c:v>
                </c:pt>
                <c:pt idx="3">
                  <c:v>3.24179532767866</c:v>
                </c:pt>
                <c:pt idx="4">
                  <c:v>2.9641369233805599</c:v>
                </c:pt>
                <c:pt idx="5">
                  <c:v>3.8366324151128102</c:v>
                </c:pt>
                <c:pt idx="6">
                  <c:v>1.1262627950833</c:v>
                </c:pt>
                <c:pt idx="7">
                  <c:v>1.12915831935543</c:v>
                </c:pt>
                <c:pt idx="8">
                  <c:v>0.156013410008567</c:v>
                </c:pt>
                <c:pt idx="9">
                  <c:v>5.0502472914271399</c:v>
                </c:pt>
                <c:pt idx="10">
                  <c:v>4.0728365462998503E-2</c:v>
                </c:pt>
                <c:pt idx="11">
                  <c:v>9.9684669011121899E-2</c:v>
                </c:pt>
                <c:pt idx="12">
                  <c:v>3.9949253808153902</c:v>
                </c:pt>
                <c:pt idx="13">
                  <c:v>2.3019177945171601</c:v>
                </c:pt>
                <c:pt idx="14">
                  <c:v>0.113612295106787</c:v>
                </c:pt>
                <c:pt idx="15">
                  <c:v>3.4858349749339501</c:v>
                </c:pt>
                <c:pt idx="16">
                  <c:v>3.1863076334926901</c:v>
                </c:pt>
                <c:pt idx="17">
                  <c:v>9.9551880568739506</c:v>
                </c:pt>
                <c:pt idx="18">
                  <c:v>9.5745828978454792</c:v>
                </c:pt>
                <c:pt idx="19">
                  <c:v>12.4930829277627</c:v>
                </c:pt>
                <c:pt idx="20">
                  <c:v>9.28571163287479</c:v>
                </c:pt>
                <c:pt idx="21">
                  <c:v>9.3655630683361597</c:v>
                </c:pt>
                <c:pt idx="22">
                  <c:v>10.230692226240899</c:v>
                </c:pt>
                <c:pt idx="23">
                  <c:v>8.2793653906467508</c:v>
                </c:pt>
                <c:pt idx="24">
                  <c:v>3.2365833105944701</c:v>
                </c:pt>
                <c:pt idx="25">
                  <c:v>2.9302530797751398</c:v>
                </c:pt>
                <c:pt idx="26">
                  <c:v>5.5635663777949604</c:v>
                </c:pt>
                <c:pt idx="27">
                  <c:v>11.082864877668699</c:v>
                </c:pt>
                <c:pt idx="28">
                  <c:v>6.8814461681478001</c:v>
                </c:pt>
                <c:pt idx="29">
                  <c:v>6.4321751667865703</c:v>
                </c:pt>
                <c:pt idx="30">
                  <c:v>4.6566704177515899</c:v>
                </c:pt>
                <c:pt idx="31">
                  <c:v>1.6005894160555101</c:v>
                </c:pt>
                <c:pt idx="32">
                  <c:v>2.0326463153345502</c:v>
                </c:pt>
                <c:pt idx="33">
                  <c:v>4.0587019959145696</c:v>
                </c:pt>
                <c:pt idx="34">
                  <c:v>14.889529466079001</c:v>
                </c:pt>
                <c:pt idx="35">
                  <c:v>15.026182223749601</c:v>
                </c:pt>
                <c:pt idx="36">
                  <c:v>11.6569911158049</c:v>
                </c:pt>
                <c:pt idx="37">
                  <c:v>9.0513954763816606</c:v>
                </c:pt>
                <c:pt idx="38">
                  <c:v>8.9653113300044396</c:v>
                </c:pt>
                <c:pt idx="39">
                  <c:v>10.7675128515474</c:v>
                </c:pt>
                <c:pt idx="40">
                  <c:v>6.18194213218543</c:v>
                </c:pt>
                <c:pt idx="41">
                  <c:v>8.5161466416858307</c:v>
                </c:pt>
                <c:pt idx="42">
                  <c:v>2.7283535104929601E-2</c:v>
                </c:pt>
                <c:pt idx="43">
                  <c:v>1.0927633839825399</c:v>
                </c:pt>
                <c:pt idx="44">
                  <c:v>0.61339781005528504</c:v>
                </c:pt>
                <c:pt idx="45">
                  <c:v>0.45767494549029902</c:v>
                </c:pt>
                <c:pt idx="46">
                  <c:v>0.6288479208094</c:v>
                </c:pt>
                <c:pt idx="47">
                  <c:v>2.0818129596617899E-2</c:v>
                </c:pt>
                <c:pt idx="48">
                  <c:v>2.2401960591924999</c:v>
                </c:pt>
                <c:pt idx="49">
                  <c:v>6.5133711426805201</c:v>
                </c:pt>
                <c:pt idx="50">
                  <c:v>7.3592826012287098</c:v>
                </c:pt>
                <c:pt idx="51">
                  <c:v>7.56683640329714</c:v>
                </c:pt>
              </c:numCache>
            </c:numRef>
          </c:xVal>
          <c:yVal>
            <c:numRef>
              <c:f>EAs!$I$3:$I$54</c:f>
              <c:numCache>
                <c:formatCode>0</c:formatCode>
                <c:ptCount val="52"/>
                <c:pt idx="0">
                  <c:v>67.39807390416118</c:v>
                </c:pt>
                <c:pt idx="1">
                  <c:v>120.82128078730307</c:v>
                </c:pt>
                <c:pt idx="2">
                  <c:v>10.352138260080199</c:v>
                </c:pt>
                <c:pt idx="3">
                  <c:v>563.18591952990619</c:v>
                </c:pt>
                <c:pt idx="4">
                  <c:v>4627.6082418081851</c:v>
                </c:pt>
                <c:pt idx="5">
                  <c:v>4391.855486575274</c:v>
                </c:pt>
                <c:pt idx="6">
                  <c:v>10445.299637632412</c:v>
                </c:pt>
                <c:pt idx="7">
                  <c:v>8517.7206461662863</c:v>
                </c:pt>
                <c:pt idx="8">
                  <c:v>6072.2362002911341</c:v>
                </c:pt>
                <c:pt idx="9">
                  <c:v>6823.0379880820947</c:v>
                </c:pt>
                <c:pt idx="10">
                  <c:v>3363.7875359597292</c:v>
                </c:pt>
                <c:pt idx="11">
                  <c:v>999.98649397170402</c:v>
                </c:pt>
                <c:pt idx="12">
                  <c:v>57.927176990748904</c:v>
                </c:pt>
                <c:pt idx="13">
                  <c:v>17.087316174681867</c:v>
                </c:pt>
                <c:pt idx="14">
                  <c:v>1976.9096035899397</c:v>
                </c:pt>
                <c:pt idx="15">
                  <c:v>55.968238221817558</c:v>
                </c:pt>
                <c:pt idx="16">
                  <c:v>205.01316083293236</c:v>
                </c:pt>
                <c:pt idx="17">
                  <c:v>24.769927925219562</c:v>
                </c:pt>
                <c:pt idx="18">
                  <c:v>45.973514723287913</c:v>
                </c:pt>
                <c:pt idx="19">
                  <c:v>23.911461335810994</c:v>
                </c:pt>
                <c:pt idx="20">
                  <c:v>18.393809061085197</c:v>
                </c:pt>
                <c:pt idx="21">
                  <c:v>11.832230751683369</c:v>
                </c:pt>
                <c:pt idx="22">
                  <c:v>12.682668307534325</c:v>
                </c:pt>
                <c:pt idx="23">
                  <c:v>26.832977956535146</c:v>
                </c:pt>
                <c:pt idx="24">
                  <c:v>11.906494760485327</c:v>
                </c:pt>
                <c:pt idx="25">
                  <c:v>20.209450758932476</c:v>
                </c:pt>
                <c:pt idx="26">
                  <c:v>22.031508881945314</c:v>
                </c:pt>
                <c:pt idx="27">
                  <c:v>9683.2077668474703</c:v>
                </c:pt>
                <c:pt idx="28">
                  <c:v>1329.6081408206694</c:v>
                </c:pt>
                <c:pt idx="29">
                  <c:v>606.99112448763299</c:v>
                </c:pt>
                <c:pt idx="30">
                  <c:v>1946.5845817780255</c:v>
                </c:pt>
                <c:pt idx="31">
                  <c:v>10123.158243273032</c:v>
                </c:pt>
                <c:pt idx="32">
                  <c:v>707.26364243081412</c:v>
                </c:pt>
                <c:pt idx="33">
                  <c:v>305.70133444855048</c:v>
                </c:pt>
                <c:pt idx="34">
                  <c:v>26.329635294249172</c:v>
                </c:pt>
                <c:pt idx="35">
                  <c:v>28.481094482810178</c:v>
                </c:pt>
                <c:pt idx="36">
                  <c:v>19.78754889643178</c:v>
                </c:pt>
                <c:pt idx="37">
                  <c:v>33.438457743231837</c:v>
                </c:pt>
                <c:pt idx="38">
                  <c:v>15.542800365841039</c:v>
                </c:pt>
                <c:pt idx="39">
                  <c:v>40.869824758328221</c:v>
                </c:pt>
                <c:pt idx="40">
                  <c:v>15.096293918921351</c:v>
                </c:pt>
                <c:pt idx="41">
                  <c:v>120.82128078730307</c:v>
                </c:pt>
                <c:pt idx="42">
                  <c:v>8878.3692042921448</c:v>
                </c:pt>
                <c:pt idx="43">
                  <c:v>8733.5485876714192</c:v>
                </c:pt>
                <c:pt idx="44">
                  <c:v>12092.753769476491</c:v>
                </c:pt>
                <c:pt idx="45">
                  <c:v>9673.0263442075884</c:v>
                </c:pt>
                <c:pt idx="46">
                  <c:v>9456.6874048596765</c:v>
                </c:pt>
                <c:pt idx="47">
                  <c:v>10296.619441004364</c:v>
                </c:pt>
                <c:pt idx="48">
                  <c:v>8523.4388136869402</c:v>
                </c:pt>
                <c:pt idx="49">
                  <c:v>8464.6548365281978</c:v>
                </c:pt>
                <c:pt idx="50">
                  <c:v>7756.1329104635161</c:v>
                </c:pt>
                <c:pt idx="51">
                  <c:v>13644.107807809884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2-4BF4-91EE-6FA18ED9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52104"/>
        <c:axId val="649044888"/>
      </c:scatterChart>
      <c:valAx>
        <c:axId val="8725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Iron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552"/>
        <c:crosses val="autoZero"/>
        <c:crossBetween val="midCat"/>
      </c:valAx>
      <c:valAx>
        <c:axId val="872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Sulphide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3944"/>
        <c:crosses val="autoZero"/>
        <c:crossBetween val="midCat"/>
      </c:valAx>
      <c:valAx>
        <c:axId val="649044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Tar aromatics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52104"/>
        <c:crosses val="max"/>
        <c:crossBetween val="midCat"/>
      </c:valAx>
      <c:valAx>
        <c:axId val="6490521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4904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Manganese(II)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8277541934046"/>
          <c:y val="0.12804415065468139"/>
          <c:w val="0.80317567734565243"/>
          <c:h val="0.68055355116160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 vs EA'!$L$3</c:f>
              <c:strCache>
                <c:ptCount val="1"/>
                <c:pt idx="0">
                  <c:v>Mn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25"/>
            <c:marker>
              <c:symbol val="circle"/>
              <c:size val="7"/>
              <c:spPr>
                <a:solidFill>
                  <a:schemeClr val="accent1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76-408E-B77E-F045B592620E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1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76-408E-B77E-F045B592620E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chemeClr val="accent1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76-408E-B77E-F045B592620E}"/>
              </c:ext>
            </c:extLst>
          </c:dPt>
          <c:xVal>
            <c:numRef>
              <c:f>'Tar vs EA'!$F$6:$F$55</c:f>
              <c:numCache>
                <c:formatCode>0</c:formatCode>
                <c:ptCount val="50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  <c:pt idx="25">
                  <c:v>9.6832077668474703</c:v>
                </c:pt>
                <c:pt idx="26">
                  <c:v>1.3296081408206695</c:v>
                </c:pt>
                <c:pt idx="27">
                  <c:v>0.60699112448763304</c:v>
                </c:pt>
                <c:pt idx="28">
                  <c:v>1.9465845817780254</c:v>
                </c:pt>
                <c:pt idx="29">
                  <c:v>10.123158243273032</c:v>
                </c:pt>
                <c:pt idx="30">
                  <c:v>0.70726364243081408</c:v>
                </c:pt>
                <c:pt idx="31">
                  <c:v>0.30570133444855047</c:v>
                </c:pt>
                <c:pt idx="32">
                  <c:v>2.6329635294249171E-2</c:v>
                </c:pt>
                <c:pt idx="33">
                  <c:v>2.8481094482810179E-2</c:v>
                </c:pt>
                <c:pt idx="34">
                  <c:v>1.9787548896431778E-2</c:v>
                </c:pt>
                <c:pt idx="35">
                  <c:v>3.3438457743231835E-2</c:v>
                </c:pt>
                <c:pt idx="36">
                  <c:v>1.5542800365841039E-2</c:v>
                </c:pt>
                <c:pt idx="37">
                  <c:v>4.0869824758328219E-2</c:v>
                </c:pt>
                <c:pt idx="38">
                  <c:v>1.5096293918921351E-2</c:v>
                </c:pt>
                <c:pt idx="39">
                  <c:v>0.12082128078730307</c:v>
                </c:pt>
                <c:pt idx="40">
                  <c:v>8.8783692042921452</c:v>
                </c:pt>
                <c:pt idx="41">
                  <c:v>8.7335485876714198</c:v>
                </c:pt>
                <c:pt idx="42">
                  <c:v>12.09275376947649</c:v>
                </c:pt>
                <c:pt idx="43">
                  <c:v>9.6730263442075888</c:v>
                </c:pt>
                <c:pt idx="44">
                  <c:v>9.456687404859677</c:v>
                </c:pt>
                <c:pt idx="45">
                  <c:v>10.296619441004365</c:v>
                </c:pt>
                <c:pt idx="46">
                  <c:v>8.5234388136869406</c:v>
                </c:pt>
                <c:pt idx="47">
                  <c:v>8.4646548365281973</c:v>
                </c:pt>
                <c:pt idx="48">
                  <c:v>7.7561329104635162</c:v>
                </c:pt>
                <c:pt idx="49">
                  <c:v>13.644107807809883</c:v>
                </c:pt>
              </c:numCache>
            </c:numRef>
          </c:xVal>
          <c:yVal>
            <c:numRef>
              <c:f>'Tar vs EA'!$L$6:$L$55</c:f>
              <c:numCache>
                <c:formatCode>0.0</c:formatCode>
                <c:ptCount val="50"/>
                <c:pt idx="0">
                  <c:v>1.1771842314565599</c:v>
                </c:pt>
                <c:pt idx="1">
                  <c:v>0.77835240642361303</c:v>
                </c:pt>
                <c:pt idx="2">
                  <c:v>0.58795062857681801</c:v>
                </c:pt>
                <c:pt idx="3">
                  <c:v>0.61862026418945504</c:v>
                </c:pt>
                <c:pt idx="4">
                  <c:v>0.196744319617042</c:v>
                </c:pt>
                <c:pt idx="5">
                  <c:v>0.14980383623836399</c:v>
                </c:pt>
                <c:pt idx="6">
                  <c:v>0.39475386461465001</c:v>
                </c:pt>
                <c:pt idx="7">
                  <c:v>0.44477020295779102</c:v>
                </c:pt>
                <c:pt idx="8">
                  <c:v>0.46739132789608401</c:v>
                </c:pt>
                <c:pt idx="9">
                  <c:v>0.43748106040795198</c:v>
                </c:pt>
                <c:pt idx="10">
                  <c:v>0.67691496817247698</c:v>
                </c:pt>
                <c:pt idx="11">
                  <c:v>0.89554027608513298</c:v>
                </c:pt>
                <c:pt idx="12">
                  <c:v>3.0511156297776999E-2</c:v>
                </c:pt>
                <c:pt idx="13">
                  <c:v>0.69876607110616695</c:v>
                </c:pt>
                <c:pt idx="14">
                  <c:v>0.70182098929139902</c:v>
                </c:pt>
                <c:pt idx="15">
                  <c:v>0.39923933656759802</c:v>
                </c:pt>
                <c:pt idx="16">
                  <c:v>0.46118889690845799</c:v>
                </c:pt>
                <c:pt idx="17">
                  <c:v>0.46410682178795398</c:v>
                </c:pt>
                <c:pt idx="18">
                  <c:v>0.49690910259973903</c:v>
                </c:pt>
                <c:pt idx="19">
                  <c:v>0.46350808143627498</c:v>
                </c:pt>
                <c:pt idx="20">
                  <c:v>0.52354663576432403</c:v>
                </c:pt>
                <c:pt idx="21">
                  <c:v>0.53797012101596398</c:v>
                </c:pt>
                <c:pt idx="22">
                  <c:v>0.36033871303818099</c:v>
                </c:pt>
                <c:pt idx="23">
                  <c:v>0.42526390949921899</c:v>
                </c:pt>
                <c:pt idx="24">
                  <c:v>0.61010908890698301</c:v>
                </c:pt>
                <c:pt idx="25">
                  <c:v>0.62776146491174201</c:v>
                </c:pt>
                <c:pt idx="26">
                  <c:v>0.71619651647447702</c:v>
                </c:pt>
                <c:pt idx="27">
                  <c:v>0.51059962649233603</c:v>
                </c:pt>
                <c:pt idx="28">
                  <c:v>1.1679238937693499</c:v>
                </c:pt>
                <c:pt idx="29">
                  <c:v>1.0853119418153701</c:v>
                </c:pt>
                <c:pt idx="30">
                  <c:v>1.3445663786947799</c:v>
                </c:pt>
                <c:pt idx="31">
                  <c:v>0.91956714965754005</c:v>
                </c:pt>
                <c:pt idx="32">
                  <c:v>1.65358823793106</c:v>
                </c:pt>
                <c:pt idx="33">
                  <c:v>1.4641103789172401</c:v>
                </c:pt>
                <c:pt idx="34">
                  <c:v>1.26282141564323</c:v>
                </c:pt>
                <c:pt idx="35">
                  <c:v>0.59165561802057098</c:v>
                </c:pt>
                <c:pt idx="36">
                  <c:v>0.36521838199233198</c:v>
                </c:pt>
                <c:pt idx="37">
                  <c:v>0.56462842055957596</c:v>
                </c:pt>
                <c:pt idx="38">
                  <c:v>0.50261468689298805</c:v>
                </c:pt>
                <c:pt idx="39">
                  <c:v>0.490738894384318</c:v>
                </c:pt>
                <c:pt idx="40">
                  <c:v>0.12930630159745499</c:v>
                </c:pt>
                <c:pt idx="41">
                  <c:v>9.0331121420479499E-2</c:v>
                </c:pt>
                <c:pt idx="42">
                  <c:v>0.12714461551751</c:v>
                </c:pt>
                <c:pt idx="43">
                  <c:v>0.13116728619058299</c:v>
                </c:pt>
                <c:pt idx="44">
                  <c:v>0.16985787244172901</c:v>
                </c:pt>
                <c:pt idx="45">
                  <c:v>9.6375289518495999E-2</c:v>
                </c:pt>
                <c:pt idx="46">
                  <c:v>0.22796088340665399</c:v>
                </c:pt>
                <c:pt idx="47">
                  <c:v>0.233758166536749</c:v>
                </c:pt>
                <c:pt idx="48">
                  <c:v>0.22997358351199401</c:v>
                </c:pt>
                <c:pt idx="49">
                  <c:v>0.380396275218917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6-408E-B77E-F045B592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7304"/>
        <c:axId val="741060088"/>
      </c:scatterChart>
      <c:valAx>
        <c:axId val="7410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u="none" strike="noStrike" baseline="0">
                    <a:effectLst/>
                  </a:rPr>
                  <a:t>Tar aromatics</a:t>
                </a:r>
                <a:r>
                  <a:rPr lang="nl-NL" sz="1200"/>
                  <a:t> (mg/L)</a:t>
                </a:r>
              </a:p>
            </c:rich>
          </c:tx>
          <c:layout>
            <c:manualLayout>
              <c:xMode val="edge"/>
              <c:yMode val="edge"/>
              <c:x val="0.38511233921427396"/>
              <c:y val="0.89569516612699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0088"/>
        <c:crosses val="autoZero"/>
        <c:crossBetween val="midCat"/>
        <c:majorUnit val="2"/>
      </c:valAx>
      <c:valAx>
        <c:axId val="7410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Mn(II) (mg/L)</a:t>
                </a:r>
              </a:p>
            </c:rich>
          </c:tx>
          <c:layout>
            <c:manualLayout>
              <c:xMode val="edge"/>
              <c:yMode val="edge"/>
              <c:x val="1.6666663021289801E-2"/>
              <c:y val="0.3186886066218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Iron(II)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8547681539809"/>
          <c:y val="0.1288797711198274"/>
          <c:w val="0.81427296587926512"/>
          <c:h val="0.69237420112564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 vs EA'!$K$3</c:f>
              <c:strCache>
                <c:ptCount val="1"/>
                <c:pt idx="0">
                  <c:v>Fe 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25"/>
            <c:marker>
              <c:symbol val="circle"/>
              <c:size val="7"/>
              <c:spPr>
                <a:solidFill>
                  <a:schemeClr val="accent4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BBD-4C8E-92AC-57D0B139B812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4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BD-4C8E-92AC-57D0B139B812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chemeClr val="accent4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BD-4C8E-92AC-57D0B139B812}"/>
              </c:ext>
            </c:extLst>
          </c:dPt>
          <c:xVal>
            <c:numRef>
              <c:f>'Tar vs EA'!$F$6:$F$55</c:f>
              <c:numCache>
                <c:formatCode>0</c:formatCode>
                <c:ptCount val="50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  <c:pt idx="25">
                  <c:v>9.6832077668474703</c:v>
                </c:pt>
                <c:pt idx="26">
                  <c:v>1.3296081408206695</c:v>
                </c:pt>
                <c:pt idx="27">
                  <c:v>0.60699112448763304</c:v>
                </c:pt>
                <c:pt idx="28">
                  <c:v>1.9465845817780254</c:v>
                </c:pt>
                <c:pt idx="29">
                  <c:v>10.123158243273032</c:v>
                </c:pt>
                <c:pt idx="30">
                  <c:v>0.70726364243081408</c:v>
                </c:pt>
                <c:pt idx="31">
                  <c:v>0.30570133444855047</c:v>
                </c:pt>
                <c:pt idx="32">
                  <c:v>2.6329635294249171E-2</c:v>
                </c:pt>
                <c:pt idx="33">
                  <c:v>2.8481094482810179E-2</c:v>
                </c:pt>
                <c:pt idx="34">
                  <c:v>1.9787548896431778E-2</c:v>
                </c:pt>
                <c:pt idx="35">
                  <c:v>3.3438457743231835E-2</c:v>
                </c:pt>
                <c:pt idx="36">
                  <c:v>1.5542800365841039E-2</c:v>
                </c:pt>
                <c:pt idx="37">
                  <c:v>4.0869824758328219E-2</c:v>
                </c:pt>
                <c:pt idx="38">
                  <c:v>1.5096293918921351E-2</c:v>
                </c:pt>
                <c:pt idx="39">
                  <c:v>0.12082128078730307</c:v>
                </c:pt>
                <c:pt idx="40">
                  <c:v>8.8783692042921452</c:v>
                </c:pt>
                <c:pt idx="41">
                  <c:v>8.7335485876714198</c:v>
                </c:pt>
                <c:pt idx="42">
                  <c:v>12.09275376947649</c:v>
                </c:pt>
                <c:pt idx="43">
                  <c:v>9.6730263442075888</c:v>
                </c:pt>
                <c:pt idx="44">
                  <c:v>9.456687404859677</c:v>
                </c:pt>
                <c:pt idx="45">
                  <c:v>10.296619441004365</c:v>
                </c:pt>
                <c:pt idx="46">
                  <c:v>8.5234388136869406</c:v>
                </c:pt>
                <c:pt idx="47">
                  <c:v>8.4646548365281973</c:v>
                </c:pt>
                <c:pt idx="48">
                  <c:v>7.7561329104635162</c:v>
                </c:pt>
                <c:pt idx="49">
                  <c:v>13.644107807809883</c:v>
                </c:pt>
              </c:numCache>
            </c:numRef>
          </c:xVal>
          <c:yVal>
            <c:numRef>
              <c:f>'Tar vs EA'!$K$6:$K$55</c:f>
              <c:numCache>
                <c:formatCode>0.0</c:formatCode>
                <c:ptCount val="50"/>
                <c:pt idx="0">
                  <c:v>2.87694866756945</c:v>
                </c:pt>
                <c:pt idx="1">
                  <c:v>3.24179532767866</c:v>
                </c:pt>
                <c:pt idx="2">
                  <c:v>2.9641369233805599</c:v>
                </c:pt>
                <c:pt idx="3">
                  <c:v>3.8366324151128102</c:v>
                </c:pt>
                <c:pt idx="4">
                  <c:v>1.1262627950833</c:v>
                </c:pt>
                <c:pt idx="5">
                  <c:v>1.12915831935543</c:v>
                </c:pt>
                <c:pt idx="6">
                  <c:v>0.156013410008567</c:v>
                </c:pt>
                <c:pt idx="7">
                  <c:v>5.0502472914271399</c:v>
                </c:pt>
                <c:pt idx="8">
                  <c:v>4.0728365462998503E-2</c:v>
                </c:pt>
                <c:pt idx="9">
                  <c:v>9.9684669011121899E-2</c:v>
                </c:pt>
                <c:pt idx="10">
                  <c:v>3.9949253808153902</c:v>
                </c:pt>
                <c:pt idx="11">
                  <c:v>2.3019177945171601</c:v>
                </c:pt>
                <c:pt idx="12">
                  <c:v>0.113612295106787</c:v>
                </c:pt>
                <c:pt idx="13">
                  <c:v>3.4858349749339501</c:v>
                </c:pt>
                <c:pt idx="14">
                  <c:v>3.1863076334926901</c:v>
                </c:pt>
                <c:pt idx="15">
                  <c:v>9.9551880568739506</c:v>
                </c:pt>
                <c:pt idx="16">
                  <c:v>9.5745828978454792</c:v>
                </c:pt>
                <c:pt idx="17">
                  <c:v>12.4930829277627</c:v>
                </c:pt>
                <c:pt idx="18">
                  <c:v>9.28571163287479</c:v>
                </c:pt>
                <c:pt idx="19">
                  <c:v>9.3655630683361597</c:v>
                </c:pt>
                <c:pt idx="20">
                  <c:v>10.230692226240899</c:v>
                </c:pt>
                <c:pt idx="21">
                  <c:v>8.2793653906467508</c:v>
                </c:pt>
                <c:pt idx="22">
                  <c:v>3.2365833105944701</c:v>
                </c:pt>
                <c:pt idx="23">
                  <c:v>2.9302530797751398</c:v>
                </c:pt>
                <c:pt idx="24">
                  <c:v>5.5635663777949604</c:v>
                </c:pt>
                <c:pt idx="25">
                  <c:v>11.082864877668699</c:v>
                </c:pt>
                <c:pt idx="26">
                  <c:v>6.8814461681478001</c:v>
                </c:pt>
                <c:pt idx="27">
                  <c:v>6.4321751667865703</c:v>
                </c:pt>
                <c:pt idx="28">
                  <c:v>4.6566704177515899</c:v>
                </c:pt>
                <c:pt idx="29">
                  <c:v>1.6005894160555101</c:v>
                </c:pt>
                <c:pt idx="30">
                  <c:v>2.0326463153345502</c:v>
                </c:pt>
                <c:pt idx="31">
                  <c:v>4.0587019959145696</c:v>
                </c:pt>
                <c:pt idx="32">
                  <c:v>14.889529466079001</c:v>
                </c:pt>
                <c:pt idx="33">
                  <c:v>15.026182223749601</c:v>
                </c:pt>
                <c:pt idx="34">
                  <c:v>11.6569911158049</c:v>
                </c:pt>
                <c:pt idx="35">
                  <c:v>9.0513954763816606</c:v>
                </c:pt>
                <c:pt idx="36">
                  <c:v>8.9653113300044396</c:v>
                </c:pt>
                <c:pt idx="37">
                  <c:v>10.7675128515474</c:v>
                </c:pt>
                <c:pt idx="38">
                  <c:v>6.18194213218543</c:v>
                </c:pt>
                <c:pt idx="39">
                  <c:v>8.5161466416858307</c:v>
                </c:pt>
                <c:pt idx="40">
                  <c:v>2.7283535104929601E-2</c:v>
                </c:pt>
                <c:pt idx="41">
                  <c:v>1.0927633839825399</c:v>
                </c:pt>
                <c:pt idx="42">
                  <c:v>0.61339781005528504</c:v>
                </c:pt>
                <c:pt idx="43">
                  <c:v>0.45767494549029902</c:v>
                </c:pt>
                <c:pt idx="44">
                  <c:v>0.6288479208094</c:v>
                </c:pt>
                <c:pt idx="45">
                  <c:v>2.0818129596617899E-2</c:v>
                </c:pt>
                <c:pt idx="46">
                  <c:v>2.2401960591924999</c:v>
                </c:pt>
                <c:pt idx="47">
                  <c:v>6.5133711426805201</c:v>
                </c:pt>
                <c:pt idx="48">
                  <c:v>7.3592826012287098</c:v>
                </c:pt>
                <c:pt idx="49">
                  <c:v>7.56683640329714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D-4C8E-92AC-57D0B139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7304"/>
        <c:axId val="741060088"/>
      </c:scatterChart>
      <c:valAx>
        <c:axId val="7410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u="none" strike="noStrike" baseline="0">
                    <a:effectLst/>
                  </a:rPr>
                  <a:t>Tar aromatics</a:t>
                </a:r>
                <a:r>
                  <a:rPr lang="nl-NL" sz="1200"/>
                  <a:t> (mg/L)</a:t>
                </a:r>
              </a:p>
            </c:rich>
          </c:tx>
          <c:layout>
            <c:manualLayout>
              <c:xMode val="edge"/>
              <c:yMode val="edge"/>
              <c:x val="0.37157742782152231"/>
              <c:y val="0.90428471478848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0088"/>
        <c:crosses val="autoZero"/>
        <c:crossBetween val="midCat"/>
        <c:majorUnit val="2"/>
      </c:valAx>
      <c:valAx>
        <c:axId val="7410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Fe(II) (mg/L)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3256969381546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Sulphide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7433441068801"/>
          <c:y val="0.12343908072651326"/>
          <c:w val="0.81088411835430485"/>
          <c:h val="0.6851586210897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 vs EA'!$I$3</c:f>
              <c:strCache>
                <c:ptCount val="1"/>
                <c:pt idx="0">
                  <c:v>sulphide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99FF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25"/>
            <c:marker>
              <c:symbol val="circle"/>
              <c:size val="7"/>
              <c:spPr>
                <a:solidFill>
                  <a:srgbClr val="CC99FF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C7-4091-96AE-8250F78D4EB5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CC99FF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C7-4091-96AE-8250F78D4EB5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CC99FF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C7-4091-96AE-8250F78D4EB5}"/>
              </c:ext>
            </c:extLst>
          </c:dPt>
          <c:xVal>
            <c:numRef>
              <c:f>'Tar vs EA'!$F$6:$F$55</c:f>
              <c:numCache>
                <c:formatCode>0</c:formatCode>
                <c:ptCount val="50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  <c:pt idx="25">
                  <c:v>9.6832077668474703</c:v>
                </c:pt>
                <c:pt idx="26">
                  <c:v>1.3296081408206695</c:v>
                </c:pt>
                <c:pt idx="27">
                  <c:v>0.60699112448763304</c:v>
                </c:pt>
                <c:pt idx="28">
                  <c:v>1.9465845817780254</c:v>
                </c:pt>
                <c:pt idx="29">
                  <c:v>10.123158243273032</c:v>
                </c:pt>
                <c:pt idx="30">
                  <c:v>0.70726364243081408</c:v>
                </c:pt>
                <c:pt idx="31">
                  <c:v>0.30570133444855047</c:v>
                </c:pt>
                <c:pt idx="32">
                  <c:v>2.6329635294249171E-2</c:v>
                </c:pt>
                <c:pt idx="33">
                  <c:v>2.8481094482810179E-2</c:v>
                </c:pt>
                <c:pt idx="34">
                  <c:v>1.9787548896431778E-2</c:v>
                </c:pt>
                <c:pt idx="35">
                  <c:v>3.3438457743231835E-2</c:v>
                </c:pt>
                <c:pt idx="36">
                  <c:v>1.5542800365841039E-2</c:v>
                </c:pt>
                <c:pt idx="37">
                  <c:v>4.0869824758328219E-2</c:v>
                </c:pt>
                <c:pt idx="38">
                  <c:v>1.5096293918921351E-2</c:v>
                </c:pt>
                <c:pt idx="39">
                  <c:v>0.12082128078730307</c:v>
                </c:pt>
                <c:pt idx="40">
                  <c:v>8.8783692042921452</c:v>
                </c:pt>
                <c:pt idx="41">
                  <c:v>8.7335485876714198</c:v>
                </c:pt>
                <c:pt idx="42">
                  <c:v>12.09275376947649</c:v>
                </c:pt>
                <c:pt idx="43">
                  <c:v>9.6730263442075888</c:v>
                </c:pt>
                <c:pt idx="44">
                  <c:v>9.456687404859677</c:v>
                </c:pt>
                <c:pt idx="45">
                  <c:v>10.296619441004365</c:v>
                </c:pt>
                <c:pt idx="46">
                  <c:v>8.5234388136869406</c:v>
                </c:pt>
                <c:pt idx="47">
                  <c:v>8.4646548365281973</c:v>
                </c:pt>
                <c:pt idx="48">
                  <c:v>7.7561329104635162</c:v>
                </c:pt>
                <c:pt idx="49">
                  <c:v>13.644107807809883</c:v>
                </c:pt>
              </c:numCache>
            </c:numRef>
          </c:xVal>
          <c:yVal>
            <c:numRef>
              <c:f>'Tar vs EA'!$I$6:$I$55</c:f>
              <c:numCache>
                <c:formatCode>0.0</c:formatCode>
                <c:ptCount val="50"/>
                <c:pt idx="0">
                  <c:v>0.39184444444444444</c:v>
                </c:pt>
                <c:pt idx="1">
                  <c:v>0.12467777777777779</c:v>
                </c:pt>
                <c:pt idx="2">
                  <c:v>8.9055555555555554E-2</c:v>
                </c:pt>
                <c:pt idx="3">
                  <c:v>7.1244444444444457E-2</c:v>
                </c:pt>
                <c:pt idx="4">
                  <c:v>3.5622222222222229E-2</c:v>
                </c:pt>
                <c:pt idx="5">
                  <c:v>0.30278888888888889</c:v>
                </c:pt>
                <c:pt idx="6">
                  <c:v>6.4476222222222228</c:v>
                </c:pt>
                <c:pt idx="7">
                  <c:v>7.1244444444444457E-2</c:v>
                </c:pt>
                <c:pt idx="8">
                  <c:v>9.4755111111111106</c:v>
                </c:pt>
                <c:pt idx="9">
                  <c:v>20.518399999999996</c:v>
                </c:pt>
                <c:pt idx="10">
                  <c:v>0.83712222222222221</c:v>
                </c:pt>
                <c:pt idx="11">
                  <c:v>5.3433333333333333E-2</c:v>
                </c:pt>
                <c:pt idx="12">
                  <c:v>15.477855555555553</c:v>
                </c:pt>
                <c:pt idx="13">
                  <c:v>7.1244444444444457E-2</c:v>
                </c:pt>
                <c:pt idx="14">
                  <c:v>4.9514888888888899</c:v>
                </c:pt>
                <c:pt idx="15">
                  <c:v>5.3433333333333333E-2</c:v>
                </c:pt>
                <c:pt idx="16">
                  <c:v>5.3433333333333333E-2</c:v>
                </c:pt>
                <c:pt idx="17">
                  <c:v>7.1244444444444457E-2</c:v>
                </c:pt>
                <c:pt idx="18">
                  <c:v>5.3433333333333333E-2</c:v>
                </c:pt>
                <c:pt idx="19">
                  <c:v>5.3433333333333333E-2</c:v>
                </c:pt>
                <c:pt idx="20">
                  <c:v>0.12467777777777779</c:v>
                </c:pt>
                <c:pt idx="21">
                  <c:v>5.3433333333333333E-2</c:v>
                </c:pt>
                <c:pt idx="22">
                  <c:v>3.5622222222222229E-2</c:v>
                </c:pt>
                <c:pt idx="23">
                  <c:v>3.5622222222222229E-2</c:v>
                </c:pt>
                <c:pt idx="24">
                  <c:v>5.3433333333333333E-2</c:v>
                </c:pt>
                <c:pt idx="25">
                  <c:v>0.62338888888888899</c:v>
                </c:pt>
                <c:pt idx="26">
                  <c:v>0.26716666666666661</c:v>
                </c:pt>
                <c:pt idx="27">
                  <c:v>0.23154444444444441</c:v>
                </c:pt>
                <c:pt idx="28">
                  <c:v>0.19592222222222222</c:v>
                </c:pt>
                <c:pt idx="29">
                  <c:v>1.1933444444444445</c:v>
                </c:pt>
                <c:pt idx="30">
                  <c:v>0.10686666666666667</c:v>
                </c:pt>
                <c:pt idx="31">
                  <c:v>8.9055555555555554E-2</c:v>
                </c:pt>
                <c:pt idx="32">
                  <c:v>3.5622222222222229E-2</c:v>
                </c:pt>
                <c:pt idx="33">
                  <c:v>5.3433333333333333E-2</c:v>
                </c:pt>
                <c:pt idx="34">
                  <c:v>7.1244444444444457E-2</c:v>
                </c:pt>
                <c:pt idx="35">
                  <c:v>8.9055555555555554E-2</c:v>
                </c:pt>
                <c:pt idx="36">
                  <c:v>0.12467777777777779</c:v>
                </c:pt>
                <c:pt idx="37">
                  <c:v>7.1244444444444457E-2</c:v>
                </c:pt>
                <c:pt idx="38">
                  <c:v>0.10686666666666667</c:v>
                </c:pt>
                <c:pt idx="39">
                  <c:v>3.5622222222222229E-2</c:v>
                </c:pt>
                <c:pt idx="40">
                  <c:v>19.253811111111112</c:v>
                </c:pt>
                <c:pt idx="41">
                  <c:v>0.51652222222222222</c:v>
                </c:pt>
                <c:pt idx="42">
                  <c:v>0.40965555555555555</c:v>
                </c:pt>
                <c:pt idx="43">
                  <c:v>3.8472000000000004</c:v>
                </c:pt>
                <c:pt idx="44">
                  <c:v>2.6894777777777779</c:v>
                </c:pt>
                <c:pt idx="45">
                  <c:v>27.660655555555561</c:v>
                </c:pt>
                <c:pt idx="46">
                  <c:v>0.30278888888888889</c:v>
                </c:pt>
                <c:pt idx="47">
                  <c:v>3.5622222222222229E-2</c:v>
                </c:pt>
                <c:pt idx="48">
                  <c:v>5.3433333333333333E-2</c:v>
                </c:pt>
                <c:pt idx="49">
                  <c:v>7.1244444444444457E-2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7-4091-96AE-8250F78D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7304"/>
        <c:axId val="741060088"/>
      </c:scatterChart>
      <c:valAx>
        <c:axId val="7410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u="none" strike="noStrike" baseline="0">
                    <a:effectLst/>
                  </a:rPr>
                  <a:t>Tar aromatics</a:t>
                </a:r>
                <a:r>
                  <a:rPr lang="nl-NL" sz="1200"/>
                  <a:t> (mg/L)</a:t>
                </a:r>
              </a:p>
            </c:rich>
          </c:tx>
          <c:layout>
            <c:manualLayout>
              <c:xMode val="edge"/>
              <c:yMode val="edge"/>
              <c:x val="0.35104979198385999"/>
              <c:y val="0.9003002360551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0088"/>
        <c:crosses val="autoZero"/>
        <c:crossBetween val="midCat"/>
        <c:majorUnit val="2"/>
      </c:valAx>
      <c:valAx>
        <c:axId val="7410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S(-II) (mg/L)</a:t>
                </a:r>
              </a:p>
            </c:rich>
          </c:tx>
          <c:layout>
            <c:manualLayout>
              <c:xMode val="edge"/>
              <c:yMode val="edge"/>
              <c:x val="1.3888885851074836E-2"/>
              <c:y val="0.30803965436593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8858267716537"/>
          <c:y val="0.12936215004374454"/>
          <c:w val="0.7838698600174977"/>
          <c:h val="0.67722037674978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 vs EA'!$J$3</c:f>
              <c:strCache>
                <c:ptCount val="1"/>
                <c:pt idx="0">
                  <c:v>methane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25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F1-48CF-8D16-92B7F454B313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F1-48CF-8D16-92B7F454B313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F1-48CF-8D16-92B7F454B313}"/>
              </c:ext>
            </c:extLst>
          </c:dPt>
          <c:xVal>
            <c:numRef>
              <c:f>'Tar vs EA'!$F$6:$F$55</c:f>
              <c:numCache>
                <c:formatCode>0</c:formatCode>
                <c:ptCount val="50"/>
                <c:pt idx="0">
                  <c:v>1.0352138260080199E-2</c:v>
                </c:pt>
                <c:pt idx="1">
                  <c:v>0.56318591952990615</c:v>
                </c:pt>
                <c:pt idx="2">
                  <c:v>4.6276082418081854</c:v>
                </c:pt>
                <c:pt idx="3">
                  <c:v>4.3918554865752739</c:v>
                </c:pt>
                <c:pt idx="4">
                  <c:v>10.445299637632411</c:v>
                </c:pt>
                <c:pt idx="5">
                  <c:v>8.5177206461662855</c:v>
                </c:pt>
                <c:pt idx="6">
                  <c:v>6.0722362002911341</c:v>
                </c:pt>
                <c:pt idx="7">
                  <c:v>6.8230379880820946</c:v>
                </c:pt>
                <c:pt idx="8">
                  <c:v>3.3637875359597293</c:v>
                </c:pt>
                <c:pt idx="9">
                  <c:v>0.99998649397170403</c:v>
                </c:pt>
                <c:pt idx="10">
                  <c:v>5.7927176990748903E-2</c:v>
                </c:pt>
                <c:pt idx="11">
                  <c:v>1.7087316174681868E-2</c:v>
                </c:pt>
                <c:pt idx="12">
                  <c:v>1.9769096035899396</c:v>
                </c:pt>
                <c:pt idx="13">
                  <c:v>5.5968238221817561E-2</c:v>
                </c:pt>
                <c:pt idx="14">
                  <c:v>0.20501316083293236</c:v>
                </c:pt>
                <c:pt idx="15">
                  <c:v>2.4769927925219561E-2</c:v>
                </c:pt>
                <c:pt idx="16">
                  <c:v>4.5973514723287916E-2</c:v>
                </c:pt>
                <c:pt idx="17">
                  <c:v>2.3911461335810996E-2</c:v>
                </c:pt>
                <c:pt idx="18">
                  <c:v>1.8393809061085196E-2</c:v>
                </c:pt>
                <c:pt idx="19">
                  <c:v>1.1832230751683369E-2</c:v>
                </c:pt>
                <c:pt idx="20">
                  <c:v>1.2682668307534326E-2</c:v>
                </c:pt>
                <c:pt idx="21">
                  <c:v>2.6832977956535147E-2</c:v>
                </c:pt>
                <c:pt idx="22">
                  <c:v>1.1906494760485326E-2</c:v>
                </c:pt>
                <c:pt idx="23">
                  <c:v>2.0209450758932476E-2</c:v>
                </c:pt>
                <c:pt idx="24">
                  <c:v>2.2031508881945314E-2</c:v>
                </c:pt>
                <c:pt idx="25">
                  <c:v>9.6832077668474703</c:v>
                </c:pt>
                <c:pt idx="26">
                  <c:v>1.3296081408206695</c:v>
                </c:pt>
                <c:pt idx="27">
                  <c:v>0.60699112448763304</c:v>
                </c:pt>
                <c:pt idx="28">
                  <c:v>1.9465845817780254</c:v>
                </c:pt>
                <c:pt idx="29">
                  <c:v>10.123158243273032</c:v>
                </c:pt>
                <c:pt idx="30">
                  <c:v>0.70726364243081408</c:v>
                </c:pt>
                <c:pt idx="31">
                  <c:v>0.30570133444855047</c:v>
                </c:pt>
                <c:pt idx="32">
                  <c:v>2.6329635294249171E-2</c:v>
                </c:pt>
                <c:pt idx="33">
                  <c:v>2.8481094482810179E-2</c:v>
                </c:pt>
                <c:pt idx="34">
                  <c:v>1.9787548896431778E-2</c:v>
                </c:pt>
                <c:pt idx="35">
                  <c:v>3.3438457743231835E-2</c:v>
                </c:pt>
                <c:pt idx="36">
                  <c:v>1.5542800365841039E-2</c:v>
                </c:pt>
                <c:pt idx="37">
                  <c:v>4.0869824758328219E-2</c:v>
                </c:pt>
                <c:pt idx="38">
                  <c:v>1.5096293918921351E-2</c:v>
                </c:pt>
                <c:pt idx="39">
                  <c:v>0.12082128078730307</c:v>
                </c:pt>
                <c:pt idx="40">
                  <c:v>8.8783692042921452</c:v>
                </c:pt>
                <c:pt idx="41">
                  <c:v>8.7335485876714198</c:v>
                </c:pt>
                <c:pt idx="42">
                  <c:v>12.09275376947649</c:v>
                </c:pt>
                <c:pt idx="43">
                  <c:v>9.6730263442075888</c:v>
                </c:pt>
                <c:pt idx="44">
                  <c:v>9.456687404859677</c:v>
                </c:pt>
                <c:pt idx="45">
                  <c:v>10.296619441004365</c:v>
                </c:pt>
                <c:pt idx="46">
                  <c:v>8.5234388136869406</c:v>
                </c:pt>
                <c:pt idx="47">
                  <c:v>8.4646548365281973</c:v>
                </c:pt>
                <c:pt idx="48">
                  <c:v>7.7561329104635162</c:v>
                </c:pt>
                <c:pt idx="49">
                  <c:v>13.644107807809883</c:v>
                </c:pt>
              </c:numCache>
            </c:numRef>
          </c:xVal>
          <c:yVal>
            <c:numRef>
              <c:f>'Tar vs EA'!$J$6:$J$55</c:f>
              <c:numCache>
                <c:formatCode>0.0</c:formatCode>
                <c:ptCount val="50"/>
                <c:pt idx="0">
                  <c:v>1047.6268494764397</c:v>
                </c:pt>
                <c:pt idx="1">
                  <c:v>280.35698276614306</c:v>
                </c:pt>
                <c:pt idx="2">
                  <c:v>748.39467233856874</c:v>
                </c:pt>
                <c:pt idx="3">
                  <c:v>742.90993935427571</c:v>
                </c:pt>
                <c:pt idx="4">
                  <c:v>2022.2096247818497</c:v>
                </c:pt>
                <c:pt idx="5">
                  <c:v>200.41414288830714</c:v>
                </c:pt>
                <c:pt idx="6">
                  <c:v>122.34953839441535</c:v>
                </c:pt>
                <c:pt idx="7">
                  <c:v>214.54732853403144</c:v>
                </c:pt>
                <c:pt idx="8">
                  <c:v>91.05513743455495</c:v>
                </c:pt>
                <c:pt idx="9">
                  <c:v>8.0699847294938891</c:v>
                </c:pt>
                <c:pt idx="10">
                  <c:v>6.6780909031413618</c:v>
                </c:pt>
                <c:pt idx="11">
                  <c:v>5.7532563699825472</c:v>
                </c:pt>
                <c:pt idx="12">
                  <c:v>6.6195299520069808</c:v>
                </c:pt>
                <c:pt idx="13">
                  <c:v>6.2338846640488645</c:v>
                </c:pt>
                <c:pt idx="14">
                  <c:v>6.941615183246074</c:v>
                </c:pt>
                <c:pt idx="15">
                  <c:v>8.2842321116928428</c:v>
                </c:pt>
                <c:pt idx="16">
                  <c:v>4.3385094895287946</c:v>
                </c:pt>
                <c:pt idx="17">
                  <c:v>4.9262614746945905</c:v>
                </c:pt>
                <c:pt idx="18">
                  <c:v>4.6548814572425838</c:v>
                </c:pt>
                <c:pt idx="19">
                  <c:v>4.3120856457242569</c:v>
                </c:pt>
                <c:pt idx="20">
                  <c:v>4.6206018760907499</c:v>
                </c:pt>
                <c:pt idx="21">
                  <c:v>4.2406698516579402</c:v>
                </c:pt>
                <c:pt idx="22">
                  <c:v>1.5097298865619548</c:v>
                </c:pt>
                <c:pt idx="23">
                  <c:v>1.444027356020942</c:v>
                </c:pt>
                <c:pt idx="24">
                  <c:v>21.539003490401392</c:v>
                </c:pt>
                <c:pt idx="25">
                  <c:v>1.8668088568935424</c:v>
                </c:pt>
                <c:pt idx="26">
                  <c:v>1.4690228839441533</c:v>
                </c:pt>
                <c:pt idx="27">
                  <c:v>1.7268339005235598</c:v>
                </c:pt>
                <c:pt idx="28">
                  <c:v>0.90340979493891793</c:v>
                </c:pt>
                <c:pt idx="29">
                  <c:v>2.4502758944153578</c:v>
                </c:pt>
                <c:pt idx="30">
                  <c:v>912.20107918848146</c:v>
                </c:pt>
                <c:pt idx="31">
                  <c:v>15.235845506108204</c:v>
                </c:pt>
                <c:pt idx="32">
                  <c:v>3.9964278359511334</c:v>
                </c:pt>
                <c:pt idx="33">
                  <c:v>2.4731289485165791</c:v>
                </c:pt>
                <c:pt idx="34">
                  <c:v>2.2338860383944157</c:v>
                </c:pt>
                <c:pt idx="35">
                  <c:v>2.0396350785340314</c:v>
                </c:pt>
                <c:pt idx="36">
                  <c:v>2.5038377399650962</c:v>
                </c:pt>
                <c:pt idx="37">
                  <c:v>2.3124434118673647</c:v>
                </c:pt>
                <c:pt idx="38">
                  <c:v>1.3590425610820245</c:v>
                </c:pt>
                <c:pt idx="39">
                  <c:v>1.9817882853403139</c:v>
                </c:pt>
                <c:pt idx="40">
                  <c:v>102.24456404886561</c:v>
                </c:pt>
                <c:pt idx="41">
                  <c:v>55.040152486910976</c:v>
                </c:pt>
                <c:pt idx="42">
                  <c:v>305.7952886125654</c:v>
                </c:pt>
                <c:pt idx="43">
                  <c:v>347.80920026178006</c:v>
                </c:pt>
                <c:pt idx="44">
                  <c:v>389.07324607329838</c:v>
                </c:pt>
                <c:pt idx="45">
                  <c:v>41.79823595113438</c:v>
                </c:pt>
                <c:pt idx="46">
                  <c:v>75.343662739965083</c:v>
                </c:pt>
                <c:pt idx="47">
                  <c:v>58.449542495636997</c:v>
                </c:pt>
                <c:pt idx="48">
                  <c:v>148.35202901396158</c:v>
                </c:pt>
                <c:pt idx="49">
                  <c:v>125.85962467277484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1-48CF-8D16-92B7F454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7304"/>
        <c:axId val="741060088"/>
      </c:scatterChart>
      <c:valAx>
        <c:axId val="7410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u="none" strike="noStrike" baseline="0">
                    <a:effectLst/>
                  </a:rPr>
                  <a:t>Tar aromatics</a:t>
                </a:r>
                <a:r>
                  <a:rPr lang="nl-NL" sz="1200"/>
                  <a:t> (mg/L)</a:t>
                </a:r>
              </a:p>
            </c:rich>
          </c:tx>
          <c:layout>
            <c:manualLayout>
              <c:xMode val="edge"/>
              <c:yMode val="edge"/>
              <c:x val="0.35405118110236222"/>
              <c:y val="0.906032986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0088"/>
        <c:crosses val="autoZero"/>
        <c:crossBetween val="midCat"/>
        <c:majorUnit val="2"/>
      </c:valAx>
      <c:valAx>
        <c:axId val="7410600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CH4 (ug/L)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4207164534120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2190350242157"/>
          <c:y val="0.15086522851046039"/>
          <c:w val="0.66758351175138686"/>
          <c:h val="0.804099259415881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'Tar vs EA'!#REF!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'Tar vs EA'!#REF!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'Tar vs EA'!#REF!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F4-4E74-9B22-4DEDCA03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06480"/>
        <c:axId val="636406152"/>
      </c:scatterChart>
      <c:valAx>
        <c:axId val="6364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6152"/>
        <c:crosses val="autoZero"/>
        <c:crossBetween val="midCat"/>
      </c:valAx>
      <c:valAx>
        <c:axId val="6364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B</a:t>
            </a:r>
            <a:r>
              <a:rPr lang="en-US" sz="1400">
                <a:solidFill>
                  <a:sysClr val="windowText" lastClr="000000"/>
                </a:solidFill>
              </a:rPr>
              <a:t> - Sulphate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EAProfiles!$C$5:$C$29</c:f>
              <c:numCache>
                <c:formatCode>0</c:formatCode>
                <c:ptCount val="25"/>
                <c:pt idx="0">
                  <c:v>15</c:v>
                </c:pt>
                <c:pt idx="1">
                  <c:v>26</c:v>
                </c:pt>
                <c:pt idx="2">
                  <c:v>23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79</c:v>
                </c:pt>
                <c:pt idx="13">
                  <c:v>67</c:v>
                </c:pt>
                <c:pt idx="14">
                  <c:v>127</c:v>
                </c:pt>
                <c:pt idx="15">
                  <c:v>237</c:v>
                </c:pt>
                <c:pt idx="16">
                  <c:v>85</c:v>
                </c:pt>
                <c:pt idx="17">
                  <c:v>85</c:v>
                </c:pt>
                <c:pt idx="18">
                  <c:v>94</c:v>
                </c:pt>
                <c:pt idx="19">
                  <c:v>65</c:v>
                </c:pt>
                <c:pt idx="20">
                  <c:v>84</c:v>
                </c:pt>
                <c:pt idx="21">
                  <c:v>75</c:v>
                </c:pt>
                <c:pt idx="22">
                  <c:v>181</c:v>
                </c:pt>
                <c:pt idx="23">
                  <c:v>153</c:v>
                </c:pt>
                <c:pt idx="24">
                  <c:v>39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C-4DC6-84AF-8EF35543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Total metabolites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type'!$AE$2</c:f>
              <c:strCache>
                <c:ptCount val="1"/>
                <c:pt idx="0">
                  <c:v>Metabolites (ug/L)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type'!$X$3:$X$11</c:f>
              <c:strCache>
                <c:ptCount val="9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very course sand</c:v>
                </c:pt>
                <c:pt idx="4">
                  <c:v>very course sand</c:v>
                </c:pt>
                <c:pt idx="5">
                  <c:v>course sand</c:v>
                </c:pt>
                <c:pt idx="6">
                  <c:v>moderately course sand</c:v>
                </c:pt>
                <c:pt idx="7">
                  <c:v>moderately course sand</c:v>
                </c:pt>
                <c:pt idx="8">
                  <c:v>very fine sand</c:v>
                </c:pt>
              </c:strCache>
            </c:strRef>
          </c:cat>
          <c:val>
            <c:numRef>
              <c:f>'All vs soil type'!$AE$3:$AE$11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674</c:v>
                </c:pt>
                <c:pt idx="3">
                  <c:v>600</c:v>
                </c:pt>
                <c:pt idx="4">
                  <c:v>5</c:v>
                </c:pt>
                <c:pt idx="5">
                  <c:v>8</c:v>
                </c:pt>
                <c:pt idx="6">
                  <c:v>41</c:v>
                </c:pt>
                <c:pt idx="7">
                  <c:v>101</c:v>
                </c:pt>
                <c:pt idx="8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15D-81B2-26BFAE26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EAProfiles!$E$2</c:f>
              <c:strCache>
                <c:ptCount val="1"/>
                <c:pt idx="0">
                  <c:v>Sulphide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EAProfiles!$E$5:$E$29</c:f>
              <c:numCache>
                <c:formatCode>0.0</c:formatCode>
                <c:ptCount val="25"/>
                <c:pt idx="0">
                  <c:v>0.39184444444444444</c:v>
                </c:pt>
                <c:pt idx="1">
                  <c:v>0.12467777777777779</c:v>
                </c:pt>
                <c:pt idx="2">
                  <c:v>8.9055555555555554E-2</c:v>
                </c:pt>
                <c:pt idx="3">
                  <c:v>7.1244444444444457E-2</c:v>
                </c:pt>
                <c:pt idx="4">
                  <c:v>3.5622222222222229E-2</c:v>
                </c:pt>
                <c:pt idx="5">
                  <c:v>0.30278888888888889</c:v>
                </c:pt>
                <c:pt idx="6">
                  <c:v>6.4476222222222228</c:v>
                </c:pt>
                <c:pt idx="7">
                  <c:v>7.1244444444444457E-2</c:v>
                </c:pt>
                <c:pt idx="8">
                  <c:v>9.4755111111111106</c:v>
                </c:pt>
                <c:pt idx="9">
                  <c:v>20.518399999999996</c:v>
                </c:pt>
                <c:pt idx="10">
                  <c:v>0.83712222222222221</c:v>
                </c:pt>
                <c:pt idx="11">
                  <c:v>5.3433333333333333E-2</c:v>
                </c:pt>
                <c:pt idx="12">
                  <c:v>15.477855555555553</c:v>
                </c:pt>
                <c:pt idx="13">
                  <c:v>7.1244444444444457E-2</c:v>
                </c:pt>
                <c:pt idx="14">
                  <c:v>4.9514888888888899</c:v>
                </c:pt>
                <c:pt idx="15">
                  <c:v>5.3433333333333333E-2</c:v>
                </c:pt>
                <c:pt idx="16">
                  <c:v>5.3433333333333333E-2</c:v>
                </c:pt>
                <c:pt idx="17">
                  <c:v>7.1244444444444457E-2</c:v>
                </c:pt>
                <c:pt idx="18">
                  <c:v>5.3433333333333333E-2</c:v>
                </c:pt>
                <c:pt idx="19">
                  <c:v>5.3433333333333333E-2</c:v>
                </c:pt>
                <c:pt idx="20">
                  <c:v>0.12467777777777779</c:v>
                </c:pt>
                <c:pt idx="21">
                  <c:v>5.3433333333333333E-2</c:v>
                </c:pt>
                <c:pt idx="22">
                  <c:v>3.5622222222222229E-2</c:v>
                </c:pt>
                <c:pt idx="23">
                  <c:v>3.5622222222222229E-2</c:v>
                </c:pt>
                <c:pt idx="24">
                  <c:v>5.3433333333333333E-2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B-412D-8BC3-BA4B0FCF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EAProfiles!$F$2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EAProfiles!$F$5:$F$29</c:f>
              <c:numCache>
                <c:formatCode>0.0</c:formatCode>
                <c:ptCount val="25"/>
                <c:pt idx="0">
                  <c:v>1047.6268494764397</c:v>
                </c:pt>
                <c:pt idx="1">
                  <c:v>280.35698276614306</c:v>
                </c:pt>
                <c:pt idx="2">
                  <c:v>748.39467233856874</c:v>
                </c:pt>
                <c:pt idx="3">
                  <c:v>742.90993935427571</c:v>
                </c:pt>
                <c:pt idx="4">
                  <c:v>2022.2096247818497</c:v>
                </c:pt>
                <c:pt idx="5">
                  <c:v>200.41414288830714</c:v>
                </c:pt>
                <c:pt idx="6">
                  <c:v>122.34953839441535</c:v>
                </c:pt>
                <c:pt idx="7">
                  <c:v>214.54732853403144</c:v>
                </c:pt>
                <c:pt idx="8">
                  <c:v>91.05513743455495</c:v>
                </c:pt>
                <c:pt idx="9">
                  <c:v>8.0699847294938891</c:v>
                </c:pt>
                <c:pt idx="10">
                  <c:v>6.6780909031413618</c:v>
                </c:pt>
                <c:pt idx="11">
                  <c:v>5.7532563699825472</c:v>
                </c:pt>
                <c:pt idx="12">
                  <c:v>6.6195299520069808</c:v>
                </c:pt>
                <c:pt idx="13">
                  <c:v>6.2338846640488645</c:v>
                </c:pt>
                <c:pt idx="14">
                  <c:v>6.941615183246074</c:v>
                </c:pt>
                <c:pt idx="15">
                  <c:v>8.2842321116928428</c:v>
                </c:pt>
                <c:pt idx="16">
                  <c:v>4.3385094895287946</c:v>
                </c:pt>
                <c:pt idx="17">
                  <c:v>4.9262614746945905</c:v>
                </c:pt>
                <c:pt idx="18">
                  <c:v>4.6548814572425838</c:v>
                </c:pt>
                <c:pt idx="19">
                  <c:v>4.3120856457242569</c:v>
                </c:pt>
                <c:pt idx="20">
                  <c:v>4.6206018760907499</c:v>
                </c:pt>
                <c:pt idx="21">
                  <c:v>4.2406698516579402</c:v>
                </c:pt>
                <c:pt idx="22">
                  <c:v>1.5097298865619548</c:v>
                </c:pt>
                <c:pt idx="23">
                  <c:v>1.444027356020942</c:v>
                </c:pt>
                <c:pt idx="24">
                  <c:v>21.539003490401392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C35-9560-6E24ACB6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EAProfiles!$G$2</c:f>
              <c:strCache>
                <c:ptCount val="1"/>
                <c:pt idx="0">
                  <c:v>Iron II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EAProfiles!$G$5:$G$29</c:f>
              <c:numCache>
                <c:formatCode>0.0</c:formatCode>
                <c:ptCount val="25"/>
                <c:pt idx="0">
                  <c:v>2.87694866756945</c:v>
                </c:pt>
                <c:pt idx="1">
                  <c:v>3.24179532767866</c:v>
                </c:pt>
                <c:pt idx="2">
                  <c:v>2.9641369233805599</c:v>
                </c:pt>
                <c:pt idx="3">
                  <c:v>3.8366324151128102</c:v>
                </c:pt>
                <c:pt idx="4">
                  <c:v>1.1262627950833</c:v>
                </c:pt>
                <c:pt idx="5">
                  <c:v>1.12915831935543</c:v>
                </c:pt>
                <c:pt idx="6">
                  <c:v>0.156013410008567</c:v>
                </c:pt>
                <c:pt idx="7">
                  <c:v>5.0502472914271399</c:v>
                </c:pt>
                <c:pt idx="8">
                  <c:v>4.0728365462998503E-2</c:v>
                </c:pt>
                <c:pt idx="9">
                  <c:v>9.9684669011121899E-2</c:v>
                </c:pt>
                <c:pt idx="10">
                  <c:v>3.9949253808153902</c:v>
                </c:pt>
                <c:pt idx="11">
                  <c:v>2.3019177945171601</c:v>
                </c:pt>
                <c:pt idx="12">
                  <c:v>0.113612295106787</c:v>
                </c:pt>
                <c:pt idx="13">
                  <c:v>3.4858349749339501</c:v>
                </c:pt>
                <c:pt idx="14">
                  <c:v>3.1863076334926901</c:v>
                </c:pt>
                <c:pt idx="15">
                  <c:v>9.9551880568739506</c:v>
                </c:pt>
                <c:pt idx="16">
                  <c:v>9.5745828978454792</c:v>
                </c:pt>
                <c:pt idx="17">
                  <c:v>12.4930829277627</c:v>
                </c:pt>
                <c:pt idx="18">
                  <c:v>9.28571163287479</c:v>
                </c:pt>
                <c:pt idx="19">
                  <c:v>9.3655630683361597</c:v>
                </c:pt>
                <c:pt idx="20">
                  <c:v>10.230692226240899</c:v>
                </c:pt>
                <c:pt idx="21">
                  <c:v>8.2793653906467508</c:v>
                </c:pt>
                <c:pt idx="22">
                  <c:v>3.2365833105944701</c:v>
                </c:pt>
                <c:pt idx="23">
                  <c:v>2.9302530797751398</c:v>
                </c:pt>
                <c:pt idx="24">
                  <c:v>5.5635663777949604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646-AF5F-1811FDB9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EAProfiles!$H$2</c:f>
              <c:strCache>
                <c:ptCount val="1"/>
                <c:pt idx="0">
                  <c:v>Manganese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EAProfiles!$H$5:$H$29</c:f>
              <c:numCache>
                <c:formatCode>0.0</c:formatCode>
                <c:ptCount val="25"/>
                <c:pt idx="0">
                  <c:v>1.1771842314565599</c:v>
                </c:pt>
                <c:pt idx="1">
                  <c:v>0.77835240642361303</c:v>
                </c:pt>
                <c:pt idx="2">
                  <c:v>0.58795062857681801</c:v>
                </c:pt>
                <c:pt idx="3">
                  <c:v>0.61862026418945504</c:v>
                </c:pt>
                <c:pt idx="4">
                  <c:v>0.196744319617042</c:v>
                </c:pt>
                <c:pt idx="5">
                  <c:v>0.14980383623836399</c:v>
                </c:pt>
                <c:pt idx="6">
                  <c:v>0.39475386461465001</c:v>
                </c:pt>
                <c:pt idx="7">
                  <c:v>0.44477020295779102</c:v>
                </c:pt>
                <c:pt idx="8">
                  <c:v>0.46739132789608401</c:v>
                </c:pt>
                <c:pt idx="9">
                  <c:v>0.43748106040795198</c:v>
                </c:pt>
                <c:pt idx="10">
                  <c:v>0.67691496817247698</c:v>
                </c:pt>
                <c:pt idx="11">
                  <c:v>0.89554027608513298</c:v>
                </c:pt>
                <c:pt idx="12">
                  <c:v>3.0511156297776999E-2</c:v>
                </c:pt>
                <c:pt idx="13">
                  <c:v>0.69876607110616695</c:v>
                </c:pt>
                <c:pt idx="14">
                  <c:v>0.70182098929139902</c:v>
                </c:pt>
                <c:pt idx="15">
                  <c:v>0.39923933656759802</c:v>
                </c:pt>
                <c:pt idx="16">
                  <c:v>0.46118889690845799</c:v>
                </c:pt>
                <c:pt idx="17">
                  <c:v>0.46410682178795398</c:v>
                </c:pt>
                <c:pt idx="18">
                  <c:v>0.49690910259973903</c:v>
                </c:pt>
                <c:pt idx="19">
                  <c:v>0.46350808143627498</c:v>
                </c:pt>
                <c:pt idx="20">
                  <c:v>0.52354663576432403</c:v>
                </c:pt>
                <c:pt idx="21">
                  <c:v>0.53797012101596398</c:v>
                </c:pt>
                <c:pt idx="22">
                  <c:v>0.36033871303818099</c:v>
                </c:pt>
                <c:pt idx="23">
                  <c:v>0.42526390949921899</c:v>
                </c:pt>
                <c:pt idx="24">
                  <c:v>0.61010908890698301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0-4F2B-ABC6-3A14A0DF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B2</a:t>
            </a:r>
            <a:r>
              <a:rPr lang="en-US"/>
              <a:t> - Sulphate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EAProfiles!$C$30:$C$44</c:f>
              <c:numCache>
                <c:formatCode>0</c:formatCode>
                <c:ptCount val="15"/>
                <c:pt idx="0">
                  <c:v>176</c:v>
                </c:pt>
                <c:pt idx="1">
                  <c:v>101</c:v>
                </c:pt>
                <c:pt idx="2">
                  <c:v>42</c:v>
                </c:pt>
                <c:pt idx="3">
                  <c:v>29</c:v>
                </c:pt>
                <c:pt idx="4">
                  <c:v>88</c:v>
                </c:pt>
                <c:pt idx="5">
                  <c:v>136</c:v>
                </c:pt>
                <c:pt idx="6">
                  <c:v>204</c:v>
                </c:pt>
                <c:pt idx="7">
                  <c:v>169</c:v>
                </c:pt>
                <c:pt idx="8">
                  <c:v>204</c:v>
                </c:pt>
                <c:pt idx="9">
                  <c:v>169</c:v>
                </c:pt>
                <c:pt idx="10">
                  <c:v>141</c:v>
                </c:pt>
                <c:pt idx="11">
                  <c:v>97</c:v>
                </c:pt>
                <c:pt idx="12">
                  <c:v>102</c:v>
                </c:pt>
                <c:pt idx="13">
                  <c:v>74</c:v>
                </c:pt>
                <c:pt idx="14">
                  <c:v>209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9-4573-BC78-B49313EC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EAProfiles!$E$2</c:f>
              <c:strCache>
                <c:ptCount val="1"/>
                <c:pt idx="0">
                  <c:v>Sulphide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EAProfiles!$E$30:$E$44</c:f>
              <c:numCache>
                <c:formatCode>0.0</c:formatCode>
                <c:ptCount val="15"/>
                <c:pt idx="0">
                  <c:v>0.62338888888888899</c:v>
                </c:pt>
                <c:pt idx="1">
                  <c:v>0.26716666666666661</c:v>
                </c:pt>
                <c:pt idx="2">
                  <c:v>0.23154444444444441</c:v>
                </c:pt>
                <c:pt idx="3">
                  <c:v>0.19592222222222222</c:v>
                </c:pt>
                <c:pt idx="4">
                  <c:v>1.1933444444444445</c:v>
                </c:pt>
                <c:pt idx="5">
                  <c:v>0.10686666666666667</c:v>
                </c:pt>
                <c:pt idx="6">
                  <c:v>8.9055555555555554E-2</c:v>
                </c:pt>
                <c:pt idx="7">
                  <c:v>3.5622222222222229E-2</c:v>
                </c:pt>
                <c:pt idx="8">
                  <c:v>5.3433333333333333E-2</c:v>
                </c:pt>
                <c:pt idx="9">
                  <c:v>7.1244444444444457E-2</c:v>
                </c:pt>
                <c:pt idx="10">
                  <c:v>8.9055555555555554E-2</c:v>
                </c:pt>
                <c:pt idx="11">
                  <c:v>0.12467777777777779</c:v>
                </c:pt>
                <c:pt idx="12">
                  <c:v>7.1244444444444457E-2</c:v>
                </c:pt>
                <c:pt idx="13">
                  <c:v>0.10686666666666667</c:v>
                </c:pt>
                <c:pt idx="14">
                  <c:v>3.5622222222222229E-2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777-B303-5C22928F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EAProfiles!$F$2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EAProfiles!$F$30:$F$44</c:f>
              <c:numCache>
                <c:formatCode>0.0</c:formatCode>
                <c:ptCount val="15"/>
                <c:pt idx="0">
                  <c:v>1.8668088568935424</c:v>
                </c:pt>
                <c:pt idx="1">
                  <c:v>1.4690228839441533</c:v>
                </c:pt>
                <c:pt idx="2">
                  <c:v>1.7268339005235598</c:v>
                </c:pt>
                <c:pt idx="3">
                  <c:v>0.90340979493891793</c:v>
                </c:pt>
                <c:pt idx="4">
                  <c:v>2.4502758944153578</c:v>
                </c:pt>
                <c:pt idx="5">
                  <c:v>912.20107918848146</c:v>
                </c:pt>
                <c:pt idx="6">
                  <c:v>15.235845506108204</c:v>
                </c:pt>
                <c:pt idx="7">
                  <c:v>3.9964278359511334</c:v>
                </c:pt>
                <c:pt idx="8">
                  <c:v>2.4731289485165791</c:v>
                </c:pt>
                <c:pt idx="9">
                  <c:v>2.2338860383944157</c:v>
                </c:pt>
                <c:pt idx="10">
                  <c:v>2.0396350785340314</c:v>
                </c:pt>
                <c:pt idx="11">
                  <c:v>2.5038377399650962</c:v>
                </c:pt>
                <c:pt idx="12">
                  <c:v>2.3124434118673647</c:v>
                </c:pt>
                <c:pt idx="13">
                  <c:v>1.3590425610820245</c:v>
                </c:pt>
                <c:pt idx="14">
                  <c:v>1.9817882853403139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4-4FC6-A92C-AA5FDCCF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EAProfiles!$G$2</c:f>
              <c:strCache>
                <c:ptCount val="1"/>
                <c:pt idx="0">
                  <c:v>Iron II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EAProfiles!$G$30:$G$44</c:f>
              <c:numCache>
                <c:formatCode>0.0</c:formatCode>
                <c:ptCount val="15"/>
                <c:pt idx="0">
                  <c:v>11.082864877668699</c:v>
                </c:pt>
                <c:pt idx="1">
                  <c:v>6.8814461681478001</c:v>
                </c:pt>
                <c:pt idx="2">
                  <c:v>6.4321751667865703</c:v>
                </c:pt>
                <c:pt idx="3">
                  <c:v>4.6566704177515899</c:v>
                </c:pt>
                <c:pt idx="4">
                  <c:v>1.6005894160555101</c:v>
                </c:pt>
                <c:pt idx="5">
                  <c:v>2.0326463153345502</c:v>
                </c:pt>
                <c:pt idx="6">
                  <c:v>4.0587019959145696</c:v>
                </c:pt>
                <c:pt idx="7">
                  <c:v>14.889529466079001</c:v>
                </c:pt>
                <c:pt idx="8">
                  <c:v>15.026182223749601</c:v>
                </c:pt>
                <c:pt idx="9">
                  <c:v>11.6569911158049</c:v>
                </c:pt>
                <c:pt idx="10">
                  <c:v>9.0513954763816606</c:v>
                </c:pt>
                <c:pt idx="11">
                  <c:v>8.9653113300044396</c:v>
                </c:pt>
                <c:pt idx="12">
                  <c:v>10.7675128515474</c:v>
                </c:pt>
                <c:pt idx="13">
                  <c:v>6.18194213218543</c:v>
                </c:pt>
                <c:pt idx="14">
                  <c:v>8.5161466416858307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4-48B7-80D3-21AFCB26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EAProfiles!$H$2</c:f>
              <c:strCache>
                <c:ptCount val="1"/>
                <c:pt idx="0">
                  <c:v>Manganese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EAProfiles!$H$30:$H$44</c:f>
              <c:numCache>
                <c:formatCode>0.0</c:formatCode>
                <c:ptCount val="15"/>
                <c:pt idx="0">
                  <c:v>0.62776146491174201</c:v>
                </c:pt>
                <c:pt idx="1">
                  <c:v>0.71619651647447702</c:v>
                </c:pt>
                <c:pt idx="2">
                  <c:v>0.51059962649233603</c:v>
                </c:pt>
                <c:pt idx="3">
                  <c:v>1.1679238937693499</c:v>
                </c:pt>
                <c:pt idx="4">
                  <c:v>1.0853119418153701</c:v>
                </c:pt>
                <c:pt idx="5">
                  <c:v>1.3445663786947799</c:v>
                </c:pt>
                <c:pt idx="6">
                  <c:v>0.91956714965754005</c:v>
                </c:pt>
                <c:pt idx="7">
                  <c:v>1.65358823793106</c:v>
                </c:pt>
                <c:pt idx="8">
                  <c:v>1.4641103789172401</c:v>
                </c:pt>
                <c:pt idx="9">
                  <c:v>1.26282141564323</c:v>
                </c:pt>
                <c:pt idx="10">
                  <c:v>0.59165561802057098</c:v>
                </c:pt>
                <c:pt idx="11">
                  <c:v>0.36521838199233198</c:v>
                </c:pt>
                <c:pt idx="12">
                  <c:v>0.56462842055957596</c:v>
                </c:pt>
                <c:pt idx="13">
                  <c:v>0.50261468689298805</c:v>
                </c:pt>
                <c:pt idx="14">
                  <c:v>0.490738894384318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34A-92B9-F192A2EC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</a:t>
            </a:r>
            <a:r>
              <a:rPr lang="en-US"/>
              <a:t> - Sulphate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EAProfiles!$C$2</c:f>
              <c:strCache>
                <c:ptCount val="1"/>
                <c:pt idx="0">
                  <c:v>Sulphate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EAProfiles!$C$45:$C$54</c:f>
              <c:numCache>
                <c:formatCode>0</c:formatCode>
                <c:ptCount val="10"/>
                <c:pt idx="0">
                  <c:v>11</c:v>
                </c:pt>
                <c:pt idx="1">
                  <c:v>1.2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13.7</c:v>
                </c:pt>
                <c:pt idx="6">
                  <c:v>10</c:v>
                </c:pt>
                <c:pt idx="7">
                  <c:v>16</c:v>
                </c:pt>
                <c:pt idx="8">
                  <c:v>81</c:v>
                </c:pt>
                <c:pt idx="9">
                  <c:v>28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57B-AE50-82DE4855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B2 - Total concentration tar aromates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type'!$Y$2</c:f>
              <c:strCache>
                <c:ptCount val="1"/>
                <c:pt idx="0">
                  <c:v>Total concentration tar aromates (μg/L)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type'!$X$19:$X$25</c:f>
              <c:strCache>
                <c:ptCount val="7"/>
                <c:pt idx="0">
                  <c:v>very course sand</c:v>
                </c:pt>
                <c:pt idx="1">
                  <c:v>very course sand</c:v>
                </c:pt>
                <c:pt idx="2">
                  <c:v>very course sand</c:v>
                </c:pt>
                <c:pt idx="3">
                  <c:v>moderately fine sand</c:v>
                </c:pt>
                <c:pt idx="4">
                  <c:v>very fine sand</c:v>
                </c:pt>
                <c:pt idx="5">
                  <c:v>very fine sand</c:v>
                </c:pt>
                <c:pt idx="6">
                  <c:v>extremely fine sand</c:v>
                </c:pt>
              </c:strCache>
            </c:strRef>
          </c:cat>
          <c:val>
            <c:numRef>
              <c:f>'All vs soil type'!$Y$19:$Y$25</c:f>
              <c:numCache>
                <c:formatCode>General</c:formatCode>
                <c:ptCount val="7"/>
                <c:pt idx="0">
                  <c:v>6072</c:v>
                </c:pt>
                <c:pt idx="1">
                  <c:v>1977</c:v>
                </c:pt>
                <c:pt idx="2">
                  <c:v>205</c:v>
                </c:pt>
                <c:pt idx="3">
                  <c:v>10123</c:v>
                </c:pt>
                <c:pt idx="4">
                  <c:v>8878</c:v>
                </c:pt>
                <c:pt idx="5">
                  <c:v>10297</c:v>
                </c:pt>
                <c:pt idx="6">
                  <c:v>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4411-8B44-8A2C95C2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EAProfiles!$E$2</c:f>
              <c:strCache>
                <c:ptCount val="1"/>
                <c:pt idx="0">
                  <c:v>Sulphide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EAProfiles!$E$45:$E$54</c:f>
              <c:numCache>
                <c:formatCode>0.0</c:formatCode>
                <c:ptCount val="10"/>
                <c:pt idx="0">
                  <c:v>19.253811111111112</c:v>
                </c:pt>
                <c:pt idx="1">
                  <c:v>0.51652222222222222</c:v>
                </c:pt>
                <c:pt idx="2">
                  <c:v>0.40965555555555555</c:v>
                </c:pt>
                <c:pt idx="3">
                  <c:v>3.8472000000000004</c:v>
                </c:pt>
                <c:pt idx="4">
                  <c:v>2.6894777777777779</c:v>
                </c:pt>
                <c:pt idx="5">
                  <c:v>27.660655555555561</c:v>
                </c:pt>
                <c:pt idx="6">
                  <c:v>0.30278888888888889</c:v>
                </c:pt>
                <c:pt idx="7">
                  <c:v>3.5622222222222229E-2</c:v>
                </c:pt>
                <c:pt idx="8">
                  <c:v>5.3433333333333333E-2</c:v>
                </c:pt>
                <c:pt idx="9">
                  <c:v>7.1244444444444457E-2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B-4307-9F4E-22592234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EAProfiles!$F$2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EAProfiles!$F$45:$F$54</c:f>
              <c:numCache>
                <c:formatCode>0.0</c:formatCode>
                <c:ptCount val="10"/>
                <c:pt idx="0">
                  <c:v>102.24456404886561</c:v>
                </c:pt>
                <c:pt idx="1">
                  <c:v>55.040152486910976</c:v>
                </c:pt>
                <c:pt idx="2">
                  <c:v>305.7952886125654</c:v>
                </c:pt>
                <c:pt idx="3">
                  <c:v>347.80920026178006</c:v>
                </c:pt>
                <c:pt idx="4">
                  <c:v>389.07324607329838</c:v>
                </c:pt>
                <c:pt idx="5">
                  <c:v>41.79823595113438</c:v>
                </c:pt>
                <c:pt idx="6">
                  <c:v>75.343662739965083</c:v>
                </c:pt>
                <c:pt idx="7">
                  <c:v>58.449542495636997</c:v>
                </c:pt>
                <c:pt idx="8">
                  <c:v>148.35202901396158</c:v>
                </c:pt>
                <c:pt idx="9">
                  <c:v>125.85962467277484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1-4494-BF50-23BC65E7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EAProfiles!$G$2</c:f>
              <c:strCache>
                <c:ptCount val="1"/>
                <c:pt idx="0">
                  <c:v>Iron II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EAProfiles!$G$45:$G$54</c:f>
              <c:numCache>
                <c:formatCode>0.0</c:formatCode>
                <c:ptCount val="10"/>
                <c:pt idx="0">
                  <c:v>2.7283535104929601E-2</c:v>
                </c:pt>
                <c:pt idx="1">
                  <c:v>1.0927633839825399</c:v>
                </c:pt>
                <c:pt idx="2">
                  <c:v>0.61339781005528504</c:v>
                </c:pt>
                <c:pt idx="3">
                  <c:v>0.45767494549029902</c:v>
                </c:pt>
                <c:pt idx="4">
                  <c:v>0.6288479208094</c:v>
                </c:pt>
                <c:pt idx="5">
                  <c:v>2.0818129596617899E-2</c:v>
                </c:pt>
                <c:pt idx="6">
                  <c:v>2.2401960591924999</c:v>
                </c:pt>
                <c:pt idx="7">
                  <c:v>6.5133711426805201</c:v>
                </c:pt>
                <c:pt idx="8">
                  <c:v>7.3592826012287098</c:v>
                </c:pt>
                <c:pt idx="9">
                  <c:v>7.56683640329714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7-4C04-AAF1-AD982D62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EAProfiles!$H$2</c:f>
              <c:strCache>
                <c:ptCount val="1"/>
                <c:pt idx="0">
                  <c:v>Manganese (mg/L)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EAProfiles!$H$45:$H$54</c:f>
              <c:numCache>
                <c:formatCode>0.0</c:formatCode>
                <c:ptCount val="10"/>
                <c:pt idx="0">
                  <c:v>0.12930630159745499</c:v>
                </c:pt>
                <c:pt idx="1">
                  <c:v>9.0331121420479499E-2</c:v>
                </c:pt>
                <c:pt idx="2">
                  <c:v>0.12714461551751</c:v>
                </c:pt>
                <c:pt idx="3">
                  <c:v>0.13116728619058299</c:v>
                </c:pt>
                <c:pt idx="4">
                  <c:v>0.16985787244172901</c:v>
                </c:pt>
                <c:pt idx="5">
                  <c:v>9.6375289518495999E-2</c:v>
                </c:pt>
                <c:pt idx="6">
                  <c:v>0.22796088340665399</c:v>
                </c:pt>
                <c:pt idx="7">
                  <c:v>0.233758166536749</c:v>
                </c:pt>
                <c:pt idx="8">
                  <c:v>0.22997358351199401</c:v>
                </c:pt>
                <c:pt idx="9">
                  <c:v>0.380396275218917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7-45D8-89A5-A52B2B06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EAProfiles!$B$2</c:f>
              <c:strCache>
                <c:ptCount val="1"/>
                <c:pt idx="0">
                  <c:v>Total tar aromatics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EAProfiles!$B$5:$B$29</c:f>
              <c:numCache>
                <c:formatCode>0</c:formatCode>
                <c:ptCount val="25"/>
                <c:pt idx="0">
                  <c:v>10.352138260080199</c:v>
                </c:pt>
                <c:pt idx="1">
                  <c:v>563.18591952990619</c:v>
                </c:pt>
                <c:pt idx="2">
                  <c:v>4627.6082418081851</c:v>
                </c:pt>
                <c:pt idx="3">
                  <c:v>4391.855486575274</c:v>
                </c:pt>
                <c:pt idx="4">
                  <c:v>10445.299637632412</c:v>
                </c:pt>
                <c:pt idx="5">
                  <c:v>8517.7206461662863</c:v>
                </c:pt>
                <c:pt idx="6">
                  <c:v>6072.2362002911341</c:v>
                </c:pt>
                <c:pt idx="7">
                  <c:v>6823.0379880820947</c:v>
                </c:pt>
                <c:pt idx="8">
                  <c:v>3363.7875359597292</c:v>
                </c:pt>
                <c:pt idx="9">
                  <c:v>999.98649397170402</c:v>
                </c:pt>
                <c:pt idx="10">
                  <c:v>57.927176990748904</c:v>
                </c:pt>
                <c:pt idx="11">
                  <c:v>17.087316174681867</c:v>
                </c:pt>
                <c:pt idx="12">
                  <c:v>1976.9096035899397</c:v>
                </c:pt>
                <c:pt idx="13">
                  <c:v>55.968238221817558</c:v>
                </c:pt>
                <c:pt idx="14">
                  <c:v>205.01316083293236</c:v>
                </c:pt>
                <c:pt idx="15">
                  <c:v>24.769927925219562</c:v>
                </c:pt>
                <c:pt idx="16">
                  <c:v>45.973514723287913</c:v>
                </c:pt>
                <c:pt idx="17">
                  <c:v>23.911461335810994</c:v>
                </c:pt>
                <c:pt idx="18">
                  <c:v>18.393809061085197</c:v>
                </c:pt>
                <c:pt idx="19">
                  <c:v>11.832230751683369</c:v>
                </c:pt>
                <c:pt idx="20">
                  <c:v>12.682668307534325</c:v>
                </c:pt>
                <c:pt idx="21">
                  <c:v>26.832977956535146</c:v>
                </c:pt>
                <c:pt idx="22">
                  <c:v>11.906494760485327</c:v>
                </c:pt>
                <c:pt idx="23">
                  <c:v>20.209450758932476</c:v>
                </c:pt>
                <c:pt idx="24">
                  <c:v>22.031508881945314</c:v>
                </c:pt>
              </c:numCache>
            </c:numRef>
          </c:xVal>
          <c:yVal>
            <c:numRef>
              <c:f>EAProfiles!$I$5:$I$29</c:f>
              <c:numCache>
                <c:formatCode>General</c:formatCode>
                <c:ptCount val="25"/>
                <c:pt idx="0">
                  <c:v>-8.5</c:v>
                </c:pt>
                <c:pt idx="1">
                  <c:v>-10.5</c:v>
                </c:pt>
                <c:pt idx="2">
                  <c:v>-12</c:v>
                </c:pt>
                <c:pt idx="3">
                  <c:v>-13.5</c:v>
                </c:pt>
                <c:pt idx="4">
                  <c:v>-15.5</c:v>
                </c:pt>
                <c:pt idx="5">
                  <c:v>-17</c:v>
                </c:pt>
                <c:pt idx="6">
                  <c:v>-19</c:v>
                </c:pt>
                <c:pt idx="7">
                  <c:v>-19.5</c:v>
                </c:pt>
                <c:pt idx="8">
                  <c:v>-20.5</c:v>
                </c:pt>
                <c:pt idx="9">
                  <c:v>-22.5</c:v>
                </c:pt>
                <c:pt idx="10">
                  <c:v>-24</c:v>
                </c:pt>
                <c:pt idx="11">
                  <c:v>-26</c:v>
                </c:pt>
                <c:pt idx="12">
                  <c:v>-28</c:v>
                </c:pt>
                <c:pt idx="13">
                  <c:v>-29.5</c:v>
                </c:pt>
                <c:pt idx="14">
                  <c:v>-31</c:v>
                </c:pt>
                <c:pt idx="15">
                  <c:v>-45</c:v>
                </c:pt>
                <c:pt idx="16">
                  <c:v>-49.5</c:v>
                </c:pt>
                <c:pt idx="17">
                  <c:v>-51</c:v>
                </c:pt>
                <c:pt idx="18">
                  <c:v>-53</c:v>
                </c:pt>
                <c:pt idx="19">
                  <c:v>-54.5</c:v>
                </c:pt>
                <c:pt idx="20">
                  <c:v>-55</c:v>
                </c:pt>
                <c:pt idx="21">
                  <c:v>-56.5</c:v>
                </c:pt>
                <c:pt idx="22">
                  <c:v>-58</c:v>
                </c:pt>
                <c:pt idx="23">
                  <c:v>-59.5</c:v>
                </c:pt>
                <c:pt idx="24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5-42D2-9504-CDA7A7C4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Tar aromatics </a:t>
            </a:r>
            <a:r>
              <a:rPr lang="en-US"/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EAProfiles!$B$2</c:f>
              <c:strCache>
                <c:ptCount val="1"/>
                <c:pt idx="0">
                  <c:v>Total tar aromatics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EAProfiles!$B$30:$B$44</c:f>
              <c:numCache>
                <c:formatCode>0</c:formatCode>
                <c:ptCount val="15"/>
                <c:pt idx="0">
                  <c:v>9683.2077668474703</c:v>
                </c:pt>
                <c:pt idx="1">
                  <c:v>1329.6081408206694</c:v>
                </c:pt>
                <c:pt idx="2">
                  <c:v>606.99112448763299</c:v>
                </c:pt>
                <c:pt idx="3">
                  <c:v>1946.5845817780255</c:v>
                </c:pt>
                <c:pt idx="4">
                  <c:v>10123.158243273032</c:v>
                </c:pt>
                <c:pt idx="5">
                  <c:v>707.26364243081412</c:v>
                </c:pt>
                <c:pt idx="6">
                  <c:v>305.70133444855048</c:v>
                </c:pt>
                <c:pt idx="7">
                  <c:v>26.329635294249172</c:v>
                </c:pt>
                <c:pt idx="8">
                  <c:v>28.481094482810178</c:v>
                </c:pt>
                <c:pt idx="9">
                  <c:v>19.78754889643178</c:v>
                </c:pt>
                <c:pt idx="10">
                  <c:v>33.438457743231837</c:v>
                </c:pt>
                <c:pt idx="11">
                  <c:v>15.542800365841039</c:v>
                </c:pt>
                <c:pt idx="12">
                  <c:v>40.869824758328221</c:v>
                </c:pt>
                <c:pt idx="13">
                  <c:v>15.096293918921351</c:v>
                </c:pt>
                <c:pt idx="14">
                  <c:v>120.82128078730307</c:v>
                </c:pt>
              </c:numCache>
            </c:numRef>
          </c:xVal>
          <c:yVal>
            <c:numRef>
              <c:f>EAProfiles!$I$30:$I$44</c:f>
              <c:numCache>
                <c:formatCode>General</c:formatCode>
                <c:ptCount val="15"/>
                <c:pt idx="0">
                  <c:v>-7</c:v>
                </c:pt>
                <c:pt idx="1">
                  <c:v>-8.5</c:v>
                </c:pt>
                <c:pt idx="2">
                  <c:v>-10.5</c:v>
                </c:pt>
                <c:pt idx="3">
                  <c:v>-12</c:v>
                </c:pt>
                <c:pt idx="4">
                  <c:v>-14</c:v>
                </c:pt>
                <c:pt idx="5">
                  <c:v>-15.5</c:v>
                </c:pt>
                <c:pt idx="6">
                  <c:v>-17</c:v>
                </c:pt>
                <c:pt idx="7">
                  <c:v>-20</c:v>
                </c:pt>
                <c:pt idx="8">
                  <c:v>-23.5</c:v>
                </c:pt>
                <c:pt idx="9">
                  <c:v>-26</c:v>
                </c:pt>
                <c:pt idx="10">
                  <c:v>-43</c:v>
                </c:pt>
                <c:pt idx="11">
                  <c:v>-50</c:v>
                </c:pt>
                <c:pt idx="12">
                  <c:v>-55.5</c:v>
                </c:pt>
                <c:pt idx="13">
                  <c:v>-60</c:v>
                </c:pt>
                <c:pt idx="14">
                  <c:v>-65.5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5-4885-8AB2-1F1802C1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EAProfiles!$B$2</c:f>
              <c:strCache>
                <c:ptCount val="1"/>
                <c:pt idx="0">
                  <c:v>Total tar aromatics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EAProfiles!$B$45:$B$54</c:f>
              <c:numCache>
                <c:formatCode>0</c:formatCode>
                <c:ptCount val="10"/>
                <c:pt idx="0">
                  <c:v>8878.3692042921448</c:v>
                </c:pt>
                <c:pt idx="1">
                  <c:v>8733.5485876714192</c:v>
                </c:pt>
                <c:pt idx="2">
                  <c:v>12092.753769476491</c:v>
                </c:pt>
                <c:pt idx="3">
                  <c:v>9673.0263442075884</c:v>
                </c:pt>
                <c:pt idx="4">
                  <c:v>9456.6874048596765</c:v>
                </c:pt>
                <c:pt idx="5">
                  <c:v>10296.619441004364</c:v>
                </c:pt>
                <c:pt idx="6">
                  <c:v>8523.4388136869402</c:v>
                </c:pt>
                <c:pt idx="7">
                  <c:v>8464.6548365281978</c:v>
                </c:pt>
                <c:pt idx="8">
                  <c:v>7756.1329104635161</c:v>
                </c:pt>
                <c:pt idx="9">
                  <c:v>13644.107807809884</c:v>
                </c:pt>
              </c:numCache>
            </c:numRef>
          </c:xVal>
          <c:yVal>
            <c:numRef>
              <c:f>EAProfiles!$I$45:$I$54</c:f>
              <c:numCache>
                <c:formatCode>General</c:formatCode>
                <c:ptCount val="10"/>
                <c:pt idx="0">
                  <c:v>-15.5</c:v>
                </c:pt>
                <c:pt idx="1">
                  <c:v>-17</c:v>
                </c:pt>
                <c:pt idx="2">
                  <c:v>-19</c:v>
                </c:pt>
                <c:pt idx="3">
                  <c:v>-20.5</c:v>
                </c:pt>
                <c:pt idx="4">
                  <c:v>-22.5</c:v>
                </c:pt>
                <c:pt idx="5">
                  <c:v>-26</c:v>
                </c:pt>
                <c:pt idx="6">
                  <c:v>-39</c:v>
                </c:pt>
                <c:pt idx="7">
                  <c:v>-41</c:v>
                </c:pt>
                <c:pt idx="8">
                  <c:v>-43.5</c:v>
                </c:pt>
                <c:pt idx="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8-4DB7-ACDE-C342F89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680"/>
        <c:axId val="636417304"/>
      </c:scatterChart>
      <c:valAx>
        <c:axId val="6364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7304"/>
        <c:crosses val="autoZero"/>
        <c:crossBetween val="midCat"/>
      </c:valAx>
      <c:valAx>
        <c:axId val="636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Metabolite variety vs aromatics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8358923766969"/>
          <c:y val="0.12882489071740807"/>
          <c:w val="0.8260712960659643"/>
          <c:h val="0.67457383374371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'Metab vs Tar'!$H$2</c:f>
              <c:strCache>
                <c:ptCount val="1"/>
                <c:pt idx="0">
                  <c:v>Number of detected metabolites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'Metab vs Tar'!$G$3:$G$28</c:f>
              <c:numCache>
                <c:formatCode>0.00</c:formatCode>
                <c:ptCount val="26"/>
                <c:pt idx="0">
                  <c:v>6.7400000000000002E-2</c:v>
                </c:pt>
                <c:pt idx="1">
                  <c:v>0.12079999999999999</c:v>
                </c:pt>
                <c:pt idx="2">
                  <c:v>4.6276082418081854</c:v>
                </c:pt>
                <c:pt idx="3">
                  <c:v>10.445299637632411</c:v>
                </c:pt>
                <c:pt idx="4">
                  <c:v>8.5177206461662855</c:v>
                </c:pt>
                <c:pt idx="5">
                  <c:v>6.0722362002911341</c:v>
                </c:pt>
                <c:pt idx="6">
                  <c:v>3.3637875359597293</c:v>
                </c:pt>
                <c:pt idx="7">
                  <c:v>1.9769096035899396</c:v>
                </c:pt>
                <c:pt idx="8">
                  <c:v>0.20501316083293236</c:v>
                </c:pt>
                <c:pt idx="9">
                  <c:v>2.4769927925219561E-2</c:v>
                </c:pt>
                <c:pt idx="10">
                  <c:v>2.2031508881945314E-2</c:v>
                </c:pt>
                <c:pt idx="11">
                  <c:v>9.6832077668474703</c:v>
                </c:pt>
                <c:pt idx="12">
                  <c:v>0.60699112448763304</c:v>
                </c:pt>
                <c:pt idx="13">
                  <c:v>10.123158243273032</c:v>
                </c:pt>
                <c:pt idx="14">
                  <c:v>0.70726364243081408</c:v>
                </c:pt>
                <c:pt idx="15">
                  <c:v>2.6329635294249171E-2</c:v>
                </c:pt>
                <c:pt idx="16">
                  <c:v>3.3438457743231835E-2</c:v>
                </c:pt>
                <c:pt idx="17">
                  <c:v>0.12082128078730307</c:v>
                </c:pt>
                <c:pt idx="18">
                  <c:v>8.8783692042921452</c:v>
                </c:pt>
                <c:pt idx="19">
                  <c:v>12.09275376947649</c:v>
                </c:pt>
                <c:pt idx="20">
                  <c:v>10.296619441004365</c:v>
                </c:pt>
                <c:pt idx="21">
                  <c:v>8.5234388136869406</c:v>
                </c:pt>
                <c:pt idx="22">
                  <c:v>13.644107807809883</c:v>
                </c:pt>
                <c:pt idx="23">
                  <c:v>0.22209999999999999</c:v>
                </c:pt>
                <c:pt idx="24">
                  <c:v>1.8800000000000001E-2</c:v>
                </c:pt>
                <c:pt idx="25">
                  <c:v>2.8000000000000001E-2</c:v>
                </c:pt>
              </c:numCache>
            </c:numRef>
          </c:xVal>
          <c:yVal>
            <c:numRef>
              <c:f>'Metab vs Tar'!$H$3:$H$28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 formatCode="0">
                  <c:v>47</c:v>
                </c:pt>
                <c:pt idx="3" formatCode="0">
                  <c:v>47</c:v>
                </c:pt>
                <c:pt idx="4" formatCode="0">
                  <c:v>43</c:v>
                </c:pt>
                <c:pt idx="5" formatCode="0">
                  <c:v>41</c:v>
                </c:pt>
                <c:pt idx="6" formatCode="0">
                  <c:v>36</c:v>
                </c:pt>
                <c:pt idx="7" formatCode="0">
                  <c:v>23</c:v>
                </c:pt>
                <c:pt idx="8" formatCode="0">
                  <c:v>12</c:v>
                </c:pt>
                <c:pt idx="9" formatCode="0">
                  <c:v>4</c:v>
                </c:pt>
                <c:pt idx="10" formatCode="0">
                  <c:v>11</c:v>
                </c:pt>
                <c:pt idx="11" formatCode="0">
                  <c:v>33</c:v>
                </c:pt>
                <c:pt idx="12" formatCode="0">
                  <c:v>20</c:v>
                </c:pt>
                <c:pt idx="13" formatCode="0">
                  <c:v>27</c:v>
                </c:pt>
                <c:pt idx="14" formatCode="0">
                  <c:v>11</c:v>
                </c:pt>
                <c:pt idx="15" formatCode="0">
                  <c:v>2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36</c:v>
                </c:pt>
                <c:pt idx="19" formatCode="0">
                  <c:v>33</c:v>
                </c:pt>
                <c:pt idx="20" formatCode="0">
                  <c:v>32</c:v>
                </c:pt>
                <c:pt idx="21" formatCode="0">
                  <c:v>32</c:v>
                </c:pt>
                <c:pt idx="22" formatCode="0">
                  <c:v>41</c:v>
                </c:pt>
                <c:pt idx="23" formatCode="0">
                  <c:v>1</c:v>
                </c:pt>
                <c:pt idx="24" formatCode="0">
                  <c:v>2</c:v>
                </c:pt>
                <c:pt idx="25" formatCode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5-4867-8BE2-6C1E6ABE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48272"/>
        <c:axId val="768945648"/>
      </c:scatterChart>
      <c:valAx>
        <c:axId val="7689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Tar aromatics (mg/L)</a:t>
                </a:r>
              </a:p>
            </c:rich>
          </c:tx>
          <c:layout>
            <c:manualLayout>
              <c:xMode val="edge"/>
              <c:yMode val="edge"/>
              <c:x val="0.35662593422416627"/>
              <c:y val="0.9125355729135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45648"/>
        <c:crosses val="autoZero"/>
        <c:crossBetween val="midCat"/>
        <c:majorUnit val="2"/>
      </c:valAx>
      <c:valAx>
        <c:axId val="768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Metabolite variety</a:t>
                </a:r>
              </a:p>
            </c:rich>
          </c:tx>
          <c:layout>
            <c:manualLayout>
              <c:xMode val="edge"/>
              <c:yMode val="edge"/>
              <c:x val="1.0782366839892041E-2"/>
              <c:y val="0.2674636199944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Concentration of metabolites vs aromatics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7808681781157"/>
          <c:y val="0.14572763960907323"/>
          <c:w val="0.81787880973391258"/>
          <c:h val="0.67042762947314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'Metab vs Tar'!$I$2</c:f>
              <c:strCache>
                <c:ptCount val="1"/>
                <c:pt idx="0">
                  <c:v>Total concentration 35 metabolites (μg/L)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EA-4696-8BF0-47749E671ACD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AEA-4696-8BF0-47749E671ACD}"/>
              </c:ext>
            </c:extLst>
          </c:dPt>
          <c:xVal>
            <c:numRef>
              <c:f>'Metab vs Tar'!$G$3:$G$28</c:f>
              <c:numCache>
                <c:formatCode>0.00</c:formatCode>
                <c:ptCount val="26"/>
                <c:pt idx="0">
                  <c:v>6.7400000000000002E-2</c:v>
                </c:pt>
                <c:pt idx="1">
                  <c:v>0.12079999999999999</c:v>
                </c:pt>
                <c:pt idx="2">
                  <c:v>4.6276082418081854</c:v>
                </c:pt>
                <c:pt idx="3">
                  <c:v>10.445299637632411</c:v>
                </c:pt>
                <c:pt idx="4">
                  <c:v>8.5177206461662855</c:v>
                </c:pt>
                <c:pt idx="5">
                  <c:v>6.0722362002911341</c:v>
                </c:pt>
                <c:pt idx="6">
                  <c:v>3.3637875359597293</c:v>
                </c:pt>
                <c:pt idx="7">
                  <c:v>1.9769096035899396</c:v>
                </c:pt>
                <c:pt idx="8">
                  <c:v>0.20501316083293236</c:v>
                </c:pt>
                <c:pt idx="9">
                  <c:v>2.4769927925219561E-2</c:v>
                </c:pt>
                <c:pt idx="10">
                  <c:v>2.2031508881945314E-2</c:v>
                </c:pt>
                <c:pt idx="11">
                  <c:v>9.6832077668474703</c:v>
                </c:pt>
                <c:pt idx="12">
                  <c:v>0.60699112448763304</c:v>
                </c:pt>
                <c:pt idx="13">
                  <c:v>10.123158243273032</c:v>
                </c:pt>
                <c:pt idx="14">
                  <c:v>0.70726364243081408</c:v>
                </c:pt>
                <c:pt idx="15">
                  <c:v>2.6329635294249171E-2</c:v>
                </c:pt>
                <c:pt idx="16">
                  <c:v>3.3438457743231835E-2</c:v>
                </c:pt>
                <c:pt idx="17">
                  <c:v>0.12082128078730307</c:v>
                </c:pt>
                <c:pt idx="18">
                  <c:v>8.8783692042921452</c:v>
                </c:pt>
                <c:pt idx="19">
                  <c:v>12.09275376947649</c:v>
                </c:pt>
                <c:pt idx="20">
                  <c:v>10.296619441004365</c:v>
                </c:pt>
                <c:pt idx="21">
                  <c:v>8.5234388136869406</c:v>
                </c:pt>
                <c:pt idx="22">
                  <c:v>13.644107807809883</c:v>
                </c:pt>
                <c:pt idx="23">
                  <c:v>0.22209999999999999</c:v>
                </c:pt>
                <c:pt idx="24">
                  <c:v>1.8800000000000001E-2</c:v>
                </c:pt>
                <c:pt idx="25">
                  <c:v>2.8000000000000001E-2</c:v>
                </c:pt>
              </c:numCache>
            </c:numRef>
          </c:xVal>
          <c:yVal>
            <c:numRef>
              <c:f>'Metab vs Tar'!$I$3:$I$28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89.644953435690908</c:v>
                </c:pt>
                <c:pt idx="3" formatCode="0">
                  <c:v>588.82874955502746</c:v>
                </c:pt>
                <c:pt idx="4" formatCode="0">
                  <c:v>674.15257991442229</c:v>
                </c:pt>
                <c:pt idx="5" formatCode="0">
                  <c:v>513.90820538635796</c:v>
                </c:pt>
                <c:pt idx="6" formatCode="0">
                  <c:v>599.93858545179967</c:v>
                </c:pt>
                <c:pt idx="7" formatCode="0">
                  <c:v>15</c:v>
                </c:pt>
                <c:pt idx="8" formatCode="0">
                  <c:v>6</c:v>
                </c:pt>
                <c:pt idx="9" formatCode="0">
                  <c:v>5.2153797194530398</c:v>
                </c:pt>
                <c:pt idx="10" formatCode="0">
                  <c:v>7.7746428326927344</c:v>
                </c:pt>
                <c:pt idx="11" formatCode="0">
                  <c:v>41.3</c:v>
                </c:pt>
                <c:pt idx="12" formatCode="0">
                  <c:v>100.77089743589744</c:v>
                </c:pt>
                <c:pt idx="13" formatCode="0">
                  <c:v>15.7</c:v>
                </c:pt>
                <c:pt idx="14" formatCode="0">
                  <c:v>6.5320196220368416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353.91471685519855</c:v>
                </c:pt>
                <c:pt idx="19" formatCode="0">
                  <c:v>430.99746049547178</c:v>
                </c:pt>
                <c:pt idx="20" formatCode="0">
                  <c:v>107.34679487179488</c:v>
                </c:pt>
                <c:pt idx="21" formatCode="0">
                  <c:v>84.151680079467354</c:v>
                </c:pt>
                <c:pt idx="22" formatCode="0">
                  <c:v>290.29568404580948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A-4696-8BF0-47749E67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48272"/>
        <c:axId val="768945648"/>
      </c:scatterChart>
      <c:valAx>
        <c:axId val="7689482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Tar aromatics (mg/L)</a:t>
                </a:r>
              </a:p>
            </c:rich>
          </c:tx>
          <c:layout>
            <c:manualLayout>
              <c:xMode val="edge"/>
              <c:yMode val="edge"/>
              <c:x val="0.37298398045071951"/>
              <c:y val="0.92102811653116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45648"/>
        <c:crosses val="autoZero"/>
        <c:crossBetween val="midCat"/>
        <c:majorUnit val="2"/>
      </c:valAx>
      <c:valAx>
        <c:axId val="768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Metabolites (ug/L) 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23629782557668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Metabolites vs 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'Metab vs EA'!$G$2</c:f>
              <c:strCache>
                <c:ptCount val="1"/>
                <c:pt idx="0">
                  <c:v>Total concentration 35 metabolites (μg/L)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'Metab vs EA'!$E$3:$E$28</c:f>
              <c:numCache>
                <c:formatCode>0</c:formatCode>
                <c:ptCount val="26"/>
                <c:pt idx="0">
                  <c:v>12100</c:v>
                </c:pt>
                <c:pt idx="1">
                  <c:v>5500</c:v>
                </c:pt>
                <c:pt idx="2">
                  <c:v>2964.1369233805599</c:v>
                </c:pt>
                <c:pt idx="3">
                  <c:v>1126.2627950833</c:v>
                </c:pt>
                <c:pt idx="4">
                  <c:v>1129.15831935543</c:v>
                </c:pt>
                <c:pt idx="5">
                  <c:v>156.01341000856701</c:v>
                </c:pt>
                <c:pt idx="6">
                  <c:v>40.728365462998504</c:v>
                </c:pt>
                <c:pt idx="7">
                  <c:v>113.612295106787</c:v>
                </c:pt>
                <c:pt idx="8">
                  <c:v>3186.30763349269</c:v>
                </c:pt>
                <c:pt idx="9">
                  <c:v>9955.1880568739507</c:v>
                </c:pt>
                <c:pt idx="10">
                  <c:v>5563.5663777949603</c:v>
                </c:pt>
                <c:pt idx="11">
                  <c:v>11100</c:v>
                </c:pt>
                <c:pt idx="12">
                  <c:v>6400</c:v>
                </c:pt>
                <c:pt idx="13">
                  <c:v>1600</c:v>
                </c:pt>
                <c:pt idx="14">
                  <c:v>2000</c:v>
                </c:pt>
                <c:pt idx="15">
                  <c:v>14900</c:v>
                </c:pt>
                <c:pt idx="16">
                  <c:v>9100</c:v>
                </c:pt>
                <c:pt idx="17">
                  <c:v>8500</c:v>
                </c:pt>
                <c:pt idx="18">
                  <c:v>27.283535104929602</c:v>
                </c:pt>
                <c:pt idx="19">
                  <c:v>613.39781005528505</c:v>
                </c:pt>
                <c:pt idx="20">
                  <c:v>20.818129596617897</c:v>
                </c:pt>
                <c:pt idx="21">
                  <c:v>2240.1960591924999</c:v>
                </c:pt>
                <c:pt idx="22">
                  <c:v>7566.8364032971404</c:v>
                </c:pt>
                <c:pt idx="23">
                  <c:v>6700</c:v>
                </c:pt>
                <c:pt idx="24">
                  <c:v>2600</c:v>
                </c:pt>
                <c:pt idx="25">
                  <c:v>3000</c:v>
                </c:pt>
              </c:numCache>
            </c:numRef>
          </c:xVal>
          <c:yVal>
            <c:numRef>
              <c:f>'Metab vs EA'!$G$3:$G$28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89.644953435690908</c:v>
                </c:pt>
                <c:pt idx="3" formatCode="0">
                  <c:v>588.82874955502746</c:v>
                </c:pt>
                <c:pt idx="4" formatCode="0">
                  <c:v>674.15257991442229</c:v>
                </c:pt>
                <c:pt idx="5" formatCode="0">
                  <c:v>513.90820538635796</c:v>
                </c:pt>
                <c:pt idx="6" formatCode="0">
                  <c:v>599.93858545179967</c:v>
                </c:pt>
                <c:pt idx="7" formatCode="0">
                  <c:v>15</c:v>
                </c:pt>
                <c:pt idx="8" formatCode="0">
                  <c:v>6</c:v>
                </c:pt>
                <c:pt idx="9" formatCode="0">
                  <c:v>5.2153797194530398</c:v>
                </c:pt>
                <c:pt idx="10" formatCode="0">
                  <c:v>7.7746428326927344</c:v>
                </c:pt>
                <c:pt idx="11" formatCode="0">
                  <c:v>41.3</c:v>
                </c:pt>
                <c:pt idx="12" formatCode="0">
                  <c:v>100.77089743589744</c:v>
                </c:pt>
                <c:pt idx="13" formatCode="0">
                  <c:v>15.7</c:v>
                </c:pt>
                <c:pt idx="14" formatCode="0">
                  <c:v>6.5320196220368416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353.91471685519855</c:v>
                </c:pt>
                <c:pt idx="19" formatCode="0">
                  <c:v>430.99746049547178</c:v>
                </c:pt>
                <c:pt idx="20" formatCode="0">
                  <c:v>107.34679487179488</c:v>
                </c:pt>
                <c:pt idx="21" formatCode="0">
                  <c:v>84.151680079467354</c:v>
                </c:pt>
                <c:pt idx="22" formatCode="0">
                  <c:v>290.29568404580948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9-4355-936D-670DA4E8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86928"/>
        <c:axId val="820487584"/>
      </c:scatterChart>
      <c:valAx>
        <c:axId val="820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Iron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7584"/>
        <c:crosses val="autoZero"/>
        <c:crossBetween val="midCat"/>
      </c:valAx>
      <c:valAx>
        <c:axId val="820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Metabolites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B2 - Total bacteria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type'!$AC$2</c:f>
              <c:strCache>
                <c:ptCount val="1"/>
                <c:pt idx="0">
                  <c:v>Total 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type'!$X$19:$X$25</c:f>
              <c:strCache>
                <c:ptCount val="7"/>
                <c:pt idx="0">
                  <c:v>very course sand</c:v>
                </c:pt>
                <c:pt idx="1">
                  <c:v>very course sand</c:v>
                </c:pt>
                <c:pt idx="2">
                  <c:v>very course sand</c:v>
                </c:pt>
                <c:pt idx="3">
                  <c:v>moderately fine sand</c:v>
                </c:pt>
                <c:pt idx="4">
                  <c:v>very fine sand</c:v>
                </c:pt>
                <c:pt idx="5">
                  <c:v>very fine sand</c:v>
                </c:pt>
                <c:pt idx="6">
                  <c:v>extremely fine sand</c:v>
                </c:pt>
              </c:strCache>
            </c:strRef>
          </c:cat>
          <c:val>
            <c:numRef>
              <c:f>'All vs soil type'!$AC$19:$AC$25</c:f>
              <c:numCache>
                <c:formatCode>General</c:formatCode>
                <c:ptCount val="7"/>
                <c:pt idx="0">
                  <c:v>50500</c:v>
                </c:pt>
                <c:pt idx="1">
                  <c:v>116456</c:v>
                </c:pt>
                <c:pt idx="2">
                  <c:v>23726</c:v>
                </c:pt>
                <c:pt idx="3">
                  <c:v>85956</c:v>
                </c:pt>
                <c:pt idx="4">
                  <c:v>149993</c:v>
                </c:pt>
                <c:pt idx="5">
                  <c:v>74248</c:v>
                </c:pt>
                <c:pt idx="6">
                  <c:v>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4-426C-9FA4-C9F924AD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Metabolites vs methane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'Metab vs EA'!$G$2</c:f>
              <c:strCache>
                <c:ptCount val="1"/>
                <c:pt idx="0">
                  <c:v>Total concentration 35 metabolites (μg/L)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'Metab vs EA'!$F$3:$F$28</c:f>
              <c:numCache>
                <c:formatCode>0</c:formatCode>
                <c:ptCount val="26"/>
                <c:pt idx="0">
                  <c:v>3.3376885514834205E-2</c:v>
                </c:pt>
                <c:pt idx="1">
                  <c:v>6.1851790924956351E-2</c:v>
                </c:pt>
                <c:pt idx="2">
                  <c:v>748.39467233856897</c:v>
                </c:pt>
                <c:pt idx="3">
                  <c:v>2022.2096247818497</c:v>
                </c:pt>
                <c:pt idx="4">
                  <c:v>200.41414288830714</c:v>
                </c:pt>
                <c:pt idx="5">
                  <c:v>214.54732853403144</c:v>
                </c:pt>
                <c:pt idx="6">
                  <c:v>91.05513743455495</c:v>
                </c:pt>
                <c:pt idx="7">
                  <c:v>6.6195299520069808</c:v>
                </c:pt>
                <c:pt idx="8">
                  <c:v>6.941615183246074</c:v>
                </c:pt>
                <c:pt idx="9">
                  <c:v>8.2842321116928428</c:v>
                </c:pt>
                <c:pt idx="10">
                  <c:v>21.539003490401392</c:v>
                </c:pt>
                <c:pt idx="11">
                  <c:v>1.8668088568935424</c:v>
                </c:pt>
                <c:pt idx="12">
                  <c:v>1.7268339005235598</c:v>
                </c:pt>
                <c:pt idx="13">
                  <c:v>2.4502758944153578</c:v>
                </c:pt>
                <c:pt idx="14">
                  <c:v>912.20107918848146</c:v>
                </c:pt>
                <c:pt idx="15">
                  <c:v>3.9964278359511338</c:v>
                </c:pt>
                <c:pt idx="16">
                  <c:v>2.0396350785340314</c:v>
                </c:pt>
                <c:pt idx="17">
                  <c:v>1.9817882853403139</c:v>
                </c:pt>
                <c:pt idx="18">
                  <c:v>102.24456404886561</c:v>
                </c:pt>
                <c:pt idx="19">
                  <c:v>305.7952886125654</c:v>
                </c:pt>
                <c:pt idx="20">
                  <c:v>41.79823595113438</c:v>
                </c:pt>
                <c:pt idx="21">
                  <c:v>75.343662739965083</c:v>
                </c:pt>
                <c:pt idx="22">
                  <c:v>125.85962467277484</c:v>
                </c:pt>
                <c:pt idx="23">
                  <c:v>15.235845506108204</c:v>
                </c:pt>
                <c:pt idx="24">
                  <c:v>9.0676633726003484</c:v>
                </c:pt>
                <c:pt idx="25">
                  <c:v>14.740219895287956</c:v>
                </c:pt>
              </c:numCache>
            </c:numRef>
          </c:xVal>
          <c:yVal>
            <c:numRef>
              <c:f>'Metab vs EA'!$G$3:$G$28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89.644953435690908</c:v>
                </c:pt>
                <c:pt idx="3" formatCode="0">
                  <c:v>588.82874955502746</c:v>
                </c:pt>
                <c:pt idx="4" formatCode="0">
                  <c:v>674.15257991442229</c:v>
                </c:pt>
                <c:pt idx="5" formatCode="0">
                  <c:v>513.90820538635796</c:v>
                </c:pt>
                <c:pt idx="6" formatCode="0">
                  <c:v>599.93858545179967</c:v>
                </c:pt>
                <c:pt idx="7" formatCode="0">
                  <c:v>15</c:v>
                </c:pt>
                <c:pt idx="8" formatCode="0">
                  <c:v>6</c:v>
                </c:pt>
                <c:pt idx="9" formatCode="0">
                  <c:v>5.2153797194530398</c:v>
                </c:pt>
                <c:pt idx="10" formatCode="0">
                  <c:v>7.7746428326927344</c:v>
                </c:pt>
                <c:pt idx="11" formatCode="0">
                  <c:v>41.3</c:v>
                </c:pt>
                <c:pt idx="12" formatCode="0">
                  <c:v>100.77089743589744</c:v>
                </c:pt>
                <c:pt idx="13" formatCode="0">
                  <c:v>15.7</c:v>
                </c:pt>
                <c:pt idx="14" formatCode="0">
                  <c:v>6.5320196220368416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353.91471685519855</c:v>
                </c:pt>
                <c:pt idx="19" formatCode="0">
                  <c:v>430.99746049547178</c:v>
                </c:pt>
                <c:pt idx="20" formatCode="0">
                  <c:v>107.34679487179488</c:v>
                </c:pt>
                <c:pt idx="21" formatCode="0">
                  <c:v>84.151680079467354</c:v>
                </c:pt>
                <c:pt idx="22" formatCode="0">
                  <c:v>290.29568404580948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B-4F3E-B4C7-4D6103D9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86928"/>
        <c:axId val="820487584"/>
      </c:scatterChart>
      <c:valAx>
        <c:axId val="820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Methane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7584"/>
        <c:crosses val="autoZero"/>
        <c:crossBetween val="midCat"/>
      </c:valAx>
      <c:valAx>
        <c:axId val="820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Metabolites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Metabolite</a:t>
            </a:r>
            <a:r>
              <a:rPr lang="en-US" sz="1200" baseline="0">
                <a:solidFill>
                  <a:sysClr val="windowText" lastClr="000000"/>
                </a:solidFill>
              </a:rPr>
              <a:t> variety</a:t>
            </a:r>
            <a:r>
              <a:rPr lang="en-US" sz="1200">
                <a:solidFill>
                  <a:sysClr val="windowText" lastClr="000000"/>
                </a:solidFill>
              </a:rPr>
              <a:t> vs sulphate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'Metab vs EA'!$H$2</c:f>
              <c:strCache>
                <c:ptCount val="1"/>
                <c:pt idx="0">
                  <c:v>Number of detected metabolites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pattFill prst="dkUpDiag">
                  <a:fgClr>
                    <a:schemeClr val="tx1"/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4A-4CF4-B7A1-0890DEF77C81}"/>
              </c:ext>
            </c:extLst>
          </c:dPt>
          <c:dPt>
            <c:idx val="13"/>
            <c:marker>
              <c:symbol val="circle"/>
              <c:size val="7"/>
              <c:spPr>
                <a:pattFill prst="dkUpDiag">
                  <a:fgClr>
                    <a:schemeClr val="tx1"/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4A-4CF4-B7A1-0890DEF77C81}"/>
              </c:ext>
            </c:extLst>
          </c:dPt>
          <c:xVal>
            <c:numRef>
              <c:f>'Metab vs EA'!$C$3:$C$28</c:f>
              <c:numCache>
                <c:formatCode>0</c:formatCode>
                <c:ptCount val="26"/>
                <c:pt idx="0">
                  <c:v>203200</c:v>
                </c:pt>
                <c:pt idx="1">
                  <c:v>166500</c:v>
                </c:pt>
                <c:pt idx="2">
                  <c:v>23000</c:v>
                </c:pt>
                <c:pt idx="3">
                  <c:v>0</c:v>
                </c:pt>
                <c:pt idx="4">
                  <c:v>1000</c:v>
                </c:pt>
                <c:pt idx="5">
                  <c:v>9000</c:v>
                </c:pt>
                <c:pt idx="6">
                  <c:v>5000</c:v>
                </c:pt>
                <c:pt idx="7">
                  <c:v>79000</c:v>
                </c:pt>
                <c:pt idx="8">
                  <c:v>127000</c:v>
                </c:pt>
                <c:pt idx="9">
                  <c:v>237000</c:v>
                </c:pt>
                <c:pt idx="10">
                  <c:v>39000</c:v>
                </c:pt>
                <c:pt idx="11">
                  <c:v>176000</c:v>
                </c:pt>
                <c:pt idx="12">
                  <c:v>42000</c:v>
                </c:pt>
                <c:pt idx="13">
                  <c:v>88000</c:v>
                </c:pt>
                <c:pt idx="14">
                  <c:v>136000</c:v>
                </c:pt>
                <c:pt idx="15">
                  <c:v>169000</c:v>
                </c:pt>
                <c:pt idx="16">
                  <c:v>141000</c:v>
                </c:pt>
                <c:pt idx="17">
                  <c:v>209000</c:v>
                </c:pt>
                <c:pt idx="18">
                  <c:v>11000</c:v>
                </c:pt>
                <c:pt idx="19">
                  <c:v>0</c:v>
                </c:pt>
                <c:pt idx="20">
                  <c:v>13700</c:v>
                </c:pt>
                <c:pt idx="21">
                  <c:v>10000</c:v>
                </c:pt>
                <c:pt idx="22">
                  <c:v>28000</c:v>
                </c:pt>
                <c:pt idx="23">
                  <c:v>261899.99999999997</c:v>
                </c:pt>
                <c:pt idx="24">
                  <c:v>25600</c:v>
                </c:pt>
                <c:pt idx="25">
                  <c:v>340</c:v>
                </c:pt>
              </c:numCache>
            </c:numRef>
          </c:xVal>
          <c:yVal>
            <c:numRef>
              <c:f>'Metab vs EA'!$H$3:$H$28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 formatCode="0">
                  <c:v>47</c:v>
                </c:pt>
                <c:pt idx="3" formatCode="0">
                  <c:v>47</c:v>
                </c:pt>
                <c:pt idx="4" formatCode="0">
                  <c:v>43</c:v>
                </c:pt>
                <c:pt idx="5" formatCode="0">
                  <c:v>41</c:v>
                </c:pt>
                <c:pt idx="6" formatCode="0">
                  <c:v>36</c:v>
                </c:pt>
                <c:pt idx="7" formatCode="0">
                  <c:v>23</c:v>
                </c:pt>
                <c:pt idx="8" formatCode="0">
                  <c:v>12</c:v>
                </c:pt>
                <c:pt idx="9" formatCode="0">
                  <c:v>4</c:v>
                </c:pt>
                <c:pt idx="10" formatCode="0">
                  <c:v>11</c:v>
                </c:pt>
                <c:pt idx="11" formatCode="0">
                  <c:v>33</c:v>
                </c:pt>
                <c:pt idx="12" formatCode="0">
                  <c:v>20</c:v>
                </c:pt>
                <c:pt idx="13" formatCode="0">
                  <c:v>27</c:v>
                </c:pt>
                <c:pt idx="14" formatCode="0">
                  <c:v>11</c:v>
                </c:pt>
                <c:pt idx="15" formatCode="0">
                  <c:v>2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36</c:v>
                </c:pt>
                <c:pt idx="19" formatCode="0">
                  <c:v>33</c:v>
                </c:pt>
                <c:pt idx="20" formatCode="0">
                  <c:v>32</c:v>
                </c:pt>
                <c:pt idx="21" formatCode="0">
                  <c:v>32</c:v>
                </c:pt>
                <c:pt idx="22" formatCode="0">
                  <c:v>41</c:v>
                </c:pt>
                <c:pt idx="23" formatCode="0">
                  <c:v>1</c:v>
                </c:pt>
                <c:pt idx="24" formatCode="0">
                  <c:v>2</c:v>
                </c:pt>
                <c:pt idx="25" formatCode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A-4CF4-B7A1-0890DEF7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86928"/>
        <c:axId val="820487584"/>
      </c:scatterChart>
      <c:valAx>
        <c:axId val="820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Sulphate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7584"/>
        <c:crosses val="autoZero"/>
        <c:crossBetween val="midCat"/>
      </c:valAx>
      <c:valAx>
        <c:axId val="820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>
                    <a:solidFill>
                      <a:sysClr val="windowText" lastClr="000000"/>
                    </a:solidFill>
                  </a:rPr>
                  <a:t>Metabolite</a:t>
                </a:r>
                <a:r>
                  <a:rPr lang="nl-NL" sz="1050" baseline="0">
                    <a:solidFill>
                      <a:sysClr val="windowText" lastClr="000000"/>
                    </a:solidFill>
                  </a:rPr>
                  <a:t> variety</a:t>
                </a:r>
                <a:endParaRPr lang="nl-NL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Metabolite concentration vs sulphate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'Metab vs EA'!$G$2</c:f>
              <c:strCache>
                <c:ptCount val="1"/>
                <c:pt idx="0">
                  <c:v>Total concentration 35 metabolites (μg/L)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pattFill prst="dkUpDiag">
                  <a:fgClr>
                    <a:schemeClr val="tx1"/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006-467B-AB0F-1214EBD788C2}"/>
              </c:ext>
            </c:extLst>
          </c:dPt>
          <c:dPt>
            <c:idx val="13"/>
            <c:marker>
              <c:symbol val="circle"/>
              <c:size val="7"/>
              <c:spPr>
                <a:pattFill prst="dkUpDiag">
                  <a:fgClr>
                    <a:schemeClr val="tx1"/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06-467B-AB0F-1214EBD788C2}"/>
              </c:ext>
            </c:extLst>
          </c:dPt>
          <c:xVal>
            <c:numRef>
              <c:f>'Metab vs EA'!$C$3:$C$28</c:f>
              <c:numCache>
                <c:formatCode>0</c:formatCode>
                <c:ptCount val="26"/>
                <c:pt idx="0">
                  <c:v>203200</c:v>
                </c:pt>
                <c:pt idx="1">
                  <c:v>166500</c:v>
                </c:pt>
                <c:pt idx="2">
                  <c:v>23000</c:v>
                </c:pt>
                <c:pt idx="3">
                  <c:v>0</c:v>
                </c:pt>
                <c:pt idx="4">
                  <c:v>1000</c:v>
                </c:pt>
                <c:pt idx="5">
                  <c:v>9000</c:v>
                </c:pt>
                <c:pt idx="6">
                  <c:v>5000</c:v>
                </c:pt>
                <c:pt idx="7">
                  <c:v>79000</c:v>
                </c:pt>
                <c:pt idx="8">
                  <c:v>127000</c:v>
                </c:pt>
                <c:pt idx="9">
                  <c:v>237000</c:v>
                </c:pt>
                <c:pt idx="10">
                  <c:v>39000</c:v>
                </c:pt>
                <c:pt idx="11">
                  <c:v>176000</c:v>
                </c:pt>
                <c:pt idx="12">
                  <c:v>42000</c:v>
                </c:pt>
                <c:pt idx="13">
                  <c:v>88000</c:v>
                </c:pt>
                <c:pt idx="14">
                  <c:v>136000</c:v>
                </c:pt>
                <c:pt idx="15">
                  <c:v>169000</c:v>
                </c:pt>
                <c:pt idx="16">
                  <c:v>141000</c:v>
                </c:pt>
                <c:pt idx="17">
                  <c:v>209000</c:v>
                </c:pt>
                <c:pt idx="18">
                  <c:v>11000</c:v>
                </c:pt>
                <c:pt idx="19">
                  <c:v>0</c:v>
                </c:pt>
                <c:pt idx="20">
                  <c:v>13700</c:v>
                </c:pt>
                <c:pt idx="21">
                  <c:v>10000</c:v>
                </c:pt>
                <c:pt idx="22">
                  <c:v>28000</c:v>
                </c:pt>
                <c:pt idx="23">
                  <c:v>261899.99999999997</c:v>
                </c:pt>
                <c:pt idx="24">
                  <c:v>25600</c:v>
                </c:pt>
                <c:pt idx="25">
                  <c:v>340</c:v>
                </c:pt>
              </c:numCache>
            </c:numRef>
          </c:xVal>
          <c:yVal>
            <c:numRef>
              <c:f>'Metab vs EA'!$G$3:$G$28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89.644953435690908</c:v>
                </c:pt>
                <c:pt idx="3" formatCode="0">
                  <c:v>588.82874955502746</c:v>
                </c:pt>
                <c:pt idx="4" formatCode="0">
                  <c:v>674.15257991442229</c:v>
                </c:pt>
                <c:pt idx="5" formatCode="0">
                  <c:v>513.90820538635796</c:v>
                </c:pt>
                <c:pt idx="6" formatCode="0">
                  <c:v>599.93858545179967</c:v>
                </c:pt>
                <c:pt idx="7" formatCode="0">
                  <c:v>15</c:v>
                </c:pt>
                <c:pt idx="8" formatCode="0">
                  <c:v>6</c:v>
                </c:pt>
                <c:pt idx="9" formatCode="0">
                  <c:v>5.2153797194530398</c:v>
                </c:pt>
                <c:pt idx="10" formatCode="0">
                  <c:v>7.7746428326927344</c:v>
                </c:pt>
                <c:pt idx="11" formatCode="0">
                  <c:v>41.3</c:v>
                </c:pt>
                <c:pt idx="12" formatCode="0">
                  <c:v>100.77089743589744</c:v>
                </c:pt>
                <c:pt idx="13" formatCode="0">
                  <c:v>15.7</c:v>
                </c:pt>
                <c:pt idx="14" formatCode="0">
                  <c:v>6.5320196220368416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353.91471685519855</c:v>
                </c:pt>
                <c:pt idx="19" formatCode="0">
                  <c:v>430.99746049547178</c:v>
                </c:pt>
                <c:pt idx="20" formatCode="0">
                  <c:v>107.34679487179488</c:v>
                </c:pt>
                <c:pt idx="21" formatCode="0">
                  <c:v>84.151680079467354</c:v>
                </c:pt>
                <c:pt idx="22" formatCode="0">
                  <c:v>290.29568404580948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6-467B-AB0F-1214EBD7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86928"/>
        <c:axId val="820487584"/>
      </c:scatterChart>
      <c:valAx>
        <c:axId val="820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Sulphate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7584"/>
        <c:crosses val="autoZero"/>
        <c:crossBetween val="midCat"/>
      </c:valAx>
      <c:valAx>
        <c:axId val="820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>
                    <a:solidFill>
                      <a:sysClr val="windowText" lastClr="000000"/>
                    </a:solidFill>
                  </a:rPr>
                  <a:t>Metabolite</a:t>
                </a:r>
                <a:r>
                  <a:rPr lang="nl-NL" sz="1050" baseline="0">
                    <a:solidFill>
                      <a:sysClr val="windowText" lastClr="000000"/>
                    </a:solidFill>
                  </a:rPr>
                  <a:t>s (ug/L)</a:t>
                </a:r>
                <a:endParaRPr lang="nl-NL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Bacteria!$B$14</c:f>
              <c:strCache>
                <c:ptCount val="1"/>
                <c:pt idx="0">
                  <c:v>B2 7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Bacteria!$E$14:$L$14</c:f>
              <c:numCache>
                <c:formatCode>0.00E+00</c:formatCode>
                <c:ptCount val="8"/>
                <c:pt idx="0">
                  <c:v>0</c:v>
                </c:pt>
                <c:pt idx="1">
                  <c:v>4686.75</c:v>
                </c:pt>
                <c:pt idx="2">
                  <c:v>414.40250000000003</c:v>
                </c:pt>
                <c:pt idx="3">
                  <c:v>1348.5833333333333</c:v>
                </c:pt>
                <c:pt idx="4">
                  <c:v>0</c:v>
                </c:pt>
                <c:pt idx="5">
                  <c:v>98633.333333333328</c:v>
                </c:pt>
                <c:pt idx="6">
                  <c:v>0</c:v>
                </c:pt>
                <c:pt idx="7">
                  <c:v>525.66666666666663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0-4888-834D-27A85D162277}"/>
            </c:ext>
          </c:extLst>
        </c:ser>
        <c:ser>
          <c:idx val="1"/>
          <c:order val="1"/>
          <c:tx>
            <c:strRef>
              <c:f>Bacteria!$B$15</c:f>
              <c:strCache>
                <c:ptCount val="1"/>
                <c:pt idx="0">
                  <c:v>B2 10,5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Bacteria!$E$15:$L$15</c:f>
              <c:numCache>
                <c:formatCode>0.00E+00</c:formatCode>
                <c:ptCount val="8"/>
                <c:pt idx="0">
                  <c:v>29.711111111111109</c:v>
                </c:pt>
                <c:pt idx="1">
                  <c:v>9247.5</c:v>
                </c:pt>
                <c:pt idx="2">
                  <c:v>1800.1111111111111</c:v>
                </c:pt>
                <c:pt idx="3">
                  <c:v>4977.6666666666661</c:v>
                </c:pt>
                <c:pt idx="4">
                  <c:v>78.333333333333329</c:v>
                </c:pt>
                <c:pt idx="5">
                  <c:v>472444.44444444444</c:v>
                </c:pt>
                <c:pt idx="6">
                  <c:v>370.16666666666669</c:v>
                </c:pt>
                <c:pt idx="7">
                  <c:v>3461.666666666667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0-4888-834D-27A85D162277}"/>
            </c:ext>
          </c:extLst>
        </c:ser>
        <c:ser>
          <c:idx val="2"/>
          <c:order val="2"/>
          <c:tx>
            <c:strRef>
              <c:f>Bacteria!$B$16</c:f>
              <c:strCache>
                <c:ptCount val="1"/>
                <c:pt idx="0">
                  <c:v>B2 14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Bacteria!$E$16:$L$16</c:f>
              <c:numCache>
                <c:formatCode>0.00E+00</c:formatCode>
                <c:ptCount val="8"/>
                <c:pt idx="0">
                  <c:v>0</c:v>
                </c:pt>
                <c:pt idx="1">
                  <c:v>4050.5</c:v>
                </c:pt>
                <c:pt idx="2">
                  <c:v>1461.8666666666666</c:v>
                </c:pt>
                <c:pt idx="3">
                  <c:v>2130.4166666666665</c:v>
                </c:pt>
                <c:pt idx="4">
                  <c:v>67.099999999999994</c:v>
                </c:pt>
                <c:pt idx="5">
                  <c:v>68525</c:v>
                </c:pt>
                <c:pt idx="6">
                  <c:v>0</c:v>
                </c:pt>
                <c:pt idx="7">
                  <c:v>1246.6666666666667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0-4888-834D-27A85D162277}"/>
            </c:ext>
          </c:extLst>
        </c:ser>
        <c:ser>
          <c:idx val="3"/>
          <c:order val="3"/>
          <c:tx>
            <c:strRef>
              <c:f>Bacteria!$B$17</c:f>
              <c:strCache>
                <c:ptCount val="1"/>
                <c:pt idx="0">
                  <c:v>B2 15,5 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Bacteria!$E$17:$L$17</c:f>
              <c:numCache>
                <c:formatCode>0.00E+00</c:formatCode>
                <c:ptCount val="8"/>
                <c:pt idx="0">
                  <c:v>0</c:v>
                </c:pt>
                <c:pt idx="1">
                  <c:v>4449.25</c:v>
                </c:pt>
                <c:pt idx="2">
                  <c:v>1821.3333333333333</c:v>
                </c:pt>
                <c:pt idx="3">
                  <c:v>2692.25</c:v>
                </c:pt>
                <c:pt idx="4">
                  <c:v>0</c:v>
                </c:pt>
                <c:pt idx="5">
                  <c:v>77116.666666666672</c:v>
                </c:pt>
                <c:pt idx="6">
                  <c:v>0</c:v>
                </c:pt>
                <c:pt idx="7">
                  <c:v>2846.666666666667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0-4888-834D-27A85D162277}"/>
            </c:ext>
          </c:extLst>
        </c:ser>
        <c:ser>
          <c:idx val="4"/>
          <c:order val="4"/>
          <c:tx>
            <c:strRef>
              <c:f>Bacteria!$B$18</c:f>
              <c:strCache>
                <c:ptCount val="1"/>
                <c:pt idx="0">
                  <c:v>B2 20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Bacteria!$E$18:$L$18</c:f>
              <c:numCache>
                <c:formatCode>0.00E+00</c:formatCode>
                <c:ptCount val="8"/>
                <c:pt idx="0">
                  <c:v>0</c:v>
                </c:pt>
                <c:pt idx="1">
                  <c:v>867.25833333333333</c:v>
                </c:pt>
                <c:pt idx="2">
                  <c:v>72.601111111111109</c:v>
                </c:pt>
                <c:pt idx="3">
                  <c:v>0</c:v>
                </c:pt>
                <c:pt idx="4">
                  <c:v>123.73333333333333</c:v>
                </c:pt>
                <c:pt idx="5">
                  <c:v>78191.666666666672</c:v>
                </c:pt>
                <c:pt idx="6">
                  <c:v>309.16666666666663</c:v>
                </c:pt>
                <c:pt idx="7">
                  <c:v>1288.3333333333333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0-4888-834D-27A85D162277}"/>
            </c:ext>
          </c:extLst>
        </c:ser>
        <c:ser>
          <c:idx val="5"/>
          <c:order val="5"/>
          <c:tx>
            <c:strRef>
              <c:f>Bacteria!$B$19</c:f>
              <c:strCache>
                <c:ptCount val="1"/>
                <c:pt idx="0">
                  <c:v>B2 43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Bacteria!$E$19:$L$19</c:f>
              <c:numCache>
                <c:formatCode>0.00E+00</c:formatCode>
                <c:ptCount val="8"/>
                <c:pt idx="0">
                  <c:v>0</c:v>
                </c:pt>
                <c:pt idx="1">
                  <c:v>271.0333333333333</c:v>
                </c:pt>
                <c:pt idx="2">
                  <c:v>0</c:v>
                </c:pt>
                <c:pt idx="3">
                  <c:v>0</c:v>
                </c:pt>
                <c:pt idx="4">
                  <c:v>38.866666666666667</c:v>
                </c:pt>
                <c:pt idx="5">
                  <c:v>0</c:v>
                </c:pt>
                <c:pt idx="6">
                  <c:v>0</c:v>
                </c:pt>
                <c:pt idx="7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00-4888-834D-27A85D162277}"/>
            </c:ext>
          </c:extLst>
        </c:ser>
        <c:ser>
          <c:idx val="6"/>
          <c:order val="6"/>
          <c:tx>
            <c:strRef>
              <c:f>Bacteria!$B$20</c:f>
              <c:strCache>
                <c:ptCount val="1"/>
                <c:pt idx="0">
                  <c:v>B2 65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Bacteria!$E$20:$L$20</c:f>
              <c:numCache>
                <c:formatCode>0.00E+00</c:formatCode>
                <c:ptCount val="8"/>
                <c:pt idx="0">
                  <c:v>0</c:v>
                </c:pt>
                <c:pt idx="1">
                  <c:v>370.16666666666663</c:v>
                </c:pt>
                <c:pt idx="2">
                  <c:v>16.12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</c:v>
                </c:pt>
                <c:pt idx="7">
                  <c:v>10477.777777777776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00-4888-834D-27A85D162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50936"/>
        <c:axId val="415551264"/>
      </c:barChart>
      <c:catAx>
        <c:axId val="4155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64"/>
        <c:crosses val="autoZero"/>
        <c:auto val="1"/>
        <c:lblAlgn val="ctr"/>
        <c:lblOffset val="100"/>
        <c:noMultiLvlLbl val="0"/>
      </c:catAx>
      <c:valAx>
        <c:axId val="415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Gene copies / mL</a:t>
                </a:r>
                <a:endParaRPr lang="nl-N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Bacteria (B, B2 and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Bacteria!$AL$2</c:f>
              <c:strCache>
                <c:ptCount val="1"/>
                <c:pt idx="0">
                  <c:v>Benzeen-carboxylase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Bacteria!$AL$3:$AL$23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29.711111111111109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C16-9692-138B7CE99490}"/>
            </c:ext>
          </c:extLst>
        </c:ser>
        <c:ser>
          <c:idx val="1"/>
          <c:order val="1"/>
          <c:tx>
            <c:strRef>
              <c:f>Bacteria!$AM$2</c:f>
              <c:strCache>
                <c:ptCount val="1"/>
                <c:pt idx="0">
                  <c:v>Naftyl-2-methyl-succunaat-synthase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Bacteria!$AM$3:$AM$23</c:f>
              <c:numCache>
                <c:formatCode>0.00E+00</c:formatCode>
                <c:ptCount val="21"/>
                <c:pt idx="0">
                  <c:v>86.805555555555543</c:v>
                </c:pt>
                <c:pt idx="1">
                  <c:v>257.01666666666665</c:v>
                </c:pt>
                <c:pt idx="2">
                  <c:v>20.079999999999998</c:v>
                </c:pt>
                <c:pt idx="3">
                  <c:v>271.0333333333333</c:v>
                </c:pt>
                <c:pt idx="4">
                  <c:v>100.21111111111111</c:v>
                </c:pt>
                <c:pt idx="5">
                  <c:v>502.4083333333333</c:v>
                </c:pt>
                <c:pt idx="6">
                  <c:v>515.08333333333337</c:v>
                </c:pt>
                <c:pt idx="7">
                  <c:v>2648.25</c:v>
                </c:pt>
                <c:pt idx="8">
                  <c:v>380.71111111111105</c:v>
                </c:pt>
                <c:pt idx="9">
                  <c:v>1122.25</c:v>
                </c:pt>
                <c:pt idx="10">
                  <c:v>370.16666666666663</c:v>
                </c:pt>
                <c:pt idx="11">
                  <c:v>11540.833333333334</c:v>
                </c:pt>
                <c:pt idx="12">
                  <c:v>968.8416666666667</c:v>
                </c:pt>
                <c:pt idx="13">
                  <c:v>875.24166666666679</c:v>
                </c:pt>
                <c:pt idx="14">
                  <c:v>10659.166666666668</c:v>
                </c:pt>
                <c:pt idx="15">
                  <c:v>4050.5</c:v>
                </c:pt>
                <c:pt idx="16">
                  <c:v>867.25833333333333</c:v>
                </c:pt>
                <c:pt idx="17">
                  <c:v>4449.25</c:v>
                </c:pt>
                <c:pt idx="18">
                  <c:v>4686.75</c:v>
                </c:pt>
                <c:pt idx="19">
                  <c:v>493.77777777777777</c:v>
                </c:pt>
                <c:pt idx="20">
                  <c:v>9247.5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3-4C16-9692-138B7CE99490}"/>
            </c:ext>
          </c:extLst>
        </c:ser>
        <c:ser>
          <c:idx val="2"/>
          <c:order val="2"/>
          <c:tx>
            <c:strRef>
              <c:f>Bacteria!$AN$2</c:f>
              <c:strCache>
                <c:ptCount val="1"/>
                <c:pt idx="0">
                  <c:v>Naftyl-CoA-reductase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Bacteria!$AN$3:$AN$23</c:f>
              <c:numCache>
                <c:formatCode>General</c:formatCode>
                <c:ptCount val="21"/>
                <c:pt idx="0" formatCode="0.00E+00">
                  <c:v>29.567777777777778</c:v>
                </c:pt>
                <c:pt idx="2" formatCode="0.00E+00">
                  <c:v>28.25333333333333</c:v>
                </c:pt>
                <c:pt idx="3" formatCode="0.00E+00">
                  <c:v>0</c:v>
                </c:pt>
                <c:pt idx="4" formatCode="0.00E+00">
                  <c:v>65.281666666666666</c:v>
                </c:pt>
                <c:pt idx="5" formatCode="0.00E+00">
                  <c:v>13.219777777777779</c:v>
                </c:pt>
                <c:pt idx="6" formatCode="0.00E+00">
                  <c:v>58.567777777777785</c:v>
                </c:pt>
                <c:pt idx="7" formatCode="0.00E+00">
                  <c:v>714.49166666666667</c:v>
                </c:pt>
                <c:pt idx="8" formatCode="0.00E+00">
                  <c:v>95.716666666666669</c:v>
                </c:pt>
                <c:pt idx="9" formatCode="0.00E+00">
                  <c:v>253.26666666666665</c:v>
                </c:pt>
                <c:pt idx="10" formatCode="0.00E+00">
                  <c:v>16.12</c:v>
                </c:pt>
                <c:pt idx="11" formatCode="0.00E+00">
                  <c:v>4211.75</c:v>
                </c:pt>
                <c:pt idx="12" formatCode="0.00E+00">
                  <c:v>62.649999999999991</c:v>
                </c:pt>
                <c:pt idx="13" formatCode="0.00E+00">
                  <c:v>78.766666666666666</c:v>
                </c:pt>
                <c:pt idx="14" formatCode="0.00E+00">
                  <c:v>2135.75</c:v>
                </c:pt>
                <c:pt idx="15" formatCode="0.00E+00">
                  <c:v>1461.8666666666666</c:v>
                </c:pt>
                <c:pt idx="16" formatCode="0.00E+00">
                  <c:v>72.601111111111109</c:v>
                </c:pt>
                <c:pt idx="17" formatCode="0.00E+00">
                  <c:v>1821.3333333333333</c:v>
                </c:pt>
                <c:pt idx="18" formatCode="0.00E+00">
                  <c:v>414.40250000000003</c:v>
                </c:pt>
                <c:pt idx="19" formatCode="0.00E+00">
                  <c:v>115.64444444444445</c:v>
                </c:pt>
                <c:pt idx="20" formatCode="0.00E+00">
                  <c:v>1800.1111111111111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3-4C16-9692-138B7CE99490}"/>
            </c:ext>
          </c:extLst>
        </c:ser>
        <c:ser>
          <c:idx val="3"/>
          <c:order val="3"/>
          <c:tx>
            <c:strRef>
              <c:f>Bacteria!$AO$2</c:f>
              <c:strCache>
                <c:ptCount val="1"/>
                <c:pt idx="0">
                  <c:v>Naftaleen-carboxylase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Bacteria!$AO$3:$AO$23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87.466666666666669</c:v>
                </c:pt>
                <c:pt idx="6">
                  <c:v>201.09999999999997</c:v>
                </c:pt>
                <c:pt idx="7">
                  <c:v>1670.0000000000002</c:v>
                </c:pt>
                <c:pt idx="8">
                  <c:v>201.54999999999998</c:v>
                </c:pt>
                <c:pt idx="9">
                  <c:v>668</c:v>
                </c:pt>
                <c:pt idx="10">
                  <c:v>0</c:v>
                </c:pt>
                <c:pt idx="11">
                  <c:v>6379.166666666667</c:v>
                </c:pt>
                <c:pt idx="12">
                  <c:v>303.33333333333331</c:v>
                </c:pt>
                <c:pt idx="13">
                  <c:v>280.05</c:v>
                </c:pt>
                <c:pt idx="14">
                  <c:v>8449.1666666666679</c:v>
                </c:pt>
                <c:pt idx="15">
                  <c:v>2130.4166666666665</c:v>
                </c:pt>
                <c:pt idx="16">
                  <c:v>0</c:v>
                </c:pt>
                <c:pt idx="17">
                  <c:v>2692.25</c:v>
                </c:pt>
                <c:pt idx="18">
                  <c:v>1348.5833333333333</c:v>
                </c:pt>
                <c:pt idx="19">
                  <c:v>145.78333333333333</c:v>
                </c:pt>
                <c:pt idx="20">
                  <c:v>4977.6666666666661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3-4C16-9692-138B7CE99490}"/>
            </c:ext>
          </c:extLst>
        </c:ser>
        <c:ser>
          <c:idx val="4"/>
          <c:order val="4"/>
          <c:tx>
            <c:strRef>
              <c:f>Bacteria!$AP$2</c:f>
              <c:strCache>
                <c:ptCount val="1"/>
                <c:pt idx="0">
                  <c:v>Peptococcus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Bacteria!$AP$3:$AP$23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38.866666666666667</c:v>
                </c:pt>
                <c:pt idx="4">
                  <c:v>32.573333333333331</c:v>
                </c:pt>
                <c:pt idx="5">
                  <c:v>0</c:v>
                </c:pt>
                <c:pt idx="6">
                  <c:v>69.666666666666671</c:v>
                </c:pt>
                <c:pt idx="7">
                  <c:v>0</c:v>
                </c:pt>
                <c:pt idx="8">
                  <c:v>110.33333333333333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433.4666666666667</c:v>
                </c:pt>
                <c:pt idx="13">
                  <c:v>476.84444444444443</c:v>
                </c:pt>
                <c:pt idx="14">
                  <c:v>186.63333333333333</c:v>
                </c:pt>
                <c:pt idx="15">
                  <c:v>67.099999999999994</c:v>
                </c:pt>
                <c:pt idx="16">
                  <c:v>123.73333333333333</c:v>
                </c:pt>
                <c:pt idx="17">
                  <c:v>0</c:v>
                </c:pt>
                <c:pt idx="18">
                  <c:v>0</c:v>
                </c:pt>
                <c:pt idx="19">
                  <c:v>338.01666666666665</c:v>
                </c:pt>
                <c:pt idx="20">
                  <c:v>78.333333333333329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3-4C16-9692-138B7CE99490}"/>
            </c:ext>
          </c:extLst>
        </c:ser>
        <c:ser>
          <c:idx val="5"/>
          <c:order val="5"/>
          <c:tx>
            <c:strRef>
              <c:f>Bacteria!$AQ$2</c:f>
              <c:strCache>
                <c:ptCount val="1"/>
                <c:pt idx="0">
                  <c:v>Benzyl-succinaat-synthase SRB &amp; IRB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Bacteria!$AQ$3:$AQ$23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1831.5</c:v>
                </c:pt>
                <c:pt idx="5">
                  <c:v>2015.3333333333335</c:v>
                </c:pt>
                <c:pt idx="6">
                  <c:v>3618.8888888888887</c:v>
                </c:pt>
                <c:pt idx="7">
                  <c:v>4113.3333333333339</c:v>
                </c:pt>
                <c:pt idx="8">
                  <c:v>10203.333333333334</c:v>
                </c:pt>
                <c:pt idx="9">
                  <c:v>9632.2222222222226</c:v>
                </c:pt>
                <c:pt idx="10">
                  <c:v>0</c:v>
                </c:pt>
                <c:pt idx="11">
                  <c:v>0</c:v>
                </c:pt>
                <c:pt idx="12">
                  <c:v>10038.666666666668</c:v>
                </c:pt>
                <c:pt idx="13">
                  <c:v>30666.666666666664</c:v>
                </c:pt>
                <c:pt idx="14">
                  <c:v>37466.666666666664</c:v>
                </c:pt>
                <c:pt idx="15">
                  <c:v>68525</c:v>
                </c:pt>
                <c:pt idx="16">
                  <c:v>78191.666666666672</c:v>
                </c:pt>
                <c:pt idx="17">
                  <c:v>77116.666666666672</c:v>
                </c:pt>
                <c:pt idx="18">
                  <c:v>98633.333333333328</c:v>
                </c:pt>
                <c:pt idx="19">
                  <c:v>108516.66666666666</c:v>
                </c:pt>
                <c:pt idx="20">
                  <c:v>472444.44444444444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3-4C16-9692-138B7CE99490}"/>
            </c:ext>
          </c:extLst>
        </c:ser>
        <c:ser>
          <c:idx val="6"/>
          <c:order val="6"/>
          <c:tx>
            <c:strRef>
              <c:f>Bacteria!$AR$2</c:f>
              <c:strCache>
                <c:ptCount val="1"/>
                <c:pt idx="0">
                  <c:v>Benzyl-succinaat-synthase NRB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Bacteria!$AR$3:$AR$23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466.66666666666669</c:v>
                </c:pt>
                <c:pt idx="6">
                  <c:v>227.83333333333331</c:v>
                </c:pt>
                <c:pt idx="7">
                  <c:v>396.66666666666669</c:v>
                </c:pt>
                <c:pt idx="8">
                  <c:v>0</c:v>
                </c:pt>
                <c:pt idx="9">
                  <c:v>0</c:v>
                </c:pt>
                <c:pt idx="10">
                  <c:v>2180</c:v>
                </c:pt>
                <c:pt idx="11">
                  <c:v>146</c:v>
                </c:pt>
                <c:pt idx="12">
                  <c:v>1337.1666666666667</c:v>
                </c:pt>
                <c:pt idx="13">
                  <c:v>1226.6666666666667</c:v>
                </c:pt>
                <c:pt idx="14">
                  <c:v>323.66666666666669</c:v>
                </c:pt>
                <c:pt idx="15">
                  <c:v>0</c:v>
                </c:pt>
                <c:pt idx="16">
                  <c:v>309.16666666666663</c:v>
                </c:pt>
                <c:pt idx="17">
                  <c:v>0</c:v>
                </c:pt>
                <c:pt idx="18">
                  <c:v>0</c:v>
                </c:pt>
                <c:pt idx="19">
                  <c:v>302.16666666666669</c:v>
                </c:pt>
                <c:pt idx="20">
                  <c:v>370.16666666666669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3-4C16-9692-138B7CE99490}"/>
            </c:ext>
          </c:extLst>
        </c:ser>
        <c:ser>
          <c:idx val="7"/>
          <c:order val="7"/>
          <c:tx>
            <c:strRef>
              <c:f>Bacteria!$AS$2</c:f>
              <c:strCache>
                <c:ptCount val="1"/>
                <c:pt idx="0">
                  <c:v>1-Methyl-alkyl-succinaat-synthase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Bacteria!$AK$3:$AK$23</c:f>
              <c:strCache>
                <c:ptCount val="21"/>
                <c:pt idx="0">
                  <c:v>B 31</c:v>
                </c:pt>
                <c:pt idx="1">
                  <c:v>C 39</c:v>
                </c:pt>
                <c:pt idx="2">
                  <c:v>B 45</c:v>
                </c:pt>
                <c:pt idx="3">
                  <c:v>B2 43</c:v>
                </c:pt>
                <c:pt idx="4">
                  <c:v>B 64</c:v>
                </c:pt>
                <c:pt idx="5">
                  <c:v>C 26</c:v>
                </c:pt>
                <c:pt idx="6">
                  <c:v>C 15,5</c:v>
                </c:pt>
                <c:pt idx="7">
                  <c:v>B 20,5</c:v>
                </c:pt>
                <c:pt idx="8">
                  <c:v>B 15,5</c:v>
                </c:pt>
                <c:pt idx="9">
                  <c:v>B 19</c:v>
                </c:pt>
                <c:pt idx="10">
                  <c:v>B2 65</c:v>
                </c:pt>
                <c:pt idx="11">
                  <c:v>B 28</c:v>
                </c:pt>
                <c:pt idx="12">
                  <c:v>C 19</c:v>
                </c:pt>
                <c:pt idx="13">
                  <c:v>C 46</c:v>
                </c:pt>
                <c:pt idx="14">
                  <c:v>B 17</c:v>
                </c:pt>
                <c:pt idx="15">
                  <c:v>B2 14</c:v>
                </c:pt>
                <c:pt idx="16">
                  <c:v>B2 20</c:v>
                </c:pt>
                <c:pt idx="17">
                  <c:v>B2 15,5 </c:v>
                </c:pt>
                <c:pt idx="18">
                  <c:v>B2 7</c:v>
                </c:pt>
                <c:pt idx="19">
                  <c:v>B 12</c:v>
                </c:pt>
                <c:pt idx="20">
                  <c:v>B2 10,5</c:v>
                </c:pt>
              </c:strCache>
            </c:strRef>
          </c:cat>
          <c:val>
            <c:numRef>
              <c:f>Bacteria!$AS$3:$AS$23</c:f>
              <c:numCache>
                <c:formatCode>0.00E+00</c:formatCode>
                <c:ptCount val="21"/>
                <c:pt idx="0">
                  <c:v>87.666666666666671</c:v>
                </c:pt>
                <c:pt idx="1">
                  <c:v>0</c:v>
                </c:pt>
                <c:pt idx="2">
                  <c:v>379.83333333333337</c:v>
                </c:pt>
                <c:pt idx="3">
                  <c:v>1380</c:v>
                </c:pt>
                <c:pt idx="4">
                  <c:v>1525.8333333333333</c:v>
                </c:pt>
                <c:pt idx="5">
                  <c:v>1806.6666666666667</c:v>
                </c:pt>
                <c:pt idx="6">
                  <c:v>4287.666666666667</c:v>
                </c:pt>
                <c:pt idx="7">
                  <c:v>510</c:v>
                </c:pt>
                <c:pt idx="8">
                  <c:v>0</c:v>
                </c:pt>
                <c:pt idx="9">
                  <c:v>1066.6666666666667</c:v>
                </c:pt>
                <c:pt idx="10">
                  <c:v>10477.777777777776</c:v>
                </c:pt>
                <c:pt idx="11">
                  <c:v>178</c:v>
                </c:pt>
                <c:pt idx="12">
                  <c:v>15333.333333333334</c:v>
                </c:pt>
                <c:pt idx="13">
                  <c:v>13900</c:v>
                </c:pt>
                <c:pt idx="14">
                  <c:v>0</c:v>
                </c:pt>
                <c:pt idx="15">
                  <c:v>1246.6666666666667</c:v>
                </c:pt>
                <c:pt idx="16">
                  <c:v>1288.3333333333333</c:v>
                </c:pt>
                <c:pt idx="17">
                  <c:v>2846.666666666667</c:v>
                </c:pt>
                <c:pt idx="18">
                  <c:v>525.66666666666663</c:v>
                </c:pt>
                <c:pt idx="19">
                  <c:v>5414.4444444444443</c:v>
                </c:pt>
                <c:pt idx="20">
                  <c:v>3461.666666666667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204344"/>
        <c:axId val="904207296"/>
      </c:barChart>
      <c:lineChart>
        <c:grouping val="standard"/>
        <c:varyColors val="0"/>
        <c:ser>
          <c:idx val="8"/>
          <c:order val="8"/>
          <c:tx>
            <c:strRef>
              <c:f>Bacteria!$AT$2</c:f>
              <c:strCache>
                <c:ptCount val="1"/>
                <c:pt idx="0">
                  <c:v>Total gene count this selection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Bacteria!$AI$3:$AI$28</c:f>
              <c:numCache>
                <c:formatCode>General</c:formatCode>
                <c:ptCount val="26"/>
              </c:numCache>
            </c:numRef>
          </c:cat>
          <c:val>
            <c:numRef>
              <c:f>Bacteria!$AT$3:$AT$23</c:f>
              <c:numCache>
                <c:formatCode>General</c:formatCode>
                <c:ptCount val="21"/>
                <c:pt idx="0">
                  <c:v>204.04</c:v>
                </c:pt>
                <c:pt idx="1">
                  <c:v>257.01666666666665</c:v>
                </c:pt>
                <c:pt idx="2">
                  <c:v>428.16666666666669</c:v>
                </c:pt>
                <c:pt idx="3">
                  <c:v>1689.9</c:v>
                </c:pt>
                <c:pt idx="4">
                  <c:v>3555.3994444444443</c:v>
                </c:pt>
                <c:pt idx="5">
                  <c:v>4891.7614444444444</c:v>
                </c:pt>
                <c:pt idx="6">
                  <c:v>8978.8066666666673</c:v>
                </c:pt>
                <c:pt idx="7">
                  <c:v>10052.741666666667</c:v>
                </c:pt>
                <c:pt idx="8">
                  <c:v>10991.644444444444</c:v>
                </c:pt>
                <c:pt idx="9">
                  <c:v>12742.405555555555</c:v>
                </c:pt>
                <c:pt idx="10">
                  <c:v>13044.064444444442</c:v>
                </c:pt>
                <c:pt idx="11">
                  <c:v>22455.75</c:v>
                </c:pt>
                <c:pt idx="12">
                  <c:v>28477.458333333336</c:v>
                </c:pt>
                <c:pt idx="13">
                  <c:v>47504.236111111109</c:v>
                </c:pt>
                <c:pt idx="14">
                  <c:v>59221.049999999996</c:v>
                </c:pt>
                <c:pt idx="15">
                  <c:v>77481.55</c:v>
                </c:pt>
                <c:pt idx="16">
                  <c:v>80852.759444444455</c:v>
                </c:pt>
                <c:pt idx="17">
                  <c:v>88926.166666666672</c:v>
                </c:pt>
                <c:pt idx="18">
                  <c:v>105608.73583333334</c:v>
                </c:pt>
                <c:pt idx="19">
                  <c:v>115326.49999999999</c:v>
                </c:pt>
                <c:pt idx="20">
                  <c:v>492409.60000000003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33248"/>
        <c:axId val="700141120"/>
      </c:lineChart>
      <c:catAx>
        <c:axId val="904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7296"/>
        <c:crosses val="autoZero"/>
        <c:auto val="1"/>
        <c:lblAlgn val="ctr"/>
        <c:lblOffset val="100"/>
        <c:noMultiLvlLbl val="0"/>
      </c:catAx>
      <c:valAx>
        <c:axId val="904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4344"/>
        <c:crosses val="autoZero"/>
        <c:crossBetween val="between"/>
      </c:valAx>
      <c:valAx>
        <c:axId val="70014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3248"/>
        <c:crosses val="max"/>
        <c:crossBetween val="between"/>
      </c:valAx>
      <c:catAx>
        <c:axId val="700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Bacteria!$B$5</c:f>
              <c:strCache>
                <c:ptCount val="1"/>
                <c:pt idx="0">
                  <c:v>B 12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Bacteria!$E$5:$L$5</c:f>
              <c:numCache>
                <c:formatCode>0.00E+00</c:formatCode>
                <c:ptCount val="8"/>
                <c:pt idx="0">
                  <c:v>0</c:v>
                </c:pt>
                <c:pt idx="1">
                  <c:v>493.77777777777777</c:v>
                </c:pt>
                <c:pt idx="2">
                  <c:v>115.64444444444445</c:v>
                </c:pt>
                <c:pt idx="3">
                  <c:v>145.78333333333333</c:v>
                </c:pt>
                <c:pt idx="4">
                  <c:v>338.01666666666665</c:v>
                </c:pt>
                <c:pt idx="5">
                  <c:v>108516.66666666666</c:v>
                </c:pt>
                <c:pt idx="6">
                  <c:v>302.16666666666669</c:v>
                </c:pt>
                <c:pt idx="7">
                  <c:v>5414.4444444444443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A80-9026-6C3211BFCA8A}"/>
            </c:ext>
          </c:extLst>
        </c:ser>
        <c:ser>
          <c:idx val="1"/>
          <c:order val="1"/>
          <c:tx>
            <c:strRef>
              <c:f>Bacteria!$B$6</c:f>
              <c:strCache>
                <c:ptCount val="1"/>
                <c:pt idx="0">
                  <c:v>B 15,5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Bacteria!$E$6:$L$6</c:f>
              <c:numCache>
                <c:formatCode>0.00E+00</c:formatCode>
                <c:ptCount val="8"/>
                <c:pt idx="0">
                  <c:v>0</c:v>
                </c:pt>
                <c:pt idx="1">
                  <c:v>380.71111111111105</c:v>
                </c:pt>
                <c:pt idx="2">
                  <c:v>95.716666666666669</c:v>
                </c:pt>
                <c:pt idx="3">
                  <c:v>201.54999999999998</c:v>
                </c:pt>
                <c:pt idx="4">
                  <c:v>110.33333333333333</c:v>
                </c:pt>
                <c:pt idx="5">
                  <c:v>10203.333333333334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D-4A80-9026-6C3211BFCA8A}"/>
            </c:ext>
          </c:extLst>
        </c:ser>
        <c:ser>
          <c:idx val="2"/>
          <c:order val="2"/>
          <c:tx>
            <c:strRef>
              <c:f>Bacteria!$B$7</c:f>
              <c:strCache>
                <c:ptCount val="1"/>
                <c:pt idx="0">
                  <c:v>B 17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Bacteria!$E$7:$L$7</c:f>
              <c:numCache>
                <c:formatCode>0.00E+00</c:formatCode>
                <c:ptCount val="8"/>
                <c:pt idx="0">
                  <c:v>0</c:v>
                </c:pt>
                <c:pt idx="1">
                  <c:v>10659.166666666668</c:v>
                </c:pt>
                <c:pt idx="2">
                  <c:v>2135.75</c:v>
                </c:pt>
                <c:pt idx="3">
                  <c:v>8449.1666666666679</c:v>
                </c:pt>
                <c:pt idx="4">
                  <c:v>186.63333333333333</c:v>
                </c:pt>
                <c:pt idx="5">
                  <c:v>37466.666666666664</c:v>
                </c:pt>
                <c:pt idx="6">
                  <c:v>323.66666666666669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D-4A80-9026-6C3211BFCA8A}"/>
            </c:ext>
          </c:extLst>
        </c:ser>
        <c:ser>
          <c:idx val="3"/>
          <c:order val="3"/>
          <c:tx>
            <c:strRef>
              <c:f>Bacteria!$B$8</c:f>
              <c:strCache>
                <c:ptCount val="1"/>
                <c:pt idx="0">
                  <c:v>B 19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Bacteria!$E$8:$L$8</c:f>
              <c:numCache>
                <c:formatCode>0.00E+00</c:formatCode>
                <c:ptCount val="8"/>
                <c:pt idx="0">
                  <c:v>0</c:v>
                </c:pt>
                <c:pt idx="1">
                  <c:v>1122.25</c:v>
                </c:pt>
                <c:pt idx="2">
                  <c:v>253.26666666666665</c:v>
                </c:pt>
                <c:pt idx="3">
                  <c:v>668</c:v>
                </c:pt>
                <c:pt idx="4">
                  <c:v>0</c:v>
                </c:pt>
                <c:pt idx="5">
                  <c:v>9632.2222222222226</c:v>
                </c:pt>
                <c:pt idx="6">
                  <c:v>0</c:v>
                </c:pt>
                <c:pt idx="7">
                  <c:v>1066.6666666666667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D-4A80-9026-6C3211BFCA8A}"/>
            </c:ext>
          </c:extLst>
        </c:ser>
        <c:ser>
          <c:idx val="4"/>
          <c:order val="4"/>
          <c:tx>
            <c:strRef>
              <c:f>Bacteria!$B$9</c:f>
              <c:strCache>
                <c:ptCount val="1"/>
                <c:pt idx="0">
                  <c:v>B 20,5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Bacteria!$E$9:$L$9</c:f>
              <c:numCache>
                <c:formatCode>0.00E+00</c:formatCode>
                <c:ptCount val="8"/>
                <c:pt idx="0">
                  <c:v>0</c:v>
                </c:pt>
                <c:pt idx="1">
                  <c:v>2648.25</c:v>
                </c:pt>
                <c:pt idx="2">
                  <c:v>714.49166666666667</c:v>
                </c:pt>
                <c:pt idx="3">
                  <c:v>1670.0000000000002</c:v>
                </c:pt>
                <c:pt idx="4">
                  <c:v>0</c:v>
                </c:pt>
                <c:pt idx="5">
                  <c:v>4113.3333333333339</c:v>
                </c:pt>
                <c:pt idx="6">
                  <c:v>396.66666666666669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D-4A80-9026-6C3211BFCA8A}"/>
            </c:ext>
          </c:extLst>
        </c:ser>
        <c:ser>
          <c:idx val="5"/>
          <c:order val="5"/>
          <c:tx>
            <c:strRef>
              <c:f>Bacteria!$B$10</c:f>
              <c:strCache>
                <c:ptCount val="1"/>
                <c:pt idx="0">
                  <c:v>B 28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Bacteria!$E$10:$L$10</c:f>
              <c:numCache>
                <c:formatCode>0.00E+00</c:formatCode>
                <c:ptCount val="8"/>
                <c:pt idx="0">
                  <c:v>0</c:v>
                </c:pt>
                <c:pt idx="1">
                  <c:v>11540.833333333334</c:v>
                </c:pt>
                <c:pt idx="2">
                  <c:v>4211.75</c:v>
                </c:pt>
                <c:pt idx="3">
                  <c:v>6379.166666666667</c:v>
                </c:pt>
                <c:pt idx="4">
                  <c:v>0</c:v>
                </c:pt>
                <c:pt idx="5">
                  <c:v>0</c:v>
                </c:pt>
                <c:pt idx="6">
                  <c:v>146</c:v>
                </c:pt>
                <c:pt idx="7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D-4A80-9026-6C3211BFCA8A}"/>
            </c:ext>
          </c:extLst>
        </c:ser>
        <c:ser>
          <c:idx val="6"/>
          <c:order val="6"/>
          <c:tx>
            <c:strRef>
              <c:f>Bacteria!$B$11</c:f>
              <c:strCache>
                <c:ptCount val="1"/>
                <c:pt idx="0">
                  <c:v>B 31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Bacteria!$E$11:$L$11</c:f>
              <c:numCache>
                <c:formatCode>0.00E+00</c:formatCode>
                <c:ptCount val="8"/>
                <c:pt idx="0">
                  <c:v>0</c:v>
                </c:pt>
                <c:pt idx="1">
                  <c:v>86.805555555555543</c:v>
                </c:pt>
                <c:pt idx="2">
                  <c:v>29.567777777777778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D-4A80-9026-6C3211BFCA8A}"/>
            </c:ext>
          </c:extLst>
        </c:ser>
        <c:ser>
          <c:idx val="7"/>
          <c:order val="7"/>
          <c:tx>
            <c:strRef>
              <c:f>Bacteria!$B$12</c:f>
              <c:strCache>
                <c:ptCount val="1"/>
                <c:pt idx="0">
                  <c:v>B 45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Bacteria!$E$12:$L$12</c:f>
              <c:numCache>
                <c:formatCode>0.00E+00</c:formatCode>
                <c:ptCount val="8"/>
                <c:pt idx="0">
                  <c:v>0</c:v>
                </c:pt>
                <c:pt idx="1">
                  <c:v>20.079999999999998</c:v>
                </c:pt>
                <c:pt idx="2">
                  <c:v>28.25333333333333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379.83333333333337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D-4A80-9026-6C3211BFCA8A}"/>
            </c:ext>
          </c:extLst>
        </c:ser>
        <c:ser>
          <c:idx val="8"/>
          <c:order val="8"/>
          <c:tx>
            <c:strRef>
              <c:f>Bacteria!$B$13</c:f>
              <c:strCache>
                <c:ptCount val="1"/>
                <c:pt idx="0">
                  <c:v>B 64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Bacteria!$E$13:$L$13</c:f>
              <c:numCache>
                <c:formatCode>0.00E+00</c:formatCode>
                <c:ptCount val="8"/>
                <c:pt idx="0">
                  <c:v>0</c:v>
                </c:pt>
                <c:pt idx="1">
                  <c:v>100.21111111111111</c:v>
                </c:pt>
                <c:pt idx="2">
                  <c:v>65.281666666666666</c:v>
                </c:pt>
                <c:pt idx="3">
                  <c:v>0</c:v>
                </c:pt>
                <c:pt idx="4">
                  <c:v>32.573333333333331</c:v>
                </c:pt>
                <c:pt idx="5">
                  <c:v>1831.5</c:v>
                </c:pt>
                <c:pt idx="6">
                  <c:v>0</c:v>
                </c:pt>
                <c:pt idx="7">
                  <c:v>1525.8333333333333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D-4A80-9026-6C3211BF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50936"/>
        <c:axId val="415551264"/>
      </c:barChart>
      <c:catAx>
        <c:axId val="4155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64"/>
        <c:crosses val="autoZero"/>
        <c:auto val="1"/>
        <c:lblAlgn val="ctr"/>
        <c:lblOffset val="100"/>
        <c:noMultiLvlLbl val="0"/>
      </c:catAx>
      <c:valAx>
        <c:axId val="415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Gene copies / mL</a:t>
                </a:r>
                <a:endParaRPr lang="nl-N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Bacteria!$B$21</c:f>
              <c:strCache>
                <c:ptCount val="1"/>
                <c:pt idx="0">
                  <c:v>C 15,5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Bacteria!$E$21:$L$21</c:f>
              <c:numCache>
                <c:formatCode>0.00E+00</c:formatCode>
                <c:ptCount val="8"/>
                <c:pt idx="0">
                  <c:v>0</c:v>
                </c:pt>
                <c:pt idx="1">
                  <c:v>515.08333333333337</c:v>
                </c:pt>
                <c:pt idx="2">
                  <c:v>58.567777777777785</c:v>
                </c:pt>
                <c:pt idx="3">
                  <c:v>201.09999999999997</c:v>
                </c:pt>
                <c:pt idx="4">
                  <c:v>69.666666666666671</c:v>
                </c:pt>
                <c:pt idx="5">
                  <c:v>3618.8888888888887</c:v>
                </c:pt>
                <c:pt idx="6">
                  <c:v>227.83333333333331</c:v>
                </c:pt>
                <c:pt idx="7">
                  <c:v>4287.666666666667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C-4B56-9043-E4A542CC23A7}"/>
            </c:ext>
          </c:extLst>
        </c:ser>
        <c:ser>
          <c:idx val="1"/>
          <c:order val="1"/>
          <c:tx>
            <c:strRef>
              <c:f>Bacteria!$B$22</c:f>
              <c:strCache>
                <c:ptCount val="1"/>
                <c:pt idx="0">
                  <c:v>C 19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Bacteria!$E$22:$L$22</c:f>
              <c:numCache>
                <c:formatCode>0.00E+00</c:formatCode>
                <c:ptCount val="8"/>
                <c:pt idx="0">
                  <c:v>0</c:v>
                </c:pt>
                <c:pt idx="1">
                  <c:v>968.8416666666667</c:v>
                </c:pt>
                <c:pt idx="2">
                  <c:v>62.649999999999991</c:v>
                </c:pt>
                <c:pt idx="3">
                  <c:v>303.33333333333331</c:v>
                </c:pt>
                <c:pt idx="4">
                  <c:v>433.4666666666667</c:v>
                </c:pt>
                <c:pt idx="5">
                  <c:v>10038.666666666668</c:v>
                </c:pt>
                <c:pt idx="6">
                  <c:v>1337.1666666666667</c:v>
                </c:pt>
                <c:pt idx="7">
                  <c:v>15333.333333333334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C-4B56-9043-E4A542CC23A7}"/>
            </c:ext>
          </c:extLst>
        </c:ser>
        <c:ser>
          <c:idx val="2"/>
          <c:order val="2"/>
          <c:tx>
            <c:strRef>
              <c:f>Bacteria!$B$23</c:f>
              <c:strCache>
                <c:ptCount val="1"/>
                <c:pt idx="0">
                  <c:v>C 26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Bacteria!$E$23:$L$23</c:f>
              <c:numCache>
                <c:formatCode>0.00E+00</c:formatCode>
                <c:ptCount val="8"/>
                <c:pt idx="0">
                  <c:v>0</c:v>
                </c:pt>
                <c:pt idx="1">
                  <c:v>502.4083333333333</c:v>
                </c:pt>
                <c:pt idx="2">
                  <c:v>13.219777777777779</c:v>
                </c:pt>
                <c:pt idx="3">
                  <c:v>87.466666666666669</c:v>
                </c:pt>
                <c:pt idx="4">
                  <c:v>0</c:v>
                </c:pt>
                <c:pt idx="5">
                  <c:v>2015.3333333333335</c:v>
                </c:pt>
                <c:pt idx="6">
                  <c:v>466.66666666666669</c:v>
                </c:pt>
                <c:pt idx="7">
                  <c:v>1806.6666666666667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C-4B56-9043-E4A542CC23A7}"/>
            </c:ext>
          </c:extLst>
        </c:ser>
        <c:ser>
          <c:idx val="3"/>
          <c:order val="3"/>
          <c:tx>
            <c:strRef>
              <c:f>Bacteria!$B$24</c:f>
              <c:strCache>
                <c:ptCount val="1"/>
                <c:pt idx="0">
                  <c:v>C 39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Bacteria!$E$24:$L$24</c:f>
              <c:numCache>
                <c:formatCode>0.00E+00</c:formatCode>
                <c:ptCount val="8"/>
                <c:pt idx="0">
                  <c:v>0</c:v>
                </c:pt>
                <c:pt idx="1">
                  <c:v>257.01666666666665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C-4B56-9043-E4A542CC23A7}"/>
            </c:ext>
          </c:extLst>
        </c:ser>
        <c:ser>
          <c:idx val="4"/>
          <c:order val="4"/>
          <c:tx>
            <c:strRef>
              <c:f>Bacteria!$B$25</c:f>
              <c:strCache>
                <c:ptCount val="1"/>
                <c:pt idx="0">
                  <c:v>C 46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Bacteria!$E$25:$L$25</c:f>
              <c:numCache>
                <c:formatCode>0.00E+00</c:formatCode>
                <c:ptCount val="8"/>
                <c:pt idx="0">
                  <c:v>0</c:v>
                </c:pt>
                <c:pt idx="1">
                  <c:v>875.24166666666679</c:v>
                </c:pt>
                <c:pt idx="2">
                  <c:v>78.766666666666666</c:v>
                </c:pt>
                <c:pt idx="3">
                  <c:v>280.05</c:v>
                </c:pt>
                <c:pt idx="4">
                  <c:v>476.84444444444443</c:v>
                </c:pt>
                <c:pt idx="5">
                  <c:v>30666.666666666664</c:v>
                </c:pt>
                <c:pt idx="6">
                  <c:v>1226.6666666666667</c:v>
                </c:pt>
                <c:pt idx="7">
                  <c:v>13900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C-4B56-9043-E4A542CC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50936"/>
        <c:axId val="415551264"/>
      </c:barChart>
      <c:catAx>
        <c:axId val="4155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64"/>
        <c:crosses val="autoZero"/>
        <c:auto val="1"/>
        <c:lblAlgn val="ctr"/>
        <c:lblOffset val="100"/>
        <c:noMultiLvlLbl val="0"/>
      </c:catAx>
      <c:valAx>
        <c:axId val="415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Gene copies / mL</a:t>
                </a:r>
                <a:endParaRPr lang="nl-N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Bacteria!$B$3</c:f>
              <c:strCache>
                <c:ptCount val="1"/>
                <c:pt idx="0">
                  <c:v>A 52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Bacteria!$E$3:$L$3</c:f>
              <c:numCache>
                <c:formatCode>0.00E+00</c:formatCode>
                <c:ptCount val="8"/>
                <c:pt idx="0">
                  <c:v>0</c:v>
                </c:pt>
                <c:pt idx="1">
                  <c:v>408.4666666666667</c:v>
                </c:pt>
                <c:pt idx="2">
                  <c:v>25.383333333333333</c:v>
                </c:pt>
                <c:pt idx="3">
                  <c:v>0</c:v>
                </c:pt>
                <c:pt idx="4">
                  <c:v>660.12222222222215</c:v>
                </c:pt>
                <c:pt idx="5">
                  <c:v>0</c:v>
                </c:pt>
                <c:pt idx="6">
                  <c:v>1254.4444444444443</c:v>
                </c:pt>
                <c:pt idx="7">
                  <c:v>12866.666666666666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E-4130-A8C6-105689CBF92B}"/>
            </c:ext>
          </c:extLst>
        </c:ser>
        <c:ser>
          <c:idx val="1"/>
          <c:order val="1"/>
          <c:tx>
            <c:strRef>
              <c:f>Bacteria!$B$4</c:f>
              <c:strCache>
                <c:ptCount val="1"/>
                <c:pt idx="0">
                  <c:v>A 65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Bacteria!$E$2:$L$2</c:f>
              <c:strCache>
                <c:ptCount val="8"/>
                <c:pt idx="0">
                  <c:v>abcA</c:v>
                </c:pt>
                <c:pt idx="1">
                  <c:v>nmsA</c:v>
                </c:pt>
                <c:pt idx="2">
                  <c:v>ncrA</c:v>
                </c:pt>
                <c:pt idx="3">
                  <c:v>ncA</c:v>
                </c:pt>
                <c:pt idx="4">
                  <c:v>Peptococcus</c:v>
                </c:pt>
                <c:pt idx="5">
                  <c:v>bssA SRB &amp; IRB</c:v>
                </c:pt>
                <c:pt idx="6">
                  <c:v>bssA NRB</c:v>
                </c:pt>
                <c:pt idx="7">
                  <c:v>assA</c:v>
                </c:pt>
              </c:strCache>
            </c:strRef>
          </c:cat>
          <c:val>
            <c:numRef>
              <c:f>Bacteria!$E$4:$L$4</c:f>
              <c:numCache>
                <c:formatCode>0.00E+00</c:formatCode>
                <c:ptCount val="8"/>
                <c:pt idx="0">
                  <c:v>0</c:v>
                </c:pt>
                <c:pt idx="1">
                  <c:v>1034.9333333333334</c:v>
                </c:pt>
                <c:pt idx="2">
                  <c:v>0</c:v>
                </c:pt>
                <c:pt idx="3">
                  <c:v>0</c:v>
                </c:pt>
                <c:pt idx="4">
                  <c:v>628.20000000000005</c:v>
                </c:pt>
                <c:pt idx="5">
                  <c:v>0</c:v>
                </c:pt>
                <c:pt idx="6">
                  <c:v>12254.166666666668</c:v>
                </c:pt>
                <c:pt idx="7">
                  <c:v>80092.5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E-4130-A8C6-105689CB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50936"/>
        <c:axId val="415551264"/>
      </c:barChart>
      <c:catAx>
        <c:axId val="4155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64"/>
        <c:crosses val="autoZero"/>
        <c:auto val="1"/>
        <c:lblAlgn val="ctr"/>
        <c:lblOffset val="100"/>
        <c:noMultiLvlLbl val="0"/>
      </c:catAx>
      <c:valAx>
        <c:axId val="415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Gene copies / mL</a:t>
                </a:r>
                <a:endParaRPr lang="nl-N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0">
                <a:solidFill>
                  <a:sysClr val="windowText" lastClr="000000"/>
                </a:solidFill>
              </a:rPr>
              <a:t>Well B2</a:t>
            </a:r>
          </a:p>
        </c:rich>
      </c:tx>
      <c:layout>
        <c:manualLayout>
          <c:xMode val="edge"/>
          <c:yMode val="edge"/>
          <c:x val="6.4933491528921056E-2"/>
          <c:y val="1.543034071095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91505339101084"/>
          <c:y val="0.13960051868516435"/>
          <c:w val="0.62261420933085354"/>
          <c:h val="0.64843122615538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Bacteria!$AG$2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Bacteria!$AG$14:$AG$20</c:f>
              <c:numCache>
                <c:formatCode>General</c:formatCode>
                <c:ptCount val="7"/>
                <c:pt idx="0">
                  <c:v>1.8668088568935424</c:v>
                </c:pt>
                <c:pt idx="1">
                  <c:v>1.7268339005235598</c:v>
                </c:pt>
                <c:pt idx="2">
                  <c:v>2.4502758944153578</c:v>
                </c:pt>
                <c:pt idx="3">
                  <c:v>912.20107918848146</c:v>
                </c:pt>
                <c:pt idx="4">
                  <c:v>3.9964278359511338</c:v>
                </c:pt>
                <c:pt idx="5">
                  <c:v>2.0396350785340314</c:v>
                </c:pt>
                <c:pt idx="6">
                  <c:v>1.9817882853403139</c:v>
                </c:pt>
              </c:numCache>
            </c:numRef>
          </c:xVal>
          <c:yVal>
            <c:numRef>
              <c:f>Bacteria!$AF$14:$AF$20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D-45FB-8150-68FBD7DA5D6F}"/>
            </c:ext>
          </c:extLst>
        </c:ser>
        <c:ser>
          <c:idx val="2"/>
          <c:order val="1"/>
          <c:tx>
            <c:strRef>
              <c:f>Bacteria!$D$2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Bacteria!$D$14:$D$20</c:f>
              <c:numCache>
                <c:formatCode>0.00E+00</c:formatCode>
                <c:ptCount val="7"/>
                <c:pt idx="0">
                  <c:v>425666.66666666669</c:v>
                </c:pt>
                <c:pt idx="1">
                  <c:v>101500</c:v>
                </c:pt>
                <c:pt idx="2">
                  <c:v>497</c:v>
                </c:pt>
                <c:pt idx="3">
                  <c:v>47525.444444444445</c:v>
                </c:pt>
                <c:pt idx="4">
                  <c:v>48590.666666666664</c:v>
                </c:pt>
                <c:pt idx="5">
                  <c:v>30655.555555555558</c:v>
                </c:pt>
                <c:pt idx="6">
                  <c:v>5632.333333333333</c:v>
                </c:pt>
              </c:numCache>
            </c:numRef>
          </c:xVal>
          <c:yVal>
            <c:numRef>
              <c:f>Bacteria!$AF$14:$AF$20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D-45FB-8150-68FBD7DA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82816"/>
        <c:axId val="829481176"/>
      </c:scatterChart>
      <c:scatterChart>
        <c:scatterStyle val="lineMarker"/>
        <c:varyColors val="0"/>
        <c:ser>
          <c:idx val="1"/>
          <c:order val="2"/>
          <c:tx>
            <c:strRef>
              <c:f>Bacteria!$N$2</c:f>
              <c:strCache>
                <c:ptCount val="1"/>
                <c:pt idx="0">
                  <c:v>Total bacteria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Bacteria!$N$14:$N$20</c:f>
              <c:numCache>
                <c:formatCode>0.00.E+00</c:formatCode>
                <c:ptCount val="7"/>
                <c:pt idx="0">
                  <c:v>105608.73583333334</c:v>
                </c:pt>
                <c:pt idx="1">
                  <c:v>492409.60000000003</c:v>
                </c:pt>
                <c:pt idx="2">
                  <c:v>77481.55</c:v>
                </c:pt>
                <c:pt idx="3">
                  <c:v>88926.166666666672</c:v>
                </c:pt>
                <c:pt idx="4">
                  <c:v>80852.759444444455</c:v>
                </c:pt>
                <c:pt idx="5">
                  <c:v>1689.9</c:v>
                </c:pt>
                <c:pt idx="6">
                  <c:v>13044.064444444442</c:v>
                </c:pt>
              </c:numCache>
            </c:numRef>
          </c:xVal>
          <c:yVal>
            <c:numRef>
              <c:f>Bacteria!$AF$14:$AF$20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1-4D44-A661-1DA9F3D7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28024"/>
        <c:axId val="610930320"/>
      </c:scatterChart>
      <c:valAx>
        <c:axId val="82948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>
                    <a:solidFill>
                      <a:sysClr val="windowText" lastClr="000000"/>
                    </a:solidFill>
                  </a:rPr>
                  <a:t>Gene count</a:t>
                </a:r>
              </a:p>
            </c:rich>
          </c:tx>
          <c:layout>
            <c:manualLayout>
              <c:xMode val="edge"/>
              <c:yMode val="edge"/>
              <c:x val="0.39454962158338064"/>
              <c:y val="6.0340426196725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1176"/>
        <c:crosses val="autoZero"/>
        <c:crossBetween val="midCat"/>
      </c:valAx>
      <c:valAx>
        <c:axId val="8294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>
                    <a:solidFill>
                      <a:sysClr val="windowText" lastClr="000000"/>
                    </a:solidFill>
                  </a:rPr>
                  <a:t>depth (m-bgl)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2816"/>
        <c:crosses val="autoZero"/>
        <c:crossBetween val="midCat"/>
      </c:valAx>
      <c:valAx>
        <c:axId val="610930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0928024"/>
        <c:crosses val="max"/>
        <c:crossBetween val="midCat"/>
      </c:valAx>
      <c:valAx>
        <c:axId val="610928024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>
                    <a:solidFill>
                      <a:sysClr val="windowText" lastClr="000000"/>
                    </a:solidFill>
                  </a:rPr>
                  <a:t>Total aromatics (ug/L)</a:t>
                </a:r>
              </a:p>
            </c:rich>
          </c:tx>
          <c:layout>
            <c:manualLayout>
              <c:xMode val="edge"/>
              <c:yMode val="edge"/>
              <c:x val="0.28696227624781678"/>
              <c:y val="0.83522390529629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.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0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6490710922128"/>
          <c:y val="0.89827440008415371"/>
          <c:w val="0.43577794645423268"/>
          <c:h val="7.83870766154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layout>
        <c:manualLayout>
          <c:xMode val="edge"/>
          <c:yMode val="edge"/>
          <c:x val="6.4933491528921056E-2"/>
          <c:y val="1.543034071095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91505339101084"/>
          <c:y val="0.13960051868516435"/>
          <c:w val="0.62261420933085354"/>
          <c:h val="0.64843122615538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Bacteria!$AG$2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Bacteria!$AG$5:$AG$13</c:f>
              <c:numCache>
                <c:formatCode>General</c:formatCode>
                <c:ptCount val="9"/>
                <c:pt idx="0">
                  <c:v>748.39467233856897</c:v>
                </c:pt>
                <c:pt idx="1">
                  <c:v>2022.2096247818497</c:v>
                </c:pt>
                <c:pt idx="2">
                  <c:v>200.41414288830714</c:v>
                </c:pt>
                <c:pt idx="3">
                  <c:v>214.54732853403144</c:v>
                </c:pt>
                <c:pt idx="4">
                  <c:v>91.05513743455495</c:v>
                </c:pt>
                <c:pt idx="5">
                  <c:v>6.6195299520069808</c:v>
                </c:pt>
                <c:pt idx="6">
                  <c:v>6.941615183246074</c:v>
                </c:pt>
                <c:pt idx="7">
                  <c:v>8.2842321116928428</c:v>
                </c:pt>
                <c:pt idx="8">
                  <c:v>21.539003490401392</c:v>
                </c:pt>
              </c:numCache>
            </c:numRef>
          </c:xVal>
          <c:yVal>
            <c:numRef>
              <c:f>Bacteria!$AF$5:$AF$13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D-45FB-8150-68FBD7DA5D6F}"/>
            </c:ext>
          </c:extLst>
        </c:ser>
        <c:ser>
          <c:idx val="2"/>
          <c:order val="1"/>
          <c:tx>
            <c:strRef>
              <c:f>Bacteria!$D$2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Bacteria!$D$5:$D$13</c:f>
              <c:numCache>
                <c:formatCode>0.00E+00</c:formatCode>
                <c:ptCount val="9"/>
                <c:pt idx="0">
                  <c:v>37986.666666666672</c:v>
                </c:pt>
                <c:pt idx="1">
                  <c:v>50777.5</c:v>
                </c:pt>
                <c:pt idx="2">
                  <c:v>16618.333333333332</c:v>
                </c:pt>
                <c:pt idx="3">
                  <c:v>8240.4444444444453</c:v>
                </c:pt>
                <c:pt idx="4">
                  <c:v>1237084.1666666667</c:v>
                </c:pt>
                <c:pt idx="5">
                  <c:v>7342.333333333333</c:v>
                </c:pt>
                <c:pt idx="6">
                  <c:v>79302</c:v>
                </c:pt>
                <c:pt idx="7">
                  <c:v>33433.333333333336</c:v>
                </c:pt>
                <c:pt idx="8">
                  <c:v>999</c:v>
                </c:pt>
              </c:numCache>
            </c:numRef>
          </c:xVal>
          <c:yVal>
            <c:numRef>
              <c:f>Bacteria!$AF$5:$AF$13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D-45FB-8150-68FBD7DA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82816"/>
        <c:axId val="829481176"/>
      </c:scatterChart>
      <c:scatterChart>
        <c:scatterStyle val="lineMarker"/>
        <c:varyColors val="0"/>
        <c:ser>
          <c:idx val="1"/>
          <c:order val="2"/>
          <c:tx>
            <c:strRef>
              <c:f>Bacteria!$N$2</c:f>
              <c:strCache>
                <c:ptCount val="1"/>
                <c:pt idx="0">
                  <c:v>Total bacteria</c:v>
                </c:pt>
              </c:strCache>
            </c:strRef>
          </c:tx>
          <c:spPr>
            <a:ln w="190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E6E6">
                  <a:lumMod val="75000"/>
                </a:srgbClr>
              </a:solidFill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Bacteria!$N$5:$N$13</c:f>
              <c:numCache>
                <c:formatCode>0.00.E+00</c:formatCode>
                <c:ptCount val="9"/>
                <c:pt idx="0">
                  <c:v>115326.49999999999</c:v>
                </c:pt>
                <c:pt idx="1">
                  <c:v>10991.644444444444</c:v>
                </c:pt>
                <c:pt idx="2">
                  <c:v>59221.049999999996</c:v>
                </c:pt>
                <c:pt idx="3">
                  <c:v>12742.405555555555</c:v>
                </c:pt>
                <c:pt idx="4">
                  <c:v>10052.741666666667</c:v>
                </c:pt>
                <c:pt idx="5">
                  <c:v>22455.75</c:v>
                </c:pt>
                <c:pt idx="6">
                  <c:v>204.04</c:v>
                </c:pt>
                <c:pt idx="7">
                  <c:v>428.16666666666669</c:v>
                </c:pt>
                <c:pt idx="8">
                  <c:v>3555.3994444444443</c:v>
                </c:pt>
              </c:numCache>
            </c:numRef>
          </c:xVal>
          <c:yVal>
            <c:numRef>
              <c:f>Bacteria!$AF$5:$AF$13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9A-486D-A6FB-71948655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88520"/>
        <c:axId val="775682944"/>
      </c:scatterChart>
      <c:valAx>
        <c:axId val="82948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 count</a:t>
                </a:r>
              </a:p>
            </c:rich>
          </c:tx>
          <c:layout>
            <c:manualLayout>
              <c:xMode val="edge"/>
              <c:yMode val="edge"/>
              <c:x val="0.43935254583987565"/>
              <c:y val="5.63721722284714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1176"/>
        <c:crosses val="autoZero"/>
        <c:crossBetween val="midCat"/>
      </c:valAx>
      <c:valAx>
        <c:axId val="8294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depth (m-bgl)</a:t>
                </a:r>
                <a:endParaRPr lang="nl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2816"/>
        <c:crosses val="autoZero"/>
        <c:crossBetween val="midCat"/>
      </c:valAx>
      <c:valAx>
        <c:axId val="775682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5688520"/>
        <c:crosses val="max"/>
        <c:crossBetween val="midCat"/>
      </c:valAx>
      <c:valAx>
        <c:axId val="775688520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solidFill>
                      <a:sysClr val="windowText" lastClr="000000"/>
                    </a:solidFill>
                    <a:effectLst/>
                  </a:rPr>
                  <a:t>Total aromatics (ug/L)</a:t>
                </a:r>
                <a:endParaRPr lang="nl-NL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0258271991542729"/>
              <c:y val="0.83234956242639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.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829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1543196683647"/>
          <c:y val="0.89827440008415371"/>
          <c:w val="0.44207364307471059"/>
          <c:h val="7.83870766154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B2 - Total archaea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type'!$AD$2</c:f>
              <c:strCache>
                <c:ptCount val="1"/>
                <c:pt idx="0">
                  <c:v>Total archaea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type'!$X$19:$X$25</c:f>
              <c:strCache>
                <c:ptCount val="7"/>
                <c:pt idx="0">
                  <c:v>very course sand</c:v>
                </c:pt>
                <c:pt idx="1">
                  <c:v>very course sand</c:v>
                </c:pt>
                <c:pt idx="2">
                  <c:v>very course sand</c:v>
                </c:pt>
                <c:pt idx="3">
                  <c:v>moderately fine sand</c:v>
                </c:pt>
                <c:pt idx="4">
                  <c:v>very fine sand</c:v>
                </c:pt>
                <c:pt idx="5">
                  <c:v>very fine sand</c:v>
                </c:pt>
                <c:pt idx="6">
                  <c:v>extremely fine sand</c:v>
                </c:pt>
              </c:strCache>
            </c:strRef>
          </c:cat>
          <c:val>
            <c:numRef>
              <c:f>'All vs soil type'!$AD$19:$AD$25</c:f>
              <c:numCache>
                <c:formatCode>General</c:formatCode>
                <c:ptCount val="7"/>
                <c:pt idx="0">
                  <c:v>8240</c:v>
                </c:pt>
                <c:pt idx="1">
                  <c:v>7342</c:v>
                </c:pt>
                <c:pt idx="2">
                  <c:v>79302</c:v>
                </c:pt>
                <c:pt idx="3">
                  <c:v>497</c:v>
                </c:pt>
                <c:pt idx="4">
                  <c:v>16029097</c:v>
                </c:pt>
                <c:pt idx="5">
                  <c:v>63117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1-42A6-ACD4-7FDBAA71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layout>
        <c:manualLayout>
          <c:xMode val="edge"/>
          <c:yMode val="edge"/>
          <c:x val="6.4933491528921056E-2"/>
          <c:y val="1.543034071095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91505339101084"/>
          <c:y val="0.13960051868516435"/>
          <c:w val="0.62261420933085354"/>
          <c:h val="0.65042002436371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Bacteria!$AG$2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Bacteria!$AG$21:$AG$25</c:f>
              <c:numCache>
                <c:formatCode>General</c:formatCode>
                <c:ptCount val="5"/>
                <c:pt idx="0">
                  <c:v>102.24456404886561</c:v>
                </c:pt>
                <c:pt idx="1">
                  <c:v>305.7952886125654</c:v>
                </c:pt>
                <c:pt idx="2">
                  <c:v>41.79823595113438</c:v>
                </c:pt>
                <c:pt idx="3">
                  <c:v>75.343662739965083</c:v>
                </c:pt>
                <c:pt idx="4">
                  <c:v>125.85962467277484</c:v>
                </c:pt>
              </c:numCache>
            </c:numRef>
          </c:xVal>
          <c:yVal>
            <c:numRef>
              <c:f>Bacteria!$AF$21:$AF$25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D-45FB-8150-68FBD7DA5D6F}"/>
            </c:ext>
          </c:extLst>
        </c:ser>
        <c:ser>
          <c:idx val="2"/>
          <c:order val="1"/>
          <c:tx>
            <c:strRef>
              <c:f>Bacteria!$D$2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Bacteria!$D$21:$D$25</c:f>
              <c:numCache>
                <c:formatCode>0.00E+00</c:formatCode>
                <c:ptCount val="5"/>
                <c:pt idx="0">
                  <c:v>16029096.666666666</c:v>
                </c:pt>
                <c:pt idx="1">
                  <c:v>38261.111111111109</c:v>
                </c:pt>
                <c:pt idx="2">
                  <c:v>63116.666666666664</c:v>
                </c:pt>
                <c:pt idx="3">
                  <c:v>1</c:v>
                </c:pt>
                <c:pt idx="4">
                  <c:v>189199.99999999997</c:v>
                </c:pt>
              </c:numCache>
            </c:numRef>
          </c:xVal>
          <c:yVal>
            <c:numRef>
              <c:f>Bacteria!$AF$21:$AF$25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D-45FB-8150-68FBD7DA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82816"/>
        <c:axId val="829481176"/>
      </c:scatterChart>
      <c:scatterChart>
        <c:scatterStyle val="lineMarker"/>
        <c:varyColors val="0"/>
        <c:ser>
          <c:idx val="1"/>
          <c:order val="2"/>
          <c:tx>
            <c:strRef>
              <c:f>Bacteria!$N$2</c:f>
              <c:strCache>
                <c:ptCount val="1"/>
                <c:pt idx="0">
                  <c:v>Total bacteria</c:v>
                </c:pt>
              </c:strCache>
            </c:strRef>
          </c:tx>
          <c:spPr>
            <a:ln w="190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E6E6">
                  <a:lumMod val="75000"/>
                </a:srgbClr>
              </a:solidFill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Bacteria!$N$21:$N$25</c:f>
              <c:numCache>
                <c:formatCode>0.00.E+00</c:formatCode>
                <c:ptCount val="5"/>
                <c:pt idx="0">
                  <c:v>8978.8066666666673</c:v>
                </c:pt>
                <c:pt idx="1">
                  <c:v>28477.458333333336</c:v>
                </c:pt>
                <c:pt idx="2">
                  <c:v>4891.7614444444444</c:v>
                </c:pt>
                <c:pt idx="3">
                  <c:v>257.01666666666665</c:v>
                </c:pt>
                <c:pt idx="4">
                  <c:v>47504.236111111109</c:v>
                </c:pt>
              </c:numCache>
            </c:numRef>
          </c:xVal>
          <c:yVal>
            <c:numRef>
              <c:f>Bacteria!$AF$21:$AF$25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E7-4FA5-B869-63FB54A8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91504"/>
        <c:axId val="629792512"/>
      </c:scatterChart>
      <c:valAx>
        <c:axId val="82948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 count</a:t>
                </a:r>
              </a:p>
            </c:rich>
          </c:tx>
          <c:layout>
            <c:manualLayout>
              <c:xMode val="edge"/>
              <c:yMode val="edge"/>
              <c:x val="0.40932248902766277"/>
              <c:y val="5.63720993506339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1176"/>
        <c:crosses val="autoZero"/>
        <c:crossBetween val="midCat"/>
      </c:valAx>
      <c:valAx>
        <c:axId val="8294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effectLst/>
                  </a:rPr>
                  <a:t>depth (m-bgl)</a:t>
                </a:r>
                <a:endParaRPr lang="nl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2816"/>
        <c:crosses val="autoZero"/>
        <c:crossBetween val="midCat"/>
      </c:valAx>
      <c:valAx>
        <c:axId val="629792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02991504"/>
        <c:crosses val="max"/>
        <c:crossBetween val="midCat"/>
      </c:valAx>
      <c:valAx>
        <c:axId val="402991504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0" i="0" baseline="0">
                    <a:solidFill>
                      <a:sysClr val="windowText" lastClr="000000"/>
                    </a:solidFill>
                    <a:effectLst/>
                  </a:rPr>
                  <a:t>Total aromatics (ug/L)</a:t>
                </a:r>
                <a:endParaRPr lang="nl-NL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8251895127835963"/>
              <c:y val="0.8352709342884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.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925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4028920447341"/>
          <c:y val="0.90224233958310118"/>
          <c:w val="0.41818696111851195"/>
          <c:h val="7.8275254822819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670700107082975E-2"/>
          <c:y val="2.5542999697668232E-2"/>
          <c:w val="0.81202185670885707"/>
          <c:h val="0.622318043684115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'Bact vs Tar'!$E$2</c:f>
              <c:strCache>
                <c:ptCount val="1"/>
                <c:pt idx="0">
                  <c:v>abcA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rgbClr val="FF000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Tar'!$E$3:$E$28</c:f>
              <c:numCache>
                <c:formatCode>0.0</c:formatCode>
                <c:ptCount val="26"/>
                <c:pt idx="0">
                  <c:v>16.484316810220268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29.711111111111109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93B-AEB6-E31998639A7C}"/>
            </c:ext>
          </c:extLst>
        </c:ser>
        <c:ser>
          <c:idx val="1"/>
          <c:order val="1"/>
          <c:tx>
            <c:strRef>
              <c:f>'Bact vs Tar'!$F$2</c:f>
              <c:strCache>
                <c:ptCount val="1"/>
                <c:pt idx="0">
                  <c:v>nmsA</c:v>
                </c:pt>
              </c:strCache>
            </c:strRef>
          </c:tx>
          <c:spPr>
            <a:pattFill prst="pct60">
              <a:fgClr>
                <a:sysClr val="windowText" lastClr="000000"/>
              </a:fgClr>
              <a:bgClr>
                <a:srgbClr val="5B9BD5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Tar'!$F$3:$F$28</c:f>
              <c:numCache>
                <c:formatCode>0.0</c:formatCode>
                <c:ptCount val="26"/>
                <c:pt idx="1">
                  <c:v>100.21111111111111</c:v>
                </c:pt>
                <c:pt idx="2">
                  <c:v>20.079999999999998</c:v>
                </c:pt>
                <c:pt idx="3">
                  <c:v>867.25833333333333</c:v>
                </c:pt>
                <c:pt idx="5">
                  <c:v>271.0333333333333</c:v>
                </c:pt>
                <c:pt idx="6">
                  <c:v>408.4666666666667</c:v>
                </c:pt>
                <c:pt idx="7">
                  <c:v>1034.9333333333334</c:v>
                </c:pt>
                <c:pt idx="8">
                  <c:v>370.16666666666663</c:v>
                </c:pt>
                <c:pt idx="9">
                  <c:v>86.805555555555543</c:v>
                </c:pt>
                <c:pt idx="10">
                  <c:v>302.69749999999999</c:v>
                </c:pt>
                <c:pt idx="11">
                  <c:v>9247.5</c:v>
                </c:pt>
                <c:pt idx="12">
                  <c:v>4449.25</c:v>
                </c:pt>
                <c:pt idx="13">
                  <c:v>11540.833333333334</c:v>
                </c:pt>
                <c:pt idx="14">
                  <c:v>2648.25</c:v>
                </c:pt>
                <c:pt idx="15">
                  <c:v>493.77777777777777</c:v>
                </c:pt>
                <c:pt idx="16">
                  <c:v>1122.25</c:v>
                </c:pt>
                <c:pt idx="17">
                  <c:v>10659.166666666668</c:v>
                </c:pt>
                <c:pt idx="18">
                  <c:v>257.01666666666665</c:v>
                </c:pt>
                <c:pt idx="19">
                  <c:v>515.08333333333337</c:v>
                </c:pt>
                <c:pt idx="20">
                  <c:v>4686.75</c:v>
                </c:pt>
                <c:pt idx="21">
                  <c:v>4050.5</c:v>
                </c:pt>
                <c:pt idx="22">
                  <c:v>502.4083333333333</c:v>
                </c:pt>
                <c:pt idx="23">
                  <c:v>380.71111111111105</c:v>
                </c:pt>
                <c:pt idx="24">
                  <c:v>968.8416666666667</c:v>
                </c:pt>
                <c:pt idx="25">
                  <c:v>875.24166666666679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93B-AEB6-E31998639A7C}"/>
            </c:ext>
          </c:extLst>
        </c:ser>
        <c:ser>
          <c:idx val="2"/>
          <c:order val="2"/>
          <c:tx>
            <c:strRef>
              <c:f>'Bact vs Tar'!$G$2</c:f>
              <c:strCache>
                <c:ptCount val="1"/>
                <c:pt idx="0">
                  <c:v>ncrA</c:v>
                </c:pt>
              </c:strCache>
            </c:strRef>
          </c:tx>
          <c:spPr>
            <a:pattFill prst="narVert">
              <a:fgClr>
                <a:sysClr val="windowText" lastClr="000000"/>
              </a:fgClr>
              <a:bgClr>
                <a:srgbClr val="FFC000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Tar'!$G$3:$G$28</c:f>
              <c:numCache>
                <c:formatCode>0.0</c:formatCode>
                <c:ptCount val="26"/>
                <c:pt idx="1">
                  <c:v>65.281666666666666</c:v>
                </c:pt>
                <c:pt idx="2">
                  <c:v>28.25333333333333</c:v>
                </c:pt>
                <c:pt idx="3">
                  <c:v>72.601111111111109</c:v>
                </c:pt>
                <c:pt idx="5">
                  <c:v>0</c:v>
                </c:pt>
                <c:pt idx="6">
                  <c:v>25.383333333333333</c:v>
                </c:pt>
                <c:pt idx="7">
                  <c:v>0</c:v>
                </c:pt>
                <c:pt idx="8">
                  <c:v>16.12</c:v>
                </c:pt>
                <c:pt idx="9">
                  <c:v>29.567777777777778</c:v>
                </c:pt>
                <c:pt idx="10">
                  <c:v>0</c:v>
                </c:pt>
                <c:pt idx="11">
                  <c:v>1800.1111111111111</c:v>
                </c:pt>
                <c:pt idx="12">
                  <c:v>1821.3333333333333</c:v>
                </c:pt>
                <c:pt idx="13">
                  <c:v>4211.75</c:v>
                </c:pt>
                <c:pt idx="14">
                  <c:v>714.49166666666667</c:v>
                </c:pt>
                <c:pt idx="15">
                  <c:v>115.64444444444445</c:v>
                </c:pt>
                <c:pt idx="16">
                  <c:v>253.26666666666665</c:v>
                </c:pt>
                <c:pt idx="17">
                  <c:v>2135.75</c:v>
                </c:pt>
                <c:pt idx="19">
                  <c:v>58.567777777777785</c:v>
                </c:pt>
                <c:pt idx="20">
                  <c:v>414.40250000000003</c:v>
                </c:pt>
                <c:pt idx="21">
                  <c:v>1461.8666666666666</c:v>
                </c:pt>
                <c:pt idx="22">
                  <c:v>13.219777777777779</c:v>
                </c:pt>
                <c:pt idx="23">
                  <c:v>95.716666666666669</c:v>
                </c:pt>
                <c:pt idx="24">
                  <c:v>62.649999999999991</c:v>
                </c:pt>
                <c:pt idx="25">
                  <c:v>78.766666666666666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93B-AEB6-E31998639A7C}"/>
            </c:ext>
          </c:extLst>
        </c:ser>
        <c:ser>
          <c:idx val="3"/>
          <c:order val="3"/>
          <c:tx>
            <c:strRef>
              <c:f>'Bact vs Tar'!$H$2</c:f>
              <c:strCache>
                <c:ptCount val="1"/>
                <c:pt idx="0">
                  <c:v>ncA</c:v>
                </c:pt>
              </c:strCache>
            </c:strRef>
          </c:tx>
          <c:spPr>
            <a:pattFill prst="horzBrick">
              <a:fgClr>
                <a:sysClr val="windowText" lastClr="000000"/>
              </a:fgClr>
              <a:bgClr>
                <a:srgbClr val="ED7D31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Tar'!$H$3:$H$28</c:f>
              <c:numCache>
                <c:formatCode>0.0</c:formatCode>
                <c:ptCount val="26"/>
                <c:pt idx="0">
                  <c:v>1137.1505391732021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1132.1939138281909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4977.6666666666661</c:v>
                </c:pt>
                <c:pt idx="12">
                  <c:v>2692.25</c:v>
                </c:pt>
                <c:pt idx="13">
                  <c:v>6379.166666666667</c:v>
                </c:pt>
                <c:pt idx="14">
                  <c:v>1670.0000000000002</c:v>
                </c:pt>
                <c:pt idx="15">
                  <c:v>145.78333333333333</c:v>
                </c:pt>
                <c:pt idx="16">
                  <c:v>668</c:v>
                </c:pt>
                <c:pt idx="17">
                  <c:v>8449.1666666666679</c:v>
                </c:pt>
                <c:pt idx="18">
                  <c:v>0</c:v>
                </c:pt>
                <c:pt idx="19">
                  <c:v>201.09999999999997</c:v>
                </c:pt>
                <c:pt idx="20">
                  <c:v>1348.5833333333333</c:v>
                </c:pt>
                <c:pt idx="21">
                  <c:v>2130.4166666666665</c:v>
                </c:pt>
                <c:pt idx="22">
                  <c:v>87.466666666666669</c:v>
                </c:pt>
                <c:pt idx="23">
                  <c:v>201.54999999999998</c:v>
                </c:pt>
                <c:pt idx="24">
                  <c:v>303.33333333333331</c:v>
                </c:pt>
                <c:pt idx="25">
                  <c:v>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A-493B-AEB6-E31998639A7C}"/>
            </c:ext>
          </c:extLst>
        </c:ser>
        <c:ser>
          <c:idx val="4"/>
          <c:order val="4"/>
          <c:tx>
            <c:strRef>
              <c:f>'Bact vs Tar'!$I$2</c:f>
              <c:strCache>
                <c:ptCount val="1"/>
                <c:pt idx="0">
                  <c:v>peptococcus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rgbClr val="E2C5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Tar'!$I$3:$I$28</c:f>
              <c:numCache>
                <c:formatCode>0.0</c:formatCode>
                <c:ptCount val="26"/>
                <c:pt idx="0">
                  <c:v>0</c:v>
                </c:pt>
                <c:pt idx="1">
                  <c:v>32.573333333333331</c:v>
                </c:pt>
                <c:pt idx="2">
                  <c:v>0</c:v>
                </c:pt>
                <c:pt idx="3">
                  <c:v>123.73333333333333</c:v>
                </c:pt>
                <c:pt idx="4">
                  <c:v>631.01110277170733</c:v>
                </c:pt>
                <c:pt idx="5">
                  <c:v>38.866666666666667</c:v>
                </c:pt>
                <c:pt idx="6">
                  <c:v>660.12222222222215</c:v>
                </c:pt>
                <c:pt idx="7">
                  <c:v>628.20000000000005</c:v>
                </c:pt>
                <c:pt idx="8">
                  <c:v>0</c:v>
                </c:pt>
                <c:pt idx="9">
                  <c:v>0</c:v>
                </c:pt>
                <c:pt idx="10">
                  <c:v>144.76666666666668</c:v>
                </c:pt>
                <c:pt idx="11">
                  <c:v>78.333333333333329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338.01666666666665</c:v>
                </c:pt>
                <c:pt idx="16">
                  <c:v>0</c:v>
                </c:pt>
                <c:pt idx="17">
                  <c:v>186.63333333333333</c:v>
                </c:pt>
                <c:pt idx="18">
                  <c:v>0</c:v>
                </c:pt>
                <c:pt idx="19">
                  <c:v>69.666666666666671</c:v>
                </c:pt>
                <c:pt idx="20">
                  <c:v>0</c:v>
                </c:pt>
                <c:pt idx="21">
                  <c:v>67.099999999999994</c:v>
                </c:pt>
                <c:pt idx="22">
                  <c:v>0</c:v>
                </c:pt>
                <c:pt idx="23">
                  <c:v>110.33333333333333</c:v>
                </c:pt>
                <c:pt idx="24">
                  <c:v>433.4666666666667</c:v>
                </c:pt>
                <c:pt idx="25">
                  <c:v>476.84444444444443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A-493B-AEB6-E31998639A7C}"/>
            </c:ext>
          </c:extLst>
        </c:ser>
        <c:ser>
          <c:idx val="5"/>
          <c:order val="5"/>
          <c:tx>
            <c:strRef>
              <c:f>'Bact vs Tar'!$J$2</c:f>
              <c:strCache>
                <c:ptCount val="1"/>
                <c:pt idx="0">
                  <c:v>bssA SRB &amp; IRB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Tar'!$J$3:$J$28</c:f>
              <c:numCache>
                <c:formatCode>0.0</c:formatCode>
                <c:ptCount val="26"/>
                <c:pt idx="0">
                  <c:v>0</c:v>
                </c:pt>
                <c:pt idx="1">
                  <c:v>1831.5</c:v>
                </c:pt>
                <c:pt idx="2">
                  <c:v>0</c:v>
                </c:pt>
                <c:pt idx="3">
                  <c:v>78191.666666666672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3833.3333333333335</c:v>
                </c:pt>
                <c:pt idx="11">
                  <c:v>472444.44444444444</c:v>
                </c:pt>
                <c:pt idx="12">
                  <c:v>77116.666666666672</c:v>
                </c:pt>
                <c:pt idx="13">
                  <c:v>0</c:v>
                </c:pt>
                <c:pt idx="14">
                  <c:v>4113.3333333333339</c:v>
                </c:pt>
                <c:pt idx="15">
                  <c:v>108516.66666666666</c:v>
                </c:pt>
                <c:pt idx="16">
                  <c:v>9632.2222222222226</c:v>
                </c:pt>
                <c:pt idx="17">
                  <c:v>37466.666666666664</c:v>
                </c:pt>
                <c:pt idx="18">
                  <c:v>0</c:v>
                </c:pt>
                <c:pt idx="19">
                  <c:v>3618.8888888888887</c:v>
                </c:pt>
                <c:pt idx="20">
                  <c:v>98633.333333333328</c:v>
                </c:pt>
                <c:pt idx="21">
                  <c:v>68525</c:v>
                </c:pt>
                <c:pt idx="22">
                  <c:v>2015.3333333333335</c:v>
                </c:pt>
                <c:pt idx="23">
                  <c:v>10203.333333333334</c:v>
                </c:pt>
                <c:pt idx="24">
                  <c:v>10038.666666666668</c:v>
                </c:pt>
                <c:pt idx="25">
                  <c:v>30666.666666666664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A-493B-AEB6-E31998639A7C}"/>
            </c:ext>
          </c:extLst>
        </c:ser>
        <c:ser>
          <c:idx val="6"/>
          <c:order val="6"/>
          <c:tx>
            <c:strRef>
              <c:f>'Bact vs Tar'!$K$2</c:f>
              <c:strCache>
                <c:ptCount val="1"/>
                <c:pt idx="0">
                  <c:v>bssA NRB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Tar'!$K$3:$K$28</c:f>
              <c:numCache>
                <c:formatCode>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309.16666666666663</c:v>
                </c:pt>
                <c:pt idx="4">
                  <c:v>0</c:v>
                </c:pt>
                <c:pt idx="5">
                  <c:v>0</c:v>
                </c:pt>
                <c:pt idx="6">
                  <c:v>1254.4444444444443</c:v>
                </c:pt>
                <c:pt idx="7">
                  <c:v>12254.166666666668</c:v>
                </c:pt>
                <c:pt idx="8">
                  <c:v>2180</c:v>
                </c:pt>
                <c:pt idx="9">
                  <c:v>0</c:v>
                </c:pt>
                <c:pt idx="10">
                  <c:v>0</c:v>
                </c:pt>
                <c:pt idx="11">
                  <c:v>370.16666666666669</c:v>
                </c:pt>
                <c:pt idx="12">
                  <c:v>0</c:v>
                </c:pt>
                <c:pt idx="13">
                  <c:v>146</c:v>
                </c:pt>
                <c:pt idx="14">
                  <c:v>396.66666666666669</c:v>
                </c:pt>
                <c:pt idx="15">
                  <c:v>302.16666666666669</c:v>
                </c:pt>
                <c:pt idx="16">
                  <c:v>0</c:v>
                </c:pt>
                <c:pt idx="17">
                  <c:v>323.66666666666669</c:v>
                </c:pt>
                <c:pt idx="18">
                  <c:v>0</c:v>
                </c:pt>
                <c:pt idx="19">
                  <c:v>227.83333333333331</c:v>
                </c:pt>
                <c:pt idx="20">
                  <c:v>0</c:v>
                </c:pt>
                <c:pt idx="21">
                  <c:v>0</c:v>
                </c:pt>
                <c:pt idx="22">
                  <c:v>466.66666666666669</c:v>
                </c:pt>
                <c:pt idx="23">
                  <c:v>0</c:v>
                </c:pt>
                <c:pt idx="24">
                  <c:v>1337.1666666666667</c:v>
                </c:pt>
                <c:pt idx="25">
                  <c:v>1226.6666666666667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A-493B-AEB6-E31998639A7C}"/>
            </c:ext>
          </c:extLst>
        </c:ser>
        <c:ser>
          <c:idx val="7"/>
          <c:order val="7"/>
          <c:tx>
            <c:strRef>
              <c:f>'Bact vs Tar'!$L$2</c:f>
              <c:strCache>
                <c:ptCount val="1"/>
                <c:pt idx="0">
                  <c:v>assA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rgbClr val="70AD47">
                  <a:lumMod val="40000"/>
                  <a:lumOff val="6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Tar'!$L$3:$L$28</c:f>
              <c:numCache>
                <c:formatCode>0.0</c:formatCode>
                <c:ptCount val="26"/>
                <c:pt idx="0">
                  <c:v>3048.6059619545681</c:v>
                </c:pt>
                <c:pt idx="1">
                  <c:v>1525.8333333333333</c:v>
                </c:pt>
                <c:pt idx="2">
                  <c:v>379.83333333333337</c:v>
                </c:pt>
                <c:pt idx="3">
                  <c:v>1288.3333333333333</c:v>
                </c:pt>
                <c:pt idx="4">
                  <c:v>3423.2104957928832</c:v>
                </c:pt>
                <c:pt idx="5">
                  <c:v>1380</c:v>
                </c:pt>
                <c:pt idx="6">
                  <c:v>12866.666666666666</c:v>
                </c:pt>
                <c:pt idx="7">
                  <c:v>80092.5</c:v>
                </c:pt>
                <c:pt idx="8">
                  <c:v>10477.777777777776</c:v>
                </c:pt>
                <c:pt idx="9">
                  <c:v>87.666666666666671</c:v>
                </c:pt>
                <c:pt idx="10">
                  <c:v>1056.6666666666667</c:v>
                </c:pt>
                <c:pt idx="11">
                  <c:v>3461.666666666667</c:v>
                </c:pt>
                <c:pt idx="12">
                  <c:v>2846.666666666667</c:v>
                </c:pt>
                <c:pt idx="13">
                  <c:v>178</c:v>
                </c:pt>
                <c:pt idx="14">
                  <c:v>510</c:v>
                </c:pt>
                <c:pt idx="15">
                  <c:v>5414.4444444444443</c:v>
                </c:pt>
                <c:pt idx="16">
                  <c:v>1066.6666666666667</c:v>
                </c:pt>
                <c:pt idx="17">
                  <c:v>0</c:v>
                </c:pt>
                <c:pt idx="18">
                  <c:v>0</c:v>
                </c:pt>
                <c:pt idx="19">
                  <c:v>4287.666666666667</c:v>
                </c:pt>
                <c:pt idx="20">
                  <c:v>525.66666666666663</c:v>
                </c:pt>
                <c:pt idx="21">
                  <c:v>1246.6666666666667</c:v>
                </c:pt>
                <c:pt idx="22">
                  <c:v>1806.6666666666667</c:v>
                </c:pt>
                <c:pt idx="23">
                  <c:v>0</c:v>
                </c:pt>
                <c:pt idx="24">
                  <c:v>15333.333333333334</c:v>
                </c:pt>
                <c:pt idx="25">
                  <c:v>13900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A-493B-AEB6-E3199863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204344"/>
        <c:axId val="904207296"/>
      </c:barChart>
      <c:lineChart>
        <c:grouping val="standard"/>
        <c:varyColors val="0"/>
        <c:ser>
          <c:idx val="8"/>
          <c:order val="8"/>
          <c:tx>
            <c:strRef>
              <c:f>'Bact vs Tar'!$B$2</c:f>
              <c:strCache>
                <c:ptCount val="1"/>
                <c:pt idx="0">
                  <c:v>Sum concentration aromatics (mg/L)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7"/>
            <c:spPr>
              <a:solidFill>
                <a:schemeClr val="tx1"/>
              </a:solidFill>
              <a:ln w="19050">
                <a:solidFill>
                  <a:sysClr val="window" lastClr="FFFFFF"/>
                </a:solidFill>
              </a:ln>
              <a:effectLst/>
            </c:spPr>
          </c:marker>
          <c:cat>
            <c:strRef>
              <c:f>'Bact vs Tar'!$A$3:$A$28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 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Tar'!$B$3:$B$28</c:f>
              <c:numCache>
                <c:formatCode>0.00</c:formatCode>
                <c:ptCount val="26"/>
                <c:pt idx="0">
                  <c:v>1.8800000000000001E-2</c:v>
                </c:pt>
                <c:pt idx="1">
                  <c:v>2.2031508881945314E-2</c:v>
                </c:pt>
                <c:pt idx="2">
                  <c:v>2.4769927925219561E-2</c:v>
                </c:pt>
                <c:pt idx="3">
                  <c:v>2.6329635294249171E-2</c:v>
                </c:pt>
                <c:pt idx="4">
                  <c:v>2.8000000000000001E-2</c:v>
                </c:pt>
                <c:pt idx="5">
                  <c:v>3.3438457743231835E-2</c:v>
                </c:pt>
                <c:pt idx="6">
                  <c:v>6.7400000000000002E-2</c:v>
                </c:pt>
                <c:pt idx="7">
                  <c:v>0.12079999999999999</c:v>
                </c:pt>
                <c:pt idx="8">
                  <c:v>0.12082128078730307</c:v>
                </c:pt>
                <c:pt idx="9">
                  <c:v>0.20501316083293236</c:v>
                </c:pt>
                <c:pt idx="10">
                  <c:v>0.22209999999999999</c:v>
                </c:pt>
                <c:pt idx="11">
                  <c:v>0.60699112448763304</c:v>
                </c:pt>
                <c:pt idx="12">
                  <c:v>0.70726364243081408</c:v>
                </c:pt>
                <c:pt idx="13">
                  <c:v>1.9769096035899396</c:v>
                </c:pt>
                <c:pt idx="14">
                  <c:v>3.3637875359597293</c:v>
                </c:pt>
                <c:pt idx="15">
                  <c:v>4.6276082418081854</c:v>
                </c:pt>
                <c:pt idx="16">
                  <c:v>6.0722362002911341</c:v>
                </c:pt>
                <c:pt idx="17">
                  <c:v>8.5177206461662855</c:v>
                </c:pt>
                <c:pt idx="18">
                  <c:v>8.5234388136869406</c:v>
                </c:pt>
                <c:pt idx="19">
                  <c:v>8.8783692042921452</c:v>
                </c:pt>
                <c:pt idx="20">
                  <c:v>9.6832077668474703</c:v>
                </c:pt>
                <c:pt idx="21">
                  <c:v>10.123158243273032</c:v>
                </c:pt>
                <c:pt idx="22">
                  <c:v>10.296619441004365</c:v>
                </c:pt>
                <c:pt idx="23">
                  <c:v>10.445299637632411</c:v>
                </c:pt>
                <c:pt idx="24">
                  <c:v>12.09275376947649</c:v>
                </c:pt>
                <c:pt idx="25">
                  <c:v>13.644107807809883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FA-493B-AEB6-E3199863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33248"/>
        <c:axId val="700141120"/>
      </c:lineChart>
      <c:catAx>
        <c:axId val="904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7296"/>
        <c:crosses val="autoZero"/>
        <c:auto val="1"/>
        <c:lblAlgn val="ctr"/>
        <c:lblOffset val="100"/>
        <c:noMultiLvlLbl val="0"/>
      </c:catAx>
      <c:valAx>
        <c:axId val="904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/>
                  <a:t>Gene portions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4344"/>
        <c:crosses val="autoZero"/>
        <c:crossBetween val="between"/>
      </c:valAx>
      <c:valAx>
        <c:axId val="70014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/>
                  <a:t>Tar aromatics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3248"/>
        <c:crosses val="max"/>
        <c:crossBetween val="between"/>
      </c:valAx>
      <c:catAx>
        <c:axId val="700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473505247733839E-2"/>
          <c:y val="0.75389285078128176"/>
          <c:w val="0.88788974201388471"/>
          <c:h val="0.2365942130487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67855264987572"/>
          <c:y val="7.1942463023863507E-2"/>
          <c:w val="0.77394890906641634"/>
          <c:h val="0.71078052478609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'Bact vs Tar'!$AA$2</c:f>
              <c:strCache>
                <c:ptCount val="1"/>
                <c:pt idx="0">
                  <c:v>nmsA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rgbClr val="4472C4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Tar'!$Z$3:$Z$28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Tar'!$AA$3:$AA$28</c:f>
              <c:numCache>
                <c:formatCode>0.00E+00</c:formatCode>
                <c:ptCount val="26"/>
                <c:pt idx="1">
                  <c:v>100.21111111111111</c:v>
                </c:pt>
                <c:pt idx="2">
                  <c:v>20.079999999999998</c:v>
                </c:pt>
                <c:pt idx="3">
                  <c:v>867.25833333333333</c:v>
                </c:pt>
                <c:pt idx="5">
                  <c:v>271.0333333333333</c:v>
                </c:pt>
                <c:pt idx="6">
                  <c:v>408.4666666666667</c:v>
                </c:pt>
                <c:pt idx="7">
                  <c:v>1034.9333333333334</c:v>
                </c:pt>
                <c:pt idx="8">
                  <c:v>370.16666666666663</c:v>
                </c:pt>
                <c:pt idx="9">
                  <c:v>86.805555555555543</c:v>
                </c:pt>
                <c:pt idx="10">
                  <c:v>302.69749999999999</c:v>
                </c:pt>
                <c:pt idx="11">
                  <c:v>9247.5</c:v>
                </c:pt>
                <c:pt idx="12">
                  <c:v>4449.25</c:v>
                </c:pt>
                <c:pt idx="13">
                  <c:v>11540.833333333334</c:v>
                </c:pt>
                <c:pt idx="14">
                  <c:v>2648.25</c:v>
                </c:pt>
                <c:pt idx="15">
                  <c:v>493.77777777777777</c:v>
                </c:pt>
                <c:pt idx="16">
                  <c:v>1122.25</c:v>
                </c:pt>
                <c:pt idx="17">
                  <c:v>10659.166666666668</c:v>
                </c:pt>
                <c:pt idx="18">
                  <c:v>257.01666666666665</c:v>
                </c:pt>
                <c:pt idx="19">
                  <c:v>515.08333333333337</c:v>
                </c:pt>
                <c:pt idx="20">
                  <c:v>4686.75</c:v>
                </c:pt>
                <c:pt idx="21">
                  <c:v>4050.5</c:v>
                </c:pt>
                <c:pt idx="22">
                  <c:v>502.4083333333333</c:v>
                </c:pt>
                <c:pt idx="23">
                  <c:v>380.71111111111105</c:v>
                </c:pt>
                <c:pt idx="24">
                  <c:v>968.8416666666667</c:v>
                </c:pt>
                <c:pt idx="25">
                  <c:v>875.24166666666679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3-4881-9EB7-8AC22F960CE3}"/>
            </c:ext>
          </c:extLst>
        </c:ser>
        <c:ser>
          <c:idx val="1"/>
          <c:order val="1"/>
          <c:tx>
            <c:strRef>
              <c:f>'Bact vs Tar'!$AB$2</c:f>
              <c:strCache>
                <c:ptCount val="1"/>
                <c:pt idx="0">
                  <c:v>ncrA</c:v>
                </c:pt>
              </c:strCache>
            </c:strRef>
          </c:tx>
          <c:spPr>
            <a:pattFill prst="narVert">
              <a:fgClr>
                <a:sysClr val="windowText" lastClr="000000"/>
              </a:fgClr>
              <a:bgClr>
                <a:srgbClr val="FFC000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Tar'!$Z$3:$Z$28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Tar'!$AB$3:$AB$28</c:f>
              <c:numCache>
                <c:formatCode>0.00E+00</c:formatCode>
                <c:ptCount val="26"/>
                <c:pt idx="1">
                  <c:v>65.281666666666666</c:v>
                </c:pt>
                <c:pt idx="2">
                  <c:v>28.25333333333333</c:v>
                </c:pt>
                <c:pt idx="3">
                  <c:v>72.601111111111109</c:v>
                </c:pt>
                <c:pt idx="5">
                  <c:v>0</c:v>
                </c:pt>
                <c:pt idx="6">
                  <c:v>25.383333333333333</c:v>
                </c:pt>
                <c:pt idx="7">
                  <c:v>0</c:v>
                </c:pt>
                <c:pt idx="8">
                  <c:v>16.12</c:v>
                </c:pt>
                <c:pt idx="9">
                  <c:v>29.567777777777778</c:v>
                </c:pt>
                <c:pt idx="10">
                  <c:v>0</c:v>
                </c:pt>
                <c:pt idx="11">
                  <c:v>1800.1111111111111</c:v>
                </c:pt>
                <c:pt idx="12">
                  <c:v>1821.3333333333333</c:v>
                </c:pt>
                <c:pt idx="13">
                  <c:v>4211.75</c:v>
                </c:pt>
                <c:pt idx="14">
                  <c:v>714.49166666666667</c:v>
                </c:pt>
                <c:pt idx="15">
                  <c:v>115.64444444444445</c:v>
                </c:pt>
                <c:pt idx="16">
                  <c:v>253.26666666666665</c:v>
                </c:pt>
                <c:pt idx="17">
                  <c:v>2135.75</c:v>
                </c:pt>
                <c:pt idx="19">
                  <c:v>58.567777777777785</c:v>
                </c:pt>
                <c:pt idx="20">
                  <c:v>414.40250000000003</c:v>
                </c:pt>
                <c:pt idx="21">
                  <c:v>1461.8666666666666</c:v>
                </c:pt>
                <c:pt idx="22">
                  <c:v>13.219777777777779</c:v>
                </c:pt>
                <c:pt idx="23">
                  <c:v>95.716666666666669</c:v>
                </c:pt>
                <c:pt idx="24">
                  <c:v>62.649999999999991</c:v>
                </c:pt>
                <c:pt idx="25">
                  <c:v>78.766666666666666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3-4881-9EB7-8AC22F960CE3}"/>
            </c:ext>
          </c:extLst>
        </c:ser>
        <c:ser>
          <c:idx val="2"/>
          <c:order val="2"/>
          <c:tx>
            <c:strRef>
              <c:f>'Bact vs Tar'!$AC$2</c:f>
              <c:strCache>
                <c:ptCount val="1"/>
                <c:pt idx="0">
                  <c:v>ncA</c:v>
                </c:pt>
              </c:strCache>
            </c:strRef>
          </c:tx>
          <c:spPr>
            <a:pattFill prst="horzBrick">
              <a:fgClr>
                <a:sysClr val="windowText" lastClr="000000"/>
              </a:fgClr>
              <a:bgClr>
                <a:srgbClr val="ED7D31">
                  <a:lumMod val="60000"/>
                  <a:lumOff val="40000"/>
                </a:srgb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Tar'!$Z$3:$Z$28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Tar'!$AC$3:$AC$28</c:f>
              <c:numCache>
                <c:formatCode>0.00E+00</c:formatCode>
                <c:ptCount val="26"/>
                <c:pt idx="0">
                  <c:v>1137.1505391732021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1132.1939138281909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4977.6666666666661</c:v>
                </c:pt>
                <c:pt idx="12">
                  <c:v>2692.25</c:v>
                </c:pt>
                <c:pt idx="13">
                  <c:v>6379.166666666667</c:v>
                </c:pt>
                <c:pt idx="14">
                  <c:v>1670.0000000000002</c:v>
                </c:pt>
                <c:pt idx="15">
                  <c:v>145.78333333333333</c:v>
                </c:pt>
                <c:pt idx="16">
                  <c:v>668</c:v>
                </c:pt>
                <c:pt idx="17">
                  <c:v>8449.1666666666679</c:v>
                </c:pt>
                <c:pt idx="19">
                  <c:v>201.09999999999997</c:v>
                </c:pt>
                <c:pt idx="20">
                  <c:v>1348.5833333333333</c:v>
                </c:pt>
                <c:pt idx="21">
                  <c:v>2130.4166666666665</c:v>
                </c:pt>
                <c:pt idx="22">
                  <c:v>87.466666666666669</c:v>
                </c:pt>
                <c:pt idx="23">
                  <c:v>201.54999999999998</c:v>
                </c:pt>
                <c:pt idx="24">
                  <c:v>303.33333333333331</c:v>
                </c:pt>
                <c:pt idx="25">
                  <c:v>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3-4881-9EB7-8AC22F9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7231888"/>
        <c:axId val="667230248"/>
      </c:barChart>
      <c:lineChart>
        <c:grouping val="standard"/>
        <c:varyColors val="0"/>
        <c:ser>
          <c:idx val="3"/>
          <c:order val="3"/>
          <c:tx>
            <c:strRef>
              <c:f>'Bact vs Tar'!$AD$2</c:f>
              <c:strCache>
                <c:ptCount val="1"/>
                <c:pt idx="0">
                  <c:v>Sum concentration aromatics (mg/L)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ysClr val="windowText" lastClr="000000">
                  <a:alpha val="96000"/>
                </a:sysClr>
              </a:solidFill>
              <a:ln w="9525">
                <a:solidFill>
                  <a:sysClr val="window" lastClr="FFFFFF"/>
                </a:solidFill>
              </a:ln>
              <a:effectLst/>
            </c:spPr>
          </c:marker>
          <c:cat>
            <c:strRef>
              <c:f>'Bact vs Tar'!$Z$3:$Z$28</c:f>
              <c:strCache>
                <c:ptCount val="26"/>
                <c:pt idx="0">
                  <c:v>BW205 44</c:v>
                </c:pt>
                <c:pt idx="1">
                  <c:v>B 64</c:v>
                </c:pt>
                <c:pt idx="2">
                  <c:v>B 45</c:v>
                </c:pt>
                <c:pt idx="3">
                  <c:v>B2 20</c:v>
                </c:pt>
                <c:pt idx="4">
                  <c:v>Pb1 17</c:v>
                </c:pt>
                <c:pt idx="5">
                  <c:v>B2 43</c:v>
                </c:pt>
                <c:pt idx="6">
                  <c:v>A 52</c:v>
                </c:pt>
                <c:pt idx="7">
                  <c:v>A 65</c:v>
                </c:pt>
                <c:pt idx="8">
                  <c:v>B2 65</c:v>
                </c:pt>
                <c:pt idx="9">
                  <c:v>B 31</c:v>
                </c:pt>
                <c:pt idx="10">
                  <c:v>60 70</c:v>
                </c:pt>
                <c:pt idx="11">
                  <c:v>B2 10,5</c:v>
                </c:pt>
                <c:pt idx="12">
                  <c:v>B2 15,5</c:v>
                </c:pt>
                <c:pt idx="13">
                  <c:v>B 28</c:v>
                </c:pt>
                <c:pt idx="14">
                  <c:v>B 20,5</c:v>
                </c:pt>
                <c:pt idx="15">
                  <c:v>B 12</c:v>
                </c:pt>
                <c:pt idx="16">
                  <c:v>B 19</c:v>
                </c:pt>
                <c:pt idx="17">
                  <c:v>B 17</c:v>
                </c:pt>
                <c:pt idx="18">
                  <c:v>C 39</c:v>
                </c:pt>
                <c:pt idx="19">
                  <c:v>C 15,5</c:v>
                </c:pt>
                <c:pt idx="20">
                  <c:v>B2 7</c:v>
                </c:pt>
                <c:pt idx="21">
                  <c:v>B2 14</c:v>
                </c:pt>
                <c:pt idx="22">
                  <c:v>C 26</c:v>
                </c:pt>
                <c:pt idx="23">
                  <c:v>B 15,5</c:v>
                </c:pt>
                <c:pt idx="24">
                  <c:v>C 19</c:v>
                </c:pt>
                <c:pt idx="25">
                  <c:v>C 46</c:v>
                </c:pt>
              </c:strCache>
            </c:strRef>
          </c:cat>
          <c:val>
            <c:numRef>
              <c:f>'Bact vs Tar'!$AD$3:$AD$28</c:f>
              <c:numCache>
                <c:formatCode>0.00</c:formatCode>
                <c:ptCount val="26"/>
                <c:pt idx="0">
                  <c:v>1.8800000000000001E-2</c:v>
                </c:pt>
                <c:pt idx="1">
                  <c:v>2.2031508881945314E-2</c:v>
                </c:pt>
                <c:pt idx="2">
                  <c:v>2.4769927925219561E-2</c:v>
                </c:pt>
                <c:pt idx="3">
                  <c:v>2.6329635294249171E-2</c:v>
                </c:pt>
                <c:pt idx="4">
                  <c:v>2.8000000000000001E-2</c:v>
                </c:pt>
                <c:pt idx="5">
                  <c:v>3.3438457743231835E-2</c:v>
                </c:pt>
                <c:pt idx="6">
                  <c:v>6.7400000000000002E-2</c:v>
                </c:pt>
                <c:pt idx="7">
                  <c:v>0.12079999999999999</c:v>
                </c:pt>
                <c:pt idx="8">
                  <c:v>0.12082128078730307</c:v>
                </c:pt>
                <c:pt idx="9">
                  <c:v>0.20501316083293236</c:v>
                </c:pt>
                <c:pt idx="10">
                  <c:v>0.22209999999999999</c:v>
                </c:pt>
                <c:pt idx="11">
                  <c:v>0.60699112448763304</c:v>
                </c:pt>
                <c:pt idx="12">
                  <c:v>0.70726364243081408</c:v>
                </c:pt>
                <c:pt idx="13">
                  <c:v>1.9769096035899396</c:v>
                </c:pt>
                <c:pt idx="14">
                  <c:v>3.3637875359597293</c:v>
                </c:pt>
                <c:pt idx="15">
                  <c:v>4.6276082418081854</c:v>
                </c:pt>
                <c:pt idx="16">
                  <c:v>6.0722362002911341</c:v>
                </c:pt>
                <c:pt idx="17">
                  <c:v>8.5177206461662855</c:v>
                </c:pt>
                <c:pt idx="18">
                  <c:v>8.5234388136869406</c:v>
                </c:pt>
                <c:pt idx="19">
                  <c:v>8.8783692042921452</c:v>
                </c:pt>
                <c:pt idx="20">
                  <c:v>9.6832077668474703</c:v>
                </c:pt>
                <c:pt idx="21">
                  <c:v>10.123158243273032</c:v>
                </c:pt>
                <c:pt idx="22">
                  <c:v>10.296619441004365</c:v>
                </c:pt>
                <c:pt idx="23">
                  <c:v>10.445299637632411</c:v>
                </c:pt>
                <c:pt idx="24">
                  <c:v>12.09275376947649</c:v>
                </c:pt>
                <c:pt idx="25">
                  <c:v>13.644107807809883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3-4881-9EB7-8AC22F9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73888"/>
        <c:axId val="661373232"/>
      </c:lineChart>
      <c:catAx>
        <c:axId val="6672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0248"/>
        <c:crosses val="autoZero"/>
        <c:auto val="1"/>
        <c:lblAlgn val="ctr"/>
        <c:lblOffset val="100"/>
        <c:noMultiLvlLbl val="0"/>
      </c:catAx>
      <c:valAx>
        <c:axId val="6672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Gene copies (/mL)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1888"/>
        <c:crosses val="autoZero"/>
        <c:crossBetween val="between"/>
      </c:valAx>
      <c:valAx>
        <c:axId val="661373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Tar aromatics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73888"/>
        <c:crosses val="max"/>
        <c:crossBetween val="between"/>
      </c:valAx>
      <c:catAx>
        <c:axId val="6613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37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66313297953906"/>
          <c:y val="0.91956103474353845"/>
          <c:w val="0.71467373404092194"/>
          <c:h val="6.8617360342333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3175" cap="flat" cmpd="sng" algn="ctr">
      <a:solidFill>
        <a:schemeClr val="bg2">
          <a:lumMod val="9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Bacteria vs redox</a:t>
            </a:r>
            <a:r>
              <a:rPr lang="nl-NL" baseline="0"/>
              <a:t> potential (</a:t>
            </a:r>
            <a:r>
              <a:rPr lang="nl-NL"/>
              <a:t>B, B2 and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'Bact vs EA'!$F$2</c:f>
              <c:strCache>
                <c:ptCount val="1"/>
                <c:pt idx="0">
                  <c:v>Benzeen-carboxylase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EA'!$F$3:$F$23</c:f>
              <c:numCache>
                <c:formatCode>0</c:formatCode>
                <c:ptCount val="21"/>
                <c:pt idx="10">
                  <c:v>6.0338204436126159E-3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41DC-B716-2A7578A417F8}"/>
            </c:ext>
          </c:extLst>
        </c:ser>
        <c:ser>
          <c:idx val="1"/>
          <c:order val="1"/>
          <c:tx>
            <c:strRef>
              <c:f>'Bact vs EA'!$G$2</c:f>
              <c:strCache>
                <c:ptCount val="1"/>
                <c:pt idx="0">
                  <c:v>Naftyl-2-methyl-succunaat-synthase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EA'!$G$3:$G$23</c:f>
              <c:numCache>
                <c:formatCode>0</c:formatCode>
                <c:ptCount val="21"/>
                <c:pt idx="0">
                  <c:v>42.543401076041732</c:v>
                </c:pt>
                <c:pt idx="1">
                  <c:v>51.393666803973744</c:v>
                </c:pt>
                <c:pt idx="2">
                  <c:v>5.7366569128339995</c:v>
                </c:pt>
                <c:pt idx="3">
                  <c:v>99.668697397794503</c:v>
                </c:pt>
                <c:pt idx="4">
                  <c:v>26.343559675677199</c:v>
                </c:pt>
                <c:pt idx="5">
                  <c:v>8.8072067327248948</c:v>
                </c:pt>
                <c:pt idx="6">
                  <c:v>10.27049947220784</c:v>
                </c:pt>
                <c:pt idx="7">
                  <c:v>5.2276961418557057</c:v>
                </c:pt>
                <c:pt idx="8">
                  <c:v>3.4021353146275053</c:v>
                </c:pt>
                <c:pt idx="9">
                  <c:v>4.4378431036201444</c:v>
                </c:pt>
                <c:pt idx="10">
                  <c:v>1.8780096894942744</c:v>
                </c:pt>
                <c:pt idx="11">
                  <c:v>17.998949134921904</c:v>
                </c:pt>
                <c:pt idx="12">
                  <c:v>5.0033079877126525</c:v>
                </c:pt>
                <c:pt idx="13">
                  <c:v>3.4636410687714303</c:v>
                </c:pt>
                <c:pt idx="14">
                  <c:v>1.8424497230510146</c:v>
                </c:pt>
                <c:pt idx="15">
                  <c:v>1.0726391273376932</c:v>
                </c:pt>
                <c:pt idx="16">
                  <c:v>2.8378169108503841</c:v>
                </c:pt>
                <c:pt idx="17">
                  <c:v>0.42815638884192087</c:v>
                </c:pt>
                <c:pt idx="18">
                  <c:v>4.6897625535227707</c:v>
                </c:pt>
                <c:pt idx="19">
                  <c:v>16.038424364360807</c:v>
                </c:pt>
                <c:pt idx="20">
                  <c:v>2.8185612524549906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41DC-B716-2A7578A417F8}"/>
            </c:ext>
          </c:extLst>
        </c:ser>
        <c:ser>
          <c:idx val="2"/>
          <c:order val="2"/>
          <c:tx>
            <c:strRef>
              <c:f>'Bact vs EA'!$H$2</c:f>
              <c:strCache>
                <c:ptCount val="1"/>
                <c:pt idx="0">
                  <c:v>Naftyl-CoA-reductase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EA'!$H$3:$H$23</c:f>
              <c:numCache>
                <c:formatCode>0</c:formatCode>
                <c:ptCount val="21"/>
                <c:pt idx="0">
                  <c:v>14.491167309242197</c:v>
                </c:pt>
                <c:pt idx="1">
                  <c:v>18.755775246874411</c:v>
                </c:pt>
                <c:pt idx="2">
                  <c:v>0.65228910647121385</c:v>
                </c:pt>
                <c:pt idx="3">
                  <c:v>0.33130260220549557</c:v>
                </c:pt>
                <c:pt idx="4">
                  <c:v>7.1074308915726974</c:v>
                </c:pt>
                <c:pt idx="5">
                  <c:v>1.9875891217121484</c:v>
                </c:pt>
                <c:pt idx="6">
                  <c:v>0.27024575764608127</c:v>
                </c:pt>
                <c:pt idx="7">
                  <c:v>1.8867287330553744</c:v>
                </c:pt>
                <c:pt idx="8">
                  <c:v>0.21999856611735302</c:v>
                </c:pt>
                <c:pt idx="9">
                  <c:v>0.39239414877003198</c:v>
                </c:pt>
                <c:pt idx="10">
                  <c:v>0.36557189606195956</c:v>
                </c:pt>
                <c:pt idx="11">
                  <c:v>3.6064034663350277</c:v>
                </c:pt>
                <c:pt idx="12">
                  <c:v>2.0481410608426089</c:v>
                </c:pt>
                <c:pt idx="13">
                  <c:v>0.8708129811735783</c:v>
                </c:pt>
                <c:pt idx="14">
                  <c:v>0.16580977427451646</c:v>
                </c:pt>
                <c:pt idx="15">
                  <c:v>8.9794227939736293E-2</c:v>
                </c:pt>
                <c:pt idx="16">
                  <c:v>0.1235811128399141</c:v>
                </c:pt>
                <c:pt idx="17">
                  <c:v>0.10027569070807182</c:v>
                </c:pt>
                <c:pt idx="18">
                  <c:v>6.5986765278318398</c:v>
                </c:pt>
                <c:pt idx="20">
                  <c:v>1.8361274924727162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2-41DC-B716-2A7578A417F8}"/>
            </c:ext>
          </c:extLst>
        </c:ser>
        <c:ser>
          <c:idx val="3"/>
          <c:order val="3"/>
          <c:tx>
            <c:strRef>
              <c:f>'Bact vs EA'!$I$2</c:f>
              <c:strCache>
                <c:ptCount val="1"/>
                <c:pt idx="0">
                  <c:v>Naftaleen-carboxylase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EA'!$I$3:$I$23</c:f>
              <c:numCache>
                <c:formatCode>0</c:formatCode>
                <c:ptCount val="21"/>
                <c:pt idx="1">
                  <c:v>28.407720368576722</c:v>
                </c:pt>
                <c:pt idx="2">
                  <c:v>2.239718566906812</c:v>
                </c:pt>
                <c:pt idx="4">
                  <c:v>16.612383520581865</c:v>
                </c:pt>
                <c:pt idx="5">
                  <c:v>5.242338246790136</c:v>
                </c:pt>
                <c:pt idx="6">
                  <c:v>1.7880403134948912</c:v>
                </c:pt>
                <c:pt idx="7">
                  <c:v>2.7495793084504201</c:v>
                </c:pt>
                <c:pt idx="8">
                  <c:v>1.0651699663037577</c:v>
                </c:pt>
                <c:pt idx="9">
                  <c:v>1.2769619129440228</c:v>
                </c:pt>
                <c:pt idx="10">
                  <c:v>1.010879289653708</c:v>
                </c:pt>
                <c:pt idx="11">
                  <c:v>14.267167952386304</c:v>
                </c:pt>
                <c:pt idx="12">
                  <c:v>3.027511587328064</c:v>
                </c:pt>
                <c:pt idx="13">
                  <c:v>1.8336655722326451</c:v>
                </c:pt>
                <c:pt idx="14">
                  <c:v>0.5895263726480533</c:v>
                </c:pt>
                <c:pt idx="17">
                  <c:v>0.12640922366787627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2-41DC-B716-2A7578A417F8}"/>
            </c:ext>
          </c:extLst>
        </c:ser>
        <c:ser>
          <c:idx val="4"/>
          <c:order val="4"/>
          <c:tx>
            <c:strRef>
              <c:f>'Bact vs EA'!$J$2</c:f>
              <c:strCache>
                <c:ptCount val="1"/>
                <c:pt idx="0">
                  <c:v>Peptococcus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EA'!$J$3:$J$23</c:f>
              <c:numCache>
                <c:formatCode>0</c:formatCode>
                <c:ptCount val="21"/>
                <c:pt idx="2">
                  <c:v>0.7759011776620649</c:v>
                </c:pt>
                <c:pt idx="7">
                  <c:v>8.6601261848788497E-2</c:v>
                </c:pt>
                <c:pt idx="8">
                  <c:v>1.5221395870125347</c:v>
                </c:pt>
                <c:pt idx="10">
                  <c:v>1.5908165343107308E-2</c:v>
                </c:pt>
                <c:pt idx="11">
                  <c:v>0.31514695084489946</c:v>
                </c:pt>
                <c:pt idx="13">
                  <c:v>1.00379277997024</c:v>
                </c:pt>
                <c:pt idx="14">
                  <c:v>1.0037935213380094</c:v>
                </c:pt>
                <c:pt idx="15">
                  <c:v>0.15303538702145716</c:v>
                </c:pt>
                <c:pt idx="17">
                  <c:v>0.29309540016099223</c:v>
                </c:pt>
                <c:pt idx="19">
                  <c:v>2.2999388523975774</c:v>
                </c:pt>
                <c:pt idx="20">
                  <c:v>0.9161652253794268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2-41DC-B716-2A7578A417F8}"/>
            </c:ext>
          </c:extLst>
        </c:ser>
        <c:ser>
          <c:idx val="5"/>
          <c:order val="5"/>
          <c:tx>
            <c:strRef>
              <c:f>'Bact vs EA'!$K$2</c:f>
              <c:strCache>
                <c:ptCount val="1"/>
                <c:pt idx="0">
                  <c:v>Benzyl-succinaat-synthase SRB &amp; IRB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EA'!$K$3:$K$23</c:f>
              <c:numCache>
                <c:formatCode>0</c:formatCode>
                <c:ptCount val="21"/>
                <c:pt idx="2">
                  <c:v>40.304786852397854</c:v>
                </c:pt>
                <c:pt idx="4">
                  <c:v>40.917527473848352</c:v>
                </c:pt>
                <c:pt idx="5">
                  <c:v>75.591866702301544</c:v>
                </c:pt>
                <c:pt idx="6">
                  <c:v>41.198520333041593</c:v>
                </c:pt>
                <c:pt idx="7">
                  <c:v>88.44040936197068</c:v>
                </c:pt>
                <c:pt idx="8">
                  <c:v>35.25127330242195</c:v>
                </c:pt>
                <c:pt idx="9">
                  <c:v>93.395051607275875</c:v>
                </c:pt>
                <c:pt idx="10">
                  <c:v>95.945417076442951</c:v>
                </c:pt>
                <c:pt idx="11">
                  <c:v>63.265792596832824</c:v>
                </c:pt>
                <c:pt idx="12">
                  <c:v>86.719881849549338</c:v>
                </c:pt>
                <c:pt idx="13">
                  <c:v>92.828087597852118</c:v>
                </c:pt>
                <c:pt idx="14">
                  <c:v>64.555646353176101</c:v>
                </c:pt>
                <c:pt idx="15">
                  <c:v>96.708717431460983</c:v>
                </c:pt>
                <c:pt idx="17">
                  <c:v>94.095170378591803</c:v>
                </c:pt>
                <c:pt idx="20">
                  <c:v>51.513199251404643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2-41DC-B716-2A7578A417F8}"/>
            </c:ext>
          </c:extLst>
        </c:ser>
        <c:ser>
          <c:idx val="6"/>
          <c:order val="6"/>
          <c:tx>
            <c:strRef>
              <c:f>'Bact vs EA'!$L$2</c:f>
              <c:strCache>
                <c:ptCount val="1"/>
                <c:pt idx="0">
                  <c:v>Benzyl-succinaat-synthase NRB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EA'!$L$3:$L$23</c:f>
              <c:numCache>
                <c:formatCode>0</c:formatCode>
                <c:ptCount val="21"/>
                <c:pt idx="1">
                  <c:v>0.65016755174064544</c:v>
                </c:pt>
                <c:pt idx="2">
                  <c:v>2.5374567221627813</c:v>
                </c:pt>
                <c:pt idx="4">
                  <c:v>3.945855566764954</c:v>
                </c:pt>
                <c:pt idx="6">
                  <c:v>9.5398492335855476</c:v>
                </c:pt>
                <c:pt idx="8">
                  <c:v>4.695526725085192</c:v>
                </c:pt>
                <c:pt idx="10">
                  <c:v>7.517454303625816E-2</c:v>
                </c:pt>
                <c:pt idx="11">
                  <c:v>0.54653989867904518</c:v>
                </c:pt>
                <c:pt idx="14">
                  <c:v>2.5822258541270444</c:v>
                </c:pt>
                <c:pt idx="15">
                  <c:v>0.38238233152586615</c:v>
                </c:pt>
                <c:pt idx="16">
                  <c:v>16.712582257506995</c:v>
                </c:pt>
                <c:pt idx="17">
                  <c:v>0.26200974335184601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2-41DC-B716-2A7578A417F8}"/>
            </c:ext>
          </c:extLst>
        </c:ser>
        <c:ser>
          <c:idx val="7"/>
          <c:order val="7"/>
          <c:tx>
            <c:strRef>
              <c:f>'Bact vs EA'!$M$2</c:f>
              <c:strCache>
                <c:ptCount val="1"/>
                <c:pt idx="0">
                  <c:v>1-Methyl-alkyl-succinaat-synthase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'Bact vs EA'!$C$3:$C$23</c:f>
              <c:strCache>
                <c:ptCount val="21"/>
                <c:pt idx="0">
                  <c:v>Sulphate/Iron</c:v>
                </c:pt>
                <c:pt idx="1">
                  <c:v>Sulphate</c:v>
                </c:pt>
                <c:pt idx="2">
                  <c:v>Sulphate</c:v>
                </c:pt>
                <c:pt idx="3">
                  <c:v>Sulphate/Iron</c:v>
                </c:pt>
                <c:pt idx="4">
                  <c:v>Sulphate</c:v>
                </c:pt>
                <c:pt idx="5">
                  <c:v>Sulphate</c:v>
                </c:pt>
                <c:pt idx="6">
                  <c:v>Sulphate</c:v>
                </c:pt>
                <c:pt idx="7">
                  <c:v>Methanogenic/Sulphate</c:v>
                </c:pt>
                <c:pt idx="8">
                  <c:v>Methanogenic/Sulphate</c:v>
                </c:pt>
                <c:pt idx="9">
                  <c:v>Sulphate/Iron</c:v>
                </c:pt>
                <c:pt idx="10">
                  <c:v>Sulphate/Iron</c:v>
                </c:pt>
                <c:pt idx="11">
                  <c:v>Sulphate/Iron</c:v>
                </c:pt>
                <c:pt idx="12">
                  <c:v>Sulphate</c:v>
                </c:pt>
                <c:pt idx="13">
                  <c:v>Methanogenic</c:v>
                </c:pt>
                <c:pt idx="14">
                  <c:v>Sulphate/Iron</c:v>
                </c:pt>
                <c:pt idx="15">
                  <c:v>Sulphate</c:v>
                </c:pt>
                <c:pt idx="16">
                  <c:v>Sulphate</c:v>
                </c:pt>
                <c:pt idx="17">
                  <c:v>Methanogenic</c:v>
                </c:pt>
                <c:pt idx="18">
                  <c:v>Sulphate/Iron</c:v>
                </c:pt>
                <c:pt idx="19">
                  <c:v>Sulphate</c:v>
                </c:pt>
                <c:pt idx="20">
                  <c:v>Sulphate/Iron</c:v>
                </c:pt>
              </c:strCache>
            </c:strRef>
          </c:cat>
          <c:val>
            <c:numRef>
              <c:f>'Bact vs EA'!$M$3:$M$23</c:f>
              <c:numCache>
                <c:formatCode>0</c:formatCode>
                <c:ptCount val="21"/>
                <c:pt idx="0">
                  <c:v>42.965431614716074</c:v>
                </c:pt>
                <c:pt idx="1">
                  <c:v>0.79267002883448567</c:v>
                </c:pt>
                <c:pt idx="2">
                  <c:v>47.75319066156527</c:v>
                </c:pt>
                <c:pt idx="4">
                  <c:v>5.0732428715549407</c:v>
                </c:pt>
                <c:pt idx="5">
                  <c:v>8.370999196471276</c:v>
                </c:pt>
                <c:pt idx="6">
                  <c:v>36.93284489002405</c:v>
                </c:pt>
                <c:pt idx="7">
                  <c:v>1.6089851928190217</c:v>
                </c:pt>
                <c:pt idx="8">
                  <c:v>53.843756538431705</c:v>
                </c:pt>
                <c:pt idx="9">
                  <c:v>0.4977492273899089</c:v>
                </c:pt>
                <c:pt idx="10">
                  <c:v>0.70300551952412516</c:v>
                </c:pt>
                <c:pt idx="12">
                  <c:v>3.2011575145673286</c:v>
                </c:pt>
                <c:pt idx="14">
                  <c:v>29.260548401385257</c:v>
                </c:pt>
                <c:pt idx="15">
                  <c:v>1.5934314947142565</c:v>
                </c:pt>
                <c:pt idx="16">
                  <c:v>80.326019718802712</c:v>
                </c:pt>
                <c:pt idx="17">
                  <c:v>4.6948831746774982</c:v>
                </c:pt>
                <c:pt idx="18">
                  <c:v>88.71156091864539</c:v>
                </c:pt>
                <c:pt idx="19">
                  <c:v>81.661636783241605</c:v>
                </c:pt>
                <c:pt idx="20">
                  <c:v>42.91594677828823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2-41DC-B716-2A7578A4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302008"/>
        <c:axId val="887303320"/>
      </c:barChart>
      <c:lineChart>
        <c:grouping val="standard"/>
        <c:varyColors val="0"/>
        <c:ser>
          <c:idx val="8"/>
          <c:order val="8"/>
          <c:tx>
            <c:strRef>
              <c:f>'Bact vs EA'!$D$2</c:f>
              <c:strCache>
                <c:ptCount val="1"/>
                <c:pt idx="0">
                  <c:v>Redox potential  (mV)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'Bact vs EA'!$D$3:$D$23</c:f>
              <c:numCache>
                <c:formatCode>0</c:formatCode>
                <c:ptCount val="21"/>
                <c:pt idx="0">
                  <c:v>-571</c:v>
                </c:pt>
                <c:pt idx="1">
                  <c:v>-362</c:v>
                </c:pt>
                <c:pt idx="2">
                  <c:v>-336</c:v>
                </c:pt>
                <c:pt idx="3">
                  <c:v>-334</c:v>
                </c:pt>
                <c:pt idx="4">
                  <c:v>-329</c:v>
                </c:pt>
                <c:pt idx="5">
                  <c:v>-317</c:v>
                </c:pt>
                <c:pt idx="6">
                  <c:v>-314</c:v>
                </c:pt>
                <c:pt idx="7" formatCode="General">
                  <c:v>-292</c:v>
                </c:pt>
                <c:pt idx="8">
                  <c:v>-277</c:v>
                </c:pt>
                <c:pt idx="9" formatCode="General">
                  <c:v>-264</c:v>
                </c:pt>
                <c:pt idx="10" formatCode="General">
                  <c:v>-253</c:v>
                </c:pt>
                <c:pt idx="11">
                  <c:v>-252</c:v>
                </c:pt>
                <c:pt idx="12" formatCode="General">
                  <c:v>-244</c:v>
                </c:pt>
                <c:pt idx="13">
                  <c:v>-231</c:v>
                </c:pt>
                <c:pt idx="14">
                  <c:v>-230</c:v>
                </c:pt>
                <c:pt idx="15" formatCode="General">
                  <c:v>-227</c:v>
                </c:pt>
                <c:pt idx="16" formatCode="General">
                  <c:v>-227</c:v>
                </c:pt>
                <c:pt idx="17">
                  <c:v>-208</c:v>
                </c:pt>
                <c:pt idx="18">
                  <c:v>-187</c:v>
                </c:pt>
                <c:pt idx="19" formatCode="General">
                  <c:v>-183</c:v>
                </c:pt>
                <c:pt idx="20">
                  <c:v>-175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2-41DC-B716-2A7578A4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33792"/>
        <c:axId val="751835432"/>
      </c:lineChart>
      <c:catAx>
        <c:axId val="8873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03320"/>
        <c:crosses val="autoZero"/>
        <c:auto val="1"/>
        <c:lblAlgn val="ctr"/>
        <c:lblOffset val="100"/>
        <c:noMultiLvlLbl val="0"/>
      </c:catAx>
      <c:valAx>
        <c:axId val="8873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Portion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02008"/>
        <c:crosses val="autoZero"/>
        <c:crossBetween val="between"/>
      </c:valAx>
      <c:valAx>
        <c:axId val="751835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Redox</a:t>
                </a:r>
                <a:r>
                  <a:rPr lang="nl-NL" baseline="0"/>
                  <a:t> potential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33792"/>
        <c:crosses val="max"/>
        <c:crossBetween val="between"/>
      </c:valAx>
      <c:catAx>
        <c:axId val="75183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51835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EA'!$V$2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EA'!$V$5:$V$13</c:f>
              <c:numCache>
                <c:formatCode>0</c:formatCode>
                <c:ptCount val="9"/>
                <c:pt idx="0">
                  <c:v>748.39467233856897</c:v>
                </c:pt>
                <c:pt idx="1">
                  <c:v>2022.2096247818497</c:v>
                </c:pt>
                <c:pt idx="2">
                  <c:v>200.41414288830714</c:v>
                </c:pt>
                <c:pt idx="3">
                  <c:v>214.54732853403144</c:v>
                </c:pt>
                <c:pt idx="4">
                  <c:v>91.05513743455495</c:v>
                </c:pt>
                <c:pt idx="5">
                  <c:v>6.6195299520069808</c:v>
                </c:pt>
                <c:pt idx="6">
                  <c:v>6.941615183246074</c:v>
                </c:pt>
                <c:pt idx="7">
                  <c:v>8.2842321116928428</c:v>
                </c:pt>
                <c:pt idx="8">
                  <c:v>21.539003490401392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C4-9B63-C8E107D7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EA'!$R$5:$R$13</c:f>
              <c:numCache>
                <c:formatCode>0.00E+00</c:formatCode>
                <c:ptCount val="9"/>
                <c:pt idx="0">
                  <c:v>37986.666666666672</c:v>
                </c:pt>
                <c:pt idx="1">
                  <c:v>50777.5</c:v>
                </c:pt>
                <c:pt idx="2">
                  <c:v>16618.333333333332</c:v>
                </c:pt>
                <c:pt idx="3">
                  <c:v>8240.4444444444453</c:v>
                </c:pt>
                <c:pt idx="4">
                  <c:v>1237084.1666666667</c:v>
                </c:pt>
                <c:pt idx="5">
                  <c:v>7342.333333333333</c:v>
                </c:pt>
                <c:pt idx="6">
                  <c:v>79302</c:v>
                </c:pt>
                <c:pt idx="7">
                  <c:v>33433.333333333336</c:v>
                </c:pt>
                <c:pt idx="8">
                  <c:v>999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B-47C4-9B63-C8E107D7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EA'!$V$2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EA'!$V$14:$V$20</c:f>
              <c:numCache>
                <c:formatCode>0</c:formatCode>
                <c:ptCount val="7"/>
                <c:pt idx="0">
                  <c:v>1.8668088568935424</c:v>
                </c:pt>
                <c:pt idx="1">
                  <c:v>1.7268339005235598</c:v>
                </c:pt>
                <c:pt idx="2">
                  <c:v>2.4502758944153578</c:v>
                </c:pt>
                <c:pt idx="3">
                  <c:v>912.20107918848146</c:v>
                </c:pt>
                <c:pt idx="4">
                  <c:v>3.9964278359511338</c:v>
                </c:pt>
                <c:pt idx="5">
                  <c:v>2.0396350785340314</c:v>
                </c:pt>
                <c:pt idx="6">
                  <c:v>1.9817882853403139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9-47E0-8EEC-A355073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EA'!$R$14:$R$20</c:f>
              <c:numCache>
                <c:formatCode>0.00E+00</c:formatCode>
                <c:ptCount val="7"/>
                <c:pt idx="0">
                  <c:v>425666.66666666669</c:v>
                </c:pt>
                <c:pt idx="1">
                  <c:v>101500</c:v>
                </c:pt>
                <c:pt idx="2">
                  <c:v>497</c:v>
                </c:pt>
                <c:pt idx="3">
                  <c:v>47525.444444444445</c:v>
                </c:pt>
                <c:pt idx="4">
                  <c:v>48590.666666666664</c:v>
                </c:pt>
                <c:pt idx="5">
                  <c:v>30655.555555555558</c:v>
                </c:pt>
                <c:pt idx="6">
                  <c:v>5632.333333333333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9-47E0-8EEC-A355073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EA'!$V$2</c:f>
              <c:strCache>
                <c:ptCount val="1"/>
                <c:pt idx="0">
                  <c:v>Methane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EA'!$V$21:$V$25</c:f>
              <c:numCache>
                <c:formatCode>0</c:formatCode>
                <c:ptCount val="5"/>
                <c:pt idx="0">
                  <c:v>102.24456404886561</c:v>
                </c:pt>
                <c:pt idx="1">
                  <c:v>305.7952886125654</c:v>
                </c:pt>
                <c:pt idx="2">
                  <c:v>41.79823595113438</c:v>
                </c:pt>
                <c:pt idx="3">
                  <c:v>75.343662739965083</c:v>
                </c:pt>
                <c:pt idx="4">
                  <c:v>125.85962467277484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1-440D-9D07-2BC97592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EA'!$R$21:$R$25</c:f>
              <c:numCache>
                <c:formatCode>0.00E+00</c:formatCode>
                <c:ptCount val="5"/>
                <c:pt idx="0">
                  <c:v>16029096.666666666</c:v>
                </c:pt>
                <c:pt idx="1">
                  <c:v>38261.111111111109</c:v>
                </c:pt>
                <c:pt idx="2">
                  <c:v>63116.666666666664</c:v>
                </c:pt>
                <c:pt idx="3">
                  <c:v>1</c:v>
                </c:pt>
                <c:pt idx="4">
                  <c:v>189199.99999999997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1-440D-9D07-2BC97592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EA'!$U$2</c:f>
              <c:strCache>
                <c:ptCount val="1"/>
                <c:pt idx="0">
                  <c:v>manganese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EA'!$U$5:$U$13</c:f>
              <c:numCache>
                <c:formatCode>0</c:formatCode>
                <c:ptCount val="9"/>
                <c:pt idx="0">
                  <c:v>587.95062857681796</c:v>
                </c:pt>
                <c:pt idx="1">
                  <c:v>196.74431961704201</c:v>
                </c:pt>
                <c:pt idx="2">
                  <c:v>149.803836238364</c:v>
                </c:pt>
                <c:pt idx="3">
                  <c:v>394.75386461465001</c:v>
                </c:pt>
                <c:pt idx="4">
                  <c:v>467.39132789608402</c:v>
                </c:pt>
                <c:pt idx="5">
                  <c:v>30.511156297776999</c:v>
                </c:pt>
                <c:pt idx="6">
                  <c:v>701.82098929139897</c:v>
                </c:pt>
                <c:pt idx="7">
                  <c:v>399.239336567598</c:v>
                </c:pt>
                <c:pt idx="8">
                  <c:v>610.10908890698306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5-4089-8444-351DF1DF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EA'!$R$5:$R$13</c:f>
              <c:numCache>
                <c:formatCode>0.00E+00</c:formatCode>
                <c:ptCount val="9"/>
                <c:pt idx="0">
                  <c:v>37986.666666666672</c:v>
                </c:pt>
                <c:pt idx="1">
                  <c:v>50777.5</c:v>
                </c:pt>
                <c:pt idx="2">
                  <c:v>16618.333333333332</c:v>
                </c:pt>
                <c:pt idx="3">
                  <c:v>8240.4444444444453</c:v>
                </c:pt>
                <c:pt idx="4">
                  <c:v>1237084.1666666667</c:v>
                </c:pt>
                <c:pt idx="5">
                  <c:v>7342.333333333333</c:v>
                </c:pt>
                <c:pt idx="6">
                  <c:v>79302</c:v>
                </c:pt>
                <c:pt idx="7">
                  <c:v>33433.333333333336</c:v>
                </c:pt>
                <c:pt idx="8">
                  <c:v>999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5-4089-8444-351DF1DF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EA'!$U$2</c:f>
              <c:strCache>
                <c:ptCount val="1"/>
                <c:pt idx="0">
                  <c:v>manganese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EA'!$U$14:$U$20</c:f>
              <c:numCache>
                <c:formatCode>0</c:formatCode>
                <c:ptCount val="7"/>
                <c:pt idx="0">
                  <c:v>627.761464911742</c:v>
                </c:pt>
                <c:pt idx="1">
                  <c:v>510.59962649233603</c:v>
                </c:pt>
                <c:pt idx="2">
                  <c:v>1085.3119418153701</c:v>
                </c:pt>
                <c:pt idx="3">
                  <c:v>1344.5663786947798</c:v>
                </c:pt>
                <c:pt idx="4">
                  <c:v>1653.5882379310601</c:v>
                </c:pt>
                <c:pt idx="5">
                  <c:v>591.65561802057096</c:v>
                </c:pt>
                <c:pt idx="6">
                  <c:v>490.73889438431803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75E-9BD1-FFE719B3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EA'!$R$14:$R$20</c:f>
              <c:numCache>
                <c:formatCode>0.00E+00</c:formatCode>
                <c:ptCount val="7"/>
                <c:pt idx="0">
                  <c:v>425666.66666666669</c:v>
                </c:pt>
                <c:pt idx="1">
                  <c:v>101500</c:v>
                </c:pt>
                <c:pt idx="2">
                  <c:v>497</c:v>
                </c:pt>
                <c:pt idx="3">
                  <c:v>47525.444444444445</c:v>
                </c:pt>
                <c:pt idx="4">
                  <c:v>48590.666666666664</c:v>
                </c:pt>
                <c:pt idx="5">
                  <c:v>30655.555555555558</c:v>
                </c:pt>
                <c:pt idx="6">
                  <c:v>5632.333333333333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1-475E-9BD1-FFE719B3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EA'!$U$2</c:f>
              <c:strCache>
                <c:ptCount val="1"/>
                <c:pt idx="0">
                  <c:v>manganese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EA'!$U$21:$U$25</c:f>
              <c:numCache>
                <c:formatCode>0</c:formatCode>
                <c:ptCount val="5"/>
                <c:pt idx="0">
                  <c:v>129.30630159745499</c:v>
                </c:pt>
                <c:pt idx="1">
                  <c:v>127.14461551750999</c:v>
                </c:pt>
                <c:pt idx="2">
                  <c:v>96.375289518496004</c:v>
                </c:pt>
                <c:pt idx="3">
                  <c:v>227.96088340665398</c:v>
                </c:pt>
                <c:pt idx="4">
                  <c:v>380.39627521891703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7-4479-9A60-A8D4EEC3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EA'!$R$21:$R$25</c:f>
              <c:numCache>
                <c:formatCode>0.00E+00</c:formatCode>
                <c:ptCount val="5"/>
                <c:pt idx="0">
                  <c:v>16029096.666666666</c:v>
                </c:pt>
                <c:pt idx="1">
                  <c:v>38261.111111111109</c:v>
                </c:pt>
                <c:pt idx="2">
                  <c:v>63116.666666666664</c:v>
                </c:pt>
                <c:pt idx="3">
                  <c:v>1</c:v>
                </c:pt>
                <c:pt idx="4">
                  <c:v>189199.99999999997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7-4479-9A60-A8D4EEC3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B2 - Total metabolites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vs soil type'!$AE$2</c:f>
              <c:strCache>
                <c:ptCount val="1"/>
                <c:pt idx="0">
                  <c:v>Metabolites (ug/L)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'All vs soil type'!$X$19:$X$25</c:f>
              <c:strCache>
                <c:ptCount val="7"/>
                <c:pt idx="0">
                  <c:v>very course sand</c:v>
                </c:pt>
                <c:pt idx="1">
                  <c:v>very course sand</c:v>
                </c:pt>
                <c:pt idx="2">
                  <c:v>very course sand</c:v>
                </c:pt>
                <c:pt idx="3">
                  <c:v>moderately fine sand</c:v>
                </c:pt>
                <c:pt idx="4">
                  <c:v>very fine sand</c:v>
                </c:pt>
                <c:pt idx="5">
                  <c:v>very fine sand</c:v>
                </c:pt>
                <c:pt idx="6">
                  <c:v>extremely fine sand</c:v>
                </c:pt>
              </c:strCache>
            </c:strRef>
          </c:cat>
          <c:val>
            <c:numRef>
              <c:f>'All vs soil type'!$AE$19:$AE$25</c:f>
              <c:numCache>
                <c:formatCode>General</c:formatCode>
                <c:ptCount val="7"/>
                <c:pt idx="0">
                  <c:v>514</c:v>
                </c:pt>
                <c:pt idx="1">
                  <c:v>15</c:v>
                </c:pt>
                <c:pt idx="2">
                  <c:v>6</c:v>
                </c:pt>
                <c:pt idx="3">
                  <c:v>16</c:v>
                </c:pt>
                <c:pt idx="4">
                  <c:v>354</c:v>
                </c:pt>
                <c:pt idx="5">
                  <c:v>107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AF0-96E7-65BDFA6C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04408"/>
        <c:axId val="727704736"/>
      </c:barChart>
      <c:catAx>
        <c:axId val="727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736"/>
        <c:crosses val="autoZero"/>
        <c:auto val="1"/>
        <c:lblAlgn val="ctr"/>
        <c:lblOffset val="100"/>
        <c:noMultiLvlLbl val="0"/>
      </c:catAx>
      <c:valAx>
        <c:axId val="72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EA'!$T$2</c:f>
              <c:strCache>
                <c:ptCount val="1"/>
                <c:pt idx="0">
                  <c:v>sulphide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EA'!$T$5:$T$13</c:f>
              <c:numCache>
                <c:formatCode>0</c:formatCode>
                <c:ptCount val="9"/>
                <c:pt idx="0">
                  <c:v>89.055555555555557</c:v>
                </c:pt>
                <c:pt idx="1">
                  <c:v>35.622222222222227</c:v>
                </c:pt>
                <c:pt idx="2">
                  <c:v>302.78888888888889</c:v>
                </c:pt>
                <c:pt idx="3">
                  <c:v>6447.6222222222232</c:v>
                </c:pt>
                <c:pt idx="4">
                  <c:v>9475.5111111111109</c:v>
                </c:pt>
                <c:pt idx="5">
                  <c:v>15477.855555555554</c:v>
                </c:pt>
                <c:pt idx="6">
                  <c:v>4951.48888888889</c:v>
                </c:pt>
                <c:pt idx="7">
                  <c:v>53.43333333333333</c:v>
                </c:pt>
                <c:pt idx="8">
                  <c:v>53.43333333333333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F-4C40-B998-F643BF95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EA'!$R$5:$R$13</c:f>
              <c:numCache>
                <c:formatCode>0.00E+00</c:formatCode>
                <c:ptCount val="9"/>
                <c:pt idx="0">
                  <c:v>37986.666666666672</c:v>
                </c:pt>
                <c:pt idx="1">
                  <c:v>50777.5</c:v>
                </c:pt>
                <c:pt idx="2">
                  <c:v>16618.333333333332</c:v>
                </c:pt>
                <c:pt idx="3">
                  <c:v>8240.4444444444453</c:v>
                </c:pt>
                <c:pt idx="4">
                  <c:v>1237084.1666666667</c:v>
                </c:pt>
                <c:pt idx="5">
                  <c:v>7342.333333333333</c:v>
                </c:pt>
                <c:pt idx="6">
                  <c:v>79302</c:v>
                </c:pt>
                <c:pt idx="7">
                  <c:v>33433.333333333336</c:v>
                </c:pt>
                <c:pt idx="8">
                  <c:v>999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F-4C40-B998-F643BF95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EA'!$T$2</c:f>
              <c:strCache>
                <c:ptCount val="1"/>
                <c:pt idx="0">
                  <c:v>sulphide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EA'!$T$14:$T$20</c:f>
              <c:numCache>
                <c:formatCode>0</c:formatCode>
                <c:ptCount val="7"/>
                <c:pt idx="0">
                  <c:v>623.38888888888903</c:v>
                </c:pt>
                <c:pt idx="1">
                  <c:v>231.54444444444442</c:v>
                </c:pt>
                <c:pt idx="2">
                  <c:v>1193.3444444444444</c:v>
                </c:pt>
                <c:pt idx="3">
                  <c:v>106.86666666666666</c:v>
                </c:pt>
                <c:pt idx="4">
                  <c:v>35.622222222222227</c:v>
                </c:pt>
                <c:pt idx="5">
                  <c:v>89.055555555555557</c:v>
                </c:pt>
                <c:pt idx="6">
                  <c:v>35.622222222222227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7-4B58-BABC-1E14E373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EA'!$R$14:$R$20</c:f>
              <c:numCache>
                <c:formatCode>0.00E+00</c:formatCode>
                <c:ptCount val="7"/>
                <c:pt idx="0">
                  <c:v>425666.66666666669</c:v>
                </c:pt>
                <c:pt idx="1">
                  <c:v>101500</c:v>
                </c:pt>
                <c:pt idx="2">
                  <c:v>497</c:v>
                </c:pt>
                <c:pt idx="3">
                  <c:v>47525.444444444445</c:v>
                </c:pt>
                <c:pt idx="4">
                  <c:v>48590.666666666664</c:v>
                </c:pt>
                <c:pt idx="5">
                  <c:v>30655.555555555558</c:v>
                </c:pt>
                <c:pt idx="6">
                  <c:v>5632.333333333333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7-4B58-BABC-1E14E373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EA'!$T$2</c:f>
              <c:strCache>
                <c:ptCount val="1"/>
                <c:pt idx="0">
                  <c:v>sulphide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EA'!$T$21:$T$25</c:f>
              <c:numCache>
                <c:formatCode>0</c:formatCode>
                <c:ptCount val="5"/>
                <c:pt idx="0">
                  <c:v>19253.811111111114</c:v>
                </c:pt>
                <c:pt idx="1">
                  <c:v>409.65555555555557</c:v>
                </c:pt>
                <c:pt idx="2">
                  <c:v>27660.655555555561</c:v>
                </c:pt>
                <c:pt idx="3">
                  <c:v>302.78888888888889</c:v>
                </c:pt>
                <c:pt idx="4">
                  <c:v>71.244444444444454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B-4458-84E1-E39795C0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EA'!$R$21:$R$25</c:f>
              <c:numCache>
                <c:formatCode>0.00E+00</c:formatCode>
                <c:ptCount val="5"/>
                <c:pt idx="0">
                  <c:v>16029096.666666666</c:v>
                </c:pt>
                <c:pt idx="1">
                  <c:v>38261.111111111109</c:v>
                </c:pt>
                <c:pt idx="2">
                  <c:v>63116.666666666664</c:v>
                </c:pt>
                <c:pt idx="3">
                  <c:v>1</c:v>
                </c:pt>
                <c:pt idx="4">
                  <c:v>189199.99999999997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B-4458-84E1-E39795C0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EA'!$S$2</c:f>
              <c:strCache>
                <c:ptCount val="1"/>
                <c:pt idx="0">
                  <c:v>Iron II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EA'!$S$5:$S$13</c:f>
              <c:numCache>
                <c:formatCode>0</c:formatCode>
                <c:ptCount val="9"/>
                <c:pt idx="0">
                  <c:v>2964.1369233805599</c:v>
                </c:pt>
                <c:pt idx="1">
                  <c:v>1126.2627950833</c:v>
                </c:pt>
                <c:pt idx="2">
                  <c:v>1129.15831935543</c:v>
                </c:pt>
                <c:pt idx="3">
                  <c:v>156.01341000856701</c:v>
                </c:pt>
                <c:pt idx="4">
                  <c:v>40.728365462998504</c:v>
                </c:pt>
                <c:pt idx="5">
                  <c:v>113.612295106787</c:v>
                </c:pt>
                <c:pt idx="6">
                  <c:v>3186.30763349269</c:v>
                </c:pt>
                <c:pt idx="7">
                  <c:v>9955.1880568739507</c:v>
                </c:pt>
                <c:pt idx="8">
                  <c:v>5563.5663777949603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5-4A3E-A9C9-860146CD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EA'!$R$5:$R$13</c:f>
              <c:numCache>
                <c:formatCode>0.00E+00</c:formatCode>
                <c:ptCount val="9"/>
                <c:pt idx="0">
                  <c:v>37986.666666666672</c:v>
                </c:pt>
                <c:pt idx="1">
                  <c:v>50777.5</c:v>
                </c:pt>
                <c:pt idx="2">
                  <c:v>16618.333333333332</c:v>
                </c:pt>
                <c:pt idx="3">
                  <c:v>8240.4444444444453</c:v>
                </c:pt>
                <c:pt idx="4">
                  <c:v>1237084.1666666667</c:v>
                </c:pt>
                <c:pt idx="5">
                  <c:v>7342.333333333333</c:v>
                </c:pt>
                <c:pt idx="6">
                  <c:v>79302</c:v>
                </c:pt>
                <c:pt idx="7">
                  <c:v>33433.333333333336</c:v>
                </c:pt>
                <c:pt idx="8">
                  <c:v>999</c:v>
                </c:pt>
              </c:numCache>
            </c:numRef>
          </c:xVal>
          <c:yVal>
            <c:numRef>
              <c:f>'Bact vs EA'!$W$5:$W$13</c:f>
              <c:numCache>
                <c:formatCode>General</c:formatCode>
                <c:ptCount val="9"/>
                <c:pt idx="0">
                  <c:v>-12</c:v>
                </c:pt>
                <c:pt idx="1">
                  <c:v>-15.5</c:v>
                </c:pt>
                <c:pt idx="2">
                  <c:v>-17</c:v>
                </c:pt>
                <c:pt idx="3">
                  <c:v>-19</c:v>
                </c:pt>
                <c:pt idx="4">
                  <c:v>-20.5</c:v>
                </c:pt>
                <c:pt idx="5">
                  <c:v>-28</c:v>
                </c:pt>
                <c:pt idx="6">
                  <c:v>-31</c:v>
                </c:pt>
                <c:pt idx="7">
                  <c:v>-45</c:v>
                </c:pt>
                <c:pt idx="8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5-4A3E-A9C9-860146CD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EA'!$S$2</c:f>
              <c:strCache>
                <c:ptCount val="1"/>
                <c:pt idx="0">
                  <c:v>Iron II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EA'!$S$14:$S$20</c:f>
              <c:numCache>
                <c:formatCode>0</c:formatCode>
                <c:ptCount val="7"/>
                <c:pt idx="0">
                  <c:v>11100</c:v>
                </c:pt>
                <c:pt idx="1">
                  <c:v>6400</c:v>
                </c:pt>
                <c:pt idx="2">
                  <c:v>1600</c:v>
                </c:pt>
                <c:pt idx="3">
                  <c:v>2000</c:v>
                </c:pt>
                <c:pt idx="4">
                  <c:v>14900</c:v>
                </c:pt>
                <c:pt idx="5">
                  <c:v>9100</c:v>
                </c:pt>
                <c:pt idx="6">
                  <c:v>8500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9-45FD-92C7-5CFF64F6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EA'!$R$14:$R$20</c:f>
              <c:numCache>
                <c:formatCode>0.00E+00</c:formatCode>
                <c:ptCount val="7"/>
                <c:pt idx="0">
                  <c:v>425666.66666666669</c:v>
                </c:pt>
                <c:pt idx="1">
                  <c:v>101500</c:v>
                </c:pt>
                <c:pt idx="2">
                  <c:v>497</c:v>
                </c:pt>
                <c:pt idx="3">
                  <c:v>47525.444444444445</c:v>
                </c:pt>
                <c:pt idx="4">
                  <c:v>48590.666666666664</c:v>
                </c:pt>
                <c:pt idx="5">
                  <c:v>30655.555555555558</c:v>
                </c:pt>
                <c:pt idx="6">
                  <c:v>5632.333333333333</c:v>
                </c:pt>
              </c:numCache>
            </c:numRef>
          </c:xVal>
          <c:yVal>
            <c:numRef>
              <c:f>'Bact vs EA'!$W$14:$W$20</c:f>
              <c:numCache>
                <c:formatCode>General</c:formatCode>
                <c:ptCount val="7"/>
                <c:pt idx="0">
                  <c:v>-7</c:v>
                </c:pt>
                <c:pt idx="1">
                  <c:v>-10.5</c:v>
                </c:pt>
                <c:pt idx="2">
                  <c:v>-14</c:v>
                </c:pt>
                <c:pt idx="3">
                  <c:v>-15.5</c:v>
                </c:pt>
                <c:pt idx="4">
                  <c:v>-20</c:v>
                </c:pt>
                <c:pt idx="5">
                  <c:v>-43</c:v>
                </c:pt>
                <c:pt idx="6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9-45FD-92C7-5CFF64F6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Well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EA'!$S$2</c:f>
              <c:strCache>
                <c:ptCount val="1"/>
                <c:pt idx="0">
                  <c:v>Iron II (ug/L)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'Bact vs EA'!$S$21:$S$25</c:f>
              <c:numCache>
                <c:formatCode>0</c:formatCode>
                <c:ptCount val="5"/>
                <c:pt idx="0">
                  <c:v>27.283535104929602</c:v>
                </c:pt>
                <c:pt idx="1">
                  <c:v>613.39781005528505</c:v>
                </c:pt>
                <c:pt idx="2">
                  <c:v>20.818129596617897</c:v>
                </c:pt>
                <c:pt idx="3">
                  <c:v>2240.1960591924999</c:v>
                </c:pt>
                <c:pt idx="4">
                  <c:v>7566.8364032971404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9-4026-B8BE-323E980D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3456"/>
        <c:axId val="776208536"/>
      </c:scatterChart>
      <c:scatterChart>
        <c:scatterStyle val="lineMarker"/>
        <c:varyColors val="0"/>
        <c:ser>
          <c:idx val="1"/>
          <c:order val="1"/>
          <c:tx>
            <c:strRef>
              <c:f>'Bact vs EA'!$R$2</c:f>
              <c:strCache>
                <c:ptCount val="1"/>
                <c:pt idx="0">
                  <c:v>Total archaea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'Bact vs EA'!$R$21:$R$25</c:f>
              <c:numCache>
                <c:formatCode>0.00E+00</c:formatCode>
                <c:ptCount val="5"/>
                <c:pt idx="0">
                  <c:v>16029096.666666666</c:v>
                </c:pt>
                <c:pt idx="1">
                  <c:v>38261.111111111109</c:v>
                </c:pt>
                <c:pt idx="2">
                  <c:v>63116.666666666664</c:v>
                </c:pt>
                <c:pt idx="3">
                  <c:v>1</c:v>
                </c:pt>
                <c:pt idx="4">
                  <c:v>189199.99999999997</c:v>
                </c:pt>
              </c:numCache>
            </c:numRef>
          </c:xVal>
          <c:yVal>
            <c:numRef>
              <c:f>'Bact vs EA'!$W$21:$W$25</c:f>
              <c:numCache>
                <c:formatCode>General</c:formatCode>
                <c:ptCount val="5"/>
                <c:pt idx="0">
                  <c:v>-15.5</c:v>
                </c:pt>
                <c:pt idx="1">
                  <c:v>-19</c:v>
                </c:pt>
                <c:pt idx="2">
                  <c:v>-26</c:v>
                </c:pt>
                <c:pt idx="3">
                  <c:v>-39</c:v>
                </c:pt>
                <c:pt idx="4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9-4026-B8BE-323E980D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87448"/>
        <c:axId val="735080560"/>
      </c:scatterChart>
      <c:valAx>
        <c:axId val="776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08536"/>
        <c:crosses val="autoZero"/>
        <c:crossBetween val="midCat"/>
      </c:valAx>
      <c:valAx>
        <c:axId val="7762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3456"/>
        <c:crosses val="autoZero"/>
        <c:crossBetween val="midCat"/>
      </c:valAx>
      <c:valAx>
        <c:axId val="735080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5087448"/>
        <c:crosses val="max"/>
        <c:crossBetween val="midCat"/>
      </c:valAx>
      <c:valAx>
        <c:axId val="7350874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metabolites vs gene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Metab'!$AI$1</c:f>
              <c:strCache>
                <c:ptCount val="1"/>
                <c:pt idx="0">
                  <c:v>Sum concentration of 35 metabolites (μg/L)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'Bact vs Metab'!$AH$2:$AH$27</c:f>
              <c:numCache>
                <c:formatCode>0.00E+00</c:formatCode>
                <c:ptCount val="26"/>
                <c:pt idx="0">
                  <c:v>15215.083333333332</c:v>
                </c:pt>
                <c:pt idx="1">
                  <c:v>94009.8</c:v>
                </c:pt>
                <c:pt idx="2">
                  <c:v>115326.49999999999</c:v>
                </c:pt>
                <c:pt idx="3">
                  <c:v>10991.644444444444</c:v>
                </c:pt>
                <c:pt idx="4">
                  <c:v>59221.049999999996</c:v>
                </c:pt>
                <c:pt idx="5">
                  <c:v>12742.405555555555</c:v>
                </c:pt>
                <c:pt idx="6">
                  <c:v>10052.741666666667</c:v>
                </c:pt>
                <c:pt idx="7">
                  <c:v>22455.75</c:v>
                </c:pt>
                <c:pt idx="8">
                  <c:v>204.04</c:v>
                </c:pt>
                <c:pt idx="9">
                  <c:v>428.16666666666669</c:v>
                </c:pt>
                <c:pt idx="10">
                  <c:v>3555.3994444444443</c:v>
                </c:pt>
                <c:pt idx="11">
                  <c:v>105608.73583333334</c:v>
                </c:pt>
                <c:pt idx="12">
                  <c:v>492409.60000000003</c:v>
                </c:pt>
                <c:pt idx="13">
                  <c:v>77481.55</c:v>
                </c:pt>
                <c:pt idx="14">
                  <c:v>88926.166666666672</c:v>
                </c:pt>
                <c:pt idx="15">
                  <c:v>80852.759444444455</c:v>
                </c:pt>
                <c:pt idx="16">
                  <c:v>1689.9</c:v>
                </c:pt>
                <c:pt idx="17">
                  <c:v>13044.064444444442</c:v>
                </c:pt>
                <c:pt idx="18">
                  <c:v>8978.8066666666673</c:v>
                </c:pt>
                <c:pt idx="19">
                  <c:v>28477.458333333336</c:v>
                </c:pt>
                <c:pt idx="20">
                  <c:v>4891.7614444444444</c:v>
                </c:pt>
                <c:pt idx="21">
                  <c:v>257.01666666666665</c:v>
                </c:pt>
                <c:pt idx="22">
                  <c:v>47504.236111111109</c:v>
                </c:pt>
                <c:pt idx="23">
                  <c:v>5337.4641666666676</c:v>
                </c:pt>
                <c:pt idx="24">
                  <c:v>4202.2408179379909</c:v>
                </c:pt>
                <c:pt idx="25">
                  <c:v>5186.4155123927812</c:v>
                </c:pt>
              </c:numCache>
            </c:numRef>
          </c:xVal>
          <c:yVal>
            <c:numRef>
              <c:f>'Bact vs Metab'!$AI$2:$AI$27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89.644953435690908</c:v>
                </c:pt>
                <c:pt idx="3" formatCode="0">
                  <c:v>588.82874955502746</c:v>
                </c:pt>
                <c:pt idx="4" formatCode="0">
                  <c:v>674.15257991442229</c:v>
                </c:pt>
                <c:pt idx="5" formatCode="0">
                  <c:v>513.90820538635796</c:v>
                </c:pt>
                <c:pt idx="6" formatCode="0">
                  <c:v>599.93858545179967</c:v>
                </c:pt>
                <c:pt idx="7" formatCode="0">
                  <c:v>15</c:v>
                </c:pt>
                <c:pt idx="8" formatCode="0">
                  <c:v>6</c:v>
                </c:pt>
                <c:pt idx="9" formatCode="0">
                  <c:v>5.2153797194530398</c:v>
                </c:pt>
                <c:pt idx="10" formatCode="0">
                  <c:v>7.7746428326927344</c:v>
                </c:pt>
                <c:pt idx="11" formatCode="0">
                  <c:v>41.3</c:v>
                </c:pt>
                <c:pt idx="12" formatCode="0">
                  <c:v>100.77089743589744</c:v>
                </c:pt>
                <c:pt idx="13" formatCode="0">
                  <c:v>15.7</c:v>
                </c:pt>
                <c:pt idx="14" formatCode="0">
                  <c:v>6.5320196220368416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353.91471685519855</c:v>
                </c:pt>
                <c:pt idx="19" formatCode="0">
                  <c:v>430.99746049547178</c:v>
                </c:pt>
                <c:pt idx="20" formatCode="0">
                  <c:v>107.34679487179488</c:v>
                </c:pt>
                <c:pt idx="21" formatCode="0">
                  <c:v>84.151680079467354</c:v>
                </c:pt>
                <c:pt idx="22" formatCode="0">
                  <c:v>290.29568404580948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2-4AB7-8608-E8CEB6A0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96632"/>
        <c:axId val="664501224"/>
      </c:scatterChart>
      <c:valAx>
        <c:axId val="6644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Gene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1224"/>
        <c:crosses val="autoZero"/>
        <c:crossBetween val="midCat"/>
      </c:valAx>
      <c:valAx>
        <c:axId val="6645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Metabolites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400"/>
              <a:t>Variety of metabolites vs gene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'Bact vs Metab'!$AJ$1</c:f>
              <c:strCache>
                <c:ptCount val="1"/>
                <c:pt idx="0">
                  <c:v>Number of detected metabolites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'Bact vs Metab'!$AH$2:$AH$27</c:f>
              <c:numCache>
                <c:formatCode>0.00E+00</c:formatCode>
                <c:ptCount val="26"/>
                <c:pt idx="0">
                  <c:v>15215.083333333332</c:v>
                </c:pt>
                <c:pt idx="1">
                  <c:v>94009.8</c:v>
                </c:pt>
                <c:pt idx="2">
                  <c:v>115326.49999999999</c:v>
                </c:pt>
                <c:pt idx="3">
                  <c:v>10991.644444444444</c:v>
                </c:pt>
                <c:pt idx="4">
                  <c:v>59221.049999999996</c:v>
                </c:pt>
                <c:pt idx="5">
                  <c:v>12742.405555555555</c:v>
                </c:pt>
                <c:pt idx="6">
                  <c:v>10052.741666666667</c:v>
                </c:pt>
                <c:pt idx="7">
                  <c:v>22455.75</c:v>
                </c:pt>
                <c:pt idx="8">
                  <c:v>204.04</c:v>
                </c:pt>
                <c:pt idx="9">
                  <c:v>428.16666666666669</c:v>
                </c:pt>
                <c:pt idx="10">
                  <c:v>3555.3994444444443</c:v>
                </c:pt>
                <c:pt idx="11">
                  <c:v>105608.73583333334</c:v>
                </c:pt>
                <c:pt idx="12">
                  <c:v>492409.60000000003</c:v>
                </c:pt>
                <c:pt idx="13">
                  <c:v>77481.55</c:v>
                </c:pt>
                <c:pt idx="14">
                  <c:v>88926.166666666672</c:v>
                </c:pt>
                <c:pt idx="15">
                  <c:v>80852.759444444455</c:v>
                </c:pt>
                <c:pt idx="16">
                  <c:v>1689.9</c:v>
                </c:pt>
                <c:pt idx="17">
                  <c:v>13044.064444444442</c:v>
                </c:pt>
                <c:pt idx="18">
                  <c:v>8978.8066666666673</c:v>
                </c:pt>
                <c:pt idx="19">
                  <c:v>28477.458333333336</c:v>
                </c:pt>
                <c:pt idx="20">
                  <c:v>4891.7614444444444</c:v>
                </c:pt>
                <c:pt idx="21">
                  <c:v>257.01666666666665</c:v>
                </c:pt>
                <c:pt idx="22">
                  <c:v>47504.236111111109</c:v>
                </c:pt>
                <c:pt idx="23">
                  <c:v>5337.4641666666676</c:v>
                </c:pt>
                <c:pt idx="24">
                  <c:v>4202.2408179379909</c:v>
                </c:pt>
                <c:pt idx="25">
                  <c:v>5186.4155123927812</c:v>
                </c:pt>
              </c:numCache>
            </c:numRef>
          </c:xVal>
          <c:yVal>
            <c:numRef>
              <c:f>'Bact vs Metab'!$AJ$2:$AJ$27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 formatCode="0">
                  <c:v>47</c:v>
                </c:pt>
                <c:pt idx="3" formatCode="0">
                  <c:v>47</c:v>
                </c:pt>
                <c:pt idx="4" formatCode="0">
                  <c:v>43</c:v>
                </c:pt>
                <c:pt idx="5" formatCode="0">
                  <c:v>41</c:v>
                </c:pt>
                <c:pt idx="6" formatCode="0">
                  <c:v>36</c:v>
                </c:pt>
                <c:pt idx="7" formatCode="0">
                  <c:v>23</c:v>
                </c:pt>
                <c:pt idx="8" formatCode="0">
                  <c:v>12</c:v>
                </c:pt>
                <c:pt idx="9" formatCode="0">
                  <c:v>4</c:v>
                </c:pt>
                <c:pt idx="10" formatCode="0">
                  <c:v>11</c:v>
                </c:pt>
                <c:pt idx="11" formatCode="0">
                  <c:v>33</c:v>
                </c:pt>
                <c:pt idx="12" formatCode="0">
                  <c:v>20</c:v>
                </c:pt>
                <c:pt idx="13" formatCode="0">
                  <c:v>27</c:v>
                </c:pt>
                <c:pt idx="14" formatCode="0">
                  <c:v>11</c:v>
                </c:pt>
                <c:pt idx="15" formatCode="0">
                  <c:v>2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36</c:v>
                </c:pt>
                <c:pt idx="19" formatCode="0">
                  <c:v>33</c:v>
                </c:pt>
                <c:pt idx="20" formatCode="0">
                  <c:v>32</c:v>
                </c:pt>
                <c:pt idx="21" formatCode="0">
                  <c:v>32</c:v>
                </c:pt>
                <c:pt idx="22" formatCode="0">
                  <c:v>41</c:v>
                </c:pt>
                <c:pt idx="23" formatCode="0">
                  <c:v>1</c:v>
                </c:pt>
                <c:pt idx="24" formatCode="0">
                  <c:v>2</c:v>
                </c:pt>
                <c:pt idx="25" formatCode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6-455E-A7EC-81B35D5E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96632"/>
        <c:axId val="664501224"/>
      </c:scatterChart>
      <c:valAx>
        <c:axId val="6644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Gene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1224"/>
        <c:crosses val="autoZero"/>
        <c:crossBetween val="midCat"/>
      </c:valAx>
      <c:valAx>
        <c:axId val="6645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Number of detected metabolites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Along metabolite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'Bact vs Metab'!$D$2</c:f>
              <c:strCache>
                <c:ptCount val="1"/>
                <c:pt idx="0">
                  <c:v>abcA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Metab'!$D$3:$D$28</c:f>
              <c:numCache>
                <c:formatCode>0</c:formatCode>
                <c:ptCount val="26"/>
                <c:pt idx="0" formatCode="General">
                  <c:v>16.484316810220268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29.711111111111109</c:v>
                </c:pt>
                <c:pt idx="18">
                  <c:v>0</c:v>
                </c:pt>
                <c:pt idx="19" formatCode="General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C16-9692-138B7CE99490}"/>
            </c:ext>
          </c:extLst>
        </c:ser>
        <c:ser>
          <c:idx val="1"/>
          <c:order val="1"/>
          <c:tx>
            <c:strRef>
              <c:f>'Bact vs Metab'!$E$2</c:f>
              <c:strCache>
                <c:ptCount val="1"/>
                <c:pt idx="0">
                  <c:v>nmsA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Metab'!$E$3:$E$28</c:f>
              <c:numCache>
                <c:formatCode>0</c:formatCode>
                <c:ptCount val="26"/>
                <c:pt idx="1">
                  <c:v>867.25833333333333</c:v>
                </c:pt>
                <c:pt idx="3">
                  <c:v>271.0333333333333</c:v>
                </c:pt>
                <c:pt idx="4">
                  <c:v>408.4666666666667</c:v>
                </c:pt>
                <c:pt idx="5">
                  <c:v>1034.9333333333334</c:v>
                </c:pt>
                <c:pt idx="6">
                  <c:v>370.16666666666663</c:v>
                </c:pt>
                <c:pt idx="7" formatCode="General">
                  <c:v>302.69749999999999</c:v>
                </c:pt>
                <c:pt idx="8">
                  <c:v>20.079999999999998</c:v>
                </c:pt>
                <c:pt idx="9">
                  <c:v>86.805555555555543</c:v>
                </c:pt>
                <c:pt idx="10">
                  <c:v>4449.25</c:v>
                </c:pt>
                <c:pt idx="11">
                  <c:v>100.21111111111111</c:v>
                </c:pt>
                <c:pt idx="12">
                  <c:v>11540.833333333334</c:v>
                </c:pt>
                <c:pt idx="13">
                  <c:v>4050.5</c:v>
                </c:pt>
                <c:pt idx="14">
                  <c:v>4686.75</c:v>
                </c:pt>
                <c:pt idx="15" formatCode="General">
                  <c:v>257.01666666666665</c:v>
                </c:pt>
                <c:pt idx="16">
                  <c:v>493.77777777777777</c:v>
                </c:pt>
                <c:pt idx="17">
                  <c:v>9247.5</c:v>
                </c:pt>
                <c:pt idx="18">
                  <c:v>502.4083333333333</c:v>
                </c:pt>
                <c:pt idx="19" formatCode="General">
                  <c:v>875.24166666666679</c:v>
                </c:pt>
                <c:pt idx="20">
                  <c:v>515.08333333333337</c:v>
                </c:pt>
                <c:pt idx="21">
                  <c:v>968.8416666666667</c:v>
                </c:pt>
                <c:pt idx="22">
                  <c:v>1122.25</c:v>
                </c:pt>
                <c:pt idx="23">
                  <c:v>380.71111111111105</c:v>
                </c:pt>
                <c:pt idx="24">
                  <c:v>2648.25</c:v>
                </c:pt>
                <c:pt idx="25">
                  <c:v>10659.166666666668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3-4C16-9692-138B7CE99490}"/>
            </c:ext>
          </c:extLst>
        </c:ser>
        <c:ser>
          <c:idx val="2"/>
          <c:order val="2"/>
          <c:tx>
            <c:strRef>
              <c:f>'Bact vs Metab'!$F$2</c:f>
              <c:strCache>
                <c:ptCount val="1"/>
                <c:pt idx="0">
                  <c:v>ncrA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Metab'!$F$3:$F$28</c:f>
              <c:numCache>
                <c:formatCode>0</c:formatCode>
                <c:ptCount val="26"/>
                <c:pt idx="1">
                  <c:v>72.601111111111109</c:v>
                </c:pt>
                <c:pt idx="3">
                  <c:v>0</c:v>
                </c:pt>
                <c:pt idx="4">
                  <c:v>25.383333333333333</c:v>
                </c:pt>
                <c:pt idx="5">
                  <c:v>0</c:v>
                </c:pt>
                <c:pt idx="6">
                  <c:v>16.12</c:v>
                </c:pt>
                <c:pt idx="7" formatCode="General">
                  <c:v>0</c:v>
                </c:pt>
                <c:pt idx="8">
                  <c:v>28.25333333333333</c:v>
                </c:pt>
                <c:pt idx="9">
                  <c:v>29.567777777777778</c:v>
                </c:pt>
                <c:pt idx="10">
                  <c:v>1821.3333333333333</c:v>
                </c:pt>
                <c:pt idx="11">
                  <c:v>65.281666666666666</c:v>
                </c:pt>
                <c:pt idx="12">
                  <c:v>4211.75</c:v>
                </c:pt>
                <c:pt idx="13">
                  <c:v>1461.8666666666666</c:v>
                </c:pt>
                <c:pt idx="14">
                  <c:v>414.40250000000003</c:v>
                </c:pt>
                <c:pt idx="16">
                  <c:v>115.64444444444445</c:v>
                </c:pt>
                <c:pt idx="17">
                  <c:v>1800.1111111111111</c:v>
                </c:pt>
                <c:pt idx="18">
                  <c:v>13.219777777777779</c:v>
                </c:pt>
                <c:pt idx="19" formatCode="General">
                  <c:v>78.766666666666666</c:v>
                </c:pt>
                <c:pt idx="20">
                  <c:v>58.567777777777785</c:v>
                </c:pt>
                <c:pt idx="21">
                  <c:v>62.649999999999991</c:v>
                </c:pt>
                <c:pt idx="22">
                  <c:v>253.26666666666665</c:v>
                </c:pt>
                <c:pt idx="23">
                  <c:v>95.716666666666669</c:v>
                </c:pt>
                <c:pt idx="24">
                  <c:v>714.49166666666667</c:v>
                </c:pt>
                <c:pt idx="25">
                  <c:v>2135.75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3-4C16-9692-138B7CE99490}"/>
            </c:ext>
          </c:extLst>
        </c:ser>
        <c:ser>
          <c:idx val="3"/>
          <c:order val="3"/>
          <c:tx>
            <c:strRef>
              <c:f>'Bact vs Metab'!$G$2</c:f>
              <c:strCache>
                <c:ptCount val="1"/>
                <c:pt idx="0">
                  <c:v>ncA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Metab'!$G$3:$G$28</c:f>
              <c:numCache>
                <c:formatCode>0</c:formatCode>
                <c:ptCount val="26"/>
                <c:pt idx="0" formatCode="General">
                  <c:v>1137.1505391732021</c:v>
                </c:pt>
                <c:pt idx="1">
                  <c:v>0</c:v>
                </c:pt>
                <c:pt idx="2" formatCode="General">
                  <c:v>1132.1939138281909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2692.25</c:v>
                </c:pt>
                <c:pt idx="11">
                  <c:v>0</c:v>
                </c:pt>
                <c:pt idx="12">
                  <c:v>6379.166666666667</c:v>
                </c:pt>
                <c:pt idx="13">
                  <c:v>2130.4166666666665</c:v>
                </c:pt>
                <c:pt idx="14">
                  <c:v>1348.5833333333333</c:v>
                </c:pt>
                <c:pt idx="15" formatCode="General">
                  <c:v>0</c:v>
                </c:pt>
                <c:pt idx="16">
                  <c:v>145.78333333333333</c:v>
                </c:pt>
                <c:pt idx="17">
                  <c:v>4977.6666666666661</c:v>
                </c:pt>
                <c:pt idx="18">
                  <c:v>87.466666666666669</c:v>
                </c:pt>
                <c:pt idx="19" formatCode="General">
                  <c:v>280.05</c:v>
                </c:pt>
                <c:pt idx="20">
                  <c:v>201.09999999999997</c:v>
                </c:pt>
                <c:pt idx="21">
                  <c:v>303.33333333333331</c:v>
                </c:pt>
                <c:pt idx="22">
                  <c:v>668</c:v>
                </c:pt>
                <c:pt idx="23">
                  <c:v>201.54999999999998</c:v>
                </c:pt>
                <c:pt idx="24">
                  <c:v>1670.0000000000002</c:v>
                </c:pt>
                <c:pt idx="25">
                  <c:v>8449.1666666666679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3-4C16-9692-138B7CE99490}"/>
            </c:ext>
          </c:extLst>
        </c:ser>
        <c:ser>
          <c:idx val="4"/>
          <c:order val="4"/>
          <c:tx>
            <c:strRef>
              <c:f>'Bact vs Metab'!$H$2</c:f>
              <c:strCache>
                <c:ptCount val="1"/>
                <c:pt idx="0">
                  <c:v>peptococcus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Metab'!$H$3:$H$28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123.73333333333333</c:v>
                </c:pt>
                <c:pt idx="2" formatCode="General">
                  <c:v>631.01110277170733</c:v>
                </c:pt>
                <c:pt idx="3">
                  <c:v>38.866666666666667</c:v>
                </c:pt>
                <c:pt idx="4">
                  <c:v>660.12222222222215</c:v>
                </c:pt>
                <c:pt idx="5">
                  <c:v>628.20000000000005</c:v>
                </c:pt>
                <c:pt idx="6">
                  <c:v>0</c:v>
                </c:pt>
                <c:pt idx="7" formatCode="General">
                  <c:v>144.76666666666668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32.573333333333331</c:v>
                </c:pt>
                <c:pt idx="12">
                  <c:v>0</c:v>
                </c:pt>
                <c:pt idx="13">
                  <c:v>67.099999999999994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338.01666666666665</c:v>
                </c:pt>
                <c:pt idx="17">
                  <c:v>78.333333333333329</c:v>
                </c:pt>
                <c:pt idx="18">
                  <c:v>0</c:v>
                </c:pt>
                <c:pt idx="19" formatCode="General">
                  <c:v>476.84444444444443</c:v>
                </c:pt>
                <c:pt idx="20">
                  <c:v>69.666666666666671</c:v>
                </c:pt>
                <c:pt idx="21">
                  <c:v>433.4666666666667</c:v>
                </c:pt>
                <c:pt idx="22">
                  <c:v>0</c:v>
                </c:pt>
                <c:pt idx="23">
                  <c:v>110.33333333333333</c:v>
                </c:pt>
                <c:pt idx="24">
                  <c:v>0</c:v>
                </c:pt>
                <c:pt idx="25">
                  <c:v>186.63333333333333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3-4C16-9692-138B7CE99490}"/>
            </c:ext>
          </c:extLst>
        </c:ser>
        <c:ser>
          <c:idx val="5"/>
          <c:order val="5"/>
          <c:tx>
            <c:strRef>
              <c:f>'Bact vs Metab'!$I$2</c:f>
              <c:strCache>
                <c:ptCount val="1"/>
                <c:pt idx="0">
                  <c:v>bssA SRB &amp; IRB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Metab'!$I$3:$I$28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78191.666666666672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3833.3333333333335</c:v>
                </c:pt>
                <c:pt idx="8">
                  <c:v>0</c:v>
                </c:pt>
                <c:pt idx="9">
                  <c:v>0</c:v>
                </c:pt>
                <c:pt idx="10">
                  <c:v>77116.666666666672</c:v>
                </c:pt>
                <c:pt idx="11">
                  <c:v>1831.5</c:v>
                </c:pt>
                <c:pt idx="12">
                  <c:v>0</c:v>
                </c:pt>
                <c:pt idx="13">
                  <c:v>68525</c:v>
                </c:pt>
                <c:pt idx="14">
                  <c:v>98633.333333333328</c:v>
                </c:pt>
                <c:pt idx="15" formatCode="General">
                  <c:v>0</c:v>
                </c:pt>
                <c:pt idx="16">
                  <c:v>108516.66666666666</c:v>
                </c:pt>
                <c:pt idx="17">
                  <c:v>472444.44444444444</c:v>
                </c:pt>
                <c:pt idx="18">
                  <c:v>2015.3333333333335</c:v>
                </c:pt>
                <c:pt idx="19" formatCode="General">
                  <c:v>30666.666666666664</c:v>
                </c:pt>
                <c:pt idx="20">
                  <c:v>3618.8888888888887</c:v>
                </c:pt>
                <c:pt idx="21">
                  <c:v>10038.666666666668</c:v>
                </c:pt>
                <c:pt idx="22">
                  <c:v>9632.2222222222226</c:v>
                </c:pt>
                <c:pt idx="23">
                  <c:v>10203.333333333334</c:v>
                </c:pt>
                <c:pt idx="24">
                  <c:v>4113.3333333333339</c:v>
                </c:pt>
                <c:pt idx="25">
                  <c:v>37466.666666666664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3-4C16-9692-138B7CE99490}"/>
            </c:ext>
          </c:extLst>
        </c:ser>
        <c:ser>
          <c:idx val="6"/>
          <c:order val="6"/>
          <c:tx>
            <c:strRef>
              <c:f>'Bact vs Metab'!$J$2</c:f>
              <c:strCache>
                <c:ptCount val="1"/>
                <c:pt idx="0">
                  <c:v>bssA NRB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Metab'!$J$3:$J$28</c:f>
              <c:numCache>
                <c:formatCode>General</c:formatCode>
                <c:ptCount val="26"/>
                <c:pt idx="0">
                  <c:v>0</c:v>
                </c:pt>
                <c:pt idx="1">
                  <c:v>309.16666666666663</c:v>
                </c:pt>
                <c:pt idx="2">
                  <c:v>0</c:v>
                </c:pt>
                <c:pt idx="3">
                  <c:v>0</c:v>
                </c:pt>
                <c:pt idx="4">
                  <c:v>1254.4444444444443</c:v>
                </c:pt>
                <c:pt idx="5">
                  <c:v>12254.166666666668</c:v>
                </c:pt>
                <c:pt idx="6">
                  <c:v>2180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302.16666666666669</c:v>
                </c:pt>
                <c:pt idx="17">
                  <c:v>370.16666666666669</c:v>
                </c:pt>
                <c:pt idx="18">
                  <c:v>466.66666666666669</c:v>
                </c:pt>
                <c:pt idx="19">
                  <c:v>1226.6666666666667</c:v>
                </c:pt>
                <c:pt idx="20">
                  <c:v>227.83333333333331</c:v>
                </c:pt>
                <c:pt idx="21">
                  <c:v>1337.1666666666667</c:v>
                </c:pt>
                <c:pt idx="22">
                  <c:v>0</c:v>
                </c:pt>
                <c:pt idx="23">
                  <c:v>0</c:v>
                </c:pt>
                <c:pt idx="24">
                  <c:v>396.66666666666669</c:v>
                </c:pt>
                <c:pt idx="25">
                  <c:v>323.66666666666669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3-4C16-9692-138B7CE99490}"/>
            </c:ext>
          </c:extLst>
        </c:ser>
        <c:ser>
          <c:idx val="7"/>
          <c:order val="7"/>
          <c:tx>
            <c:strRef>
              <c:f>'Bact vs Metab'!$K$2</c:f>
              <c:strCache>
                <c:ptCount val="1"/>
                <c:pt idx="0">
                  <c:v>assA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Metab'!$K$3:$K$28</c:f>
              <c:numCache>
                <c:formatCode>General</c:formatCode>
                <c:ptCount val="26"/>
                <c:pt idx="0">
                  <c:v>3048.6059619545681</c:v>
                </c:pt>
                <c:pt idx="1">
                  <c:v>1288.3333333333333</c:v>
                </c:pt>
                <c:pt idx="2">
                  <c:v>3423.2104957928832</c:v>
                </c:pt>
                <c:pt idx="3">
                  <c:v>1380</c:v>
                </c:pt>
                <c:pt idx="4">
                  <c:v>12866.666666666666</c:v>
                </c:pt>
                <c:pt idx="5">
                  <c:v>80092.5</c:v>
                </c:pt>
                <c:pt idx="6">
                  <c:v>10477.777777777776</c:v>
                </c:pt>
                <c:pt idx="7">
                  <c:v>1056.6666666666667</c:v>
                </c:pt>
                <c:pt idx="8">
                  <c:v>379.83333333333337</c:v>
                </c:pt>
                <c:pt idx="9">
                  <c:v>87.666666666666671</c:v>
                </c:pt>
                <c:pt idx="10">
                  <c:v>2846.666666666667</c:v>
                </c:pt>
                <c:pt idx="11">
                  <c:v>1525.8333333333333</c:v>
                </c:pt>
                <c:pt idx="12">
                  <c:v>178</c:v>
                </c:pt>
                <c:pt idx="13">
                  <c:v>1246.6666666666667</c:v>
                </c:pt>
                <c:pt idx="14">
                  <c:v>525.66666666666663</c:v>
                </c:pt>
                <c:pt idx="15">
                  <c:v>0</c:v>
                </c:pt>
                <c:pt idx="16">
                  <c:v>5414.4444444444443</c:v>
                </c:pt>
                <c:pt idx="17">
                  <c:v>3461.666666666667</c:v>
                </c:pt>
                <c:pt idx="18">
                  <c:v>1806.6666666666667</c:v>
                </c:pt>
                <c:pt idx="19">
                  <c:v>13900</c:v>
                </c:pt>
                <c:pt idx="20">
                  <c:v>4287.666666666667</c:v>
                </c:pt>
                <c:pt idx="21">
                  <c:v>15333.333333333334</c:v>
                </c:pt>
                <c:pt idx="22">
                  <c:v>1066.6666666666667</c:v>
                </c:pt>
                <c:pt idx="23">
                  <c:v>0</c:v>
                </c:pt>
                <c:pt idx="24">
                  <c:v>510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204344"/>
        <c:axId val="904207296"/>
      </c:barChart>
      <c:lineChart>
        <c:grouping val="standard"/>
        <c:varyColors val="0"/>
        <c:ser>
          <c:idx val="8"/>
          <c:order val="8"/>
          <c:tx>
            <c:strRef>
              <c:f>'Bact vs Metab'!$M$2</c:f>
              <c:strCache>
                <c:ptCount val="1"/>
                <c:pt idx="0">
                  <c:v>Concentration metabolites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strRef>
              <c:f>'Bact vs Metab'!$A$3:$A$28</c:f>
              <c:strCache>
                <c:ptCount val="26"/>
                <c:pt idx="0">
                  <c:v>BW205 44</c:v>
                </c:pt>
                <c:pt idx="1">
                  <c:v>B2 20</c:v>
                </c:pt>
                <c:pt idx="2">
                  <c:v>Pb1 17</c:v>
                </c:pt>
                <c:pt idx="3">
                  <c:v>B2 43</c:v>
                </c:pt>
                <c:pt idx="4">
                  <c:v>A 52</c:v>
                </c:pt>
                <c:pt idx="5">
                  <c:v>A 65</c:v>
                </c:pt>
                <c:pt idx="6">
                  <c:v>B2 65</c:v>
                </c:pt>
                <c:pt idx="7">
                  <c:v>60 70</c:v>
                </c:pt>
                <c:pt idx="8">
                  <c:v>B 45</c:v>
                </c:pt>
                <c:pt idx="9">
                  <c:v>B 31</c:v>
                </c:pt>
                <c:pt idx="10">
                  <c:v>B2 15,5 </c:v>
                </c:pt>
                <c:pt idx="11">
                  <c:v>B 64</c:v>
                </c:pt>
                <c:pt idx="12">
                  <c:v>B 28</c:v>
                </c:pt>
                <c:pt idx="13">
                  <c:v>B2 14</c:v>
                </c:pt>
                <c:pt idx="14">
                  <c:v>B2 7</c:v>
                </c:pt>
                <c:pt idx="15">
                  <c:v>C 39</c:v>
                </c:pt>
                <c:pt idx="16">
                  <c:v>B 12</c:v>
                </c:pt>
                <c:pt idx="17">
                  <c:v>B2 10,5</c:v>
                </c:pt>
                <c:pt idx="18">
                  <c:v>C 26</c:v>
                </c:pt>
                <c:pt idx="19">
                  <c:v>C 46</c:v>
                </c:pt>
                <c:pt idx="20">
                  <c:v>C 15,5</c:v>
                </c:pt>
                <c:pt idx="21">
                  <c:v>C 19</c:v>
                </c:pt>
                <c:pt idx="22">
                  <c:v>B 19</c:v>
                </c:pt>
                <c:pt idx="23">
                  <c:v>B 15,5</c:v>
                </c:pt>
                <c:pt idx="24">
                  <c:v>B 20,5</c:v>
                </c:pt>
                <c:pt idx="25">
                  <c:v>B 17</c:v>
                </c:pt>
              </c:strCache>
            </c:strRef>
          </c:cat>
          <c:val>
            <c:numRef>
              <c:f>'Bact vs Metab'!$M$3:$M$28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5.2153797194530398</c:v>
                </c:pt>
                <c:pt idx="9">
                  <c:v>6</c:v>
                </c:pt>
                <c:pt idx="10">
                  <c:v>6.5320196220368416</c:v>
                </c:pt>
                <c:pt idx="11">
                  <c:v>7.7746428326927344</c:v>
                </c:pt>
                <c:pt idx="12">
                  <c:v>15</c:v>
                </c:pt>
                <c:pt idx="13">
                  <c:v>15.7</c:v>
                </c:pt>
                <c:pt idx="14">
                  <c:v>41.3</c:v>
                </c:pt>
                <c:pt idx="15">
                  <c:v>84.151680079467354</c:v>
                </c:pt>
                <c:pt idx="16">
                  <c:v>89.644953435690908</c:v>
                </c:pt>
                <c:pt idx="17">
                  <c:v>100.77089743589744</c:v>
                </c:pt>
                <c:pt idx="18">
                  <c:v>107.34679487179488</c:v>
                </c:pt>
                <c:pt idx="19">
                  <c:v>290.29568404580948</c:v>
                </c:pt>
                <c:pt idx="20">
                  <c:v>353.91471685519855</c:v>
                </c:pt>
                <c:pt idx="21">
                  <c:v>430.99746049547178</c:v>
                </c:pt>
                <c:pt idx="22">
                  <c:v>513.90820538635796</c:v>
                </c:pt>
                <c:pt idx="23">
                  <c:v>588.82874955502746</c:v>
                </c:pt>
                <c:pt idx="24">
                  <c:v>599.93858545179967</c:v>
                </c:pt>
                <c:pt idx="25">
                  <c:v>674.15257991442229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33248"/>
        <c:axId val="700141120"/>
      </c:lineChart>
      <c:catAx>
        <c:axId val="904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7296"/>
        <c:crosses val="autoZero"/>
        <c:auto val="1"/>
        <c:lblAlgn val="ctr"/>
        <c:lblOffset val="100"/>
        <c:noMultiLvlLbl val="0"/>
      </c:catAx>
      <c:valAx>
        <c:axId val="904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 portions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4344"/>
        <c:crosses val="autoZero"/>
        <c:crossBetween val="between"/>
      </c:valAx>
      <c:valAx>
        <c:axId val="70014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Metabolites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3248"/>
        <c:crosses val="max"/>
        <c:crossBetween val="between"/>
      </c:valAx>
      <c:catAx>
        <c:axId val="700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370487947759267E-2"/>
          <c:y val="0.81666260574448746"/>
          <c:w val="0.91809709850273091"/>
          <c:h val="0.1649910146077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400"/>
              <a:t>Along metabolite variety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8310637504566"/>
          <c:y val="0.11421783625730994"/>
          <c:w val="0.80380990531026253"/>
          <c:h val="0.5106898301637733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'Bact vs Metab'!$S$2</c:f>
              <c:strCache>
                <c:ptCount val="1"/>
                <c:pt idx="0">
                  <c:v>abcA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Metab'!$S$3:$S$28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16.484316810220268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29.711111111111109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C16-9692-138B7CE99490}"/>
            </c:ext>
          </c:extLst>
        </c:ser>
        <c:ser>
          <c:idx val="1"/>
          <c:order val="1"/>
          <c:tx>
            <c:strRef>
              <c:f>'Bact vs Metab'!$T$2</c:f>
              <c:strCache>
                <c:ptCount val="1"/>
                <c:pt idx="0">
                  <c:v>nmsA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Metab'!$T$3:$T$28</c:f>
              <c:numCache>
                <c:formatCode>0</c:formatCode>
                <c:ptCount val="26"/>
                <c:pt idx="1">
                  <c:v>271.0333333333333</c:v>
                </c:pt>
                <c:pt idx="2">
                  <c:v>370.16666666666663</c:v>
                </c:pt>
                <c:pt idx="3" formatCode="General">
                  <c:v>302.69749999999999</c:v>
                </c:pt>
                <c:pt idx="5">
                  <c:v>867.25833333333333</c:v>
                </c:pt>
                <c:pt idx="6">
                  <c:v>408.4666666666667</c:v>
                </c:pt>
                <c:pt idx="7">
                  <c:v>1034.9333333333334</c:v>
                </c:pt>
                <c:pt idx="8">
                  <c:v>20.079999999999998</c:v>
                </c:pt>
                <c:pt idx="9">
                  <c:v>4449.25</c:v>
                </c:pt>
                <c:pt idx="10">
                  <c:v>100.21111111111111</c:v>
                </c:pt>
                <c:pt idx="11">
                  <c:v>86.805555555555543</c:v>
                </c:pt>
                <c:pt idx="12">
                  <c:v>9247.5</c:v>
                </c:pt>
                <c:pt idx="13">
                  <c:v>11540.833333333334</c:v>
                </c:pt>
                <c:pt idx="14">
                  <c:v>4050.5</c:v>
                </c:pt>
                <c:pt idx="15" formatCode="General">
                  <c:v>257.01666666666665</c:v>
                </c:pt>
                <c:pt idx="16">
                  <c:v>502.4083333333333</c:v>
                </c:pt>
                <c:pt idx="17">
                  <c:v>4686.75</c:v>
                </c:pt>
                <c:pt idx="18">
                  <c:v>968.8416666666667</c:v>
                </c:pt>
                <c:pt idx="19">
                  <c:v>515.08333333333337</c:v>
                </c:pt>
                <c:pt idx="20">
                  <c:v>2648.25</c:v>
                </c:pt>
                <c:pt idx="21" formatCode="General">
                  <c:v>875.24166666666679</c:v>
                </c:pt>
                <c:pt idx="22">
                  <c:v>1122.25</c:v>
                </c:pt>
                <c:pt idx="23">
                  <c:v>10659.166666666668</c:v>
                </c:pt>
                <c:pt idx="24">
                  <c:v>493.77777777777777</c:v>
                </c:pt>
                <c:pt idx="25">
                  <c:v>380.71111111111105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3-4C16-9692-138B7CE99490}"/>
            </c:ext>
          </c:extLst>
        </c:ser>
        <c:ser>
          <c:idx val="2"/>
          <c:order val="2"/>
          <c:tx>
            <c:strRef>
              <c:f>'Bact vs Metab'!$U$2</c:f>
              <c:strCache>
                <c:ptCount val="1"/>
                <c:pt idx="0">
                  <c:v>ncrA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Metab'!$U$3:$U$28</c:f>
              <c:numCache>
                <c:formatCode>0</c:formatCode>
                <c:ptCount val="26"/>
                <c:pt idx="1">
                  <c:v>0</c:v>
                </c:pt>
                <c:pt idx="2">
                  <c:v>16.12</c:v>
                </c:pt>
                <c:pt idx="3" formatCode="General">
                  <c:v>0</c:v>
                </c:pt>
                <c:pt idx="5">
                  <c:v>72.601111111111109</c:v>
                </c:pt>
                <c:pt idx="6">
                  <c:v>25.383333333333333</c:v>
                </c:pt>
                <c:pt idx="7">
                  <c:v>0</c:v>
                </c:pt>
                <c:pt idx="8">
                  <c:v>28.25333333333333</c:v>
                </c:pt>
                <c:pt idx="9">
                  <c:v>1821.3333333333333</c:v>
                </c:pt>
                <c:pt idx="10">
                  <c:v>65.281666666666666</c:v>
                </c:pt>
                <c:pt idx="11">
                  <c:v>29.567777777777778</c:v>
                </c:pt>
                <c:pt idx="12">
                  <c:v>1800.1111111111111</c:v>
                </c:pt>
                <c:pt idx="13">
                  <c:v>4211.75</c:v>
                </c:pt>
                <c:pt idx="14">
                  <c:v>1461.8666666666666</c:v>
                </c:pt>
                <c:pt idx="16">
                  <c:v>13.219777777777779</c:v>
                </c:pt>
                <c:pt idx="17">
                  <c:v>414.40250000000003</c:v>
                </c:pt>
                <c:pt idx="18">
                  <c:v>62.649999999999991</c:v>
                </c:pt>
                <c:pt idx="19">
                  <c:v>58.567777777777785</c:v>
                </c:pt>
                <c:pt idx="20">
                  <c:v>714.49166666666667</c:v>
                </c:pt>
                <c:pt idx="21" formatCode="General">
                  <c:v>78.766666666666666</c:v>
                </c:pt>
                <c:pt idx="22">
                  <c:v>253.26666666666665</c:v>
                </c:pt>
                <c:pt idx="23">
                  <c:v>2135.75</c:v>
                </c:pt>
                <c:pt idx="24">
                  <c:v>115.64444444444445</c:v>
                </c:pt>
                <c:pt idx="25">
                  <c:v>95.716666666666669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3-4C16-9692-138B7CE99490}"/>
            </c:ext>
          </c:extLst>
        </c:ser>
        <c:ser>
          <c:idx val="3"/>
          <c:order val="3"/>
          <c:tx>
            <c:strRef>
              <c:f>'Bact vs Metab'!$V$2</c:f>
              <c:strCache>
                <c:ptCount val="1"/>
                <c:pt idx="0">
                  <c:v>ncA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Metab'!$V$3:$V$28</c:f>
              <c:numCache>
                <c:formatCode>0</c:formatCode>
                <c:ptCount val="26"/>
                <c:pt idx="0" formatCode="General">
                  <c:v>1132.1939138281909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1137.1505391732021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2692.25</c:v>
                </c:pt>
                <c:pt idx="10">
                  <c:v>0</c:v>
                </c:pt>
                <c:pt idx="11">
                  <c:v>0</c:v>
                </c:pt>
                <c:pt idx="12">
                  <c:v>4977.6666666666661</c:v>
                </c:pt>
                <c:pt idx="13">
                  <c:v>6379.166666666667</c:v>
                </c:pt>
                <c:pt idx="14">
                  <c:v>2130.4166666666665</c:v>
                </c:pt>
                <c:pt idx="15" formatCode="General">
                  <c:v>0</c:v>
                </c:pt>
                <c:pt idx="16">
                  <c:v>87.466666666666669</c:v>
                </c:pt>
                <c:pt idx="17">
                  <c:v>1348.5833333333333</c:v>
                </c:pt>
                <c:pt idx="18">
                  <c:v>303.33333333333331</c:v>
                </c:pt>
                <c:pt idx="19">
                  <c:v>201.09999999999997</c:v>
                </c:pt>
                <c:pt idx="20">
                  <c:v>1670.0000000000002</c:v>
                </c:pt>
                <c:pt idx="21" formatCode="General">
                  <c:v>280.05</c:v>
                </c:pt>
                <c:pt idx="22">
                  <c:v>668</c:v>
                </c:pt>
                <c:pt idx="23">
                  <c:v>8449.1666666666679</c:v>
                </c:pt>
                <c:pt idx="24">
                  <c:v>145.78333333333333</c:v>
                </c:pt>
                <c:pt idx="25">
                  <c:v>201.54999999999998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3-4C16-9692-138B7CE99490}"/>
            </c:ext>
          </c:extLst>
        </c:ser>
        <c:ser>
          <c:idx val="4"/>
          <c:order val="4"/>
          <c:tx>
            <c:strRef>
              <c:f>'Bact vs Metab'!$W$2</c:f>
              <c:strCache>
                <c:ptCount val="1"/>
                <c:pt idx="0">
                  <c:v>peptococcus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Metab'!$W$3:$W$28</c:f>
              <c:numCache>
                <c:formatCode>0</c:formatCode>
                <c:ptCount val="26"/>
                <c:pt idx="0" formatCode="General">
                  <c:v>631.01110277170733</c:v>
                </c:pt>
                <c:pt idx="1">
                  <c:v>38.866666666666667</c:v>
                </c:pt>
                <c:pt idx="2">
                  <c:v>0</c:v>
                </c:pt>
                <c:pt idx="3" formatCode="General">
                  <c:v>144.76666666666668</c:v>
                </c:pt>
                <c:pt idx="4" formatCode="General">
                  <c:v>0</c:v>
                </c:pt>
                <c:pt idx="5">
                  <c:v>123.73333333333333</c:v>
                </c:pt>
                <c:pt idx="6">
                  <c:v>660.12222222222215</c:v>
                </c:pt>
                <c:pt idx="7">
                  <c:v>628.20000000000005</c:v>
                </c:pt>
                <c:pt idx="8">
                  <c:v>0</c:v>
                </c:pt>
                <c:pt idx="9">
                  <c:v>0</c:v>
                </c:pt>
                <c:pt idx="10">
                  <c:v>32.573333333333331</c:v>
                </c:pt>
                <c:pt idx="11">
                  <c:v>0</c:v>
                </c:pt>
                <c:pt idx="12">
                  <c:v>78.333333333333329</c:v>
                </c:pt>
                <c:pt idx="13">
                  <c:v>0</c:v>
                </c:pt>
                <c:pt idx="14">
                  <c:v>67.099999999999994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433.4666666666667</c:v>
                </c:pt>
                <c:pt idx="19">
                  <c:v>69.666666666666671</c:v>
                </c:pt>
                <c:pt idx="20">
                  <c:v>0</c:v>
                </c:pt>
                <c:pt idx="21" formatCode="General">
                  <c:v>476.84444444444443</c:v>
                </c:pt>
                <c:pt idx="22">
                  <c:v>0</c:v>
                </c:pt>
                <c:pt idx="23">
                  <c:v>186.63333333333333</c:v>
                </c:pt>
                <c:pt idx="24">
                  <c:v>338.01666666666665</c:v>
                </c:pt>
                <c:pt idx="25">
                  <c:v>110.33333333333333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3-4C16-9692-138B7CE99490}"/>
            </c:ext>
          </c:extLst>
        </c:ser>
        <c:ser>
          <c:idx val="5"/>
          <c:order val="5"/>
          <c:tx>
            <c:strRef>
              <c:f>'Bact vs Metab'!$X$2</c:f>
              <c:strCache>
                <c:ptCount val="1"/>
                <c:pt idx="0">
                  <c:v>bssA SRB &amp; IRB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Metab'!$X$3:$X$28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3833.3333333333335</c:v>
                </c:pt>
                <c:pt idx="4" formatCode="General">
                  <c:v>0</c:v>
                </c:pt>
                <c:pt idx="5">
                  <c:v>78191.666666666672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77116.666666666672</c:v>
                </c:pt>
                <c:pt idx="10">
                  <c:v>1831.5</c:v>
                </c:pt>
                <c:pt idx="11">
                  <c:v>0</c:v>
                </c:pt>
                <c:pt idx="12">
                  <c:v>472444.44444444444</c:v>
                </c:pt>
                <c:pt idx="13">
                  <c:v>0</c:v>
                </c:pt>
                <c:pt idx="14">
                  <c:v>68525</c:v>
                </c:pt>
                <c:pt idx="15" formatCode="General">
                  <c:v>0</c:v>
                </c:pt>
                <c:pt idx="16">
                  <c:v>2015.3333333333335</c:v>
                </c:pt>
                <c:pt idx="17">
                  <c:v>98633.333333333328</c:v>
                </c:pt>
                <c:pt idx="18">
                  <c:v>10038.666666666668</c:v>
                </c:pt>
                <c:pt idx="19">
                  <c:v>3618.8888888888887</c:v>
                </c:pt>
                <c:pt idx="20">
                  <c:v>4113.3333333333339</c:v>
                </c:pt>
                <c:pt idx="21" formatCode="General">
                  <c:v>30666.666666666664</c:v>
                </c:pt>
                <c:pt idx="22">
                  <c:v>9632.2222222222226</c:v>
                </c:pt>
                <c:pt idx="23">
                  <c:v>37466.666666666664</c:v>
                </c:pt>
                <c:pt idx="24">
                  <c:v>108516.66666666666</c:v>
                </c:pt>
                <c:pt idx="25">
                  <c:v>10203.333333333334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3-4C16-9692-138B7CE99490}"/>
            </c:ext>
          </c:extLst>
        </c:ser>
        <c:ser>
          <c:idx val="6"/>
          <c:order val="6"/>
          <c:tx>
            <c:strRef>
              <c:f>'Bact vs Metab'!$Y$2</c:f>
              <c:strCache>
                <c:ptCount val="1"/>
                <c:pt idx="0">
                  <c:v>bssA NRB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Metab'!$Y$3:$Y$28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2180</c:v>
                </c:pt>
                <c:pt idx="3">
                  <c:v>0</c:v>
                </c:pt>
                <c:pt idx="4">
                  <c:v>0</c:v>
                </c:pt>
                <c:pt idx="5">
                  <c:v>309.16666666666663</c:v>
                </c:pt>
                <c:pt idx="6">
                  <c:v>1254.4444444444443</c:v>
                </c:pt>
                <c:pt idx="7">
                  <c:v>12254.166666666668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370.16666666666669</c:v>
                </c:pt>
                <c:pt idx="13">
                  <c:v>146</c:v>
                </c:pt>
                <c:pt idx="14">
                  <c:v>0</c:v>
                </c:pt>
                <c:pt idx="15">
                  <c:v>0</c:v>
                </c:pt>
                <c:pt idx="16">
                  <c:v>466.66666666666669</c:v>
                </c:pt>
                <c:pt idx="17">
                  <c:v>0</c:v>
                </c:pt>
                <c:pt idx="18">
                  <c:v>1337.1666666666667</c:v>
                </c:pt>
                <c:pt idx="19">
                  <c:v>227.83333333333331</c:v>
                </c:pt>
                <c:pt idx="20">
                  <c:v>396.66666666666669</c:v>
                </c:pt>
                <c:pt idx="21">
                  <c:v>1226.6666666666667</c:v>
                </c:pt>
                <c:pt idx="22">
                  <c:v>0</c:v>
                </c:pt>
                <c:pt idx="23">
                  <c:v>323.66666666666669</c:v>
                </c:pt>
                <c:pt idx="24">
                  <c:v>302.16666666666669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3-4C16-9692-138B7CE99490}"/>
            </c:ext>
          </c:extLst>
        </c:ser>
        <c:ser>
          <c:idx val="7"/>
          <c:order val="7"/>
          <c:tx>
            <c:strRef>
              <c:f>'Bact vs Metab'!$Z$2</c:f>
              <c:strCache>
                <c:ptCount val="1"/>
                <c:pt idx="0">
                  <c:v>assA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Metab'!$Z$3:$Z$28</c:f>
              <c:numCache>
                <c:formatCode>General</c:formatCode>
                <c:ptCount val="26"/>
                <c:pt idx="0">
                  <c:v>3423.2104957928832</c:v>
                </c:pt>
                <c:pt idx="1">
                  <c:v>1380</c:v>
                </c:pt>
                <c:pt idx="2">
                  <c:v>10477.777777777776</c:v>
                </c:pt>
                <c:pt idx="3">
                  <c:v>1056.6666666666667</c:v>
                </c:pt>
                <c:pt idx="4">
                  <c:v>3048.6059619545681</c:v>
                </c:pt>
                <c:pt idx="5">
                  <c:v>1288.3333333333333</c:v>
                </c:pt>
                <c:pt idx="6">
                  <c:v>12866.666666666666</c:v>
                </c:pt>
                <c:pt idx="7">
                  <c:v>80092.5</c:v>
                </c:pt>
                <c:pt idx="8">
                  <c:v>379.83333333333337</c:v>
                </c:pt>
                <c:pt idx="9">
                  <c:v>2846.666666666667</c:v>
                </c:pt>
                <c:pt idx="10">
                  <c:v>1525.8333333333333</c:v>
                </c:pt>
                <c:pt idx="11">
                  <c:v>87.666666666666671</c:v>
                </c:pt>
                <c:pt idx="12">
                  <c:v>3461.666666666667</c:v>
                </c:pt>
                <c:pt idx="13">
                  <c:v>178</c:v>
                </c:pt>
                <c:pt idx="14">
                  <c:v>1246.6666666666667</c:v>
                </c:pt>
                <c:pt idx="15">
                  <c:v>0</c:v>
                </c:pt>
                <c:pt idx="16">
                  <c:v>1806.6666666666667</c:v>
                </c:pt>
                <c:pt idx="17">
                  <c:v>525.66666666666663</c:v>
                </c:pt>
                <c:pt idx="18">
                  <c:v>15333.333333333334</c:v>
                </c:pt>
                <c:pt idx="19">
                  <c:v>4287.666666666667</c:v>
                </c:pt>
                <c:pt idx="20">
                  <c:v>510</c:v>
                </c:pt>
                <c:pt idx="21">
                  <c:v>13900</c:v>
                </c:pt>
                <c:pt idx="22">
                  <c:v>1066.6666666666667</c:v>
                </c:pt>
                <c:pt idx="23">
                  <c:v>0</c:v>
                </c:pt>
                <c:pt idx="24">
                  <c:v>5414.4444444444443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204344"/>
        <c:axId val="904207296"/>
      </c:barChart>
      <c:lineChart>
        <c:grouping val="standard"/>
        <c:varyColors val="0"/>
        <c:ser>
          <c:idx val="8"/>
          <c:order val="8"/>
          <c:tx>
            <c:strRef>
              <c:f>'Bact vs Metab'!$AC$2</c:f>
              <c:strCache>
                <c:ptCount val="1"/>
                <c:pt idx="0">
                  <c:v>Number of detected metabolites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strRef>
              <c:f>'Bact vs Metab'!$P$3:$P$28</c:f>
              <c:strCache>
                <c:ptCount val="26"/>
                <c:pt idx="0">
                  <c:v>Pb1 17</c:v>
                </c:pt>
                <c:pt idx="1">
                  <c:v>B2 43</c:v>
                </c:pt>
                <c:pt idx="2">
                  <c:v>B2 65</c:v>
                </c:pt>
                <c:pt idx="3">
                  <c:v>60 70</c:v>
                </c:pt>
                <c:pt idx="4">
                  <c:v>BW205 44</c:v>
                </c:pt>
                <c:pt idx="5">
                  <c:v>B2 20</c:v>
                </c:pt>
                <c:pt idx="6">
                  <c:v>A 52</c:v>
                </c:pt>
                <c:pt idx="7">
                  <c:v>A 65</c:v>
                </c:pt>
                <c:pt idx="8">
                  <c:v>B 45</c:v>
                </c:pt>
                <c:pt idx="9">
                  <c:v>B2 15,5 </c:v>
                </c:pt>
                <c:pt idx="10">
                  <c:v>B 64</c:v>
                </c:pt>
                <c:pt idx="11">
                  <c:v>B 31</c:v>
                </c:pt>
                <c:pt idx="12">
                  <c:v>B2 10,5</c:v>
                </c:pt>
                <c:pt idx="13">
                  <c:v>B 28</c:v>
                </c:pt>
                <c:pt idx="14">
                  <c:v>B2 14</c:v>
                </c:pt>
                <c:pt idx="15">
                  <c:v>C 39</c:v>
                </c:pt>
                <c:pt idx="16">
                  <c:v>C 26</c:v>
                </c:pt>
                <c:pt idx="17">
                  <c:v>B2 7</c:v>
                </c:pt>
                <c:pt idx="18">
                  <c:v>C 19</c:v>
                </c:pt>
                <c:pt idx="19">
                  <c:v>C 15,5</c:v>
                </c:pt>
                <c:pt idx="20">
                  <c:v>B 20,5</c:v>
                </c:pt>
                <c:pt idx="21">
                  <c:v>C 46</c:v>
                </c:pt>
                <c:pt idx="22">
                  <c:v>B 19</c:v>
                </c:pt>
                <c:pt idx="23">
                  <c:v>B 17</c:v>
                </c:pt>
                <c:pt idx="24">
                  <c:v>B 12</c:v>
                </c:pt>
                <c:pt idx="25">
                  <c:v>B 15,5</c:v>
                </c:pt>
              </c:strCache>
            </c:strRef>
          </c:cat>
          <c:val>
            <c:numRef>
              <c:f>'Bact vs Metab'!$AC$3:$AC$28</c:f>
              <c:numCache>
                <c:formatCode>0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 formatCode="General">
                  <c:v>3</c:v>
                </c:pt>
                <c:pt idx="7" formatCode="General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20</c:v>
                </c:pt>
                <c:pt idx="13">
                  <c:v>23</c:v>
                </c:pt>
                <c:pt idx="14">
                  <c:v>27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36</c:v>
                </c:pt>
                <c:pt idx="20">
                  <c:v>36</c:v>
                </c:pt>
                <c:pt idx="21">
                  <c:v>41</c:v>
                </c:pt>
                <c:pt idx="22">
                  <c:v>41</c:v>
                </c:pt>
                <c:pt idx="23">
                  <c:v>43</c:v>
                </c:pt>
                <c:pt idx="24">
                  <c:v>47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03-4C16-9692-138B7CE9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33248"/>
        <c:axId val="700141120"/>
      </c:lineChart>
      <c:catAx>
        <c:axId val="904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7296"/>
        <c:crosses val="autoZero"/>
        <c:auto val="1"/>
        <c:lblAlgn val="ctr"/>
        <c:lblOffset val="100"/>
        <c:noMultiLvlLbl val="0"/>
      </c:catAx>
      <c:valAx>
        <c:axId val="904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Gene portions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4344"/>
        <c:crosses val="autoZero"/>
        <c:crossBetween val="between"/>
      </c:valAx>
      <c:valAx>
        <c:axId val="70014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Metabolite variety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3248"/>
        <c:crosses val="max"/>
        <c:crossBetween val="between"/>
      </c:valAx>
      <c:catAx>
        <c:axId val="700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436168111534721E-2"/>
          <c:y val="0.82346898934782264"/>
          <c:w val="0.89424342116661804"/>
          <c:h val="0.15825615685100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Tar aromatics</a:t>
            </a:r>
            <a:r>
              <a:rPr lang="nl-NL" baseline="0"/>
              <a:t> vs soil type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372694038208"/>
          <c:y val="0.12386426976648597"/>
          <c:w val="0.85629215746774689"/>
          <c:h val="0.48185789865384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'All vs soil type'!$C$3:$C$25</c:f>
              <c:strCache>
                <c:ptCount val="23"/>
                <c:pt idx="0">
                  <c:v>extremely course sand</c:v>
                </c:pt>
                <c:pt idx="1">
                  <c:v>extremely course sand</c:v>
                </c:pt>
                <c:pt idx="2">
                  <c:v>extremely course sand</c:v>
                </c:pt>
                <c:pt idx="3">
                  <c:v>extremely course sand</c:v>
                </c:pt>
                <c:pt idx="4">
                  <c:v>extremely course sand</c:v>
                </c:pt>
                <c:pt idx="5">
                  <c:v>very course sand</c:v>
                </c:pt>
                <c:pt idx="6">
                  <c:v>very course sand</c:v>
                </c:pt>
                <c:pt idx="7">
                  <c:v>very course sand</c:v>
                </c:pt>
                <c:pt idx="8">
                  <c:v>very course sand</c:v>
                </c:pt>
                <c:pt idx="9">
                  <c:v>very course sand</c:v>
                </c:pt>
                <c:pt idx="10">
                  <c:v>moderately course sand</c:v>
                </c:pt>
                <c:pt idx="11">
                  <c:v>moderately course sand</c:v>
                </c:pt>
                <c:pt idx="12">
                  <c:v>moderately course sand</c:v>
                </c:pt>
                <c:pt idx="13">
                  <c:v>moderately fine sand</c:v>
                </c:pt>
                <c:pt idx="14">
                  <c:v>moderately fine sand</c:v>
                </c:pt>
                <c:pt idx="15">
                  <c:v>moderately fine sand</c:v>
                </c:pt>
                <c:pt idx="16">
                  <c:v>moderately fine sand</c:v>
                </c:pt>
                <c:pt idx="17">
                  <c:v>very fine sand</c:v>
                </c:pt>
                <c:pt idx="18">
                  <c:v>very fine sand</c:v>
                </c:pt>
                <c:pt idx="19">
                  <c:v>very fine sand</c:v>
                </c:pt>
                <c:pt idx="20">
                  <c:v>very fine sand</c:v>
                </c:pt>
                <c:pt idx="21">
                  <c:v>extremely fine sand</c:v>
                </c:pt>
                <c:pt idx="22">
                  <c:v>clay</c:v>
                </c:pt>
              </c:strCache>
            </c:strRef>
          </c:cat>
          <c:val>
            <c:numRef>
              <c:f>'All vs soil type'!$D$3:$D$25</c:f>
              <c:numCache>
                <c:formatCode>General</c:formatCode>
                <c:ptCount val="23"/>
                <c:pt idx="0">
                  <c:v>8518</c:v>
                </c:pt>
                <c:pt idx="1">
                  <c:v>205</c:v>
                </c:pt>
                <c:pt idx="2">
                  <c:v>22</c:v>
                </c:pt>
                <c:pt idx="3">
                  <c:v>12093</c:v>
                </c:pt>
                <c:pt idx="4">
                  <c:v>10297</c:v>
                </c:pt>
                <c:pt idx="5">
                  <c:v>4628</c:v>
                </c:pt>
                <c:pt idx="6">
                  <c:v>6072</c:v>
                </c:pt>
                <c:pt idx="7">
                  <c:v>10123</c:v>
                </c:pt>
                <c:pt idx="8">
                  <c:v>707</c:v>
                </c:pt>
                <c:pt idx="9">
                  <c:v>26</c:v>
                </c:pt>
                <c:pt idx="10">
                  <c:v>10445</c:v>
                </c:pt>
                <c:pt idx="11">
                  <c:v>3364</c:v>
                </c:pt>
                <c:pt idx="12">
                  <c:v>25</c:v>
                </c:pt>
                <c:pt idx="13">
                  <c:v>121</c:v>
                </c:pt>
                <c:pt idx="14">
                  <c:v>8878</c:v>
                </c:pt>
                <c:pt idx="15">
                  <c:v>8523</c:v>
                </c:pt>
                <c:pt idx="16">
                  <c:v>13644</c:v>
                </c:pt>
                <c:pt idx="17">
                  <c:v>121</c:v>
                </c:pt>
                <c:pt idx="18">
                  <c:v>1977</c:v>
                </c:pt>
                <c:pt idx="19">
                  <c:v>607</c:v>
                </c:pt>
                <c:pt idx="20">
                  <c:v>33</c:v>
                </c:pt>
                <c:pt idx="21">
                  <c:v>9683</c:v>
                </c:pt>
                <c:pt idx="2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9-4448-A58C-A7A8CFD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675008"/>
        <c:axId val="425675336"/>
      </c:barChart>
      <c:catAx>
        <c:axId val="42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336"/>
        <c:crosses val="autoZero"/>
        <c:auto val="1"/>
        <c:lblAlgn val="ctr"/>
        <c:lblOffset val="100"/>
        <c:noMultiLvlLbl val="0"/>
      </c:catAx>
      <c:valAx>
        <c:axId val="4256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Tar aromatics (</a:t>
                </a:r>
                <a:r>
                  <a:rPr lang="el-GR" sz="1050"/>
                  <a:t>μ</a:t>
                </a:r>
                <a:r>
                  <a:rPr lang="nl-NL" sz="1050"/>
                  <a:t>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Lambda!$J$6</c:f>
              <c:strCache>
                <c:ptCount val="1"/>
                <c:pt idx="0">
                  <c:v>d H 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27820055691955603"/>
                  <c:y val="-0.2970880721349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Lambda!$I$7:$I$11</c:f>
              <c:numCache>
                <c:formatCode>General</c:formatCode>
                <c:ptCount val="5"/>
                <c:pt idx="0">
                  <c:v>-26.1</c:v>
                </c:pt>
                <c:pt idx="1">
                  <c:v>-25.8</c:v>
                </c:pt>
                <c:pt idx="2">
                  <c:v>-24.1</c:v>
                </c:pt>
                <c:pt idx="3">
                  <c:v>-24.1</c:v>
                </c:pt>
                <c:pt idx="4">
                  <c:v>-25.3</c:v>
                </c:pt>
              </c:numCache>
            </c:numRef>
          </c:xVal>
          <c:yVal>
            <c:numRef>
              <c:f>Lambda!$J$7:$J$11</c:f>
              <c:numCache>
                <c:formatCode>General</c:formatCode>
                <c:ptCount val="5"/>
                <c:pt idx="0">
                  <c:v>-106</c:v>
                </c:pt>
                <c:pt idx="1">
                  <c:v>-110</c:v>
                </c:pt>
                <c:pt idx="2">
                  <c:v>-118</c:v>
                </c:pt>
                <c:pt idx="3">
                  <c:v>-117</c:v>
                </c:pt>
                <c:pt idx="4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9-46AF-B2D7-53B5C46F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3"/>
          <c:min val="-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  <c:max val="-50"/>
          <c:min val="-1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Lambda!$J$23</c:f>
              <c:strCache>
                <c:ptCount val="1"/>
                <c:pt idx="0">
                  <c:v>d H 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2910308072087331"/>
                  <c:y val="0.161540125831230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Lambda!$I$24:$I$27</c:f>
              <c:numCache>
                <c:formatCode>General</c:formatCode>
                <c:ptCount val="4"/>
                <c:pt idx="0">
                  <c:v>-26.5</c:v>
                </c:pt>
                <c:pt idx="1">
                  <c:v>-26.2</c:v>
                </c:pt>
                <c:pt idx="2">
                  <c:v>-25.2</c:v>
                </c:pt>
                <c:pt idx="3">
                  <c:v>-25.7</c:v>
                </c:pt>
              </c:numCache>
            </c:numRef>
          </c:xVal>
          <c:yVal>
            <c:numRef>
              <c:f>Lambda!$J$24:$J$27</c:f>
              <c:numCache>
                <c:formatCode>General</c:formatCode>
                <c:ptCount val="4"/>
                <c:pt idx="0">
                  <c:v>-77</c:v>
                </c:pt>
                <c:pt idx="1">
                  <c:v>-75</c:v>
                </c:pt>
                <c:pt idx="2">
                  <c:v>-51</c:v>
                </c:pt>
                <c:pt idx="3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1BA-A901-82BEDF3A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5"/>
          <c:min val="-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  <c:max val="-50"/>
          <c:min val="-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Lambda!$J$37</c:f>
              <c:strCache>
                <c:ptCount val="1"/>
                <c:pt idx="0">
                  <c:v>d H 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38727677985350906"/>
                  <c:y val="-0.185902369959385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Lambda!$I$38:$I$42</c:f>
              <c:numCache>
                <c:formatCode>General</c:formatCode>
                <c:ptCount val="5"/>
                <c:pt idx="0">
                  <c:v>-26.7</c:v>
                </c:pt>
                <c:pt idx="1">
                  <c:v>-25.8</c:v>
                </c:pt>
                <c:pt idx="2">
                  <c:v>-26</c:v>
                </c:pt>
                <c:pt idx="3">
                  <c:v>-26</c:v>
                </c:pt>
                <c:pt idx="4">
                  <c:v>-25.5</c:v>
                </c:pt>
              </c:numCache>
            </c:numRef>
          </c:xVal>
          <c:yVal>
            <c:numRef>
              <c:f>Lambda!$J$38:$J$42</c:f>
              <c:numCache>
                <c:formatCode>General</c:formatCode>
                <c:ptCount val="5"/>
                <c:pt idx="0">
                  <c:v>-99</c:v>
                </c:pt>
                <c:pt idx="1">
                  <c:v>-67</c:v>
                </c:pt>
                <c:pt idx="2">
                  <c:v>-93</c:v>
                </c:pt>
                <c:pt idx="3">
                  <c:v>-72</c:v>
                </c:pt>
                <c:pt idx="4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F-4648-A09E-A28DD8DC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5.5"/>
          <c:min val="-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  <c:max val="-6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Lambda!$J$48</c:f>
              <c:strCache>
                <c:ptCount val="1"/>
                <c:pt idx="0">
                  <c:v>d H 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23354839750247047"/>
                  <c:y val="-0.221026910094723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Lambda!$I$49:$I$64</c:f>
              <c:numCache>
                <c:formatCode>General</c:formatCode>
                <c:ptCount val="16"/>
                <c:pt idx="0">
                  <c:v>-26.1</c:v>
                </c:pt>
                <c:pt idx="1">
                  <c:v>-25.8</c:v>
                </c:pt>
                <c:pt idx="2">
                  <c:v>-24.1</c:v>
                </c:pt>
                <c:pt idx="3">
                  <c:v>-24.1</c:v>
                </c:pt>
                <c:pt idx="4">
                  <c:v>-25.3</c:v>
                </c:pt>
                <c:pt idx="5">
                  <c:v>-26.5</c:v>
                </c:pt>
                <c:pt idx="6">
                  <c:v>-26.2</c:v>
                </c:pt>
                <c:pt idx="7">
                  <c:v>-25.2</c:v>
                </c:pt>
                <c:pt idx="8">
                  <c:v>-25.7</c:v>
                </c:pt>
                <c:pt idx="9">
                  <c:v>-26.7</c:v>
                </c:pt>
                <c:pt idx="10">
                  <c:v>-25.8</c:v>
                </c:pt>
                <c:pt idx="11">
                  <c:v>-26</c:v>
                </c:pt>
                <c:pt idx="12">
                  <c:v>-26</c:v>
                </c:pt>
                <c:pt idx="13">
                  <c:v>-25.5</c:v>
                </c:pt>
              </c:numCache>
            </c:numRef>
          </c:xVal>
          <c:yVal>
            <c:numRef>
              <c:f>Lambda!$J$49:$J$64</c:f>
              <c:numCache>
                <c:formatCode>General</c:formatCode>
                <c:ptCount val="16"/>
                <c:pt idx="0">
                  <c:v>-106</c:v>
                </c:pt>
                <c:pt idx="1">
                  <c:v>-110</c:v>
                </c:pt>
                <c:pt idx="2">
                  <c:v>-118</c:v>
                </c:pt>
                <c:pt idx="3">
                  <c:v>-117</c:v>
                </c:pt>
                <c:pt idx="4">
                  <c:v>-90</c:v>
                </c:pt>
                <c:pt idx="5">
                  <c:v>-77</c:v>
                </c:pt>
                <c:pt idx="6">
                  <c:v>-75</c:v>
                </c:pt>
                <c:pt idx="7">
                  <c:v>-51</c:v>
                </c:pt>
                <c:pt idx="8">
                  <c:v>-61</c:v>
                </c:pt>
                <c:pt idx="9">
                  <c:v>-99</c:v>
                </c:pt>
                <c:pt idx="10">
                  <c:v>-67</c:v>
                </c:pt>
                <c:pt idx="11">
                  <c:v>-93</c:v>
                </c:pt>
                <c:pt idx="12">
                  <c:v>-72</c:v>
                </c:pt>
                <c:pt idx="13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1-41D1-A657-06F7C5DA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23"/>
          <c:min val="-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  <c:max val="-50"/>
          <c:min val="-1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Lambda!$T$23</c:f>
              <c:strCache>
                <c:ptCount val="1"/>
                <c:pt idx="0">
                  <c:v>d H tolueen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7643169524384206"/>
                  <c:y val="0.20080701629650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Lambda!$S$24:$S$30</c:f>
              <c:numCache>
                <c:formatCode>General</c:formatCode>
                <c:ptCount val="7"/>
                <c:pt idx="0">
                  <c:v>-23.8</c:v>
                </c:pt>
              </c:numCache>
            </c:numRef>
          </c:xVal>
          <c:yVal>
            <c:numRef>
              <c:f>Lambda!$T$24:$T$30</c:f>
              <c:numCache>
                <c:formatCode>General</c:formatCode>
                <c:ptCount val="7"/>
                <c:pt idx="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8-4EF4-9423-8627AAFB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Toluene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(Λ=32)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4467069564468432"/>
                  <c:y val="0.11406757498441307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Lambda!$S$38:$S$41</c:f>
              <c:numCache>
                <c:formatCode>General</c:formatCode>
                <c:ptCount val="4"/>
                <c:pt idx="0">
                  <c:v>-18.8</c:v>
                </c:pt>
                <c:pt idx="1">
                  <c:v>-21.6</c:v>
                </c:pt>
                <c:pt idx="2">
                  <c:v>-25.3</c:v>
                </c:pt>
                <c:pt idx="3">
                  <c:v>-24.9</c:v>
                </c:pt>
              </c:numCache>
            </c:numRef>
          </c:xVal>
          <c:yVal>
            <c:numRef>
              <c:f>Lambda!$T$38:$T$41</c:f>
              <c:numCache>
                <c:formatCode>General</c:formatCode>
                <c:ptCount val="4"/>
                <c:pt idx="0">
                  <c:v>170</c:v>
                </c:pt>
                <c:pt idx="1">
                  <c:v>139</c:v>
                </c:pt>
                <c:pt idx="2">
                  <c:v>-46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4E4F-9F85-A837881E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  <c:max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3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legend>
      <c:legendPos val="b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Lambda!$AC$23</c:f>
              <c:strCache>
                <c:ptCount val="1"/>
                <c:pt idx="0">
                  <c:v>d H ethylbenzeen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19973952166706133"/>
                  <c:y val="-0.1354832795718898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Lambda!$AB$24:$AB$27</c:f>
              <c:numCache>
                <c:formatCode>General</c:formatCode>
                <c:ptCount val="4"/>
                <c:pt idx="0">
                  <c:v>-24.1</c:v>
                </c:pt>
                <c:pt idx="1">
                  <c:v>-22.8</c:v>
                </c:pt>
                <c:pt idx="2">
                  <c:v>-24.1</c:v>
                </c:pt>
                <c:pt idx="3">
                  <c:v>-22.5</c:v>
                </c:pt>
              </c:numCache>
            </c:numRef>
          </c:xVal>
          <c:yVal>
            <c:numRef>
              <c:f>Lambda!$AC$24:$AC$27</c:f>
              <c:numCache>
                <c:formatCode>General</c:formatCode>
                <c:ptCount val="4"/>
                <c:pt idx="0">
                  <c:v>-179</c:v>
                </c:pt>
                <c:pt idx="1">
                  <c:v>-161</c:v>
                </c:pt>
                <c:pt idx="2">
                  <c:v>-164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0-45B9-8CAD-5CCA6781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</a:t>
            </a:r>
            <a:endParaRPr lang="nl-NL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Lambda!$AC$37</c:f>
              <c:strCache>
                <c:ptCount val="1"/>
                <c:pt idx="0">
                  <c:v>d H ethylbenzeen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sx="1000" sy="1000" rotWithShape="0">
                  <a:srgbClr val="0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27893864926158263"/>
                  <c:y val="-0.142083012310013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Lambda!$AB$38:$AB$42</c:f>
              <c:numCache>
                <c:formatCode>General</c:formatCode>
                <c:ptCount val="5"/>
                <c:pt idx="0">
                  <c:v>-25.2</c:v>
                </c:pt>
                <c:pt idx="1">
                  <c:v>-24.2</c:v>
                </c:pt>
                <c:pt idx="2">
                  <c:v>-24.3</c:v>
                </c:pt>
                <c:pt idx="3">
                  <c:v>-24.4</c:v>
                </c:pt>
                <c:pt idx="4">
                  <c:v>-24.3</c:v>
                </c:pt>
              </c:numCache>
            </c:numRef>
          </c:xVal>
          <c:yVal>
            <c:numRef>
              <c:f>Lambda!$AC$38:$AC$42</c:f>
              <c:numCache>
                <c:formatCode>General</c:formatCode>
                <c:ptCount val="5"/>
                <c:pt idx="0">
                  <c:v>-165</c:v>
                </c:pt>
                <c:pt idx="1">
                  <c:v>-167</c:v>
                </c:pt>
                <c:pt idx="2">
                  <c:v>-155</c:v>
                </c:pt>
                <c:pt idx="3">
                  <c:v>-155</c:v>
                </c:pt>
                <c:pt idx="4">
                  <c:v>-163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F-415E-A4CA-45EC568A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13C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170"/>
        <c:crossBetween val="midCat"/>
      </c:valAx>
      <c:valAx>
        <c:axId val="135477888"/>
        <c:scaling>
          <c:orientation val="minMax"/>
          <c:min val="-1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/>
                  <a:t>2H (‰)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B, B2 and C</a:t>
            </a:r>
            <a:endParaRPr lang="nl-NL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64294992641082"/>
          <c:y val="0.24681858661570721"/>
          <c:w val="0.7510732850949785"/>
          <c:h val="0.46208463978923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Lambda!$AC$48</c:f>
              <c:strCache>
                <c:ptCount val="1"/>
                <c:pt idx="0">
                  <c:v>d H ethylbenzeen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0.34929850951916264"/>
                  <c:y val="-4.966190303057577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Lambda!$AB$49:$AB$63</c:f>
              <c:numCache>
                <c:formatCode>General</c:formatCode>
                <c:ptCount val="15"/>
                <c:pt idx="0">
                  <c:v>-21.5</c:v>
                </c:pt>
                <c:pt idx="1">
                  <c:v>-23.2</c:v>
                </c:pt>
                <c:pt idx="2">
                  <c:v>-23.4</c:v>
                </c:pt>
                <c:pt idx="3">
                  <c:v>-24.2</c:v>
                </c:pt>
                <c:pt idx="4">
                  <c:v>-23.7</c:v>
                </c:pt>
                <c:pt idx="5">
                  <c:v>-24.2</c:v>
                </c:pt>
                <c:pt idx="6">
                  <c:v>-24.1</c:v>
                </c:pt>
                <c:pt idx="7">
                  <c:v>-22.8</c:v>
                </c:pt>
                <c:pt idx="8">
                  <c:v>-24.1</c:v>
                </c:pt>
                <c:pt idx="9">
                  <c:v>-22.5</c:v>
                </c:pt>
                <c:pt idx="10">
                  <c:v>-25.2</c:v>
                </c:pt>
                <c:pt idx="11">
                  <c:v>-24.2</c:v>
                </c:pt>
                <c:pt idx="12">
                  <c:v>-24.3</c:v>
                </c:pt>
                <c:pt idx="13">
                  <c:v>-24.4</c:v>
                </c:pt>
                <c:pt idx="14">
                  <c:v>-24.3</c:v>
                </c:pt>
              </c:numCache>
            </c:numRef>
          </c:xVal>
          <c:yVal>
            <c:numRef>
              <c:f>Lambda!$AC$49:$AC$63</c:f>
              <c:numCache>
                <c:formatCode>General</c:formatCode>
                <c:ptCount val="15"/>
                <c:pt idx="0">
                  <c:v>80</c:v>
                </c:pt>
                <c:pt idx="1">
                  <c:v>-154</c:v>
                </c:pt>
                <c:pt idx="2">
                  <c:v>-169</c:v>
                </c:pt>
                <c:pt idx="3">
                  <c:v>-170</c:v>
                </c:pt>
                <c:pt idx="4">
                  <c:v>-173</c:v>
                </c:pt>
                <c:pt idx="5">
                  <c:v>-162</c:v>
                </c:pt>
                <c:pt idx="6">
                  <c:v>-179</c:v>
                </c:pt>
                <c:pt idx="7">
                  <c:v>-161</c:v>
                </c:pt>
                <c:pt idx="8">
                  <c:v>-164</c:v>
                </c:pt>
                <c:pt idx="9">
                  <c:v>2</c:v>
                </c:pt>
                <c:pt idx="10">
                  <c:v>-165</c:v>
                </c:pt>
                <c:pt idx="11">
                  <c:v>-167</c:v>
                </c:pt>
                <c:pt idx="12">
                  <c:v>-155</c:v>
                </c:pt>
                <c:pt idx="13">
                  <c:v>-155</c:v>
                </c:pt>
                <c:pt idx="14">
                  <c:v>-163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1-4D85-B3C9-386CD159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25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nl-NL" sz="1400"/>
              <a:t>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Lambda!$AC$6</c:f>
              <c:strCache>
                <c:ptCount val="1"/>
                <c:pt idx="0">
                  <c:v>d H ethylbenzeen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 cap="flat" cmpd="sng" algn="ctr">
                <a:solidFill>
                  <a:schemeClr val="tx1"/>
                </a:solidFill>
                <a:prstDash val="solid"/>
              </a:ln>
              <a:effectLst>
                <a:outerShdw blurRad="40000" dist="20000" dir="5400000" sx="1000" sy="1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6008431734413653"/>
                  <c:y val="0.209418653863749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Lambda!$AB$7:$AB$12</c:f>
              <c:numCache>
                <c:formatCode>General</c:formatCode>
                <c:ptCount val="6"/>
                <c:pt idx="0">
                  <c:v>-21.5</c:v>
                </c:pt>
                <c:pt idx="1">
                  <c:v>-23.2</c:v>
                </c:pt>
                <c:pt idx="2">
                  <c:v>-23.4</c:v>
                </c:pt>
                <c:pt idx="3">
                  <c:v>-24.2</c:v>
                </c:pt>
                <c:pt idx="4">
                  <c:v>-23.7</c:v>
                </c:pt>
                <c:pt idx="5">
                  <c:v>-24.2</c:v>
                </c:pt>
              </c:numCache>
            </c:numRef>
          </c:xVal>
          <c:yVal>
            <c:numRef>
              <c:f>Lambda!$AC$7:$AC$12</c:f>
              <c:numCache>
                <c:formatCode>General</c:formatCode>
                <c:ptCount val="6"/>
                <c:pt idx="0">
                  <c:v>80</c:v>
                </c:pt>
                <c:pt idx="1">
                  <c:v>-154</c:v>
                </c:pt>
                <c:pt idx="2">
                  <c:v>-169</c:v>
                </c:pt>
                <c:pt idx="3">
                  <c:v>-170</c:v>
                </c:pt>
                <c:pt idx="4">
                  <c:v>-173</c:v>
                </c:pt>
                <c:pt idx="5">
                  <c:v>-162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F-42BC-ACD1-A955C6D1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352"/>
        <c:axId val="135477888"/>
      </c:scatterChart>
      <c:valAx>
        <c:axId val="135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13</a:t>
                </a:r>
                <a:r>
                  <a:rPr lang="nl-NL"/>
                  <a:t>C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7888"/>
        <c:crossesAt val="-300"/>
        <c:crossBetween val="midCat"/>
      </c:valAx>
      <c:valAx>
        <c:axId val="1354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nl-NL" baseline="30000"/>
                  <a:t>2</a:t>
                </a:r>
                <a:r>
                  <a:rPr lang="nl-NL"/>
                  <a:t>H (</a:t>
                </a:r>
                <a:r>
                  <a:rPr lang="nl-NL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76352"/>
        <c:crossesAt val="-27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13" Type="http://schemas.openxmlformats.org/officeDocument/2006/relationships/chart" Target="../charts/chart102.xml"/><Relationship Id="rId18" Type="http://schemas.openxmlformats.org/officeDocument/2006/relationships/chart" Target="../charts/chart107.xml"/><Relationship Id="rId26" Type="http://schemas.openxmlformats.org/officeDocument/2006/relationships/chart" Target="../charts/chart115.xml"/><Relationship Id="rId3" Type="http://schemas.openxmlformats.org/officeDocument/2006/relationships/chart" Target="../charts/chart92.xml"/><Relationship Id="rId21" Type="http://schemas.openxmlformats.org/officeDocument/2006/relationships/chart" Target="../charts/chart110.xml"/><Relationship Id="rId7" Type="http://schemas.openxmlformats.org/officeDocument/2006/relationships/chart" Target="../charts/chart96.xml"/><Relationship Id="rId12" Type="http://schemas.openxmlformats.org/officeDocument/2006/relationships/chart" Target="../charts/chart101.xml"/><Relationship Id="rId17" Type="http://schemas.openxmlformats.org/officeDocument/2006/relationships/chart" Target="../charts/chart106.xml"/><Relationship Id="rId25" Type="http://schemas.openxmlformats.org/officeDocument/2006/relationships/chart" Target="../charts/chart114.xml"/><Relationship Id="rId2" Type="http://schemas.openxmlformats.org/officeDocument/2006/relationships/chart" Target="../charts/chart91.xml"/><Relationship Id="rId16" Type="http://schemas.openxmlformats.org/officeDocument/2006/relationships/chart" Target="../charts/chart105.xml"/><Relationship Id="rId20" Type="http://schemas.openxmlformats.org/officeDocument/2006/relationships/chart" Target="../charts/chart109.xml"/><Relationship Id="rId29" Type="http://schemas.openxmlformats.org/officeDocument/2006/relationships/chart" Target="../charts/chart118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11" Type="http://schemas.openxmlformats.org/officeDocument/2006/relationships/chart" Target="../charts/chart100.xml"/><Relationship Id="rId24" Type="http://schemas.openxmlformats.org/officeDocument/2006/relationships/chart" Target="../charts/chart113.xml"/><Relationship Id="rId32" Type="http://schemas.openxmlformats.org/officeDocument/2006/relationships/chart" Target="../charts/chart121.xml"/><Relationship Id="rId5" Type="http://schemas.openxmlformats.org/officeDocument/2006/relationships/chart" Target="../charts/chart94.xml"/><Relationship Id="rId15" Type="http://schemas.openxmlformats.org/officeDocument/2006/relationships/chart" Target="../charts/chart104.xml"/><Relationship Id="rId23" Type="http://schemas.openxmlformats.org/officeDocument/2006/relationships/chart" Target="../charts/chart112.xml"/><Relationship Id="rId28" Type="http://schemas.openxmlformats.org/officeDocument/2006/relationships/chart" Target="../charts/chart117.xml"/><Relationship Id="rId10" Type="http://schemas.openxmlformats.org/officeDocument/2006/relationships/chart" Target="../charts/chart99.xml"/><Relationship Id="rId19" Type="http://schemas.openxmlformats.org/officeDocument/2006/relationships/chart" Target="../charts/chart108.xml"/><Relationship Id="rId31" Type="http://schemas.openxmlformats.org/officeDocument/2006/relationships/chart" Target="../charts/chart120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Relationship Id="rId14" Type="http://schemas.openxmlformats.org/officeDocument/2006/relationships/chart" Target="../charts/chart103.xml"/><Relationship Id="rId22" Type="http://schemas.openxmlformats.org/officeDocument/2006/relationships/chart" Target="../charts/chart111.xml"/><Relationship Id="rId27" Type="http://schemas.openxmlformats.org/officeDocument/2006/relationships/chart" Target="../charts/chart116.xml"/><Relationship Id="rId30" Type="http://schemas.openxmlformats.org/officeDocument/2006/relationships/chart" Target="../charts/chart1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58521</xdr:colOff>
      <xdr:row>13</xdr:row>
      <xdr:rowOff>153619</xdr:rowOff>
    </xdr:from>
    <xdr:to>
      <xdr:col>20</xdr:col>
      <xdr:colOff>263346</xdr:colOff>
      <xdr:row>44</xdr:row>
      <xdr:rowOff>103660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4984E5B-9FD2-4AA0-A8FE-7FDD0DE0BDDE}"/>
            </a:ext>
          </a:extLst>
        </xdr:cNvPr>
        <xdr:cNvGrpSpPr/>
      </xdr:nvGrpSpPr>
      <xdr:grpSpPr>
        <a:xfrm>
          <a:off x="8183346" y="2953969"/>
          <a:ext cx="3833850" cy="6055566"/>
          <a:chOff x="4067944" y="908720"/>
          <a:chExt cx="3960440" cy="56193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28C2861-1B94-4082-A430-B2817E9AE3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067944" y="908720"/>
            <a:ext cx="3960440" cy="5619321"/>
          </a:xfrm>
          <a:prstGeom prst="rect">
            <a:avLst/>
          </a:prstGeom>
        </xdr:spPr>
      </xdr:pic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F2DAAD5-1DE8-4155-9D18-E4AB89D88D86}"/>
              </a:ext>
            </a:extLst>
          </xdr:cNvPr>
          <xdr:cNvSpPr/>
        </xdr:nvSpPr>
        <xdr:spPr>
          <a:xfrm>
            <a:off x="4644008" y="2348880"/>
            <a:ext cx="360040" cy="360040"/>
          </a:xfrm>
          <a:prstGeom prst="ellipse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37FDF02F-D5E4-4807-994E-5A0AD3616E69}"/>
              </a:ext>
            </a:extLst>
          </xdr:cNvPr>
          <xdr:cNvSpPr/>
        </xdr:nvSpPr>
        <xdr:spPr>
          <a:xfrm>
            <a:off x="5292080" y="2492896"/>
            <a:ext cx="360040" cy="360040"/>
          </a:xfrm>
          <a:prstGeom prst="ellipse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5E691331-BF3B-41BF-A31A-4E28C6B068EC}"/>
              </a:ext>
            </a:extLst>
          </xdr:cNvPr>
          <xdr:cNvSpPr/>
        </xdr:nvSpPr>
        <xdr:spPr>
          <a:xfrm>
            <a:off x="6156176" y="3429000"/>
            <a:ext cx="360040" cy="360040"/>
          </a:xfrm>
          <a:prstGeom prst="ellipse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BDC0A562-5793-40C4-96FF-12C2D8BB9329}"/>
              </a:ext>
            </a:extLst>
          </xdr:cNvPr>
          <xdr:cNvSpPr/>
        </xdr:nvSpPr>
        <xdr:spPr>
          <a:xfrm>
            <a:off x="6804248" y="2996952"/>
            <a:ext cx="360040" cy="360040"/>
          </a:xfrm>
          <a:prstGeom prst="ellipse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" name="TextBox 2">
            <a:extLst>
              <a:ext uri="{FF2B5EF4-FFF2-40B4-BE49-F238E27FC236}">
                <a16:creationId xmlns:a16="http://schemas.microsoft.com/office/drawing/2014/main" id="{68274811-AF86-4654-A080-9F1C02834A18}"/>
              </a:ext>
            </a:extLst>
          </xdr:cNvPr>
          <xdr:cNvSpPr txBox="1"/>
        </xdr:nvSpPr>
        <xdr:spPr>
          <a:xfrm>
            <a:off x="6897868" y="2996952"/>
            <a:ext cx="266420" cy="2308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 b="1"/>
              <a:t>2</a:t>
            </a:r>
            <a:endParaRPr lang="nl-NL" b="1"/>
          </a:p>
        </xdr:txBody>
      </xdr:sp>
    </xdr:grpSp>
    <xdr:clientData/>
  </xdr:twoCellAnchor>
  <xdr:twoCellAnchor editAs="oneCell">
    <xdr:from>
      <xdr:col>3</xdr:col>
      <xdr:colOff>482805</xdr:colOff>
      <xdr:row>32</xdr:row>
      <xdr:rowOff>21420</xdr:rowOff>
    </xdr:from>
    <xdr:to>
      <xdr:col>10</xdr:col>
      <xdr:colOff>417653</xdr:colOff>
      <xdr:row>52</xdr:row>
      <xdr:rowOff>102413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46000D-F0C5-4FE7-AEFE-F3C9CA14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939" y="6027199"/>
          <a:ext cx="4996281" cy="374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43891</xdr:colOff>
      <xdr:row>51</xdr:row>
      <xdr:rowOff>78727</xdr:rowOff>
    </xdr:from>
    <xdr:to>
      <xdr:col>5</xdr:col>
      <xdr:colOff>1031442</xdr:colOff>
      <xdr:row>70</xdr:row>
      <xdr:rowOff>93357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341CB-57D3-42D5-9B47-448C67BB8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575199</xdr:colOff>
      <xdr:row>24</xdr:row>
      <xdr:rowOff>151529</xdr:rowOff>
    </xdr:from>
    <xdr:to>
      <xdr:col>42</xdr:col>
      <xdr:colOff>890015</xdr:colOff>
      <xdr:row>49</xdr:row>
      <xdr:rowOff>73151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03514A-40E1-4D2B-89D4-F80B4804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170688</xdr:rowOff>
    </xdr:from>
    <xdr:to>
      <xdr:col>5</xdr:col>
      <xdr:colOff>987551</xdr:colOff>
      <xdr:row>51</xdr:row>
      <xdr:rowOff>2436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593101-B3A9-4B3B-8EEF-EFFC3707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1034575</xdr:colOff>
      <xdr:row>51</xdr:row>
      <xdr:rowOff>48767</xdr:rowOff>
    </xdr:from>
    <xdr:to>
      <xdr:col>10</xdr:col>
      <xdr:colOff>207164</xdr:colOff>
      <xdr:row>70</xdr:row>
      <xdr:rowOff>63398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F09478-413C-46EF-9BDA-423EE5D7B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1024126</xdr:colOff>
      <xdr:row>31</xdr:row>
      <xdr:rowOff>158496</xdr:rowOff>
    </xdr:from>
    <xdr:to>
      <xdr:col>10</xdr:col>
      <xdr:colOff>195070</xdr:colOff>
      <xdr:row>50</xdr:row>
      <xdr:rowOff>173126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D12005-A138-4548-AFC9-B71F4FA2E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1228343</xdr:colOff>
      <xdr:row>33</xdr:row>
      <xdr:rowOff>57912</xdr:rowOff>
    </xdr:from>
    <xdr:to>
      <xdr:col>16</xdr:col>
      <xdr:colOff>198120</xdr:colOff>
      <xdr:row>67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0EF374-3296-4419-AC37-8BD4DDDC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469391</xdr:colOff>
      <xdr:row>33</xdr:row>
      <xdr:rowOff>57912</xdr:rowOff>
    </xdr:from>
    <xdr:to>
      <xdr:col>12</xdr:col>
      <xdr:colOff>1200911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2002F-BF0D-4F35-A9A4-2E1B56F3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234694</xdr:colOff>
      <xdr:row>33</xdr:row>
      <xdr:rowOff>57912</xdr:rowOff>
    </xdr:from>
    <xdr:to>
      <xdr:col>34</xdr:col>
      <xdr:colOff>643128</xdr:colOff>
      <xdr:row>67</xdr:row>
      <xdr:rowOff>85344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727AFB-0493-4C68-AE8B-8B5A1A88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301752</xdr:colOff>
      <xdr:row>29</xdr:row>
      <xdr:rowOff>45720</xdr:rowOff>
    </xdr:from>
    <xdr:to>
      <xdr:col>19</xdr:col>
      <xdr:colOff>65749</xdr:colOff>
      <xdr:row>65</xdr:row>
      <xdr:rowOff>137161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93F164-0AF8-4C5C-8BFD-FF4F033CA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219456</xdr:colOff>
      <xdr:row>31</xdr:row>
      <xdr:rowOff>0</xdr:rowOff>
    </xdr:from>
    <xdr:to>
      <xdr:col>34</xdr:col>
      <xdr:colOff>541235</xdr:colOff>
      <xdr:row>54</xdr:row>
      <xdr:rowOff>109728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B26841-FE77-4458-9378-7D37B6A17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23</xdr:row>
      <xdr:rowOff>121920</xdr:rowOff>
    </xdr:from>
    <xdr:to>
      <xdr:col>10</xdr:col>
      <xdr:colOff>820928</xdr:colOff>
      <xdr:row>50</xdr:row>
      <xdr:rowOff>137162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A42E7-41D2-41E1-8611-3B386E72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228599</xdr:colOff>
      <xdr:row>1</xdr:row>
      <xdr:rowOff>45720</xdr:rowOff>
    </xdr:from>
    <xdr:to>
      <xdr:col>26</xdr:col>
      <xdr:colOff>521208</xdr:colOff>
      <xdr:row>20</xdr:row>
      <xdr:rowOff>18288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4CF12-4289-45FD-A395-3D52072A7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347472</xdr:colOff>
      <xdr:row>22</xdr:row>
      <xdr:rowOff>137160</xdr:rowOff>
    </xdr:from>
    <xdr:to>
      <xdr:col>27</xdr:col>
      <xdr:colOff>1</xdr:colOff>
      <xdr:row>43</xdr:row>
      <xdr:rowOff>82296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F43B9-9FA1-4328-AC1B-4958B046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292608</xdr:colOff>
      <xdr:row>43</xdr:row>
      <xdr:rowOff>146304</xdr:rowOff>
    </xdr:from>
    <xdr:to>
      <xdr:col>26</xdr:col>
      <xdr:colOff>621793</xdr:colOff>
      <xdr:row>64</xdr:row>
      <xdr:rowOff>146304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FC66-BA01-4040-B36E-AE389D63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30</xdr:col>
      <xdr:colOff>292609</xdr:colOff>
      <xdr:row>20</xdr:row>
      <xdr:rowOff>36576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428D56-86F7-4E72-B599-C2E2A5280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256032</xdr:colOff>
      <xdr:row>22</xdr:row>
      <xdr:rowOff>137160</xdr:rowOff>
    </xdr:from>
    <xdr:to>
      <xdr:col>30</xdr:col>
      <xdr:colOff>548641</xdr:colOff>
      <xdr:row>43</xdr:row>
      <xdr:rowOff>82296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BDF89-CE78-4429-82CB-E22CD9DF5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64008</xdr:colOff>
      <xdr:row>44</xdr:row>
      <xdr:rowOff>45720</xdr:rowOff>
    </xdr:from>
    <xdr:to>
      <xdr:col>30</xdr:col>
      <xdr:colOff>393193</xdr:colOff>
      <xdr:row>65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31E576-5A1D-45E2-B246-1A58A6B5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384048</xdr:colOff>
      <xdr:row>0</xdr:row>
      <xdr:rowOff>173736</xdr:rowOff>
    </xdr:from>
    <xdr:to>
      <xdr:col>34</xdr:col>
      <xdr:colOff>36577</xdr:colOff>
      <xdr:row>20</xdr:row>
      <xdr:rowOff>27432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FAAEB-2EB2-4916-8F46-981F9B9D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484632</xdr:colOff>
      <xdr:row>22</xdr:row>
      <xdr:rowOff>18288</xdr:rowOff>
    </xdr:from>
    <xdr:to>
      <xdr:col>34</xdr:col>
      <xdr:colOff>137161</xdr:colOff>
      <xdr:row>42</xdr:row>
      <xdr:rowOff>146304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573E8E-4B2C-43DB-A98C-C3C9FFDF2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365760</xdr:colOff>
      <xdr:row>43</xdr:row>
      <xdr:rowOff>137160</xdr:rowOff>
    </xdr:from>
    <xdr:to>
      <xdr:col>34</xdr:col>
      <xdr:colOff>54865</xdr:colOff>
      <xdr:row>64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6C6EF9-808D-4D15-A7E3-F41648BF4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37</xdr:col>
      <xdr:colOff>292609</xdr:colOff>
      <xdr:row>20</xdr:row>
      <xdr:rowOff>36576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DADC78-DEAF-4133-A164-7D6D8BD8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37</xdr:col>
      <xdr:colOff>292609</xdr:colOff>
      <xdr:row>42</xdr:row>
      <xdr:rowOff>128016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FA5FD4-BD8D-42DC-861C-A7C59903B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37</xdr:col>
      <xdr:colOff>329185</xdr:colOff>
      <xdr:row>65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82BF39-F36E-40A6-B79E-6BD6A748B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982267</xdr:colOff>
      <xdr:row>1</xdr:row>
      <xdr:rowOff>16255</xdr:rowOff>
    </xdr:from>
    <xdr:to>
      <xdr:col>43</xdr:col>
      <xdr:colOff>421030</xdr:colOff>
      <xdr:row>17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722C3-3C2C-473B-B34E-738B1EAFE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447040</xdr:colOff>
      <xdr:row>17</xdr:row>
      <xdr:rowOff>138176</xdr:rowOff>
    </xdr:from>
    <xdr:to>
      <xdr:col>44</xdr:col>
      <xdr:colOff>414528</xdr:colOff>
      <xdr:row>33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65C55-CFE6-40BF-BA8B-704A2D292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251968</xdr:colOff>
      <xdr:row>28</xdr:row>
      <xdr:rowOff>178816</xdr:rowOff>
    </xdr:from>
    <xdr:to>
      <xdr:col>12</xdr:col>
      <xdr:colOff>617728</xdr:colOff>
      <xdr:row>51</xdr:row>
      <xdr:rowOff>32512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B0A6A-84C6-4FF6-BBC8-7A2740A60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560832</xdr:colOff>
      <xdr:row>29</xdr:row>
      <xdr:rowOff>113792</xdr:rowOff>
    </xdr:from>
    <xdr:to>
      <xdr:col>28</xdr:col>
      <xdr:colOff>284480</xdr:colOff>
      <xdr:row>51</xdr:row>
      <xdr:rowOff>170688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0554D-0763-47F8-8D59-9B386445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8841</xdr:colOff>
      <xdr:row>3</xdr:row>
      <xdr:rowOff>137187</xdr:rowOff>
    </xdr:from>
    <xdr:to>
      <xdr:col>17</xdr:col>
      <xdr:colOff>335891</xdr:colOff>
      <xdr:row>15</xdr:row>
      <xdr:rowOff>98587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1C33E-2EDE-48CA-BA01-4CF03A97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433122</xdr:colOff>
      <xdr:row>17</xdr:row>
      <xdr:rowOff>109728</xdr:rowOff>
    </xdr:from>
    <xdr:to>
      <xdr:col>17</xdr:col>
      <xdr:colOff>116434</xdr:colOff>
      <xdr:row>30</xdr:row>
      <xdr:rowOff>140733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A73D-6819-4F4E-A8DC-00CA924F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484329</xdr:colOff>
      <xdr:row>33</xdr:row>
      <xdr:rowOff>123389</xdr:rowOff>
    </xdr:from>
    <xdr:to>
      <xdr:col>17</xdr:col>
      <xdr:colOff>167641</xdr:colOff>
      <xdr:row>46</xdr:row>
      <xdr:rowOff>168249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E07CF-D779-44EA-8639-E52DC3E9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409651</xdr:colOff>
      <xdr:row>48</xdr:row>
      <xdr:rowOff>117043</xdr:rowOff>
    </xdr:from>
    <xdr:to>
      <xdr:col>17</xdr:col>
      <xdr:colOff>102415</xdr:colOff>
      <xdr:row>62</xdr:row>
      <xdr:rowOff>14631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AE85E-A39E-48FB-9367-B157CF27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155145</xdr:colOff>
      <xdr:row>17</xdr:row>
      <xdr:rowOff>148104</xdr:rowOff>
    </xdr:from>
    <xdr:to>
      <xdr:col>26</xdr:col>
      <xdr:colOff>482193</xdr:colOff>
      <xdr:row>30</xdr:row>
      <xdr:rowOff>179109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39266B-BCC6-4948-8D82-91C925BDB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396546</xdr:colOff>
      <xdr:row>49</xdr:row>
      <xdr:rowOff>12210</xdr:rowOff>
    </xdr:from>
    <xdr:to>
      <xdr:col>25</xdr:col>
      <xdr:colOff>406399</xdr:colOff>
      <xdr:row>66</xdr:row>
      <xdr:rowOff>178816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29CE5C-BA82-4E94-9DE0-06624E8D8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67363</xdr:colOff>
      <xdr:row>19</xdr:row>
      <xdr:rowOff>0</xdr:rowOff>
    </xdr:from>
    <xdr:to>
      <xdr:col>35</xdr:col>
      <xdr:colOff>394411</xdr:colOff>
      <xdr:row>32</xdr:row>
      <xdr:rowOff>31005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1F57E3-AFAD-4E36-B213-54C754C51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162461</xdr:colOff>
      <xdr:row>34</xdr:row>
      <xdr:rowOff>159966</xdr:rowOff>
    </xdr:from>
    <xdr:to>
      <xdr:col>35</xdr:col>
      <xdr:colOff>489509</xdr:colOff>
      <xdr:row>48</xdr:row>
      <xdr:rowOff>14630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F7018BD-CDA6-4F0A-B726-A355BD24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</xdr:colOff>
      <xdr:row>50</xdr:row>
      <xdr:rowOff>51207</xdr:rowOff>
    </xdr:from>
    <xdr:to>
      <xdr:col>35</xdr:col>
      <xdr:colOff>336501</xdr:colOff>
      <xdr:row>63</xdr:row>
      <xdr:rowOff>138989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10999E-F0A8-44A1-B0B8-6F1BBB773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29262</xdr:colOff>
      <xdr:row>4</xdr:row>
      <xdr:rowOff>73154</xdr:rowOff>
    </xdr:from>
    <xdr:to>
      <xdr:col>35</xdr:col>
      <xdr:colOff>356310</xdr:colOff>
      <xdr:row>16</xdr:row>
      <xdr:rowOff>34552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0834F0-6952-40A0-9C04-DBC1D3D63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77812</xdr:colOff>
      <xdr:row>16</xdr:row>
      <xdr:rowOff>135850</xdr:rowOff>
    </xdr:from>
    <xdr:to>
      <xdr:col>44</xdr:col>
      <xdr:colOff>404859</xdr:colOff>
      <xdr:row>29</xdr:row>
      <xdr:rowOff>166856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376CAD-4026-4E4D-B308-B1905338C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162460</xdr:colOff>
      <xdr:row>32</xdr:row>
      <xdr:rowOff>86812</xdr:rowOff>
    </xdr:from>
    <xdr:to>
      <xdr:col>44</xdr:col>
      <xdr:colOff>489507</xdr:colOff>
      <xdr:row>45</xdr:row>
      <xdr:rowOff>129582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DAF0697-25A8-47D7-95C5-1E2B9728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47</xdr:row>
      <xdr:rowOff>166159</xdr:rowOff>
    </xdr:from>
    <xdr:to>
      <xdr:col>44</xdr:col>
      <xdr:colOff>336499</xdr:colOff>
      <xdr:row>61</xdr:row>
      <xdr:rowOff>65835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9B516D-5916-4025-8418-A51A4727D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29261</xdr:colOff>
      <xdr:row>2</xdr:row>
      <xdr:rowOff>0</xdr:rowOff>
    </xdr:from>
    <xdr:to>
      <xdr:col>44</xdr:col>
      <xdr:colOff>356308</xdr:colOff>
      <xdr:row>13</xdr:row>
      <xdr:rowOff>149504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6D1C8FB-1107-43B4-B7F3-65F63CC25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77812</xdr:colOff>
      <xdr:row>16</xdr:row>
      <xdr:rowOff>135850</xdr:rowOff>
    </xdr:from>
    <xdr:to>
      <xdr:col>53</xdr:col>
      <xdr:colOff>404861</xdr:colOff>
      <xdr:row>29</xdr:row>
      <xdr:rowOff>166856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EC92B5-6BAA-4B2A-9E4D-CD2824887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162460</xdr:colOff>
      <xdr:row>32</xdr:row>
      <xdr:rowOff>86812</xdr:rowOff>
    </xdr:from>
    <xdr:to>
      <xdr:col>53</xdr:col>
      <xdr:colOff>489509</xdr:colOff>
      <xdr:row>45</xdr:row>
      <xdr:rowOff>129582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392E86-936E-4361-919A-5A8DD65E6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47</xdr:row>
      <xdr:rowOff>166159</xdr:rowOff>
    </xdr:from>
    <xdr:to>
      <xdr:col>53</xdr:col>
      <xdr:colOff>336501</xdr:colOff>
      <xdr:row>61</xdr:row>
      <xdr:rowOff>65835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4CA0D62-36FA-4B58-81F6-0EE3D091D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29261</xdr:colOff>
      <xdr:row>2</xdr:row>
      <xdr:rowOff>0</xdr:rowOff>
    </xdr:from>
    <xdr:to>
      <xdr:col>53</xdr:col>
      <xdr:colOff>356310</xdr:colOff>
      <xdr:row>13</xdr:row>
      <xdr:rowOff>149504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BB8725-AFCC-43D4-BB5C-4D387E50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77812</xdr:colOff>
      <xdr:row>15</xdr:row>
      <xdr:rowOff>135852</xdr:rowOff>
    </xdr:from>
    <xdr:to>
      <xdr:col>62</xdr:col>
      <xdr:colOff>404859</xdr:colOff>
      <xdr:row>28</xdr:row>
      <xdr:rowOff>166857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EEE9D-1AF6-47DB-BB75-BA403CD7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162460</xdr:colOff>
      <xdr:row>31</xdr:row>
      <xdr:rowOff>86812</xdr:rowOff>
    </xdr:from>
    <xdr:to>
      <xdr:col>62</xdr:col>
      <xdr:colOff>489507</xdr:colOff>
      <xdr:row>44</xdr:row>
      <xdr:rowOff>129583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AA77881-E0B0-4F07-A7E4-2D615778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0</xdr:colOff>
      <xdr:row>46</xdr:row>
      <xdr:rowOff>166159</xdr:rowOff>
    </xdr:from>
    <xdr:to>
      <xdr:col>62</xdr:col>
      <xdr:colOff>336499</xdr:colOff>
      <xdr:row>60</xdr:row>
      <xdr:rowOff>65836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402B9AC-23DC-4C2F-AFD3-657B4CD43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29261</xdr:colOff>
      <xdr:row>1</xdr:row>
      <xdr:rowOff>0</xdr:rowOff>
    </xdr:from>
    <xdr:to>
      <xdr:col>62</xdr:col>
      <xdr:colOff>356308</xdr:colOff>
      <xdr:row>12</xdr:row>
      <xdr:rowOff>149506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3A728DF-8519-41D5-B7CD-8F250F99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65</xdr:col>
      <xdr:colOff>77812</xdr:colOff>
      <xdr:row>15</xdr:row>
      <xdr:rowOff>135852</xdr:rowOff>
    </xdr:from>
    <xdr:to>
      <xdr:col>71</xdr:col>
      <xdr:colOff>404860</xdr:colOff>
      <xdr:row>28</xdr:row>
      <xdr:rowOff>166857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43E304A-24EC-4C64-AEF0-D82B90880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65</xdr:col>
      <xdr:colOff>162460</xdr:colOff>
      <xdr:row>31</xdr:row>
      <xdr:rowOff>86812</xdr:rowOff>
    </xdr:from>
    <xdr:to>
      <xdr:col>71</xdr:col>
      <xdr:colOff>489508</xdr:colOff>
      <xdr:row>44</xdr:row>
      <xdr:rowOff>129583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C728331-25F8-4331-BF5A-7E661B00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65</xdr:col>
      <xdr:colOff>0</xdr:colOff>
      <xdr:row>46</xdr:row>
      <xdr:rowOff>166159</xdr:rowOff>
    </xdr:from>
    <xdr:to>
      <xdr:col>71</xdr:col>
      <xdr:colOff>336500</xdr:colOff>
      <xdr:row>60</xdr:row>
      <xdr:rowOff>65836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0C8EFCF-19F9-4DF7-8637-F77EF35B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65</xdr:col>
      <xdr:colOff>29261</xdr:colOff>
      <xdr:row>1</xdr:row>
      <xdr:rowOff>0</xdr:rowOff>
    </xdr:from>
    <xdr:to>
      <xdr:col>71</xdr:col>
      <xdr:colOff>356309</xdr:colOff>
      <xdr:row>12</xdr:row>
      <xdr:rowOff>149506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6C1B365-B6A8-438B-8D3A-DEC071AF7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495808</xdr:colOff>
      <xdr:row>65</xdr:row>
      <xdr:rowOff>121920</xdr:rowOff>
    </xdr:from>
    <xdr:to>
      <xdr:col>18</xdr:col>
      <xdr:colOff>495808</xdr:colOff>
      <xdr:row>83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85DC2AB-6E7A-4DEB-A4FC-06D47099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0</xdr:colOff>
      <xdr:row>65</xdr:row>
      <xdr:rowOff>0</xdr:rowOff>
    </xdr:from>
    <xdr:to>
      <xdr:col>35</xdr:col>
      <xdr:colOff>0</xdr:colOff>
      <xdr:row>82</xdr:row>
      <xdr:rowOff>65024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9CC8E49-7D27-4613-934B-4C7060B4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0</xdr:colOff>
      <xdr:row>65</xdr:row>
      <xdr:rowOff>0</xdr:rowOff>
    </xdr:from>
    <xdr:to>
      <xdr:col>46</xdr:col>
      <xdr:colOff>0</xdr:colOff>
      <xdr:row>82</xdr:row>
      <xdr:rowOff>65024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1913065-8681-4011-A253-6352447F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0</xdr:colOff>
      <xdr:row>65</xdr:row>
      <xdr:rowOff>0</xdr:rowOff>
    </xdr:from>
    <xdr:to>
      <xdr:col>55</xdr:col>
      <xdr:colOff>0</xdr:colOff>
      <xdr:row>82</xdr:row>
      <xdr:rowOff>65024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9F983D4-AC52-4A78-9198-B89785246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56</xdr:col>
      <xdr:colOff>0</xdr:colOff>
      <xdr:row>65</xdr:row>
      <xdr:rowOff>0</xdr:rowOff>
    </xdr:from>
    <xdr:to>
      <xdr:col>64</xdr:col>
      <xdr:colOff>0</xdr:colOff>
      <xdr:row>82</xdr:row>
      <xdr:rowOff>65024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9E59142-7F7C-4AEF-A0D6-DDA88119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65</xdr:col>
      <xdr:colOff>0</xdr:colOff>
      <xdr:row>65</xdr:row>
      <xdr:rowOff>0</xdr:rowOff>
    </xdr:from>
    <xdr:to>
      <xdr:col>73</xdr:col>
      <xdr:colOff>0</xdr:colOff>
      <xdr:row>82</xdr:row>
      <xdr:rowOff>65024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A16FC9A-9154-4BB9-A82A-952C79DD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109728</xdr:colOff>
      <xdr:row>1</xdr:row>
      <xdr:rowOff>87782</xdr:rowOff>
    </xdr:from>
    <xdr:to>
      <xdr:col>38</xdr:col>
      <xdr:colOff>124358</xdr:colOff>
      <xdr:row>14</xdr:row>
      <xdr:rowOff>43891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6537E-EC28-4370-9534-A48D9195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534008</xdr:colOff>
      <xdr:row>1</xdr:row>
      <xdr:rowOff>87783</xdr:rowOff>
    </xdr:from>
    <xdr:to>
      <xdr:col>46</xdr:col>
      <xdr:colOff>14631</xdr:colOff>
      <xdr:row>14</xdr:row>
      <xdr:rowOff>29261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868B9-32FA-4119-AB6D-9575FA281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204825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07CE49-46DC-4804-9DF1-8BEBE025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3</xdr:row>
      <xdr:rowOff>0</xdr:rowOff>
    </xdr:from>
    <xdr:to>
      <xdr:col>62</xdr:col>
      <xdr:colOff>65837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5E934F-4F33-4135-A70D-2FCB8E226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117045</xdr:colOff>
      <xdr:row>15</xdr:row>
      <xdr:rowOff>109729</xdr:rowOff>
    </xdr:from>
    <xdr:to>
      <xdr:col>37</xdr:col>
      <xdr:colOff>87782</xdr:colOff>
      <xdr:row>26</xdr:row>
      <xdr:rowOff>58521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A5CCC4-45DD-4471-8776-9A2957094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387707</xdr:colOff>
      <xdr:row>15</xdr:row>
      <xdr:rowOff>124359</xdr:rowOff>
    </xdr:from>
    <xdr:to>
      <xdr:col>42</xdr:col>
      <xdr:colOff>563271</xdr:colOff>
      <xdr:row>27</xdr:row>
      <xdr:rowOff>21945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2F5CD-55D6-49E4-9476-86A766751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20</xdr:row>
      <xdr:rowOff>0</xdr:rowOff>
    </xdr:from>
    <xdr:to>
      <xdr:col>53</xdr:col>
      <xdr:colOff>797357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8B2267-AF0A-4F29-950C-570290604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0</xdr:colOff>
      <xdr:row>20</xdr:row>
      <xdr:rowOff>0</xdr:rowOff>
    </xdr:from>
    <xdr:to>
      <xdr:col>61</xdr:col>
      <xdr:colOff>299923</xdr:colOff>
      <xdr:row>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6DEEA6-7A28-4586-B29D-CCE1592B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195678</xdr:colOff>
      <xdr:row>26</xdr:row>
      <xdr:rowOff>56692</xdr:rowOff>
    </xdr:from>
    <xdr:to>
      <xdr:col>7</xdr:col>
      <xdr:colOff>201168</xdr:colOff>
      <xdr:row>43</xdr:row>
      <xdr:rowOff>122526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09F031-5839-427A-8878-245132DEE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28</xdr:row>
      <xdr:rowOff>21946</xdr:rowOff>
    </xdr:from>
    <xdr:to>
      <xdr:col>36</xdr:col>
      <xdr:colOff>1002180</xdr:colOff>
      <xdr:row>38</xdr:row>
      <xdr:rowOff>73153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B44530-B40C-491C-93BA-421C437B4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343814</xdr:colOff>
      <xdr:row>28</xdr:row>
      <xdr:rowOff>21946</xdr:rowOff>
    </xdr:from>
    <xdr:to>
      <xdr:col>42</xdr:col>
      <xdr:colOff>219455</xdr:colOff>
      <xdr:row>38</xdr:row>
      <xdr:rowOff>73152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DC22CD-1D6B-42C1-8A84-774C7630A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204824</xdr:colOff>
      <xdr:row>44</xdr:row>
      <xdr:rowOff>144475</xdr:rowOff>
    </xdr:from>
    <xdr:to>
      <xdr:col>7</xdr:col>
      <xdr:colOff>192024</xdr:colOff>
      <xdr:row>62</xdr:row>
      <xdr:rowOff>64005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46D5D1-38ED-45B4-B05F-C2C52D02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188366</xdr:colOff>
      <xdr:row>62</xdr:row>
      <xdr:rowOff>67668</xdr:rowOff>
    </xdr:from>
    <xdr:to>
      <xdr:col>8</xdr:col>
      <xdr:colOff>528524</xdr:colOff>
      <xdr:row>79</xdr:row>
      <xdr:rowOff>170078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DA2EC8-CEBA-455A-88C1-FDA3664AC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184621</xdr:colOff>
      <xdr:row>111</xdr:row>
      <xdr:rowOff>101715</xdr:rowOff>
    </xdr:from>
    <xdr:to>
      <xdr:col>25</xdr:col>
      <xdr:colOff>599152</xdr:colOff>
      <xdr:row>156</xdr:row>
      <xdr:rowOff>87089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D6586-88D9-487C-9A37-B3C24E9BD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207264</xdr:colOff>
      <xdr:row>56</xdr:row>
      <xdr:rowOff>36576</xdr:rowOff>
    </xdr:from>
    <xdr:to>
      <xdr:col>104</xdr:col>
      <xdr:colOff>316991</xdr:colOff>
      <xdr:row>82</xdr:row>
      <xdr:rowOff>21947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043BA-80DE-433F-91A6-94A45DB1B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219456</xdr:colOff>
      <xdr:row>29</xdr:row>
      <xdr:rowOff>12192</xdr:rowOff>
    </xdr:from>
    <xdr:to>
      <xdr:col>51</xdr:col>
      <xdr:colOff>341376</xdr:colOff>
      <xdr:row>71</xdr:row>
      <xdr:rowOff>84126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A45AD6-A7A2-4DA9-8E59-7AB796D6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599854</xdr:colOff>
      <xdr:row>6</xdr:row>
      <xdr:rowOff>21946</xdr:rowOff>
    </xdr:from>
    <xdr:to>
      <xdr:col>13</xdr:col>
      <xdr:colOff>438919</xdr:colOff>
      <xdr:row>24</xdr:row>
      <xdr:rowOff>73153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DECF-3203-43A1-A0FD-93A89843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160933</xdr:colOff>
      <xdr:row>24</xdr:row>
      <xdr:rowOff>138988</xdr:rowOff>
    </xdr:from>
    <xdr:to>
      <xdr:col>11</xdr:col>
      <xdr:colOff>245060</xdr:colOff>
      <xdr:row>43</xdr:row>
      <xdr:rowOff>7315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97063D-C9CC-44EC-8D7E-476739926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599848</xdr:colOff>
      <xdr:row>43</xdr:row>
      <xdr:rowOff>36578</xdr:rowOff>
    </xdr:from>
    <xdr:to>
      <xdr:col>13</xdr:col>
      <xdr:colOff>490120</xdr:colOff>
      <xdr:row>57</xdr:row>
      <xdr:rowOff>146304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0EAA72-8B8E-44F7-A15C-63C21B80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153626</xdr:colOff>
      <xdr:row>43</xdr:row>
      <xdr:rowOff>36578</xdr:rowOff>
    </xdr:from>
    <xdr:to>
      <xdr:col>11</xdr:col>
      <xdr:colOff>241405</xdr:colOff>
      <xdr:row>57</xdr:row>
      <xdr:rowOff>146304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F374C-4832-4491-ADDE-EAB38649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468173</xdr:colOff>
      <xdr:row>43</xdr:row>
      <xdr:rowOff>36579</xdr:rowOff>
    </xdr:from>
    <xdr:to>
      <xdr:col>8</xdr:col>
      <xdr:colOff>402336</xdr:colOff>
      <xdr:row>57</xdr:row>
      <xdr:rowOff>146305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F700C-B9CF-4FD2-AF6B-9C85C82DC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467067</xdr:colOff>
      <xdr:row>24</xdr:row>
      <xdr:rowOff>138986</xdr:rowOff>
    </xdr:from>
    <xdr:to>
      <xdr:col>8</xdr:col>
      <xdr:colOff>402337</xdr:colOff>
      <xdr:row>43</xdr:row>
      <xdr:rowOff>7313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8D9104-F3BD-4701-8E03-997FE1338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194376</xdr:colOff>
      <xdr:row>6</xdr:row>
      <xdr:rowOff>21945</xdr:rowOff>
    </xdr:from>
    <xdr:to>
      <xdr:col>11</xdr:col>
      <xdr:colOff>227294</xdr:colOff>
      <xdr:row>24</xdr:row>
      <xdr:rowOff>73152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74DE5-9342-459A-A90A-46308604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468172</xdr:colOff>
      <xdr:row>6</xdr:row>
      <xdr:rowOff>21945</xdr:rowOff>
    </xdr:from>
    <xdr:to>
      <xdr:col>8</xdr:col>
      <xdr:colOff>409651</xdr:colOff>
      <xdr:row>24</xdr:row>
      <xdr:rowOff>73152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450BE-5E1B-87D8-FB8E-A2703D99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496389</xdr:colOff>
      <xdr:row>6</xdr:row>
      <xdr:rowOff>10450</xdr:rowOff>
    </xdr:from>
    <xdr:to>
      <xdr:col>8</xdr:col>
      <xdr:colOff>437868</xdr:colOff>
      <xdr:row>24</xdr:row>
      <xdr:rowOff>61657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7ED126-9AAD-490E-B7B3-F7F050DB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485938</xdr:colOff>
      <xdr:row>24</xdr:row>
      <xdr:rowOff>146304</xdr:rowOff>
    </xdr:from>
    <xdr:to>
      <xdr:col>8</xdr:col>
      <xdr:colOff>421208</xdr:colOff>
      <xdr:row>43</xdr:row>
      <xdr:rowOff>14631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D7DF67-CD5B-4823-91A2-0C6F19DF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480713</xdr:colOff>
      <xdr:row>43</xdr:row>
      <xdr:rowOff>31350</xdr:rowOff>
    </xdr:from>
    <xdr:to>
      <xdr:col>8</xdr:col>
      <xdr:colOff>414876</xdr:colOff>
      <xdr:row>57</xdr:row>
      <xdr:rowOff>161977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15836F-14D8-4F36-8EDA-62D8629F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48361</xdr:colOff>
      <xdr:row>1</xdr:row>
      <xdr:rowOff>24384</xdr:rowOff>
    </xdr:from>
    <xdr:to>
      <xdr:col>18</xdr:col>
      <xdr:colOff>114197</xdr:colOff>
      <xdr:row>16</xdr:row>
      <xdr:rowOff>24384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A8498-7010-4402-B43E-090C93CA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260095</xdr:colOff>
      <xdr:row>18</xdr:row>
      <xdr:rowOff>84647</xdr:rowOff>
    </xdr:from>
    <xdr:to>
      <xdr:col>17</xdr:col>
      <xdr:colOff>542251</xdr:colOff>
      <xdr:row>33</xdr:row>
      <xdr:rowOff>84647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B70E7-82EA-401B-B7E3-886AD1F2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607162</xdr:colOff>
      <xdr:row>1</xdr:row>
      <xdr:rowOff>21946</xdr:rowOff>
    </xdr:from>
    <xdr:to>
      <xdr:col>23</xdr:col>
      <xdr:colOff>29261</xdr:colOff>
      <xdr:row>16</xdr:row>
      <xdr:rowOff>21946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23D6E-C622-4DBD-A3F0-A9CCA2E0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247904</xdr:colOff>
      <xdr:row>17</xdr:row>
      <xdr:rowOff>168248</xdr:rowOff>
    </xdr:from>
    <xdr:to>
      <xdr:col>23</xdr:col>
      <xdr:colOff>153620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77FE1-2D7A-426B-A9AC-91EA1A64A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102412</xdr:colOff>
      <xdr:row>17</xdr:row>
      <xdr:rowOff>168250</xdr:rowOff>
    </xdr:from>
    <xdr:to>
      <xdr:col>30</xdr:col>
      <xdr:colOff>21946</xdr:colOff>
      <xdr:row>32</xdr:row>
      <xdr:rowOff>168250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B3F015-A058-4BE4-BCF8-DF654776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284480</xdr:colOff>
      <xdr:row>0</xdr:row>
      <xdr:rowOff>138176</xdr:rowOff>
    </xdr:from>
    <xdr:to>
      <xdr:col>30</xdr:col>
      <xdr:colOff>350316</xdr:colOff>
      <xdr:row>15</xdr:row>
      <xdr:rowOff>138176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740213-B36D-4D0C-8CCD-55FCD454A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343814</xdr:colOff>
      <xdr:row>14</xdr:row>
      <xdr:rowOff>109731</xdr:rowOff>
    </xdr:from>
    <xdr:to>
      <xdr:col>21</xdr:col>
      <xdr:colOff>409652</xdr:colOff>
      <xdr:row>29</xdr:row>
      <xdr:rowOff>124361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3032A-CF88-4060-BE09-DC36950FA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402337</xdr:colOff>
      <xdr:row>0</xdr:row>
      <xdr:rowOff>109727</xdr:rowOff>
    </xdr:from>
    <xdr:to>
      <xdr:col>21</xdr:col>
      <xdr:colOff>468174</xdr:colOff>
      <xdr:row>13</xdr:row>
      <xdr:rowOff>168248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2922CD-8FB7-4FEF-AB21-80B55B80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460858</xdr:colOff>
      <xdr:row>0</xdr:row>
      <xdr:rowOff>138991</xdr:rowOff>
    </xdr:from>
    <xdr:to>
      <xdr:col>28</xdr:col>
      <xdr:colOff>526696</xdr:colOff>
      <xdr:row>14</xdr:row>
      <xdr:rowOff>39575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678D61-1105-4115-B850-9E9B4C50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373075</xdr:colOff>
      <xdr:row>14</xdr:row>
      <xdr:rowOff>109731</xdr:rowOff>
    </xdr:from>
    <xdr:to>
      <xdr:col>28</xdr:col>
      <xdr:colOff>438912</xdr:colOff>
      <xdr:row>29</xdr:row>
      <xdr:rowOff>117047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D7EF75A-E07A-4337-935C-BA43EA43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490118</xdr:rowOff>
    </xdr:from>
    <xdr:to>
      <xdr:col>0</xdr:col>
      <xdr:colOff>10975</xdr:colOff>
      <xdr:row>19</xdr:row>
      <xdr:rowOff>146305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D68D-3B46-4B17-8E88-3EC62C32C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509451</xdr:colOff>
      <xdr:row>4</xdr:row>
      <xdr:rowOff>13062</xdr:rowOff>
    </xdr:from>
    <xdr:to>
      <xdr:col>12</xdr:col>
      <xdr:colOff>534085</xdr:colOff>
      <xdr:row>25</xdr:row>
      <xdr:rowOff>62700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4BE4E-ED42-4B53-B7F0-8E31634B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557349</xdr:colOff>
      <xdr:row>4</xdr:row>
      <xdr:rowOff>10450</xdr:rowOff>
    </xdr:from>
    <xdr:to>
      <xdr:col>15</xdr:col>
      <xdr:colOff>583475</xdr:colOff>
      <xdr:row>25</xdr:row>
      <xdr:rowOff>60088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67E66-0784-4D30-9152-D055D1DC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607510</xdr:colOff>
      <xdr:row>4</xdr:row>
      <xdr:rowOff>10450</xdr:rowOff>
    </xdr:from>
    <xdr:to>
      <xdr:col>18</xdr:col>
      <xdr:colOff>638400</xdr:colOff>
      <xdr:row>25</xdr:row>
      <xdr:rowOff>60088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3A220-1DF3-4541-9F2E-6AB12D02C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26127</xdr:colOff>
      <xdr:row>4</xdr:row>
      <xdr:rowOff>10450</xdr:rowOff>
    </xdr:from>
    <xdr:to>
      <xdr:col>22</xdr:col>
      <xdr:colOff>50760</xdr:colOff>
      <xdr:row>25</xdr:row>
      <xdr:rowOff>60088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6B992-55C2-462A-AEE5-E491EE784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71410</xdr:colOff>
      <xdr:row>4</xdr:row>
      <xdr:rowOff>10450</xdr:rowOff>
    </xdr:from>
    <xdr:to>
      <xdr:col>25</xdr:col>
      <xdr:colOff>97537</xdr:colOff>
      <xdr:row>25</xdr:row>
      <xdr:rowOff>60088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BE69B-93DF-4C84-A6B2-3D3333280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27</xdr:row>
      <xdr:rowOff>2612</xdr:rowOff>
    </xdr:from>
    <xdr:to>
      <xdr:col>13</xdr:col>
      <xdr:colOff>26124</xdr:colOff>
      <xdr:row>47</xdr:row>
      <xdr:rowOff>62701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B248C-F78F-4239-AD83-66B542DD3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47028</xdr:colOff>
      <xdr:row>27</xdr:row>
      <xdr:rowOff>0</xdr:rowOff>
    </xdr:from>
    <xdr:to>
      <xdr:col>16</xdr:col>
      <xdr:colOff>71663</xdr:colOff>
      <xdr:row>47</xdr:row>
      <xdr:rowOff>60089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71777B-B708-4D25-A864-A57EE65B7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92314</xdr:colOff>
      <xdr:row>27</xdr:row>
      <xdr:rowOff>0</xdr:rowOff>
    </xdr:from>
    <xdr:to>
      <xdr:col>19</xdr:col>
      <xdr:colOff>118436</xdr:colOff>
      <xdr:row>47</xdr:row>
      <xdr:rowOff>60089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47D0DB-7072-4BB5-A536-1D67A142A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151533</xdr:colOff>
      <xdr:row>27</xdr:row>
      <xdr:rowOff>0</xdr:rowOff>
    </xdr:from>
    <xdr:to>
      <xdr:col>22</xdr:col>
      <xdr:colOff>176166</xdr:colOff>
      <xdr:row>47</xdr:row>
      <xdr:rowOff>60089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1A7C7-5E4E-4B77-A27F-597D7883E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196817</xdr:colOff>
      <xdr:row>27</xdr:row>
      <xdr:rowOff>0</xdr:rowOff>
    </xdr:from>
    <xdr:to>
      <xdr:col>25</xdr:col>
      <xdr:colOff>222945</xdr:colOff>
      <xdr:row>47</xdr:row>
      <xdr:rowOff>60089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1D9D9D-8291-41F2-AB1D-5F07609E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13</xdr:col>
      <xdr:colOff>26124</xdr:colOff>
      <xdr:row>70</xdr:row>
      <xdr:rowOff>39188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36839C-A6E7-4B76-AE4E-C41D3EA7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47028</xdr:colOff>
      <xdr:row>49</xdr:row>
      <xdr:rowOff>0</xdr:rowOff>
    </xdr:from>
    <xdr:to>
      <xdr:col>16</xdr:col>
      <xdr:colOff>71663</xdr:colOff>
      <xdr:row>70</xdr:row>
      <xdr:rowOff>39188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D20B4B-8AC9-48EC-B44F-30CA94A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92314</xdr:colOff>
      <xdr:row>49</xdr:row>
      <xdr:rowOff>0</xdr:rowOff>
    </xdr:from>
    <xdr:to>
      <xdr:col>19</xdr:col>
      <xdr:colOff>118436</xdr:colOff>
      <xdr:row>70</xdr:row>
      <xdr:rowOff>39188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C62C21-93BA-45FE-AEAF-04853592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151533</xdr:colOff>
      <xdr:row>49</xdr:row>
      <xdr:rowOff>0</xdr:rowOff>
    </xdr:from>
    <xdr:to>
      <xdr:col>22</xdr:col>
      <xdr:colOff>176166</xdr:colOff>
      <xdr:row>70</xdr:row>
      <xdr:rowOff>39188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A7FE3D-8EA0-4E82-9AD3-61A27315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196817</xdr:colOff>
      <xdr:row>49</xdr:row>
      <xdr:rowOff>0</xdr:rowOff>
    </xdr:from>
    <xdr:to>
      <xdr:col>25</xdr:col>
      <xdr:colOff>222945</xdr:colOff>
      <xdr:row>70</xdr:row>
      <xdr:rowOff>39188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E79171-3AD3-4986-9BAB-249D5029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109729</xdr:colOff>
      <xdr:row>4</xdr:row>
      <xdr:rowOff>12192</xdr:rowOff>
    </xdr:from>
    <xdr:to>
      <xdr:col>28</xdr:col>
      <xdr:colOff>135853</xdr:colOff>
      <xdr:row>25</xdr:row>
      <xdr:rowOff>61830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9A73C3-DEC9-4FBB-9895-1DA7A772C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243841</xdr:colOff>
      <xdr:row>27</xdr:row>
      <xdr:rowOff>0</xdr:rowOff>
    </xdr:from>
    <xdr:to>
      <xdr:col>28</xdr:col>
      <xdr:colOff>269965</xdr:colOff>
      <xdr:row>47</xdr:row>
      <xdr:rowOff>60089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931711F-95E2-4B83-AD1C-40C2C261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243841</xdr:colOff>
      <xdr:row>49</xdr:row>
      <xdr:rowOff>0</xdr:rowOff>
    </xdr:from>
    <xdr:to>
      <xdr:col>28</xdr:col>
      <xdr:colOff>269962</xdr:colOff>
      <xdr:row>70</xdr:row>
      <xdr:rowOff>39188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7269026-5246-4A92-B9D6-8C97A19E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577088</xdr:colOff>
      <xdr:row>1</xdr:row>
      <xdr:rowOff>228396</xdr:rowOff>
    </xdr:from>
    <xdr:to>
      <xdr:col>20</xdr:col>
      <xdr:colOff>151588</xdr:colOff>
      <xdr:row>14</xdr:row>
      <xdr:rowOff>65023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71993-BD3F-4A27-89EB-C96C72C8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175972</xdr:colOff>
      <xdr:row>1</xdr:row>
      <xdr:rowOff>227584</xdr:rowOff>
    </xdr:from>
    <xdr:to>
      <xdr:col>27</xdr:col>
      <xdr:colOff>395428</xdr:colOff>
      <xdr:row>14</xdr:row>
      <xdr:rowOff>65024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4E5744-FA5F-4BD5-9915-4E914631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234086</xdr:colOff>
      <xdr:row>14</xdr:row>
      <xdr:rowOff>65837</xdr:rowOff>
    </xdr:from>
    <xdr:to>
      <xdr:col>25</xdr:col>
      <xdr:colOff>629108</xdr:colOff>
      <xdr:row>30</xdr:row>
      <xdr:rowOff>146304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89937-7F87-43BA-9C2C-6841F789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160935</xdr:colOff>
      <xdr:row>14</xdr:row>
      <xdr:rowOff>117043</xdr:rowOff>
    </xdr:from>
    <xdr:to>
      <xdr:col>17</xdr:col>
      <xdr:colOff>475489</xdr:colOff>
      <xdr:row>31</xdr:row>
      <xdr:rowOff>58521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0D323-469E-4B5F-8F42-F9E47EB6F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7315</xdr:colOff>
      <xdr:row>0</xdr:row>
      <xdr:rowOff>131674</xdr:rowOff>
    </xdr:from>
    <xdr:to>
      <xdr:col>26</xdr:col>
      <xdr:colOff>288950</xdr:colOff>
      <xdr:row>12</xdr:row>
      <xdr:rowOff>160934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0A038-30FD-45E6-8211-094A3B48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263348</xdr:colOff>
      <xdr:row>1</xdr:row>
      <xdr:rowOff>160933</xdr:rowOff>
    </xdr:from>
    <xdr:to>
      <xdr:col>17</xdr:col>
      <xdr:colOff>544983</xdr:colOff>
      <xdr:row>14</xdr:row>
      <xdr:rowOff>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00BB1F-3473-4966-8B6A-95A02CBF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n Gerritse" id="{6212B172-D667-4485-8AF8-00CF51FE3974}" userId="S::Jan.Gerritse@deltares.nl::2e507648-c5ec-4fd8-a418-38f3653cb9e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19-12-13T07:37:21.25" personId="{6212B172-D667-4485-8AF8-00CF51FE3974}" id="{22962963-BBA8-4BE1-A11B-D94FBFBFBC91}">
    <text>kan er wel uit. Is in Griftpark en HVB niet gedoseerd</text>
  </threadedComment>
  <threadedComment ref="E34" dT="2019-12-13T07:43:06.76" personId="{6212B172-D667-4485-8AF8-00CF51FE3974}" id="{EEF35904-5D2D-459B-AC82-67DD98735D75}">
    <text>Methylfluorene isomers, and succinylated analogues?</text>
  </threadedComment>
  <threadedComment ref="E52" dT="2019-12-13T07:43:32.94" personId="{6212B172-D667-4485-8AF8-00CF51FE3974}" id="{03120033-BD43-455C-94E7-DC75C581F0F9}">
    <text>(1R,2S)-1,2-dihydronaphthalene-1,2-diol?</text>
  </threadedComment>
  <threadedComment ref="E53" dT="2019-12-13T07:46:10.94" personId="{6212B172-D667-4485-8AF8-00CF51FE3974}" id="{6E7F830E-570D-4E5C-8AFA-2E427BFFB9B8}">
    <text>Hier nog een lijst met metabolieten van PAK afbraak. Wellicht even langslopen https://www.genome.jp/dbget-bin/www_bget?ko00624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@%20MLS1" TargetMode="External"/><Relationship Id="rId2" Type="http://schemas.openxmlformats.org/officeDocument/2006/relationships/hyperlink" Target="mailto:B@%20MLS1" TargetMode="External"/><Relationship Id="rId1" Type="http://schemas.openxmlformats.org/officeDocument/2006/relationships/hyperlink" Target="mailto:B@%20MLS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89B5-7462-4B41-8277-A279FB112FF9}">
  <dimension ref="A1:AM44"/>
  <sheetViews>
    <sheetView workbookViewId="0">
      <selection activeCell="AM35" sqref="AM35"/>
    </sheetView>
  </sheetViews>
  <sheetFormatPr defaultRowHeight="15"/>
  <cols>
    <col min="2" max="2" width="11.42578125" customWidth="1"/>
    <col min="3" max="3" width="19.42578125" customWidth="1"/>
    <col min="4" max="4" width="12.85546875" customWidth="1"/>
    <col min="6" max="6" width="16.5703125" customWidth="1"/>
    <col min="8" max="8" width="7" customWidth="1"/>
    <col min="9" max="9" width="8.42578125" customWidth="1"/>
    <col min="10" max="10" width="6.140625" customWidth="1"/>
    <col min="11" max="13" width="6.28515625" customWidth="1"/>
    <col min="14" max="14" width="8.42578125" customWidth="1"/>
    <col min="15" max="16" width="6.28515625" customWidth="1"/>
    <col min="17" max="18" width="7.28515625" customWidth="1"/>
    <col min="19" max="21" width="6.28515625" customWidth="1"/>
    <col min="22" max="22" width="7.140625" customWidth="1"/>
    <col min="23" max="24" width="6.28515625" customWidth="1"/>
    <col min="25" max="25" width="5.85546875" customWidth="1"/>
    <col min="26" max="26" width="6.28515625" customWidth="1"/>
    <col min="28" max="28" width="9.28515625" customWidth="1"/>
    <col min="29" max="35" width="6.85546875" customWidth="1"/>
  </cols>
  <sheetData>
    <row r="1" spans="1:39" ht="25.9" customHeight="1">
      <c r="A1" s="7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s="332" t="s">
        <v>0</v>
      </c>
      <c r="I1" s="333" t="s">
        <v>6</v>
      </c>
      <c r="J1" s="333" t="s">
        <v>7</v>
      </c>
      <c r="K1" s="333" t="s">
        <v>8</v>
      </c>
      <c r="L1" s="333" t="s">
        <v>9</v>
      </c>
      <c r="M1" s="333" t="s">
        <v>10</v>
      </c>
      <c r="N1" s="333" t="s">
        <v>11</v>
      </c>
      <c r="O1" s="333" t="s">
        <v>12</v>
      </c>
      <c r="P1" s="333" t="s">
        <v>13</v>
      </c>
      <c r="Q1" s="333"/>
      <c r="R1" s="333" t="s">
        <v>14</v>
      </c>
      <c r="S1" s="333" t="s">
        <v>15</v>
      </c>
      <c r="T1" s="333" t="s">
        <v>16</v>
      </c>
      <c r="U1" s="333" t="s">
        <v>17</v>
      </c>
      <c r="V1" s="333">
        <v>102</v>
      </c>
      <c r="W1" s="333" t="s">
        <v>18</v>
      </c>
      <c r="X1" s="333" t="s">
        <v>18</v>
      </c>
      <c r="Y1" s="333">
        <v>103</v>
      </c>
      <c r="Z1" s="333" t="s">
        <v>19</v>
      </c>
      <c r="AA1" s="1"/>
      <c r="AB1" s="582" t="s">
        <v>0</v>
      </c>
      <c r="AC1" s="613" t="s">
        <v>20</v>
      </c>
      <c r="AD1" s="614"/>
      <c r="AE1" s="614"/>
      <c r="AF1" s="614"/>
      <c r="AG1" s="614"/>
      <c r="AH1" s="614"/>
      <c r="AI1" s="615"/>
      <c r="AK1" s="333" t="s">
        <v>0</v>
      </c>
      <c r="AL1" s="616" t="s">
        <v>21</v>
      </c>
      <c r="AM1" s="617"/>
    </row>
    <row r="2" spans="1:39">
      <c r="A2" s="7" t="s">
        <v>6</v>
      </c>
      <c r="B2" s="8" t="s">
        <v>22</v>
      </c>
      <c r="C2" s="7" t="s">
        <v>23</v>
      </c>
      <c r="D2" s="8">
        <v>5.96</v>
      </c>
      <c r="E2" s="8">
        <v>7.31</v>
      </c>
      <c r="F2" s="9">
        <v>67.400000000000006</v>
      </c>
      <c r="G2" s="158" t="s">
        <v>24</v>
      </c>
      <c r="H2" s="612" t="s">
        <v>25</v>
      </c>
      <c r="I2" s="2" t="s">
        <v>22</v>
      </c>
      <c r="J2" s="2" t="s">
        <v>26</v>
      </c>
      <c r="K2" s="2">
        <v>8.5</v>
      </c>
      <c r="L2" s="2">
        <v>20.5</v>
      </c>
      <c r="M2" s="2">
        <v>49.5</v>
      </c>
      <c r="N2" s="2" t="s">
        <v>27</v>
      </c>
      <c r="O2" s="2">
        <v>7</v>
      </c>
      <c r="P2" s="2">
        <v>20</v>
      </c>
      <c r="Q2" s="2"/>
      <c r="R2" s="2" t="s">
        <v>28</v>
      </c>
      <c r="S2" s="2">
        <v>15.5</v>
      </c>
      <c r="T2" s="2">
        <v>51.5</v>
      </c>
      <c r="U2" s="2">
        <v>71.75</v>
      </c>
      <c r="V2" s="2" t="s">
        <v>29</v>
      </c>
      <c r="W2" s="2">
        <v>42.5</v>
      </c>
      <c r="X2" s="2">
        <v>72.8</v>
      </c>
      <c r="Y2" s="2" t="s">
        <v>30</v>
      </c>
      <c r="Z2" s="2">
        <v>61</v>
      </c>
      <c r="AA2" s="3"/>
      <c r="AB2" s="583" t="s">
        <v>6</v>
      </c>
      <c r="AC2" s="586">
        <v>51</v>
      </c>
      <c r="AD2" s="587">
        <v>65</v>
      </c>
      <c r="AE2" s="588"/>
      <c r="AF2" s="587"/>
      <c r="AG2" s="588"/>
      <c r="AH2" s="587"/>
      <c r="AI2" s="589"/>
      <c r="AK2" s="583" t="s">
        <v>31</v>
      </c>
      <c r="AL2" s="596">
        <v>64</v>
      </c>
      <c r="AM2" s="596"/>
    </row>
    <row r="3" spans="1:39">
      <c r="A3" s="10" t="s">
        <v>6</v>
      </c>
      <c r="B3" s="11" t="s">
        <v>27</v>
      </c>
      <c r="C3" s="10" t="s">
        <v>32</v>
      </c>
      <c r="D3" s="11">
        <v>7.0439999999999996</v>
      </c>
      <c r="E3" s="11">
        <v>7.35</v>
      </c>
      <c r="F3" s="12">
        <v>120.8</v>
      </c>
      <c r="G3" s="158" t="s">
        <v>33</v>
      </c>
      <c r="H3" s="612"/>
      <c r="I3" s="4" t="s">
        <v>27</v>
      </c>
      <c r="J3" s="4" t="s">
        <v>34</v>
      </c>
      <c r="K3" s="4">
        <v>10.5</v>
      </c>
      <c r="L3" s="4">
        <v>22.5</v>
      </c>
      <c r="M3" s="4">
        <v>51.5</v>
      </c>
      <c r="N3" s="4"/>
      <c r="O3" s="4">
        <v>8.5</v>
      </c>
      <c r="P3" s="4">
        <v>23</v>
      </c>
      <c r="Q3" s="4"/>
      <c r="R3" s="4" t="s">
        <v>35</v>
      </c>
      <c r="S3" s="4">
        <v>17</v>
      </c>
      <c r="T3" s="4">
        <v>53.75</v>
      </c>
      <c r="U3" s="4">
        <v>75.75</v>
      </c>
      <c r="V3" s="4" t="s">
        <v>36</v>
      </c>
      <c r="W3" s="4">
        <v>46.3</v>
      </c>
      <c r="X3" s="4">
        <v>74</v>
      </c>
      <c r="Y3" s="4"/>
      <c r="Z3" s="4">
        <v>66.5</v>
      </c>
      <c r="AA3" s="3"/>
      <c r="AB3" s="584" t="s">
        <v>7</v>
      </c>
      <c r="AC3" s="586">
        <v>17</v>
      </c>
      <c r="AD3" s="590">
        <v>44</v>
      </c>
      <c r="AE3" s="588">
        <v>54</v>
      </c>
      <c r="AF3" s="590">
        <v>63</v>
      </c>
      <c r="AG3" s="588"/>
      <c r="AH3" s="590"/>
      <c r="AI3" s="589"/>
      <c r="AK3" s="584" t="s">
        <v>37</v>
      </c>
      <c r="AL3" s="597">
        <v>24</v>
      </c>
      <c r="AM3" s="597"/>
    </row>
    <row r="4" spans="1:39">
      <c r="A4" s="7" t="s">
        <v>7</v>
      </c>
      <c r="B4" s="8">
        <v>12</v>
      </c>
      <c r="C4" s="7" t="s">
        <v>38</v>
      </c>
      <c r="D4" s="8">
        <v>18.829999999999998</v>
      </c>
      <c r="E4" s="8">
        <v>7.23</v>
      </c>
      <c r="F4" s="9">
        <v>4627.6082418081851</v>
      </c>
      <c r="G4" s="158" t="s">
        <v>39</v>
      </c>
      <c r="H4" s="612"/>
      <c r="I4" s="4"/>
      <c r="J4" s="4" t="s">
        <v>40</v>
      </c>
      <c r="K4" s="4">
        <v>12</v>
      </c>
      <c r="L4" s="4">
        <v>24</v>
      </c>
      <c r="M4" s="4">
        <v>53</v>
      </c>
      <c r="N4" s="4"/>
      <c r="O4" s="4">
        <v>10.5</v>
      </c>
      <c r="P4" s="4">
        <v>26</v>
      </c>
      <c r="Q4" s="4"/>
      <c r="R4" s="4" t="s">
        <v>41</v>
      </c>
      <c r="S4" s="4">
        <v>19</v>
      </c>
      <c r="T4" s="4">
        <v>56.75</v>
      </c>
      <c r="U4" s="4">
        <v>80.75</v>
      </c>
      <c r="V4" s="4"/>
      <c r="W4" s="4">
        <v>52.7</v>
      </c>
      <c r="X4" s="4">
        <v>75.5</v>
      </c>
      <c r="Y4" s="4"/>
      <c r="Z4" s="4">
        <v>70.5</v>
      </c>
      <c r="AA4" s="3"/>
      <c r="AB4" s="584" t="s">
        <v>42</v>
      </c>
      <c r="AC4" s="586">
        <v>8.5</v>
      </c>
      <c r="AD4" s="590">
        <v>10.5</v>
      </c>
      <c r="AE4" s="588">
        <v>12</v>
      </c>
      <c r="AF4" s="590">
        <v>14</v>
      </c>
      <c r="AG4" s="588">
        <v>15.5</v>
      </c>
      <c r="AH4" s="590">
        <v>17</v>
      </c>
      <c r="AI4" s="589">
        <v>19</v>
      </c>
      <c r="AK4" s="122" t="s">
        <v>43</v>
      </c>
      <c r="AL4" s="590">
        <v>44</v>
      </c>
      <c r="AM4" s="122"/>
    </row>
    <row r="5" spans="1:39">
      <c r="A5" s="13" t="s">
        <v>7</v>
      </c>
      <c r="B5" s="14">
        <v>15.5</v>
      </c>
      <c r="C5" s="13" t="s">
        <v>44</v>
      </c>
      <c r="D5" s="14">
        <v>19.920000000000002</v>
      </c>
      <c r="E5" s="14">
        <v>7.67</v>
      </c>
      <c r="F5" s="15">
        <v>10445.299637632412</v>
      </c>
      <c r="G5" s="158" t="s">
        <v>45</v>
      </c>
      <c r="H5" s="612"/>
      <c r="I5" s="4"/>
      <c r="J5" s="4" t="s">
        <v>46</v>
      </c>
      <c r="K5" s="4">
        <v>14</v>
      </c>
      <c r="L5" s="4">
        <v>26</v>
      </c>
      <c r="M5" s="4">
        <v>55</v>
      </c>
      <c r="N5" s="4"/>
      <c r="O5" s="4">
        <v>12</v>
      </c>
      <c r="P5" s="4">
        <v>43</v>
      </c>
      <c r="Q5" s="4"/>
      <c r="R5" s="4" t="s">
        <v>47</v>
      </c>
      <c r="S5" s="4">
        <v>20.5</v>
      </c>
      <c r="T5" s="4">
        <v>64</v>
      </c>
      <c r="U5" s="4">
        <v>82.75</v>
      </c>
      <c r="V5" s="4"/>
      <c r="W5" s="4">
        <v>62</v>
      </c>
      <c r="X5" s="4">
        <v>78</v>
      </c>
      <c r="Y5" s="4"/>
      <c r="Z5" s="4">
        <v>72.5</v>
      </c>
      <c r="AA5" s="3"/>
      <c r="AB5" s="584" t="s">
        <v>48</v>
      </c>
      <c r="AC5" s="586">
        <v>20.5</v>
      </c>
      <c r="AD5" s="590">
        <v>22.5</v>
      </c>
      <c r="AE5" s="588">
        <v>24</v>
      </c>
      <c r="AF5" s="590">
        <v>26</v>
      </c>
      <c r="AG5" s="588">
        <v>28</v>
      </c>
      <c r="AH5" s="590">
        <v>29.5</v>
      </c>
      <c r="AI5" s="589">
        <v>31</v>
      </c>
      <c r="AK5" s="584" t="s">
        <v>49</v>
      </c>
      <c r="AL5" s="597">
        <v>71</v>
      </c>
      <c r="AM5" s="597"/>
    </row>
    <row r="6" spans="1:39">
      <c r="A6" s="13" t="s">
        <v>7</v>
      </c>
      <c r="B6" s="14">
        <v>17</v>
      </c>
      <c r="C6" s="13" t="s">
        <v>50</v>
      </c>
      <c r="D6" s="14">
        <v>16.36</v>
      </c>
      <c r="E6" s="14">
        <v>7.75</v>
      </c>
      <c r="F6" s="15">
        <v>8517.7206461662863</v>
      </c>
      <c r="G6" s="158" t="s">
        <v>51</v>
      </c>
      <c r="H6" s="612"/>
      <c r="I6" s="4"/>
      <c r="J6" s="4"/>
      <c r="K6" s="4">
        <v>15.5</v>
      </c>
      <c r="L6" s="4">
        <v>28</v>
      </c>
      <c r="M6" s="4">
        <v>56.5</v>
      </c>
      <c r="N6" s="4"/>
      <c r="O6" s="4">
        <v>14</v>
      </c>
      <c r="P6" s="4">
        <v>50</v>
      </c>
      <c r="Q6" s="4"/>
      <c r="R6" s="4"/>
      <c r="S6" s="4">
        <v>22.5</v>
      </c>
      <c r="T6" s="4">
        <v>66</v>
      </c>
      <c r="U6" s="4">
        <v>86.75</v>
      </c>
      <c r="V6" s="4"/>
      <c r="W6" s="4">
        <v>66</v>
      </c>
      <c r="X6" s="4">
        <v>82</v>
      </c>
      <c r="Y6" s="4"/>
      <c r="Z6" s="4">
        <v>80</v>
      </c>
      <c r="AA6" s="3"/>
      <c r="AB6" s="584" t="s">
        <v>10</v>
      </c>
      <c r="AC6" s="586">
        <v>49.5</v>
      </c>
      <c r="AD6" s="590">
        <v>51.5</v>
      </c>
      <c r="AE6" s="588">
        <v>53</v>
      </c>
      <c r="AF6" s="590">
        <v>55</v>
      </c>
      <c r="AG6" s="588">
        <v>56.5</v>
      </c>
      <c r="AH6" s="590">
        <v>58.5</v>
      </c>
      <c r="AI6" s="589">
        <v>60</v>
      </c>
      <c r="AK6" s="584" t="s">
        <v>52</v>
      </c>
      <c r="AL6" s="597">
        <v>31</v>
      </c>
      <c r="AM6" s="597"/>
    </row>
    <row r="7" spans="1:39">
      <c r="A7" s="13" t="s">
        <v>7</v>
      </c>
      <c r="B7" s="14">
        <v>19</v>
      </c>
      <c r="C7" s="13" t="s">
        <v>38</v>
      </c>
      <c r="D7" s="14">
        <v>13.25</v>
      </c>
      <c r="E7" s="14">
        <v>7.53</v>
      </c>
      <c r="F7" s="15">
        <v>6072.2362002911341</v>
      </c>
      <c r="G7" s="158" t="s">
        <v>53</v>
      </c>
      <c r="H7" s="612"/>
      <c r="I7" s="4"/>
      <c r="J7" s="4"/>
      <c r="K7" s="4">
        <v>17</v>
      </c>
      <c r="L7" s="4">
        <v>29.5</v>
      </c>
      <c r="M7" s="4">
        <v>58.5</v>
      </c>
      <c r="N7" s="4"/>
      <c r="O7" s="4">
        <v>15.5</v>
      </c>
      <c r="P7" s="4">
        <v>55</v>
      </c>
      <c r="Q7" s="4"/>
      <c r="R7" s="4"/>
      <c r="S7" s="4">
        <v>24</v>
      </c>
      <c r="T7" s="4">
        <v>67.25</v>
      </c>
      <c r="U7" s="4">
        <v>88.25</v>
      </c>
      <c r="V7" s="4"/>
      <c r="W7" s="4">
        <v>68</v>
      </c>
      <c r="X7" s="4">
        <v>86</v>
      </c>
      <c r="Y7" s="4"/>
      <c r="Z7" s="4">
        <v>99.5</v>
      </c>
      <c r="AA7" s="3"/>
      <c r="AB7" s="584" t="s">
        <v>11</v>
      </c>
      <c r="AC7" s="586">
        <v>64.5</v>
      </c>
      <c r="AD7" s="590"/>
      <c r="AE7" s="588"/>
      <c r="AF7" s="590"/>
      <c r="AG7" s="588"/>
      <c r="AH7" s="590"/>
      <c r="AI7" s="589"/>
      <c r="AK7" s="584" t="s">
        <v>54</v>
      </c>
      <c r="AL7" s="597">
        <v>31</v>
      </c>
      <c r="AM7" s="597"/>
    </row>
    <row r="8" spans="1:39">
      <c r="A8" s="13" t="s">
        <v>7</v>
      </c>
      <c r="B8" s="14">
        <v>20.5</v>
      </c>
      <c r="C8" s="13" t="s">
        <v>55</v>
      </c>
      <c r="D8" s="14">
        <v>11.92</v>
      </c>
      <c r="E8" s="14">
        <v>7.34</v>
      </c>
      <c r="F8" s="15">
        <v>3363.7875359597292</v>
      </c>
      <c r="G8" s="158" t="s">
        <v>56</v>
      </c>
      <c r="H8" s="612"/>
      <c r="I8" s="5"/>
      <c r="J8" s="5"/>
      <c r="K8" s="5">
        <v>19</v>
      </c>
      <c r="L8" s="5">
        <v>31</v>
      </c>
      <c r="M8" s="5">
        <v>60</v>
      </c>
      <c r="N8" s="5"/>
      <c r="O8" s="5">
        <v>17.5</v>
      </c>
      <c r="P8" s="5">
        <v>60</v>
      </c>
      <c r="Q8" s="5"/>
      <c r="R8" s="5"/>
      <c r="S8" s="5">
        <v>26</v>
      </c>
      <c r="T8" s="5">
        <v>68.75</v>
      </c>
      <c r="U8" s="5">
        <v>89.5</v>
      </c>
      <c r="V8" s="5"/>
      <c r="W8" s="5">
        <v>70.5</v>
      </c>
      <c r="X8" s="5">
        <v>89.5</v>
      </c>
      <c r="Y8" s="5"/>
      <c r="Z8" s="5">
        <v>107</v>
      </c>
      <c r="AA8" s="3"/>
      <c r="AB8" s="584" t="s">
        <v>12</v>
      </c>
      <c r="AC8" s="586">
        <v>7</v>
      </c>
      <c r="AD8" s="590">
        <v>8.5</v>
      </c>
      <c r="AE8" s="588">
        <v>10.5</v>
      </c>
      <c r="AF8" s="590">
        <v>12</v>
      </c>
      <c r="AG8" s="588">
        <v>14</v>
      </c>
      <c r="AH8" s="590">
        <v>15.5</v>
      </c>
      <c r="AI8" s="589">
        <v>17.5</v>
      </c>
      <c r="AK8" s="584" t="s">
        <v>57</v>
      </c>
      <c r="AL8" s="597">
        <v>31</v>
      </c>
      <c r="AM8" s="597"/>
    </row>
    <row r="9" spans="1:39">
      <c r="A9" s="13" t="s">
        <v>7</v>
      </c>
      <c r="B9" s="14">
        <v>28</v>
      </c>
      <c r="C9" s="13" t="s">
        <v>32</v>
      </c>
      <c r="D9" s="14">
        <v>8.891</v>
      </c>
      <c r="E9" s="14">
        <v>7.25</v>
      </c>
      <c r="F9" s="15">
        <v>1976.9096035899397</v>
      </c>
      <c r="G9" s="158" t="s">
        <v>58</v>
      </c>
      <c r="AB9" s="584" t="s">
        <v>13</v>
      </c>
      <c r="AC9" s="586">
        <v>20</v>
      </c>
      <c r="AD9" s="590">
        <v>23</v>
      </c>
      <c r="AE9" s="588">
        <v>26</v>
      </c>
      <c r="AF9" s="590">
        <v>43</v>
      </c>
      <c r="AG9" s="588">
        <v>50</v>
      </c>
      <c r="AH9" s="590">
        <v>55</v>
      </c>
      <c r="AI9" s="589">
        <v>60</v>
      </c>
      <c r="AK9" s="584" t="s">
        <v>59</v>
      </c>
      <c r="AL9" s="597">
        <v>31</v>
      </c>
      <c r="AM9" s="597"/>
    </row>
    <row r="10" spans="1:39">
      <c r="A10" s="13" t="s">
        <v>7</v>
      </c>
      <c r="B10" s="14">
        <v>31</v>
      </c>
      <c r="C10" s="13" t="s">
        <v>50</v>
      </c>
      <c r="D10" s="14">
        <v>7.8520000000000003</v>
      </c>
      <c r="E10" s="14">
        <v>7.21</v>
      </c>
      <c r="F10" s="15">
        <v>205.01316083293236</v>
      </c>
      <c r="G10" s="158" t="s">
        <v>60</v>
      </c>
      <c r="AB10" s="584" t="s">
        <v>14</v>
      </c>
      <c r="AC10" s="586">
        <v>38.5</v>
      </c>
      <c r="AD10" s="590">
        <v>40.5</v>
      </c>
      <c r="AE10" s="588">
        <v>43</v>
      </c>
      <c r="AF10" s="590">
        <v>45.5</v>
      </c>
      <c r="AG10" s="588"/>
      <c r="AH10" s="590"/>
      <c r="AI10" s="589"/>
      <c r="AK10" s="584" t="s">
        <v>61</v>
      </c>
      <c r="AL10" s="597">
        <v>31</v>
      </c>
      <c r="AM10" s="597"/>
    </row>
    <row r="11" spans="1:39">
      <c r="A11" s="13" t="s">
        <v>7</v>
      </c>
      <c r="B11" s="14">
        <v>45</v>
      </c>
      <c r="C11" s="13" t="s">
        <v>44</v>
      </c>
      <c r="D11" s="14">
        <v>6.6150000000000002</v>
      </c>
      <c r="E11" s="14">
        <v>7.54</v>
      </c>
      <c r="F11" s="15">
        <v>24.769927925219562</v>
      </c>
      <c r="G11" s="158" t="s">
        <v>62</v>
      </c>
      <c r="AB11" s="584" t="s">
        <v>15</v>
      </c>
      <c r="AC11" s="586">
        <v>15.5</v>
      </c>
      <c r="AD11" s="590">
        <v>17</v>
      </c>
      <c r="AE11" s="588">
        <v>19</v>
      </c>
      <c r="AF11" s="590">
        <v>20.5</v>
      </c>
      <c r="AG11" s="588">
        <v>22.5</v>
      </c>
      <c r="AH11" s="590">
        <v>24</v>
      </c>
      <c r="AI11" s="589">
        <v>26</v>
      </c>
      <c r="AK11" s="584" t="s">
        <v>63</v>
      </c>
      <c r="AL11" s="597">
        <v>31</v>
      </c>
      <c r="AM11" s="597"/>
    </row>
    <row r="12" spans="1:39">
      <c r="A12" s="10" t="s">
        <v>7</v>
      </c>
      <c r="B12" s="11">
        <v>64</v>
      </c>
      <c r="C12" s="10" t="s">
        <v>50</v>
      </c>
      <c r="D12" s="11">
        <v>4.2709999999999999</v>
      </c>
      <c r="E12" s="11">
        <v>7.39</v>
      </c>
      <c r="F12" s="12">
        <v>22.031508881945314</v>
      </c>
      <c r="G12" s="158" t="s">
        <v>64</v>
      </c>
      <c r="AB12" s="584" t="s">
        <v>16</v>
      </c>
      <c r="AC12" s="586">
        <v>51.5</v>
      </c>
      <c r="AD12" s="590">
        <v>53.8</v>
      </c>
      <c r="AE12" s="588">
        <v>56.8</v>
      </c>
      <c r="AF12" s="590">
        <v>64</v>
      </c>
      <c r="AG12" s="588">
        <v>66</v>
      </c>
      <c r="AH12" s="590">
        <v>67.3</v>
      </c>
      <c r="AI12" s="589">
        <v>68.8</v>
      </c>
      <c r="AK12" s="584" t="s">
        <v>65</v>
      </c>
      <c r="AL12" s="597">
        <v>2</v>
      </c>
      <c r="AM12" s="597"/>
    </row>
    <row r="13" spans="1:39" ht="30">
      <c r="A13" s="7" t="s">
        <v>11</v>
      </c>
      <c r="B13" s="8">
        <v>7</v>
      </c>
      <c r="C13" s="7" t="s">
        <v>66</v>
      </c>
      <c r="D13" s="8">
        <v>19.47</v>
      </c>
      <c r="E13" s="8">
        <v>7.09</v>
      </c>
      <c r="F13" s="9">
        <v>9683.2077668474703</v>
      </c>
      <c r="G13" s="158" t="s">
        <v>67</v>
      </c>
      <c r="AB13" s="584" t="s">
        <v>17</v>
      </c>
      <c r="AC13" s="586">
        <v>71.8</v>
      </c>
      <c r="AD13" s="590">
        <v>75.8</v>
      </c>
      <c r="AE13" s="588">
        <v>80.8</v>
      </c>
      <c r="AF13" s="590">
        <v>82.8</v>
      </c>
      <c r="AG13" s="588">
        <v>86.8</v>
      </c>
      <c r="AH13" s="590">
        <v>88.3</v>
      </c>
      <c r="AI13" s="589">
        <v>89.5</v>
      </c>
      <c r="AK13" s="584" t="s">
        <v>68</v>
      </c>
      <c r="AL13" s="597">
        <v>2</v>
      </c>
      <c r="AM13" s="597"/>
    </row>
    <row r="14" spans="1:39">
      <c r="A14" s="13" t="s">
        <v>11</v>
      </c>
      <c r="B14" s="14">
        <v>10.5</v>
      </c>
      <c r="C14" s="13" t="s">
        <v>32</v>
      </c>
      <c r="D14" s="14">
        <v>14.84</v>
      </c>
      <c r="E14" s="14">
        <v>7</v>
      </c>
      <c r="F14" s="15">
        <v>606.99112448763299</v>
      </c>
      <c r="G14" s="158" t="s">
        <v>69</v>
      </c>
      <c r="AB14" s="584">
        <v>102</v>
      </c>
      <c r="AC14" s="586">
        <v>21</v>
      </c>
      <c r="AD14" s="590">
        <v>26</v>
      </c>
      <c r="AE14" s="588"/>
      <c r="AF14" s="590"/>
      <c r="AG14" s="588"/>
      <c r="AH14" s="590"/>
      <c r="AI14" s="589"/>
      <c r="AK14" s="584" t="s">
        <v>70</v>
      </c>
      <c r="AL14" s="597">
        <v>5</v>
      </c>
      <c r="AM14" s="597"/>
    </row>
    <row r="15" spans="1:39">
      <c r="A15" s="13" t="s">
        <v>11</v>
      </c>
      <c r="B15" s="14">
        <v>14</v>
      </c>
      <c r="C15" s="13" t="s">
        <v>38</v>
      </c>
      <c r="D15" s="14">
        <v>17.88</v>
      </c>
      <c r="E15" s="14">
        <v>7</v>
      </c>
      <c r="F15" s="15">
        <v>10123.158243273032</v>
      </c>
      <c r="G15" s="158" t="s">
        <v>71</v>
      </c>
      <c r="AB15" s="584" t="s">
        <v>18</v>
      </c>
      <c r="AC15" s="586">
        <v>42.5</v>
      </c>
      <c r="AD15" s="590">
        <v>46.3</v>
      </c>
      <c r="AE15" s="588">
        <v>52.7</v>
      </c>
      <c r="AF15" s="590">
        <v>62</v>
      </c>
      <c r="AG15" s="588">
        <v>66</v>
      </c>
      <c r="AH15" s="590">
        <v>68</v>
      </c>
      <c r="AI15" s="589">
        <v>70.5</v>
      </c>
      <c r="AK15" s="584" t="s">
        <v>72</v>
      </c>
      <c r="AL15" s="597">
        <v>7</v>
      </c>
      <c r="AM15" s="597">
        <v>17</v>
      </c>
    </row>
    <row r="16" spans="1:39">
      <c r="A16" s="13" t="s">
        <v>11</v>
      </c>
      <c r="B16" s="14">
        <v>15.5</v>
      </c>
      <c r="C16" s="13" t="s">
        <v>38</v>
      </c>
      <c r="D16" s="14">
        <v>12.67</v>
      </c>
      <c r="E16" s="14">
        <v>7.08</v>
      </c>
      <c r="F16" s="15">
        <v>707.26364243081412</v>
      </c>
      <c r="G16" s="158" t="s">
        <v>73</v>
      </c>
      <c r="AB16" s="584" t="s">
        <v>74</v>
      </c>
      <c r="AC16" s="586">
        <v>72.8</v>
      </c>
      <c r="AD16" s="590">
        <v>74</v>
      </c>
      <c r="AE16" s="588">
        <v>75.5</v>
      </c>
      <c r="AF16" s="590">
        <v>78</v>
      </c>
      <c r="AG16" s="588">
        <v>82</v>
      </c>
      <c r="AH16" s="590">
        <v>86</v>
      </c>
      <c r="AI16" s="589">
        <v>89.5</v>
      </c>
      <c r="AK16" s="595">
        <v>37</v>
      </c>
      <c r="AL16" s="597">
        <v>20</v>
      </c>
      <c r="AM16" s="597"/>
    </row>
    <row r="17" spans="1:39">
      <c r="A17" s="13" t="s">
        <v>11</v>
      </c>
      <c r="B17" s="14">
        <v>20</v>
      </c>
      <c r="C17" s="13" t="s">
        <v>38</v>
      </c>
      <c r="D17" s="14">
        <v>5.3819999999999997</v>
      </c>
      <c r="E17" s="14">
        <v>7.31</v>
      </c>
      <c r="F17" s="15">
        <v>26.329635294249172</v>
      </c>
      <c r="G17" s="158" t="s">
        <v>75</v>
      </c>
      <c r="AB17" s="584">
        <v>103</v>
      </c>
      <c r="AC17" s="586">
        <v>47.5</v>
      </c>
      <c r="AD17" s="590"/>
      <c r="AE17" s="588"/>
      <c r="AF17" s="590"/>
      <c r="AG17" s="588"/>
      <c r="AH17" s="590"/>
      <c r="AI17" s="589"/>
      <c r="AK17" s="595">
        <v>60</v>
      </c>
      <c r="AL17" s="597">
        <v>67</v>
      </c>
      <c r="AM17" s="597"/>
    </row>
    <row r="18" spans="1:39">
      <c r="A18" s="13" t="s">
        <v>11</v>
      </c>
      <c r="B18" s="14">
        <v>43</v>
      </c>
      <c r="C18" s="13" t="s">
        <v>32</v>
      </c>
      <c r="D18" s="14">
        <v>5.4160000000000004</v>
      </c>
      <c r="E18" s="14">
        <v>7.19</v>
      </c>
      <c r="F18" s="15">
        <v>33.438457743231837</v>
      </c>
      <c r="G18" s="158" t="s">
        <v>76</v>
      </c>
      <c r="AB18" s="585" t="s">
        <v>19</v>
      </c>
      <c r="AC18" s="591">
        <v>61</v>
      </c>
      <c r="AD18" s="592">
        <v>66.5</v>
      </c>
      <c r="AE18" s="593">
        <v>70.5</v>
      </c>
      <c r="AF18" s="592">
        <v>72.5</v>
      </c>
      <c r="AG18" s="593">
        <v>80</v>
      </c>
      <c r="AH18" s="592">
        <v>99.5</v>
      </c>
      <c r="AI18" s="594">
        <v>107</v>
      </c>
      <c r="AK18" s="595">
        <v>86</v>
      </c>
      <c r="AL18" s="597">
        <v>9</v>
      </c>
      <c r="AM18" s="597"/>
    </row>
    <row r="19" spans="1:39">
      <c r="A19" s="10" t="s">
        <v>11</v>
      </c>
      <c r="B19" s="11">
        <v>65</v>
      </c>
      <c r="C19" s="10" t="s">
        <v>77</v>
      </c>
      <c r="D19" s="11">
        <v>5.0679999999999996</v>
      </c>
      <c r="E19" s="11">
        <v>7.66</v>
      </c>
      <c r="F19" s="12">
        <v>120.82128078730307</v>
      </c>
      <c r="G19" s="158" t="s">
        <v>78</v>
      </c>
      <c r="AK19" s="122" t="s">
        <v>79</v>
      </c>
      <c r="AL19" s="598" t="s">
        <v>80</v>
      </c>
      <c r="AM19" s="597"/>
    </row>
    <row r="20" spans="1:39">
      <c r="A20" s="7" t="s">
        <v>14</v>
      </c>
      <c r="B20" s="8">
        <v>15.5</v>
      </c>
      <c r="C20" s="7" t="s">
        <v>77</v>
      </c>
      <c r="D20" s="8"/>
      <c r="E20" s="8">
        <v>7.7</v>
      </c>
      <c r="F20" s="9">
        <v>8878.3692042921448</v>
      </c>
      <c r="G20" s="158" t="s">
        <v>81</v>
      </c>
      <c r="AK20" s="122" t="s">
        <v>82</v>
      </c>
      <c r="AL20" s="598" t="s">
        <v>80</v>
      </c>
      <c r="AM20" s="597"/>
    </row>
    <row r="21" spans="1:39" ht="14.45" customHeight="1">
      <c r="A21" s="13" t="s">
        <v>14</v>
      </c>
      <c r="B21" s="14">
        <v>19</v>
      </c>
      <c r="C21" s="13" t="s">
        <v>50</v>
      </c>
      <c r="D21" s="14"/>
      <c r="E21" s="14">
        <v>7.48</v>
      </c>
      <c r="F21" s="15">
        <v>12092.753769476491</v>
      </c>
      <c r="G21" s="158" t="s">
        <v>83</v>
      </c>
      <c r="AK21" s="122" t="s">
        <v>84</v>
      </c>
      <c r="AL21" s="598" t="s">
        <v>85</v>
      </c>
      <c r="AM21" s="597" t="s">
        <v>86</v>
      </c>
    </row>
    <row r="22" spans="1:39">
      <c r="A22" s="13" t="s">
        <v>14</v>
      </c>
      <c r="B22" s="14">
        <v>26</v>
      </c>
      <c r="C22" s="13" t="s">
        <v>50</v>
      </c>
      <c r="D22" s="14"/>
      <c r="E22" s="14">
        <v>7.33</v>
      </c>
      <c r="F22" s="15">
        <v>10296.619441004364</v>
      </c>
      <c r="G22" s="158" t="s">
        <v>87</v>
      </c>
      <c r="AK22" s="115" t="s">
        <v>88</v>
      </c>
      <c r="AL22" s="599" t="s">
        <v>89</v>
      </c>
      <c r="AM22" s="600"/>
    </row>
    <row r="23" spans="1:39">
      <c r="A23" s="13" t="s">
        <v>14</v>
      </c>
      <c r="B23" s="14">
        <v>39</v>
      </c>
      <c r="C23" s="13" t="s">
        <v>77</v>
      </c>
      <c r="D23" s="14"/>
      <c r="E23" s="14">
        <v>8.26</v>
      </c>
      <c r="F23" s="15">
        <v>8523.4388136869402</v>
      </c>
      <c r="G23" s="158" t="s">
        <v>90</v>
      </c>
    </row>
    <row r="24" spans="1:39">
      <c r="A24" s="10" t="s">
        <v>14</v>
      </c>
      <c r="B24" s="11">
        <v>46</v>
      </c>
      <c r="C24" s="10" t="s">
        <v>77</v>
      </c>
      <c r="D24" s="11"/>
      <c r="E24" s="11">
        <v>7.52</v>
      </c>
      <c r="F24" s="12">
        <v>13644.107807809884</v>
      </c>
      <c r="G24" s="158" t="s">
        <v>91</v>
      </c>
    </row>
    <row r="25" spans="1:39">
      <c r="A25" s="7" t="s">
        <v>92</v>
      </c>
      <c r="B25" s="17" t="s">
        <v>93</v>
      </c>
      <c r="C25" s="7" t="s">
        <v>94</v>
      </c>
      <c r="D25" s="8">
        <v>7.1289999999999996</v>
      </c>
      <c r="E25" s="8">
        <v>7.25</v>
      </c>
      <c r="F25" s="9">
        <v>222.1</v>
      </c>
      <c r="G25" s="158" t="s">
        <v>95</v>
      </c>
      <c r="V25" t="s">
        <v>96</v>
      </c>
    </row>
    <row r="26" spans="1:39">
      <c r="A26" s="20">
        <v>60</v>
      </c>
      <c r="B26" s="18" t="s">
        <v>97</v>
      </c>
      <c r="C26" s="13" t="s">
        <v>98</v>
      </c>
      <c r="D26" s="14">
        <v>4.5350000000000001</v>
      </c>
      <c r="E26" s="14">
        <v>7.31</v>
      </c>
      <c r="F26" s="15">
        <v>18.8</v>
      </c>
      <c r="G26" s="158" t="s">
        <v>99</v>
      </c>
    </row>
    <row r="27" spans="1:39" ht="15.75" thickBot="1">
      <c r="A27" s="10" t="s">
        <v>43</v>
      </c>
      <c r="B27" s="11" t="s">
        <v>100</v>
      </c>
      <c r="C27" s="13" t="s">
        <v>98</v>
      </c>
      <c r="D27" s="11">
        <v>5.181</v>
      </c>
      <c r="E27" s="11">
        <v>7.29</v>
      </c>
      <c r="F27" s="12">
        <v>28</v>
      </c>
      <c r="G27" s="174" t="s">
        <v>101</v>
      </c>
      <c r="AB27" s="333" t="s">
        <v>0</v>
      </c>
      <c r="AC27" s="613" t="s">
        <v>21</v>
      </c>
      <c r="AD27" s="614"/>
      <c r="AE27" s="614"/>
      <c r="AF27" s="614"/>
      <c r="AG27" s="614"/>
      <c r="AH27" s="614"/>
      <c r="AI27" s="615"/>
      <c r="AJ27" s="51"/>
      <c r="AK27" s="51"/>
    </row>
    <row r="28" spans="1:39">
      <c r="A28" s="7" t="s">
        <v>37</v>
      </c>
      <c r="B28" s="17" t="s">
        <v>102</v>
      </c>
      <c r="C28" s="16" t="s">
        <v>103</v>
      </c>
      <c r="D28" s="16"/>
      <c r="E28" s="16"/>
      <c r="F28" s="16"/>
      <c r="AB28" s="583" t="s">
        <v>6</v>
      </c>
      <c r="AC28" s="586">
        <f t="shared" ref="AC28:AD32" si="0">AC2-3</f>
        <v>48</v>
      </c>
      <c r="AD28" s="587">
        <f t="shared" si="0"/>
        <v>62</v>
      </c>
      <c r="AE28" s="588"/>
      <c r="AF28" s="587"/>
      <c r="AG28" s="588"/>
      <c r="AH28" s="587"/>
      <c r="AI28" s="589"/>
      <c r="AJ28" s="51"/>
      <c r="AK28" s="51"/>
    </row>
    <row r="29" spans="1:39">
      <c r="A29" s="13" t="s">
        <v>31</v>
      </c>
      <c r="B29" s="18" t="s">
        <v>104</v>
      </c>
      <c r="C29" s="16" t="s">
        <v>105</v>
      </c>
      <c r="D29" s="16"/>
      <c r="E29" s="16"/>
      <c r="F29" s="16"/>
      <c r="AB29" s="584" t="s">
        <v>7</v>
      </c>
      <c r="AC29" s="586">
        <f t="shared" si="0"/>
        <v>14</v>
      </c>
      <c r="AD29" s="590">
        <f t="shared" si="0"/>
        <v>41</v>
      </c>
      <c r="AE29" s="588">
        <f t="shared" ref="AE29:AF32" si="1">AE3-3</f>
        <v>51</v>
      </c>
      <c r="AF29" s="590">
        <f t="shared" si="1"/>
        <v>60</v>
      </c>
      <c r="AG29" s="588"/>
      <c r="AH29" s="590"/>
      <c r="AI29" s="589"/>
    </row>
    <row r="30" spans="1:39">
      <c r="A30" s="13" t="s">
        <v>54</v>
      </c>
      <c r="B30" s="18" t="s">
        <v>106</v>
      </c>
      <c r="C30" s="16" t="s">
        <v>107</v>
      </c>
      <c r="AB30" s="584" t="s">
        <v>42</v>
      </c>
      <c r="AC30" s="586">
        <f t="shared" si="0"/>
        <v>5.5</v>
      </c>
      <c r="AD30" s="590">
        <f t="shared" si="0"/>
        <v>7.5</v>
      </c>
      <c r="AE30" s="588">
        <f t="shared" si="1"/>
        <v>9</v>
      </c>
      <c r="AF30" s="590">
        <f t="shared" si="1"/>
        <v>11</v>
      </c>
      <c r="AG30" s="588">
        <f t="shared" ref="AG30:AI32" si="2">AG4-3</f>
        <v>12.5</v>
      </c>
      <c r="AH30" s="590">
        <f t="shared" si="2"/>
        <v>14</v>
      </c>
      <c r="AI30" s="589">
        <f t="shared" si="2"/>
        <v>16</v>
      </c>
    </row>
    <row r="31" spans="1:39">
      <c r="A31" s="20">
        <v>37</v>
      </c>
      <c r="B31" s="18">
        <v>25</v>
      </c>
      <c r="C31" s="16" t="s">
        <v>108</v>
      </c>
      <c r="AB31" s="584" t="s">
        <v>48</v>
      </c>
      <c r="AC31" s="586">
        <f t="shared" si="0"/>
        <v>17.5</v>
      </c>
      <c r="AD31" s="590">
        <f t="shared" si="0"/>
        <v>19.5</v>
      </c>
      <c r="AE31" s="588">
        <f t="shared" si="1"/>
        <v>21</v>
      </c>
      <c r="AF31" s="590">
        <f t="shared" si="1"/>
        <v>23</v>
      </c>
      <c r="AG31" s="588">
        <f t="shared" si="2"/>
        <v>25</v>
      </c>
      <c r="AH31" s="590">
        <f t="shared" si="2"/>
        <v>26.5</v>
      </c>
      <c r="AI31" s="589">
        <f t="shared" si="2"/>
        <v>28</v>
      </c>
    </row>
    <row r="32" spans="1:39">
      <c r="A32" s="10" t="s">
        <v>84</v>
      </c>
      <c r="B32" s="19">
        <v>45</v>
      </c>
      <c r="C32" s="16" t="s">
        <v>107</v>
      </c>
      <c r="AB32" s="584" t="s">
        <v>10</v>
      </c>
      <c r="AC32" s="586">
        <f t="shared" si="0"/>
        <v>46.5</v>
      </c>
      <c r="AD32" s="590">
        <f t="shared" si="0"/>
        <v>48.5</v>
      </c>
      <c r="AE32" s="588">
        <f t="shared" si="1"/>
        <v>50</v>
      </c>
      <c r="AF32" s="590">
        <f t="shared" si="1"/>
        <v>52</v>
      </c>
      <c r="AG32" s="588">
        <f t="shared" si="2"/>
        <v>53.5</v>
      </c>
      <c r="AH32" s="590">
        <f t="shared" si="2"/>
        <v>55.5</v>
      </c>
      <c r="AI32" s="589">
        <f t="shared" si="2"/>
        <v>57</v>
      </c>
    </row>
    <row r="33" spans="1:35">
      <c r="AB33" s="584" t="s">
        <v>11</v>
      </c>
      <c r="AC33" s="586">
        <f t="shared" ref="AC33:AC44" si="3">AC7-3</f>
        <v>61.5</v>
      </c>
      <c r="AD33" s="590"/>
      <c r="AE33" s="588"/>
      <c r="AF33" s="590"/>
      <c r="AG33" s="588"/>
      <c r="AH33" s="590"/>
      <c r="AI33" s="589"/>
    </row>
    <row r="34" spans="1:35">
      <c r="B34" t="s">
        <v>109</v>
      </c>
      <c r="AB34" s="584" t="s">
        <v>12</v>
      </c>
      <c r="AC34" s="586">
        <f t="shared" si="3"/>
        <v>4</v>
      </c>
      <c r="AD34" s="590">
        <f t="shared" ref="AD34:AI35" si="4">AD8-3</f>
        <v>5.5</v>
      </c>
      <c r="AE34" s="588">
        <f t="shared" si="4"/>
        <v>7.5</v>
      </c>
      <c r="AF34" s="590">
        <f t="shared" si="4"/>
        <v>9</v>
      </c>
      <c r="AG34" s="588">
        <f t="shared" si="4"/>
        <v>11</v>
      </c>
      <c r="AH34" s="590">
        <f t="shared" si="4"/>
        <v>12.5</v>
      </c>
      <c r="AI34" s="589">
        <f t="shared" si="4"/>
        <v>14.5</v>
      </c>
    </row>
    <row r="35" spans="1:35">
      <c r="B35" t="s">
        <v>110</v>
      </c>
      <c r="C35" t="s">
        <v>111</v>
      </c>
      <c r="AB35" s="584" t="s">
        <v>13</v>
      </c>
      <c r="AC35" s="586">
        <f t="shared" si="3"/>
        <v>17</v>
      </c>
      <c r="AD35" s="590">
        <f t="shared" si="4"/>
        <v>20</v>
      </c>
      <c r="AE35" s="588">
        <f t="shared" si="4"/>
        <v>23</v>
      </c>
      <c r="AF35" s="590">
        <f t="shared" si="4"/>
        <v>40</v>
      </c>
      <c r="AG35" s="588">
        <f t="shared" si="4"/>
        <v>47</v>
      </c>
      <c r="AH35" s="590">
        <f t="shared" si="4"/>
        <v>52</v>
      </c>
      <c r="AI35" s="589">
        <f t="shared" si="4"/>
        <v>57</v>
      </c>
    </row>
    <row r="36" spans="1:35">
      <c r="A36" t="s">
        <v>6</v>
      </c>
      <c r="B36">
        <v>137095</v>
      </c>
      <c r="C36">
        <v>457048</v>
      </c>
      <c r="AB36" s="584" t="s">
        <v>14</v>
      </c>
      <c r="AC36" s="586">
        <f t="shared" si="3"/>
        <v>35.5</v>
      </c>
      <c r="AD36" s="590">
        <f t="shared" ref="AD36:AF39" si="5">AD10-3</f>
        <v>37.5</v>
      </c>
      <c r="AE36" s="588">
        <f t="shared" si="5"/>
        <v>40</v>
      </c>
      <c r="AF36" s="590">
        <f t="shared" si="5"/>
        <v>42.5</v>
      </c>
      <c r="AG36" s="588"/>
      <c r="AH36" s="590"/>
      <c r="AI36" s="589"/>
    </row>
    <row r="37" spans="1:35">
      <c r="A37" s="158" t="s">
        <v>14</v>
      </c>
      <c r="B37">
        <v>137148</v>
      </c>
      <c r="C37">
        <v>457043</v>
      </c>
      <c r="AB37" s="584" t="s">
        <v>15</v>
      </c>
      <c r="AC37" s="586">
        <f t="shared" si="3"/>
        <v>12.5</v>
      </c>
      <c r="AD37" s="590">
        <f t="shared" si="5"/>
        <v>14</v>
      </c>
      <c r="AE37" s="588">
        <f t="shared" si="5"/>
        <v>16</v>
      </c>
      <c r="AF37" s="590">
        <f t="shared" si="5"/>
        <v>17.5</v>
      </c>
      <c r="AG37" s="588">
        <f t="shared" ref="AG37:AI39" si="6">AG11-3</f>
        <v>19.5</v>
      </c>
      <c r="AH37" s="590">
        <f t="shared" si="6"/>
        <v>21</v>
      </c>
      <c r="AI37" s="589">
        <f t="shared" si="6"/>
        <v>23</v>
      </c>
    </row>
    <row r="38" spans="1:35">
      <c r="A38" s="158" t="s">
        <v>7</v>
      </c>
      <c r="B38">
        <v>137280</v>
      </c>
      <c r="C38">
        <v>456957</v>
      </c>
      <c r="AB38" s="584" t="s">
        <v>16</v>
      </c>
      <c r="AC38" s="586">
        <f t="shared" si="3"/>
        <v>48.5</v>
      </c>
      <c r="AD38" s="590">
        <f t="shared" si="5"/>
        <v>50.8</v>
      </c>
      <c r="AE38" s="588">
        <f t="shared" si="5"/>
        <v>53.8</v>
      </c>
      <c r="AF38" s="590">
        <f t="shared" si="5"/>
        <v>61</v>
      </c>
      <c r="AG38" s="588">
        <f t="shared" si="6"/>
        <v>63</v>
      </c>
      <c r="AH38" s="590">
        <f t="shared" si="6"/>
        <v>64.3</v>
      </c>
      <c r="AI38" s="589">
        <f t="shared" si="6"/>
        <v>65.8</v>
      </c>
    </row>
    <row r="39" spans="1:35" ht="30">
      <c r="A39" s="158" t="s">
        <v>11</v>
      </c>
      <c r="B39">
        <v>137242</v>
      </c>
      <c r="C39">
        <v>456963</v>
      </c>
      <c r="AB39" s="584" t="s">
        <v>17</v>
      </c>
      <c r="AC39" s="586">
        <f t="shared" si="3"/>
        <v>68.8</v>
      </c>
      <c r="AD39" s="590">
        <f t="shared" si="5"/>
        <v>72.8</v>
      </c>
      <c r="AE39" s="588">
        <f t="shared" si="5"/>
        <v>77.8</v>
      </c>
      <c r="AF39" s="590">
        <f t="shared" si="5"/>
        <v>79.8</v>
      </c>
      <c r="AG39" s="588">
        <f t="shared" si="6"/>
        <v>83.8</v>
      </c>
      <c r="AH39" s="590">
        <f t="shared" si="6"/>
        <v>85.3</v>
      </c>
      <c r="AI39" s="589">
        <f t="shared" si="6"/>
        <v>86.5</v>
      </c>
    </row>
    <row r="40" spans="1:35">
      <c r="A40">
        <v>101</v>
      </c>
      <c r="B40" s="607">
        <v>137086349</v>
      </c>
      <c r="C40" s="607">
        <v>457044127</v>
      </c>
      <c r="AB40" s="584">
        <v>102</v>
      </c>
      <c r="AC40" s="586">
        <f t="shared" si="3"/>
        <v>18</v>
      </c>
      <c r="AD40" s="590">
        <f>AD14-3</f>
        <v>23</v>
      </c>
      <c r="AE40" s="588"/>
      <c r="AF40" s="590"/>
      <c r="AG40" s="588"/>
      <c r="AH40" s="590"/>
      <c r="AI40" s="589"/>
    </row>
    <row r="41" spans="1:35">
      <c r="A41">
        <v>102</v>
      </c>
      <c r="B41" s="607">
        <v>137059268</v>
      </c>
      <c r="C41" s="607">
        <v>456806974</v>
      </c>
      <c r="AB41" s="584" t="s">
        <v>18</v>
      </c>
      <c r="AC41" s="586">
        <f t="shared" si="3"/>
        <v>39.5</v>
      </c>
      <c r="AD41" s="590">
        <f>AD15-3</f>
        <v>43.3</v>
      </c>
      <c r="AE41" s="588">
        <f t="shared" ref="AE41:AI42" si="7">AE15-3</f>
        <v>49.7</v>
      </c>
      <c r="AF41" s="590">
        <f t="shared" si="7"/>
        <v>59</v>
      </c>
      <c r="AG41" s="588">
        <f t="shared" si="7"/>
        <v>63</v>
      </c>
      <c r="AH41" s="590">
        <f t="shared" si="7"/>
        <v>65</v>
      </c>
      <c r="AI41" s="589">
        <f t="shared" si="7"/>
        <v>67.5</v>
      </c>
    </row>
    <row r="42" spans="1:35">
      <c r="A42">
        <v>103</v>
      </c>
      <c r="B42" s="607">
        <v>137086349</v>
      </c>
      <c r="C42" s="607">
        <v>457044127</v>
      </c>
      <c r="AB42" s="584" t="s">
        <v>74</v>
      </c>
      <c r="AC42" s="586">
        <f t="shared" si="3"/>
        <v>69.8</v>
      </c>
      <c r="AD42" s="590">
        <f>AD16-3</f>
        <v>71</v>
      </c>
      <c r="AE42" s="588">
        <f t="shared" si="7"/>
        <v>72.5</v>
      </c>
      <c r="AF42" s="590">
        <f t="shared" si="7"/>
        <v>75</v>
      </c>
      <c r="AG42" s="588">
        <f t="shared" si="7"/>
        <v>79</v>
      </c>
      <c r="AH42" s="590">
        <f t="shared" si="7"/>
        <v>83</v>
      </c>
      <c r="AI42" s="589">
        <f t="shared" si="7"/>
        <v>86.5</v>
      </c>
    </row>
    <row r="43" spans="1:35">
      <c r="A43" t="s">
        <v>54</v>
      </c>
      <c r="B43" s="608">
        <v>137100.02100000001</v>
      </c>
      <c r="C43" s="609">
        <v>456936.59600000002</v>
      </c>
      <c r="AB43" s="584">
        <v>103</v>
      </c>
      <c r="AC43" s="586">
        <f t="shared" si="3"/>
        <v>44.5</v>
      </c>
      <c r="AD43" s="590"/>
      <c r="AE43" s="588"/>
      <c r="AF43" s="590"/>
      <c r="AG43" s="588"/>
      <c r="AH43" s="590"/>
      <c r="AI43" s="589"/>
    </row>
    <row r="44" spans="1:35" ht="15.75" thickBot="1">
      <c r="A44" t="s">
        <v>112</v>
      </c>
      <c r="B44" s="610">
        <v>137175.5</v>
      </c>
      <c r="C44" s="611">
        <v>457056.5</v>
      </c>
      <c r="AB44" s="585" t="s">
        <v>19</v>
      </c>
      <c r="AC44" s="591">
        <f t="shared" si="3"/>
        <v>58</v>
      </c>
      <c r="AD44" s="592">
        <f t="shared" ref="AD44:AI44" si="8">AD18-3</f>
        <v>63.5</v>
      </c>
      <c r="AE44" s="593">
        <f t="shared" si="8"/>
        <v>67.5</v>
      </c>
      <c r="AF44" s="592">
        <f t="shared" si="8"/>
        <v>69.5</v>
      </c>
      <c r="AG44" s="593">
        <f t="shared" si="8"/>
        <v>77</v>
      </c>
      <c r="AH44" s="592">
        <f t="shared" si="8"/>
        <v>96.5</v>
      </c>
      <c r="AI44" s="594">
        <f t="shared" si="8"/>
        <v>104</v>
      </c>
    </row>
  </sheetData>
  <mergeCells count="4">
    <mergeCell ref="H2:H8"/>
    <mergeCell ref="AC1:AI1"/>
    <mergeCell ref="AL1:AM1"/>
    <mergeCell ref="AC27:AI27"/>
  </mergeCells>
  <phoneticPr fontId="13" type="noConversion"/>
  <hyperlinks>
    <hyperlink ref="O1" r:id="rId1" display="B@ MLS1" xr:uid="{E91F771D-3FD3-4D6E-BBB3-4DD83AA4C47A}"/>
    <hyperlink ref="AB8" r:id="rId2" display="B@ MLS1" xr:uid="{1C92D429-69DC-479E-864C-34301BBF509C}"/>
    <hyperlink ref="AB34" r:id="rId3" display="B@ MLS1" xr:uid="{B8F49E8B-43D9-45D9-8F9A-89C2F1E276DC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C98-5391-4C1D-99EA-25F6FC31DD5D}">
  <sheetPr>
    <tabColor theme="4" tint="0.59999389629810485"/>
  </sheetPr>
  <dimension ref="A2:K56"/>
  <sheetViews>
    <sheetView zoomScaleNormal="100" workbookViewId="0">
      <selection activeCell="I24" sqref="I24"/>
    </sheetView>
  </sheetViews>
  <sheetFormatPr defaultColWidth="8.85546875" defaultRowHeight="15"/>
  <sheetData>
    <row r="2" spans="1:11" ht="45">
      <c r="B2" s="42" t="s">
        <v>121</v>
      </c>
      <c r="C2" s="36" t="s">
        <v>504</v>
      </c>
      <c r="D2" s="36" t="s">
        <v>145</v>
      </c>
      <c r="E2" s="36" t="s">
        <v>505</v>
      </c>
      <c r="F2" s="36" t="s">
        <v>506</v>
      </c>
      <c r="G2" s="36" t="s">
        <v>507</v>
      </c>
      <c r="H2" s="34" t="s">
        <v>508</v>
      </c>
      <c r="I2" s="68" t="s">
        <v>139</v>
      </c>
    </row>
    <row r="3" spans="1:11" s="36" customFormat="1">
      <c r="A3" s="36" t="s">
        <v>6</v>
      </c>
      <c r="B3" s="58">
        <v>67.39807390416118</v>
      </c>
      <c r="C3" s="44">
        <v>203.226</v>
      </c>
      <c r="D3" s="28">
        <v>20.013300000000001</v>
      </c>
      <c r="E3" s="28">
        <v>0.10686666666666667</v>
      </c>
      <c r="F3" s="28">
        <v>3.3376885514834205E-2</v>
      </c>
      <c r="G3" s="28">
        <v>12.0744701119241</v>
      </c>
      <c r="H3" s="28">
        <v>0.703691213795412</v>
      </c>
      <c r="I3" s="52">
        <v>-52.5</v>
      </c>
    </row>
    <row r="4" spans="1:11">
      <c r="B4" s="29">
        <v>120.82128078730307</v>
      </c>
      <c r="C4" s="24">
        <v>166.47200000000001</v>
      </c>
      <c r="D4" s="22">
        <v>15.2293</v>
      </c>
      <c r="E4" s="22">
        <v>0.28497777777777783</v>
      </c>
      <c r="F4" s="22">
        <v>6.1851790924956351E-2</v>
      </c>
      <c r="G4" s="22">
        <v>5.4826296935321297</v>
      </c>
      <c r="H4" s="22">
        <v>0.67963978612487197</v>
      </c>
      <c r="I4" s="3">
        <v>-65.5</v>
      </c>
      <c r="K4" t="s">
        <v>509</v>
      </c>
    </row>
    <row r="5" spans="1:11">
      <c r="A5" t="s">
        <v>7</v>
      </c>
      <c r="B5" s="58">
        <v>10.352138260080199</v>
      </c>
      <c r="C5" s="44">
        <v>15</v>
      </c>
      <c r="D5" s="28">
        <v>2.8315999999999999</v>
      </c>
      <c r="E5" s="28">
        <v>0.39184444444444444</v>
      </c>
      <c r="F5" s="28">
        <v>1047.6268494764397</v>
      </c>
      <c r="G5" s="28">
        <v>2.87694866756945</v>
      </c>
      <c r="H5" s="28">
        <v>1.1771842314565599</v>
      </c>
      <c r="I5" s="52">
        <v>-8.5</v>
      </c>
    </row>
    <row r="6" spans="1:11">
      <c r="B6" s="59">
        <v>563.18591952990619</v>
      </c>
      <c r="C6" s="24">
        <v>26</v>
      </c>
      <c r="D6" s="22">
        <v>2.4741</v>
      </c>
      <c r="E6" s="22">
        <v>0.12467777777777779</v>
      </c>
      <c r="F6" s="22">
        <v>280.35698276614306</v>
      </c>
      <c r="G6" s="22">
        <v>3.24179532767866</v>
      </c>
      <c r="H6" s="22">
        <v>0.77835240642361303</v>
      </c>
      <c r="I6" s="3">
        <v>-10.5</v>
      </c>
    </row>
    <row r="7" spans="1:11">
      <c r="B7" s="59">
        <v>4627.6082418081851</v>
      </c>
      <c r="C7" s="24">
        <v>23</v>
      </c>
      <c r="D7" s="22">
        <v>4.8254000000000001</v>
      </c>
      <c r="E7" s="22">
        <v>8.9055555555555554E-2</v>
      </c>
      <c r="F7" s="22">
        <v>748.39467233856874</v>
      </c>
      <c r="G7" s="22">
        <v>2.9641369233805599</v>
      </c>
      <c r="H7" s="22">
        <v>0.58795062857681801</v>
      </c>
      <c r="I7" s="53">
        <v>-12</v>
      </c>
    </row>
    <row r="8" spans="1:11">
      <c r="B8" s="59">
        <v>4391.855486575274</v>
      </c>
      <c r="C8" s="24">
        <v>9</v>
      </c>
      <c r="D8" s="22">
        <v>5.3125</v>
      </c>
      <c r="E8" s="22">
        <v>7.1244444444444457E-2</v>
      </c>
      <c r="F8" s="22">
        <v>742.90993935427571</v>
      </c>
      <c r="G8" s="22">
        <v>3.8366324151128102</v>
      </c>
      <c r="H8" s="22">
        <v>0.61862026418945504</v>
      </c>
      <c r="I8" s="3">
        <v>-13.5</v>
      </c>
    </row>
    <row r="9" spans="1:11">
      <c r="B9" s="59">
        <v>10445.299637632412</v>
      </c>
      <c r="C9" s="24">
        <v>0</v>
      </c>
      <c r="D9" s="22">
        <v>5.7485999999999997</v>
      </c>
      <c r="E9" s="22">
        <v>3.5622222222222229E-2</v>
      </c>
      <c r="F9" s="22">
        <v>2022.2096247818497</v>
      </c>
      <c r="G9" s="22">
        <v>1.1262627950833</v>
      </c>
      <c r="H9" s="22">
        <v>0.196744319617042</v>
      </c>
      <c r="I9" s="53">
        <v>-15.5</v>
      </c>
    </row>
    <row r="10" spans="1:11">
      <c r="B10" s="59">
        <v>8517.7206461662863</v>
      </c>
      <c r="C10" s="24">
        <v>1</v>
      </c>
      <c r="D10" s="22">
        <v>13.094900000000001</v>
      </c>
      <c r="E10" s="22">
        <v>0.30278888888888889</v>
      </c>
      <c r="F10" s="22">
        <v>200.41414288830714</v>
      </c>
      <c r="G10" s="22">
        <v>1.12915831935543</v>
      </c>
      <c r="H10" s="22">
        <v>0.14980383623836399</v>
      </c>
      <c r="I10" s="53">
        <v>-17</v>
      </c>
    </row>
    <row r="11" spans="1:11">
      <c r="B11" s="59">
        <v>6072.2362002911341</v>
      </c>
      <c r="C11" s="24">
        <v>9</v>
      </c>
      <c r="D11" s="22">
        <v>14.869300000000001</v>
      </c>
      <c r="E11" s="22">
        <v>6.4476222222222228</v>
      </c>
      <c r="F11" s="22">
        <v>122.34953839441535</v>
      </c>
      <c r="G11" s="22">
        <v>0.156013410008567</v>
      </c>
      <c r="H11" s="22">
        <v>0.39475386461465001</v>
      </c>
      <c r="I11" s="53">
        <v>-19</v>
      </c>
    </row>
    <row r="12" spans="1:11">
      <c r="B12" s="59">
        <v>6823.0379880820947</v>
      </c>
      <c r="C12" s="24">
        <v>2</v>
      </c>
      <c r="D12" s="22">
        <v>11.7187</v>
      </c>
      <c r="E12" s="22">
        <v>7.1244444444444457E-2</v>
      </c>
      <c r="F12" s="22">
        <v>214.54732853403144</v>
      </c>
      <c r="G12" s="22">
        <v>5.0502472914271399</v>
      </c>
      <c r="H12" s="22">
        <v>0.44477020295779102</v>
      </c>
      <c r="I12" s="3">
        <v>-19.5</v>
      </c>
    </row>
    <row r="13" spans="1:11">
      <c r="B13" s="59">
        <v>3363.7875359597292</v>
      </c>
      <c r="C13" s="24">
        <v>5</v>
      </c>
      <c r="D13" s="22">
        <v>15.582599999999999</v>
      </c>
      <c r="E13" s="22">
        <v>9.4755111111111106</v>
      </c>
      <c r="F13" s="22">
        <v>91.05513743455495</v>
      </c>
      <c r="G13" s="22">
        <v>4.0728365462998503E-2</v>
      </c>
      <c r="H13" s="22">
        <v>0.46739132789608401</v>
      </c>
      <c r="I13" s="53">
        <v>-20.5</v>
      </c>
    </row>
    <row r="14" spans="1:11">
      <c r="B14" s="59">
        <v>999.98649397170402</v>
      </c>
      <c r="C14" s="24">
        <v>120</v>
      </c>
      <c r="D14" s="22">
        <v>19.937000000000001</v>
      </c>
      <c r="E14" s="22">
        <v>20.518399999999996</v>
      </c>
      <c r="F14" s="22">
        <v>8.0699847294938891</v>
      </c>
      <c r="G14" s="22">
        <v>9.9684669011121899E-2</v>
      </c>
      <c r="H14" s="22">
        <v>0.43748106040795198</v>
      </c>
      <c r="I14" s="3">
        <v>-22.5</v>
      </c>
    </row>
    <row r="15" spans="1:11">
      <c r="B15" s="29">
        <v>57.927176990748904</v>
      </c>
      <c r="C15" s="24">
        <v>123</v>
      </c>
      <c r="D15" s="22">
        <v>19.6433</v>
      </c>
      <c r="E15" s="22">
        <v>0.83712222222222221</v>
      </c>
      <c r="F15" s="22">
        <v>6.6780909031413618</v>
      </c>
      <c r="G15" s="22">
        <v>3.9949253808153902</v>
      </c>
      <c r="H15" s="22">
        <v>0.67691496817247698</v>
      </c>
      <c r="I15" s="3">
        <v>-24</v>
      </c>
    </row>
    <row r="16" spans="1:11">
      <c r="B16" s="29">
        <v>17.087316174681867</v>
      </c>
      <c r="C16" s="24">
        <v>124</v>
      </c>
      <c r="D16" s="22">
        <v>24.3749</v>
      </c>
      <c r="E16" s="22">
        <v>5.3433333333333333E-2</v>
      </c>
      <c r="F16" s="22">
        <v>5.7532563699825472</v>
      </c>
      <c r="G16" s="22">
        <v>2.3019177945171601</v>
      </c>
      <c r="H16" s="22">
        <v>0.89554027608513298</v>
      </c>
      <c r="I16" s="3">
        <v>-26</v>
      </c>
    </row>
    <row r="17" spans="1:11">
      <c r="B17" s="59">
        <v>1976.9096035899397</v>
      </c>
      <c r="C17" s="24">
        <v>79</v>
      </c>
      <c r="D17" s="22">
        <v>19.1874</v>
      </c>
      <c r="E17" s="22">
        <v>15.477855555555553</v>
      </c>
      <c r="F17" s="22">
        <v>6.6195299520069808</v>
      </c>
      <c r="G17" s="22">
        <v>0.113612295106787</v>
      </c>
      <c r="H17" s="22">
        <v>3.0511156297776999E-2</v>
      </c>
      <c r="I17" s="53">
        <v>-28</v>
      </c>
    </row>
    <row r="18" spans="1:11">
      <c r="B18" s="59">
        <v>55.968238221817558</v>
      </c>
      <c r="C18" s="24">
        <v>67</v>
      </c>
      <c r="D18" s="22">
        <v>19.292300000000001</v>
      </c>
      <c r="E18" s="22">
        <v>7.1244444444444457E-2</v>
      </c>
      <c r="F18" s="22">
        <v>6.2338846640488645</v>
      </c>
      <c r="G18" s="22">
        <v>3.4858349749339501</v>
      </c>
      <c r="H18" s="22">
        <v>0.69876607110616695</v>
      </c>
      <c r="I18" s="3">
        <v>-29.5</v>
      </c>
    </row>
    <row r="19" spans="1:11">
      <c r="B19" s="59">
        <v>205.01316083293236</v>
      </c>
      <c r="C19" s="24">
        <v>127</v>
      </c>
      <c r="D19" s="22">
        <v>20.867899999999999</v>
      </c>
      <c r="E19" s="22">
        <v>4.9514888888888899</v>
      </c>
      <c r="F19" s="22">
        <v>6.941615183246074</v>
      </c>
      <c r="G19" s="22">
        <v>3.1863076334926901</v>
      </c>
      <c r="H19" s="22">
        <v>0.70182098929139902</v>
      </c>
      <c r="I19" s="3">
        <v>-31</v>
      </c>
    </row>
    <row r="20" spans="1:11">
      <c r="B20" s="29">
        <v>24.769927925219562</v>
      </c>
      <c r="C20" s="24">
        <v>237</v>
      </c>
      <c r="D20" s="22">
        <v>12.995200000000001</v>
      </c>
      <c r="E20" s="22">
        <v>5.3433333333333333E-2</v>
      </c>
      <c r="F20" s="22">
        <v>8.2842321116928428</v>
      </c>
      <c r="G20" s="22">
        <v>9.9551880568739506</v>
      </c>
      <c r="H20" s="22">
        <v>0.39923933656759802</v>
      </c>
      <c r="I20" s="3">
        <v>-45</v>
      </c>
    </row>
    <row r="21" spans="1:11">
      <c r="B21" s="29">
        <v>45.973514723287913</v>
      </c>
      <c r="C21" s="24">
        <v>85</v>
      </c>
      <c r="D21" s="22">
        <v>4.6833999999999998</v>
      </c>
      <c r="E21" s="22">
        <v>5.3433333333333333E-2</v>
      </c>
      <c r="F21" s="22">
        <v>4.3385094895287946</v>
      </c>
      <c r="G21" s="22">
        <v>9.5745828978454792</v>
      </c>
      <c r="H21" s="22">
        <v>0.46118889690845799</v>
      </c>
      <c r="I21" s="3">
        <v>-49.5</v>
      </c>
    </row>
    <row r="22" spans="1:11">
      <c r="B22" s="29">
        <v>23.911461335810994</v>
      </c>
      <c r="C22" s="24">
        <v>85</v>
      </c>
      <c r="D22" s="22">
        <v>2.8610000000000002</v>
      </c>
      <c r="E22" s="22">
        <v>7.1244444444444457E-2</v>
      </c>
      <c r="F22" s="22">
        <v>4.9262614746945905</v>
      </c>
      <c r="G22" s="22">
        <v>12.4930829277627</v>
      </c>
      <c r="H22" s="22">
        <v>0.46410682178795398</v>
      </c>
      <c r="I22" s="3">
        <v>-51</v>
      </c>
    </row>
    <row r="23" spans="1:11">
      <c r="B23" s="29">
        <v>18.393809061085197</v>
      </c>
      <c r="C23" s="24">
        <v>94</v>
      </c>
      <c r="D23" s="22">
        <v>4.5880000000000001</v>
      </c>
      <c r="E23" s="22">
        <v>5.3433333333333333E-2</v>
      </c>
      <c r="F23" s="22">
        <v>4.6548814572425838</v>
      </c>
      <c r="G23" s="22">
        <v>9.28571163287479</v>
      </c>
      <c r="H23" s="22">
        <v>0.49690910259973903</v>
      </c>
      <c r="I23" s="3">
        <v>-53</v>
      </c>
    </row>
    <row r="24" spans="1:11">
      <c r="B24" s="29">
        <v>11.832230751683369</v>
      </c>
      <c r="C24" s="24">
        <v>65</v>
      </c>
      <c r="D24" s="22">
        <v>2.8369</v>
      </c>
      <c r="E24" s="22">
        <v>5.3433333333333333E-2</v>
      </c>
      <c r="F24" s="22">
        <v>4.3120856457242569</v>
      </c>
      <c r="G24" s="22">
        <v>9.3655630683361597</v>
      </c>
      <c r="H24" s="22">
        <v>0.46350808143627498</v>
      </c>
      <c r="I24" s="3">
        <v>-54.5</v>
      </c>
    </row>
    <row r="25" spans="1:11">
      <c r="B25" s="29">
        <v>12.682668307534325</v>
      </c>
      <c r="C25" s="24">
        <v>84</v>
      </c>
      <c r="D25" s="22">
        <v>4.6334</v>
      </c>
      <c r="E25" s="22">
        <v>0.12467777777777779</v>
      </c>
      <c r="F25" s="22">
        <v>4.6206018760907499</v>
      </c>
      <c r="G25" s="22">
        <v>10.230692226240899</v>
      </c>
      <c r="H25" s="22">
        <v>0.52354663576432403</v>
      </c>
      <c r="I25" s="3">
        <v>-55</v>
      </c>
    </row>
    <row r="26" spans="1:11">
      <c r="B26" s="29">
        <v>26.832977956535146</v>
      </c>
      <c r="C26" s="24">
        <v>75</v>
      </c>
      <c r="D26" s="22">
        <v>3.2614000000000001</v>
      </c>
      <c r="E26" s="22">
        <v>5.3433333333333333E-2</v>
      </c>
      <c r="F26" s="22">
        <v>4.2406698516579402</v>
      </c>
      <c r="G26" s="22">
        <v>8.2793653906467508</v>
      </c>
      <c r="H26" s="22">
        <v>0.53797012101596398</v>
      </c>
      <c r="I26" s="3">
        <v>-56.5</v>
      </c>
    </row>
    <row r="27" spans="1:11">
      <c r="B27" s="29">
        <v>11.906494760485327</v>
      </c>
      <c r="C27" s="24">
        <v>181</v>
      </c>
      <c r="D27" s="22">
        <v>1.7968</v>
      </c>
      <c r="E27" s="22">
        <v>3.5622222222222229E-2</v>
      </c>
      <c r="F27" s="22">
        <v>1.5097298865619548</v>
      </c>
      <c r="G27" s="22">
        <v>3.2365833105944701</v>
      </c>
      <c r="H27" s="22">
        <v>0.36033871303818099</v>
      </c>
      <c r="I27" s="3">
        <v>-58</v>
      </c>
      <c r="K27" t="s">
        <v>510</v>
      </c>
    </row>
    <row r="28" spans="1:11">
      <c r="B28" s="29">
        <v>20.209450758932476</v>
      </c>
      <c r="C28" s="24">
        <v>153</v>
      </c>
      <c r="D28" s="22">
        <v>0.9698</v>
      </c>
      <c r="E28" s="22">
        <v>3.5622222222222229E-2</v>
      </c>
      <c r="F28" s="22">
        <v>1.444027356020942</v>
      </c>
      <c r="G28" s="22">
        <v>2.9302530797751398</v>
      </c>
      <c r="H28" s="22">
        <v>0.42526390949921899</v>
      </c>
      <c r="I28" s="3">
        <v>-59.5</v>
      </c>
    </row>
    <row r="29" spans="1:11">
      <c r="B29" s="32">
        <v>22.031508881945314</v>
      </c>
      <c r="C29" s="31">
        <v>39</v>
      </c>
      <c r="D29" s="69">
        <v>1.8802000000000001</v>
      </c>
      <c r="E29" s="69">
        <v>5.3433333333333333E-2</v>
      </c>
      <c r="F29" s="69">
        <v>21.539003490401392</v>
      </c>
      <c r="G29" s="69">
        <v>5.5635663777949604</v>
      </c>
      <c r="H29" s="69">
        <v>0.61010908890698301</v>
      </c>
      <c r="I29" s="54">
        <v>-64</v>
      </c>
    </row>
    <row r="30" spans="1:11">
      <c r="A30" t="s">
        <v>11</v>
      </c>
      <c r="B30" s="322">
        <v>9683.2077668474703</v>
      </c>
      <c r="C30" s="24">
        <v>176</v>
      </c>
      <c r="D30" s="22">
        <v>0.46910000000000002</v>
      </c>
      <c r="E30" s="22">
        <v>0.62338888888888899</v>
      </c>
      <c r="F30" s="22">
        <v>1.8668088568935424</v>
      </c>
      <c r="G30" s="22">
        <v>11.082864877668699</v>
      </c>
      <c r="H30" s="22">
        <v>0.62776146491174201</v>
      </c>
      <c r="I30" s="53">
        <v>-7</v>
      </c>
    </row>
    <row r="31" spans="1:11">
      <c r="B31" s="59">
        <v>1329.6081408206694</v>
      </c>
      <c r="C31" s="24">
        <v>101</v>
      </c>
      <c r="D31" s="22">
        <v>0.52170000000000005</v>
      </c>
      <c r="E31" s="22">
        <v>0.26716666666666661</v>
      </c>
      <c r="F31" s="22">
        <v>1.4690228839441533</v>
      </c>
      <c r="G31" s="22">
        <v>6.8814461681478001</v>
      </c>
      <c r="H31" s="22">
        <v>0.71619651647447702</v>
      </c>
      <c r="I31" s="3">
        <v>-8.5</v>
      </c>
    </row>
    <row r="32" spans="1:11">
      <c r="B32" s="59">
        <v>606.99112448763299</v>
      </c>
      <c r="C32" s="24">
        <v>42</v>
      </c>
      <c r="D32" s="22">
        <v>0.97370000000000001</v>
      </c>
      <c r="E32" s="22">
        <v>0.23154444444444441</v>
      </c>
      <c r="F32" s="22">
        <v>1.7268339005235598</v>
      </c>
      <c r="G32" s="22">
        <v>6.4321751667865703</v>
      </c>
      <c r="H32" s="22">
        <v>0.51059962649233603</v>
      </c>
      <c r="I32" s="53">
        <v>-10.5</v>
      </c>
    </row>
    <row r="33" spans="1:9">
      <c r="B33" s="59">
        <v>1946.5845817780255</v>
      </c>
      <c r="C33" s="24">
        <v>29</v>
      </c>
      <c r="D33" s="22">
        <v>2.8853</v>
      </c>
      <c r="E33" s="22">
        <v>0.19592222222222222</v>
      </c>
      <c r="F33" s="22">
        <v>0.90340979493891793</v>
      </c>
      <c r="G33" s="22">
        <v>4.6566704177515899</v>
      </c>
      <c r="H33" s="22">
        <v>1.1679238937693499</v>
      </c>
      <c r="I33" s="3">
        <v>-12</v>
      </c>
    </row>
    <row r="34" spans="1:9">
      <c r="B34" s="322">
        <v>10123.158243273032</v>
      </c>
      <c r="C34" s="24">
        <v>88</v>
      </c>
      <c r="D34" s="22">
        <v>3.2147999999999999</v>
      </c>
      <c r="E34" s="22">
        <v>1.1933444444444445</v>
      </c>
      <c r="F34" s="22">
        <v>2.4502758944153578</v>
      </c>
      <c r="G34" s="22">
        <v>1.6005894160555101</v>
      </c>
      <c r="H34" s="22">
        <v>1.0853119418153701</v>
      </c>
      <c r="I34" s="53">
        <v>-14</v>
      </c>
    </row>
    <row r="35" spans="1:9">
      <c r="B35" s="59">
        <v>707.26364243081412</v>
      </c>
      <c r="C35" s="24">
        <v>136</v>
      </c>
      <c r="D35" s="22">
        <v>2.6116999999999999</v>
      </c>
      <c r="E35" s="22">
        <v>0.10686666666666667</v>
      </c>
      <c r="F35" s="22">
        <v>912.20107918848146</v>
      </c>
      <c r="G35" s="22">
        <v>2.0326463153345502</v>
      </c>
      <c r="H35" s="22">
        <v>1.3445663786947799</v>
      </c>
      <c r="I35" s="53">
        <v>-15.5</v>
      </c>
    </row>
    <row r="36" spans="1:9">
      <c r="B36" s="59">
        <v>305.70133444855048</v>
      </c>
      <c r="C36" s="24">
        <v>204</v>
      </c>
      <c r="D36" s="22">
        <v>2.7376999999999998</v>
      </c>
      <c r="E36" s="22">
        <v>8.9055555555555554E-2</v>
      </c>
      <c r="F36" s="22">
        <v>15.235845506108204</v>
      </c>
      <c r="G36" s="22">
        <v>4.0587019959145696</v>
      </c>
      <c r="H36" s="22">
        <v>0.91956714965754005</v>
      </c>
      <c r="I36" s="3">
        <v>-17</v>
      </c>
    </row>
    <row r="37" spans="1:9">
      <c r="B37" s="29">
        <v>26.329635294249172</v>
      </c>
      <c r="C37" s="24">
        <v>169</v>
      </c>
      <c r="D37" s="22">
        <v>2.875</v>
      </c>
      <c r="E37" s="22">
        <v>3.5622222222222229E-2</v>
      </c>
      <c r="F37" s="22">
        <v>3.9964278359511334</v>
      </c>
      <c r="G37" s="22">
        <v>14.889529466079001</v>
      </c>
      <c r="H37" s="22">
        <v>1.65358823793106</v>
      </c>
      <c r="I37" s="3">
        <v>-20</v>
      </c>
    </row>
    <row r="38" spans="1:9">
      <c r="B38" s="29">
        <v>28.481094482810178</v>
      </c>
      <c r="C38" s="24">
        <v>204</v>
      </c>
      <c r="D38" s="22">
        <v>2.7376999999999998</v>
      </c>
      <c r="E38" s="22">
        <v>5.3433333333333333E-2</v>
      </c>
      <c r="F38" s="22">
        <v>2.4731289485165791</v>
      </c>
      <c r="G38" s="22">
        <v>15.026182223749601</v>
      </c>
      <c r="H38" s="22">
        <v>1.4641103789172401</v>
      </c>
      <c r="I38" s="3">
        <v>-23.5</v>
      </c>
    </row>
    <row r="39" spans="1:9">
      <c r="B39" s="29">
        <v>19.78754889643178</v>
      </c>
      <c r="C39" s="24">
        <v>169</v>
      </c>
      <c r="D39" s="22">
        <v>2.875</v>
      </c>
      <c r="E39" s="22">
        <v>7.1244444444444457E-2</v>
      </c>
      <c r="F39" s="22">
        <v>2.2338860383944157</v>
      </c>
      <c r="G39" s="22">
        <v>11.6569911158049</v>
      </c>
      <c r="H39" s="22">
        <v>1.26282141564323</v>
      </c>
      <c r="I39" s="3">
        <v>-26</v>
      </c>
    </row>
    <row r="40" spans="1:9">
      <c r="B40" s="29">
        <v>33.438457743231837</v>
      </c>
      <c r="C40" s="24">
        <v>141</v>
      </c>
      <c r="D40" s="22">
        <v>2.7511000000000001</v>
      </c>
      <c r="E40" s="22">
        <v>8.9055555555555554E-2</v>
      </c>
      <c r="F40" s="22">
        <v>2.0396350785340314</v>
      </c>
      <c r="G40" s="22">
        <v>9.0513954763816606</v>
      </c>
      <c r="H40" s="22">
        <v>0.59165561802057098</v>
      </c>
      <c r="I40" s="3">
        <v>-43</v>
      </c>
    </row>
    <row r="41" spans="1:9">
      <c r="B41" s="29">
        <v>15.542800365841039</v>
      </c>
      <c r="C41" s="24">
        <v>97</v>
      </c>
      <c r="D41" s="22">
        <v>2.19</v>
      </c>
      <c r="E41" s="22">
        <v>0.12467777777777779</v>
      </c>
      <c r="F41" s="22">
        <v>2.5038377399650962</v>
      </c>
      <c r="G41" s="22">
        <v>8.9653113300044396</v>
      </c>
      <c r="H41" s="22">
        <v>0.36521838199233198</v>
      </c>
      <c r="I41" s="3">
        <v>-50</v>
      </c>
    </row>
    <row r="42" spans="1:9">
      <c r="B42" s="29">
        <v>40.869824758328221</v>
      </c>
      <c r="C42" s="24">
        <v>102</v>
      </c>
      <c r="D42" s="22">
        <v>2.0041000000000002</v>
      </c>
      <c r="E42" s="22">
        <v>7.1244444444444457E-2</v>
      </c>
      <c r="F42" s="22">
        <v>2.3124434118673647</v>
      </c>
      <c r="G42" s="22">
        <v>10.7675128515474</v>
      </c>
      <c r="H42" s="22">
        <v>0.56462842055957596</v>
      </c>
      <c r="I42" s="3">
        <v>-55.5</v>
      </c>
    </row>
    <row r="43" spans="1:9">
      <c r="B43" s="29">
        <v>15.096293918921351</v>
      </c>
      <c r="C43" s="24">
        <v>74</v>
      </c>
      <c r="D43" s="22">
        <v>1.7074</v>
      </c>
      <c r="E43" s="22">
        <v>0.10686666666666667</v>
      </c>
      <c r="F43" s="22">
        <v>1.3590425610820245</v>
      </c>
      <c r="G43" s="22">
        <v>6.18194213218543</v>
      </c>
      <c r="H43" s="22">
        <v>0.50261468689298805</v>
      </c>
      <c r="I43" s="3">
        <v>-60</v>
      </c>
    </row>
    <row r="44" spans="1:9">
      <c r="B44" s="29">
        <v>120.82128078730307</v>
      </c>
      <c r="C44" s="24">
        <v>209</v>
      </c>
      <c r="D44" s="22">
        <v>0.3216</v>
      </c>
      <c r="E44" s="22">
        <v>3.5622222222222229E-2</v>
      </c>
      <c r="F44" s="22">
        <v>1.9817882853403139</v>
      </c>
      <c r="G44" s="22">
        <v>8.5161466416858307</v>
      </c>
      <c r="H44" s="22">
        <v>0.490738894384318</v>
      </c>
      <c r="I44" s="3">
        <v>-65.5</v>
      </c>
    </row>
    <row r="45" spans="1:9">
      <c r="A45" t="s">
        <v>14</v>
      </c>
      <c r="B45" s="60">
        <v>8878.3692042921448</v>
      </c>
      <c r="C45" s="44">
        <v>11</v>
      </c>
      <c r="D45" s="28">
        <v>29.356300000000001</v>
      </c>
      <c r="E45" s="28">
        <v>19.253811111111112</v>
      </c>
      <c r="F45" s="28">
        <v>102.24456404886561</v>
      </c>
      <c r="G45" s="28">
        <v>2.7283535104929601E-2</v>
      </c>
      <c r="H45" s="28">
        <v>0.12930630159745499</v>
      </c>
      <c r="I45" s="55">
        <v>-15.5</v>
      </c>
    </row>
    <row r="46" spans="1:9">
      <c r="B46" s="59">
        <v>8733.5485876714192</v>
      </c>
      <c r="C46" s="24">
        <v>1.2</v>
      </c>
      <c r="D46" s="22">
        <v>30.159600000000001</v>
      </c>
      <c r="E46" s="22">
        <v>0.51652222222222222</v>
      </c>
      <c r="F46" s="22">
        <v>55.040152486910976</v>
      </c>
      <c r="G46" s="22">
        <v>1.0927633839825399</v>
      </c>
      <c r="H46" s="22">
        <v>9.0331121420479499E-2</v>
      </c>
      <c r="I46" s="3">
        <v>-17</v>
      </c>
    </row>
    <row r="47" spans="1:9">
      <c r="B47" s="59">
        <v>12092.753769476491</v>
      </c>
      <c r="C47" s="24">
        <v>0</v>
      </c>
      <c r="D47" s="22">
        <v>22.939800000000002</v>
      </c>
      <c r="E47" s="22">
        <v>0.40965555555555555</v>
      </c>
      <c r="F47" s="22">
        <v>305.7952886125654</v>
      </c>
      <c r="G47" s="22">
        <v>0.61339781005528504</v>
      </c>
      <c r="H47" s="22">
        <v>0.12714461551751</v>
      </c>
      <c r="I47" s="53">
        <v>-19</v>
      </c>
    </row>
    <row r="48" spans="1:9">
      <c r="B48" s="59">
        <v>9673.0263442075884</v>
      </c>
      <c r="C48" s="24">
        <v>5</v>
      </c>
      <c r="D48" s="22">
        <v>23.874500000000001</v>
      </c>
      <c r="E48" s="22">
        <v>3.8472000000000004</v>
      </c>
      <c r="F48" s="22">
        <v>347.80920026178006</v>
      </c>
      <c r="G48" s="22">
        <v>0.45767494549029902</v>
      </c>
      <c r="H48" s="22">
        <v>0.13116728619058299</v>
      </c>
      <c r="I48" s="3">
        <v>-20.5</v>
      </c>
    </row>
    <row r="49" spans="2:11">
      <c r="B49" s="59">
        <v>9456.6874048596765</v>
      </c>
      <c r="C49" s="24">
        <v>1</v>
      </c>
      <c r="D49" s="22">
        <v>27.279900000000001</v>
      </c>
      <c r="E49" s="22">
        <v>2.6894777777777779</v>
      </c>
      <c r="F49" s="22">
        <v>389.07324607329838</v>
      </c>
      <c r="G49" s="22">
        <v>0.6288479208094</v>
      </c>
      <c r="H49" s="22">
        <v>0.16985787244172901</v>
      </c>
      <c r="I49" s="3">
        <v>-22.5</v>
      </c>
      <c r="K49" t="s">
        <v>511</v>
      </c>
    </row>
    <row r="50" spans="2:11">
      <c r="B50" s="59">
        <v>10296.619441004364</v>
      </c>
      <c r="C50" s="24">
        <v>13.7</v>
      </c>
      <c r="D50" s="22">
        <v>28.265699999999999</v>
      </c>
      <c r="E50" s="22">
        <v>27.660655555555561</v>
      </c>
      <c r="F50" s="22">
        <v>41.79823595113438</v>
      </c>
      <c r="G50" s="22">
        <v>2.0818129596617899E-2</v>
      </c>
      <c r="H50" s="22">
        <v>9.6375289518495999E-2</v>
      </c>
      <c r="I50" s="53">
        <v>-26</v>
      </c>
    </row>
    <row r="51" spans="2:11">
      <c r="B51" s="59">
        <v>8523.4388136869402</v>
      </c>
      <c r="C51" s="24">
        <v>10</v>
      </c>
      <c r="D51" s="22">
        <v>11.801299999999999</v>
      </c>
      <c r="E51" s="22">
        <v>0.30278888888888889</v>
      </c>
      <c r="F51" s="22">
        <v>75.343662739965083</v>
      </c>
      <c r="G51" s="22">
        <v>2.2401960591924999</v>
      </c>
      <c r="H51" s="22">
        <v>0.22796088340665399</v>
      </c>
      <c r="I51" s="53">
        <v>-39</v>
      </c>
    </row>
    <row r="52" spans="2:11">
      <c r="B52" s="59">
        <v>8464.6548365281978</v>
      </c>
      <c r="C52" s="24">
        <v>16</v>
      </c>
      <c r="D52" s="22">
        <v>18.770099999999999</v>
      </c>
      <c r="E52" s="22">
        <v>3.5622222222222229E-2</v>
      </c>
      <c r="F52" s="22">
        <v>58.449542495636997</v>
      </c>
      <c r="G52" s="22">
        <v>6.5133711426805201</v>
      </c>
      <c r="H52" s="22">
        <v>0.233758166536749</v>
      </c>
      <c r="I52" s="3">
        <v>-41</v>
      </c>
    </row>
    <row r="53" spans="2:11">
      <c r="B53" s="322">
        <v>7756.1329104635161</v>
      </c>
      <c r="C53" s="24">
        <v>81</v>
      </c>
      <c r="D53" s="22">
        <v>18.246600000000001</v>
      </c>
      <c r="E53" s="22">
        <v>5.3433333333333333E-2</v>
      </c>
      <c r="F53" s="22">
        <v>148.35202901396158</v>
      </c>
      <c r="G53" s="22">
        <v>7.3592826012287098</v>
      </c>
      <c r="H53" s="22">
        <v>0.22997358351199401</v>
      </c>
      <c r="I53" s="3">
        <v>-43.5</v>
      </c>
    </row>
    <row r="54" spans="2:11">
      <c r="B54" s="61">
        <v>13644.107807809884</v>
      </c>
      <c r="C54" s="31">
        <v>28</v>
      </c>
      <c r="D54" s="69">
        <v>30.013999999999999</v>
      </c>
      <c r="E54" s="69">
        <v>7.1244444444444457E-2</v>
      </c>
      <c r="F54" s="69">
        <v>125.85962467277484</v>
      </c>
      <c r="G54" s="69">
        <v>7.56683640329714</v>
      </c>
      <c r="H54" s="69">
        <v>0.380396275218917</v>
      </c>
      <c r="I54" s="56">
        <v>-46</v>
      </c>
    </row>
    <row r="56" spans="2:11" ht="15.6" customHeight="1"/>
  </sheetData>
  <conditionalFormatting sqref="G3:G54">
    <cfRule type="top10" dxfId="293" priority="3" rank="1"/>
  </conditionalFormatting>
  <conditionalFormatting sqref="H3:H54">
    <cfRule type="top10" dxfId="292" priority="2" rank="1"/>
  </conditionalFormatting>
  <conditionalFormatting sqref="E3:E54">
    <cfRule type="top10" dxfId="291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CC3E-3CEC-4DF3-A332-22B1427C9794}">
  <sheetPr>
    <tabColor theme="5"/>
  </sheetPr>
  <dimension ref="A1:K189"/>
  <sheetViews>
    <sheetView workbookViewId="0">
      <selection activeCell="B11" sqref="B11"/>
    </sheetView>
  </sheetViews>
  <sheetFormatPr defaultRowHeight="15"/>
  <cols>
    <col min="1" max="1" width="41.42578125" style="83" customWidth="1"/>
    <col min="2" max="2" width="48.5703125" style="83" customWidth="1"/>
    <col min="3" max="3" width="12.7109375" style="83" customWidth="1"/>
    <col min="5" max="5" width="46.85546875" bestFit="1" customWidth="1"/>
    <col min="6" max="6" width="71.5703125" customWidth="1"/>
    <col min="7" max="7" width="16.140625" style="294" bestFit="1" customWidth="1"/>
    <col min="8" max="8" width="28.7109375" customWidth="1"/>
    <col min="9" max="9" width="13.85546875" customWidth="1"/>
    <col min="10" max="10" width="12.28515625" bestFit="1" customWidth="1"/>
    <col min="11" max="11" width="44.42578125" style="51" bestFit="1" customWidth="1"/>
  </cols>
  <sheetData>
    <row r="1" spans="1:11" ht="17.25">
      <c r="A1" s="70" t="s">
        <v>512</v>
      </c>
      <c r="B1" s="71" t="s">
        <v>119</v>
      </c>
      <c r="C1" s="72" t="s">
        <v>513</v>
      </c>
      <c r="E1" s="351" t="s">
        <v>514</v>
      </c>
      <c r="F1" s="351" t="s">
        <v>515</v>
      </c>
      <c r="G1" s="352" t="s">
        <v>516</v>
      </c>
      <c r="H1" s="351" t="s">
        <v>517</v>
      </c>
      <c r="I1" s="351" t="s">
        <v>518</v>
      </c>
      <c r="J1" s="351" t="s">
        <v>519</v>
      </c>
      <c r="K1" s="353" t="s">
        <v>520</v>
      </c>
    </row>
    <row r="2" spans="1:11" ht="26.25">
      <c r="A2" s="73" t="s">
        <v>521</v>
      </c>
      <c r="B2" s="74" t="s">
        <v>522</v>
      </c>
      <c r="C2" s="75">
        <v>2</v>
      </c>
      <c r="E2" s="173" t="s">
        <v>523</v>
      </c>
      <c r="F2" s="354" t="s">
        <v>524</v>
      </c>
      <c r="G2" s="294">
        <v>3</v>
      </c>
      <c r="H2" s="173" t="s">
        <v>525</v>
      </c>
      <c r="I2" s="355">
        <v>93.034588359909989</v>
      </c>
      <c r="J2" s="354" t="s">
        <v>526</v>
      </c>
      <c r="K2" s="356">
        <v>77.039699999999996</v>
      </c>
    </row>
    <row r="3" spans="1:11" ht="26.25">
      <c r="A3" s="73" t="s">
        <v>527</v>
      </c>
      <c r="B3" s="74" t="s">
        <v>528</v>
      </c>
      <c r="C3" s="75">
        <v>7</v>
      </c>
      <c r="E3" s="357" t="s">
        <v>529</v>
      </c>
      <c r="F3" s="358" t="s">
        <v>530</v>
      </c>
      <c r="G3" s="359">
        <v>3</v>
      </c>
      <c r="H3" s="357"/>
      <c r="I3" s="360">
        <v>331.06119703057004</v>
      </c>
      <c r="J3" s="358" t="s">
        <v>531</v>
      </c>
      <c r="K3" s="361">
        <v>287.07136800000001</v>
      </c>
    </row>
    <row r="4" spans="1:11">
      <c r="A4" s="73" t="s">
        <v>532</v>
      </c>
      <c r="B4" s="74" t="s">
        <v>533</v>
      </c>
      <c r="C4" s="75">
        <v>10</v>
      </c>
      <c r="E4" s="173" t="s">
        <v>534</v>
      </c>
      <c r="F4" s="354" t="s">
        <v>535</v>
      </c>
      <c r="G4" s="294">
        <v>3</v>
      </c>
      <c r="H4" s="173" t="s">
        <v>536</v>
      </c>
      <c r="I4" s="355">
        <v>193.05063234687</v>
      </c>
      <c r="J4" s="354" t="s">
        <v>537</v>
      </c>
      <c r="K4" s="356">
        <v>149.0608</v>
      </c>
    </row>
    <row r="5" spans="1:11">
      <c r="A5" s="73" t="s">
        <v>532</v>
      </c>
      <c r="B5" s="74" t="s">
        <v>538</v>
      </c>
      <c r="C5" s="75">
        <v>9</v>
      </c>
      <c r="E5" s="173" t="s">
        <v>539</v>
      </c>
      <c r="F5" s="362" t="s">
        <v>540</v>
      </c>
      <c r="G5" s="294">
        <v>3</v>
      </c>
      <c r="H5" s="173" t="s">
        <v>541</v>
      </c>
      <c r="I5" s="355">
        <v>163.07645317189002</v>
      </c>
      <c r="J5" s="354" t="s">
        <v>542</v>
      </c>
      <c r="K5" s="356">
        <v>121.0659</v>
      </c>
    </row>
    <row r="6" spans="1:11">
      <c r="A6" s="73" t="s">
        <v>532</v>
      </c>
      <c r="B6" s="74" t="s">
        <v>543</v>
      </c>
      <c r="C6" s="75">
        <v>16</v>
      </c>
      <c r="E6" s="357" t="s">
        <v>544</v>
      </c>
      <c r="F6" s="358" t="s">
        <v>545</v>
      </c>
      <c r="G6" s="359">
        <v>4</v>
      </c>
      <c r="H6" s="357"/>
      <c r="I6" s="360">
        <v>203.08260118148996</v>
      </c>
      <c r="J6" s="97" t="s">
        <v>546</v>
      </c>
      <c r="K6" s="363" t="s">
        <v>547</v>
      </c>
    </row>
    <row r="7" spans="1:11">
      <c r="A7" s="73" t="s">
        <v>532</v>
      </c>
      <c r="B7" s="74" t="s">
        <v>548</v>
      </c>
      <c r="C7" s="75">
        <v>12</v>
      </c>
      <c r="E7" s="357" t="s">
        <v>549</v>
      </c>
      <c r="F7" s="358" t="s">
        <v>550</v>
      </c>
      <c r="G7" s="359">
        <v>2</v>
      </c>
      <c r="H7" s="357"/>
      <c r="I7" s="360">
        <v>101.06080310775</v>
      </c>
      <c r="J7" s="358" t="s">
        <v>551</v>
      </c>
      <c r="K7" s="364"/>
    </row>
    <row r="8" spans="1:11">
      <c r="A8" s="73" t="s">
        <v>532</v>
      </c>
      <c r="B8" s="74" t="s">
        <v>552</v>
      </c>
      <c r="C8" s="75">
        <v>15</v>
      </c>
      <c r="E8" s="357" t="s">
        <v>553</v>
      </c>
      <c r="F8" s="358" t="s">
        <v>554</v>
      </c>
      <c r="G8" s="359">
        <v>2</v>
      </c>
      <c r="H8" s="357" t="s">
        <v>555</v>
      </c>
      <c r="I8" s="360">
        <v>145.05063234686997</v>
      </c>
      <c r="J8" s="358" t="s">
        <v>556</v>
      </c>
      <c r="K8" s="361" t="s">
        <v>557</v>
      </c>
    </row>
    <row r="9" spans="1:11">
      <c r="A9" s="73" t="s">
        <v>532</v>
      </c>
      <c r="B9" s="74" t="s">
        <v>558</v>
      </c>
      <c r="C9" s="75">
        <v>12</v>
      </c>
      <c r="E9" s="357" t="s">
        <v>559</v>
      </c>
      <c r="F9" s="358" t="s">
        <v>560</v>
      </c>
      <c r="G9" s="359">
        <v>2</v>
      </c>
      <c r="H9" s="357" t="s">
        <v>561</v>
      </c>
      <c r="I9" s="360">
        <v>122.02475195219999</v>
      </c>
      <c r="J9" s="358" t="s">
        <v>562</v>
      </c>
      <c r="K9" s="361">
        <v>78.034899999999993</v>
      </c>
    </row>
    <row r="10" spans="1:11">
      <c r="A10" s="73" t="s">
        <v>532</v>
      </c>
      <c r="B10" s="74" t="s">
        <v>563</v>
      </c>
      <c r="C10" s="75">
        <v>17</v>
      </c>
      <c r="E10" s="357" t="s">
        <v>549</v>
      </c>
      <c r="F10" s="358" t="s">
        <v>564</v>
      </c>
      <c r="G10" s="359">
        <v>4</v>
      </c>
      <c r="H10" s="357"/>
      <c r="I10" s="360">
        <v>175.06119703057007</v>
      </c>
      <c r="J10" s="358" t="s">
        <v>565</v>
      </c>
      <c r="K10" s="361"/>
    </row>
    <row r="11" spans="1:11">
      <c r="A11" s="76" t="s">
        <v>566</v>
      </c>
      <c r="B11" s="77" t="s">
        <v>567</v>
      </c>
      <c r="C11" s="78">
        <v>16</v>
      </c>
      <c r="E11" s="173" t="s">
        <v>568</v>
      </c>
      <c r="F11" s="354" t="s">
        <v>569</v>
      </c>
      <c r="G11" s="294">
        <v>3</v>
      </c>
      <c r="H11" s="173"/>
      <c r="I11" s="355">
        <v>166.01458119131999</v>
      </c>
      <c r="J11" s="16" t="s">
        <v>570</v>
      </c>
      <c r="K11" s="356" t="s">
        <v>571</v>
      </c>
    </row>
    <row r="12" spans="1:11">
      <c r="A12" s="73" t="s">
        <v>572</v>
      </c>
      <c r="B12" s="74" t="s">
        <v>573</v>
      </c>
      <c r="C12" s="75">
        <v>2</v>
      </c>
      <c r="E12" s="173" t="s">
        <v>568</v>
      </c>
      <c r="F12" s="354" t="s">
        <v>574</v>
      </c>
      <c r="G12" s="294">
        <v>4</v>
      </c>
      <c r="H12" s="173"/>
      <c r="I12" s="355">
        <v>135.04515304361001</v>
      </c>
      <c r="J12" s="354" t="s">
        <v>575</v>
      </c>
      <c r="K12" s="365"/>
    </row>
    <row r="13" spans="1:11">
      <c r="A13" s="73" t="s">
        <v>576</v>
      </c>
      <c r="B13" s="74" t="s">
        <v>577</v>
      </c>
      <c r="C13" s="75">
        <v>11</v>
      </c>
      <c r="E13" s="357" t="s">
        <v>578</v>
      </c>
      <c r="F13" s="358" t="s">
        <v>579</v>
      </c>
      <c r="G13" s="359">
        <v>4</v>
      </c>
      <c r="H13" s="357" t="s">
        <v>580</v>
      </c>
      <c r="I13" s="360">
        <v>141.04582174994999</v>
      </c>
      <c r="J13" s="358" t="s">
        <v>581</v>
      </c>
      <c r="K13" s="361"/>
    </row>
    <row r="14" spans="1:11">
      <c r="A14" s="73" t="s">
        <v>576</v>
      </c>
      <c r="B14" s="74" t="s">
        <v>582</v>
      </c>
      <c r="C14" s="75">
        <v>6</v>
      </c>
      <c r="E14" s="357" t="s">
        <v>549</v>
      </c>
      <c r="F14" s="358" t="s">
        <v>583</v>
      </c>
      <c r="G14" s="359">
        <v>3</v>
      </c>
      <c r="H14" s="357"/>
      <c r="I14" s="360">
        <v>179.03498228273</v>
      </c>
      <c r="J14" s="358" t="s">
        <v>584</v>
      </c>
      <c r="K14" s="361">
        <v>91.055300000000003</v>
      </c>
    </row>
    <row r="15" spans="1:11">
      <c r="A15" s="73" t="s">
        <v>585</v>
      </c>
      <c r="B15" s="74" t="s">
        <v>574</v>
      </c>
      <c r="C15" s="75">
        <v>33</v>
      </c>
      <c r="E15" s="357" t="s">
        <v>586</v>
      </c>
      <c r="F15" s="358" t="s">
        <v>587</v>
      </c>
      <c r="G15" s="359">
        <v>4</v>
      </c>
      <c r="H15" s="357"/>
      <c r="I15" s="360">
        <v>178.05096670003996</v>
      </c>
      <c r="J15" s="358" t="s">
        <v>588</v>
      </c>
      <c r="K15" s="361"/>
    </row>
    <row r="16" spans="1:11">
      <c r="A16" s="73" t="s">
        <v>589</v>
      </c>
      <c r="B16" s="74" t="s">
        <v>590</v>
      </c>
      <c r="C16" s="75">
        <v>1</v>
      </c>
      <c r="E16" s="173" t="s">
        <v>591</v>
      </c>
      <c r="F16" s="354" t="s">
        <v>558</v>
      </c>
      <c r="G16" s="294">
        <v>3</v>
      </c>
      <c r="H16" s="173" t="s">
        <v>592</v>
      </c>
      <c r="I16" s="355">
        <v>283.09758253928999</v>
      </c>
      <c r="J16" s="354" t="s">
        <v>593</v>
      </c>
      <c r="K16" s="356" t="s">
        <v>594</v>
      </c>
    </row>
    <row r="17" spans="1:11">
      <c r="A17" s="73" t="s">
        <v>595</v>
      </c>
      <c r="B17" s="74" t="s">
        <v>596</v>
      </c>
      <c r="C17" s="75">
        <v>4</v>
      </c>
      <c r="E17" s="173" t="s">
        <v>591</v>
      </c>
      <c r="F17" s="354" t="s">
        <v>597</v>
      </c>
      <c r="G17" s="282">
        <v>3</v>
      </c>
      <c r="H17" s="173" t="s">
        <v>598</v>
      </c>
      <c r="I17" s="355">
        <v>197.06080310775002</v>
      </c>
      <c r="J17" s="354" t="s">
        <v>599</v>
      </c>
      <c r="K17" s="356">
        <v>153.07050000000001</v>
      </c>
    </row>
    <row r="18" spans="1:11">
      <c r="A18" s="73" t="s">
        <v>595</v>
      </c>
      <c r="B18" s="74" t="s">
        <v>596</v>
      </c>
      <c r="C18" s="75">
        <v>4</v>
      </c>
      <c r="E18" s="173" t="s">
        <v>566</v>
      </c>
      <c r="F18" s="354" t="s">
        <v>567</v>
      </c>
      <c r="G18" s="294">
        <v>3</v>
      </c>
      <c r="H18" s="173" t="s">
        <v>598</v>
      </c>
      <c r="I18" s="355">
        <v>195.04515304361001</v>
      </c>
      <c r="J18" s="354" t="s">
        <v>600</v>
      </c>
      <c r="K18" s="356">
        <v>151.05529999999999</v>
      </c>
    </row>
    <row r="19" spans="1:11">
      <c r="A19" s="73" t="s">
        <v>601</v>
      </c>
      <c r="B19" s="74" t="s">
        <v>602</v>
      </c>
      <c r="C19" s="75">
        <v>1</v>
      </c>
      <c r="E19" s="357" t="s">
        <v>603</v>
      </c>
      <c r="F19" s="358" t="s">
        <v>604</v>
      </c>
      <c r="G19" s="359">
        <v>3</v>
      </c>
      <c r="H19" s="357"/>
      <c r="I19" s="360">
        <v>115.00368215445</v>
      </c>
      <c r="J19" s="358" t="s">
        <v>605</v>
      </c>
      <c r="K19" s="361">
        <v>71.013900000000007</v>
      </c>
    </row>
    <row r="20" spans="1:11">
      <c r="A20" s="76" t="s">
        <v>606</v>
      </c>
      <c r="B20" s="77" t="s">
        <v>607</v>
      </c>
      <c r="C20" s="78">
        <v>4</v>
      </c>
      <c r="E20" s="173" t="s">
        <v>608</v>
      </c>
      <c r="F20" s="366" t="s">
        <v>609</v>
      </c>
      <c r="G20" s="294">
        <v>4</v>
      </c>
      <c r="H20" s="173" t="s">
        <v>610</v>
      </c>
      <c r="I20" s="355">
        <v>285.20713298827002</v>
      </c>
      <c r="J20" s="354" t="s">
        <v>611</v>
      </c>
      <c r="K20" s="365"/>
    </row>
    <row r="21" spans="1:11">
      <c r="A21" s="73" t="s">
        <v>606</v>
      </c>
      <c r="B21" s="74" t="s">
        <v>612</v>
      </c>
      <c r="C21" s="75">
        <v>10</v>
      </c>
      <c r="E21" s="173" t="s">
        <v>608</v>
      </c>
      <c r="F21" s="366" t="s">
        <v>613</v>
      </c>
      <c r="G21" s="294">
        <v>4</v>
      </c>
      <c r="H21" s="173" t="s">
        <v>610</v>
      </c>
      <c r="I21" s="355">
        <v>313.23843311655003</v>
      </c>
      <c r="J21" s="354" t="s">
        <v>614</v>
      </c>
      <c r="K21" s="365"/>
    </row>
    <row r="22" spans="1:11">
      <c r="A22" s="73" t="s">
        <v>606</v>
      </c>
      <c r="B22" s="74" t="s">
        <v>615</v>
      </c>
      <c r="C22" s="75">
        <v>6</v>
      </c>
      <c r="E22" s="173" t="s">
        <v>608</v>
      </c>
      <c r="F22" s="367" t="s">
        <v>616</v>
      </c>
      <c r="G22" s="294">
        <v>4</v>
      </c>
      <c r="H22" s="173" t="s">
        <v>610</v>
      </c>
      <c r="I22" s="355">
        <v>341.26973324483004</v>
      </c>
      <c r="J22" s="354" t="s">
        <v>617</v>
      </c>
      <c r="K22" s="365"/>
    </row>
    <row r="23" spans="1:11">
      <c r="A23" s="73" t="s">
        <v>618</v>
      </c>
      <c r="B23" s="74" t="s">
        <v>619</v>
      </c>
      <c r="C23" s="75">
        <v>16</v>
      </c>
      <c r="E23" s="173" t="s">
        <v>576</v>
      </c>
      <c r="F23" s="354" t="s">
        <v>620</v>
      </c>
      <c r="G23" s="294">
        <v>1</v>
      </c>
      <c r="H23" s="173" t="s">
        <v>610</v>
      </c>
      <c r="I23" s="355">
        <v>199.17035355672999</v>
      </c>
      <c r="J23" s="354" t="s">
        <v>621</v>
      </c>
      <c r="K23" s="356" t="s">
        <v>622</v>
      </c>
    </row>
    <row r="24" spans="1:11">
      <c r="A24" s="73" t="s">
        <v>618</v>
      </c>
      <c r="B24" s="74" t="s">
        <v>623</v>
      </c>
      <c r="C24" s="75">
        <v>10</v>
      </c>
      <c r="E24" s="173" t="s">
        <v>576</v>
      </c>
      <c r="F24" s="354" t="s">
        <v>624</v>
      </c>
      <c r="G24" s="294">
        <v>1</v>
      </c>
      <c r="H24" s="173" t="s">
        <v>610</v>
      </c>
      <c r="I24" s="355">
        <v>227.20165368501</v>
      </c>
      <c r="J24" s="354" t="s">
        <v>625</v>
      </c>
      <c r="K24" s="365"/>
    </row>
    <row r="25" spans="1:11">
      <c r="A25" s="76" t="s">
        <v>618</v>
      </c>
      <c r="B25" s="77" t="s">
        <v>626</v>
      </c>
      <c r="C25" s="78">
        <v>4</v>
      </c>
      <c r="E25" s="368" t="s">
        <v>576</v>
      </c>
      <c r="F25" s="351" t="s">
        <v>627</v>
      </c>
      <c r="G25" s="294">
        <v>1</v>
      </c>
      <c r="H25" s="173" t="s">
        <v>610</v>
      </c>
      <c r="I25" s="355">
        <v>87.04515304361</v>
      </c>
      <c r="J25" s="354" t="s">
        <v>628</v>
      </c>
      <c r="K25" s="365"/>
    </row>
    <row r="26" spans="1:11">
      <c r="A26" s="73" t="s">
        <v>629</v>
      </c>
      <c r="B26" s="74" t="s">
        <v>630</v>
      </c>
      <c r="C26" s="75">
        <v>10</v>
      </c>
      <c r="E26" s="368" t="s">
        <v>576</v>
      </c>
      <c r="F26" s="354" t="s">
        <v>631</v>
      </c>
      <c r="G26" s="294">
        <v>4</v>
      </c>
      <c r="H26" s="173" t="s">
        <v>547</v>
      </c>
      <c r="I26" s="355">
        <v>87.04515304361</v>
      </c>
      <c r="J26" s="354" t="s">
        <v>628</v>
      </c>
      <c r="K26" s="365"/>
    </row>
    <row r="27" spans="1:11">
      <c r="A27" s="73" t="s">
        <v>629</v>
      </c>
      <c r="B27" s="74" t="s">
        <v>632</v>
      </c>
      <c r="C27" s="75">
        <v>8</v>
      </c>
      <c r="E27" s="173" t="s">
        <v>576</v>
      </c>
      <c r="F27" s="354" t="s">
        <v>633</v>
      </c>
      <c r="G27" s="294">
        <v>3</v>
      </c>
      <c r="H27" s="173" t="s">
        <v>610</v>
      </c>
      <c r="I27" s="355">
        <v>131.07136779144997</v>
      </c>
      <c r="J27" s="354" t="s">
        <v>634</v>
      </c>
      <c r="K27" s="356" t="s">
        <v>635</v>
      </c>
    </row>
    <row r="28" spans="1:11">
      <c r="A28" s="76" t="s">
        <v>636</v>
      </c>
      <c r="B28" s="77" t="s">
        <v>637</v>
      </c>
      <c r="C28" s="78">
        <v>1</v>
      </c>
      <c r="E28" s="173" t="s">
        <v>576</v>
      </c>
      <c r="F28" s="354" t="s">
        <v>638</v>
      </c>
      <c r="G28" s="294">
        <v>4</v>
      </c>
      <c r="H28" s="173" t="s">
        <v>610</v>
      </c>
      <c r="I28" s="355">
        <v>143.10775330017</v>
      </c>
      <c r="J28" s="354" t="s">
        <v>639</v>
      </c>
      <c r="K28" s="365"/>
    </row>
    <row r="29" spans="1:11">
      <c r="A29" s="73" t="s">
        <v>640</v>
      </c>
      <c r="B29" s="74" t="s">
        <v>641</v>
      </c>
      <c r="C29" s="75">
        <v>1</v>
      </c>
      <c r="E29" t="s">
        <v>576</v>
      </c>
      <c r="F29" s="354" t="s">
        <v>577</v>
      </c>
      <c r="G29" s="294">
        <v>4</v>
      </c>
      <c r="H29" s="173" t="s">
        <v>610</v>
      </c>
      <c r="I29" s="355">
        <v>155.10775330017</v>
      </c>
      <c r="J29" s="354" t="s">
        <v>642</v>
      </c>
      <c r="K29" s="365"/>
    </row>
    <row r="30" spans="1:11">
      <c r="A30" s="73" t="s">
        <v>553</v>
      </c>
      <c r="B30" s="74" t="s">
        <v>554</v>
      </c>
      <c r="C30" s="75">
        <v>13</v>
      </c>
      <c r="E30" t="s">
        <v>576</v>
      </c>
      <c r="F30" s="354" t="s">
        <v>643</v>
      </c>
      <c r="G30" s="294">
        <v>4</v>
      </c>
      <c r="H30" s="173" t="s">
        <v>610</v>
      </c>
      <c r="I30" s="355">
        <v>157.12340336430998</v>
      </c>
      <c r="J30" s="354" t="s">
        <v>644</v>
      </c>
      <c r="K30" s="365"/>
    </row>
    <row r="31" spans="1:11">
      <c r="A31" s="73" t="s">
        <v>152</v>
      </c>
      <c r="B31" s="74" t="s">
        <v>645</v>
      </c>
      <c r="C31" s="75">
        <v>6</v>
      </c>
      <c r="E31" s="173" t="s">
        <v>589</v>
      </c>
      <c r="F31" s="354" t="s">
        <v>590</v>
      </c>
      <c r="G31" s="294">
        <v>2</v>
      </c>
      <c r="H31" s="173" t="s">
        <v>646</v>
      </c>
      <c r="I31" s="355">
        <v>136.04040201633998</v>
      </c>
      <c r="J31" s="354" t="s">
        <v>647</v>
      </c>
      <c r="K31" s="356" t="s">
        <v>648</v>
      </c>
    </row>
    <row r="32" spans="1:11">
      <c r="A32" s="73" t="s">
        <v>152</v>
      </c>
      <c r="B32" s="74" t="s">
        <v>649</v>
      </c>
      <c r="C32" s="75">
        <v>4</v>
      </c>
      <c r="E32" s="173" t="s">
        <v>152</v>
      </c>
      <c r="F32" s="354" t="s">
        <v>650</v>
      </c>
      <c r="G32" s="294">
        <v>3</v>
      </c>
      <c r="H32" s="173" t="s">
        <v>598</v>
      </c>
      <c r="I32" s="355">
        <v>163.04006766317002</v>
      </c>
      <c r="J32" s="354" t="s">
        <v>651</v>
      </c>
      <c r="K32" s="356">
        <v>119.0502</v>
      </c>
    </row>
    <row r="33" spans="1:11">
      <c r="A33" s="76" t="s">
        <v>152</v>
      </c>
      <c r="B33" s="77" t="s">
        <v>652</v>
      </c>
      <c r="C33" s="78">
        <v>1</v>
      </c>
      <c r="E33" s="173" t="s">
        <v>152</v>
      </c>
      <c r="F33" s="362" t="s">
        <v>653</v>
      </c>
      <c r="G33" s="294">
        <v>3</v>
      </c>
      <c r="H33" s="173" t="s">
        <v>598</v>
      </c>
      <c r="I33" s="355">
        <v>163.04006766317002</v>
      </c>
      <c r="J33" s="354" t="s">
        <v>651</v>
      </c>
      <c r="K33" s="356" t="s">
        <v>654</v>
      </c>
    </row>
    <row r="34" spans="1:11">
      <c r="A34" s="79" t="s">
        <v>655</v>
      </c>
      <c r="B34" s="74" t="s">
        <v>656</v>
      </c>
      <c r="C34" s="75">
        <v>1</v>
      </c>
      <c r="E34" s="173" t="s">
        <v>657</v>
      </c>
      <c r="F34" s="354" t="s">
        <v>658</v>
      </c>
      <c r="G34" s="294">
        <v>3</v>
      </c>
      <c r="H34" s="173" t="s">
        <v>659</v>
      </c>
      <c r="I34" s="355">
        <v>209.06080310774996</v>
      </c>
      <c r="J34" s="354" t="s">
        <v>660</v>
      </c>
      <c r="K34" s="356">
        <v>165.07060000000001</v>
      </c>
    </row>
    <row r="35" spans="1:11">
      <c r="A35" s="73" t="s">
        <v>661</v>
      </c>
      <c r="B35" s="74" t="s">
        <v>662</v>
      </c>
      <c r="C35" s="75">
        <v>1</v>
      </c>
      <c r="E35" s="173" t="s">
        <v>162</v>
      </c>
      <c r="F35" s="354" t="s">
        <v>663</v>
      </c>
      <c r="G35" s="294">
        <v>3</v>
      </c>
      <c r="H35" s="173" t="s">
        <v>664</v>
      </c>
      <c r="I35" s="355">
        <v>129.07097386863001</v>
      </c>
      <c r="J35" s="354" t="s">
        <v>665</v>
      </c>
      <c r="K35" s="356">
        <v>114.047499</v>
      </c>
    </row>
    <row r="36" spans="1:11">
      <c r="A36" s="73" t="s">
        <v>666</v>
      </c>
      <c r="B36" s="74" t="s">
        <v>667</v>
      </c>
      <c r="C36" s="75">
        <v>6</v>
      </c>
      <c r="E36" s="173" t="s">
        <v>162</v>
      </c>
      <c r="F36" s="354" t="s">
        <v>668</v>
      </c>
      <c r="G36" s="294">
        <v>3</v>
      </c>
      <c r="H36" s="173" t="s">
        <v>598</v>
      </c>
      <c r="I36" s="355">
        <v>161.06080310775002</v>
      </c>
      <c r="J36" s="354" t="s">
        <v>669</v>
      </c>
      <c r="K36" s="356">
        <v>117.07097400000001</v>
      </c>
    </row>
    <row r="37" spans="1:11">
      <c r="A37" s="73" t="s">
        <v>657</v>
      </c>
      <c r="B37" s="74" t="s">
        <v>670</v>
      </c>
      <c r="C37" s="75">
        <v>2</v>
      </c>
      <c r="E37" s="173" t="s">
        <v>162</v>
      </c>
      <c r="F37" s="354" t="s">
        <v>671</v>
      </c>
      <c r="G37" s="294">
        <v>3</v>
      </c>
      <c r="H37" s="173" t="s">
        <v>664</v>
      </c>
      <c r="I37" s="355">
        <v>165.09210323602997</v>
      </c>
      <c r="J37" s="354" t="s">
        <v>672</v>
      </c>
      <c r="K37" s="356">
        <v>121.10227399999999</v>
      </c>
    </row>
    <row r="38" spans="1:11">
      <c r="A38" s="73" t="s">
        <v>657</v>
      </c>
      <c r="B38" s="74" t="s">
        <v>658</v>
      </c>
      <c r="C38" s="75">
        <v>13</v>
      </c>
      <c r="E38" s="173" t="s">
        <v>162</v>
      </c>
      <c r="F38" s="354" t="s">
        <v>673</v>
      </c>
      <c r="G38" s="294">
        <v>3</v>
      </c>
      <c r="H38" s="173" t="s">
        <v>664</v>
      </c>
      <c r="I38" s="355">
        <v>167.10775330016997</v>
      </c>
      <c r="J38" s="354" t="s">
        <v>674</v>
      </c>
      <c r="K38" s="356">
        <v>123.117924</v>
      </c>
    </row>
    <row r="39" spans="1:11">
      <c r="A39" s="73" t="s">
        <v>675</v>
      </c>
      <c r="B39" s="74" t="s">
        <v>676</v>
      </c>
      <c r="C39" s="75">
        <v>7</v>
      </c>
      <c r="E39" s="173" t="s">
        <v>162</v>
      </c>
      <c r="F39" s="351" t="s">
        <v>677</v>
      </c>
      <c r="G39" s="294">
        <v>1</v>
      </c>
      <c r="H39" s="173" t="s">
        <v>598</v>
      </c>
      <c r="I39" s="355">
        <v>159.04515304361001</v>
      </c>
      <c r="J39" s="354" t="s">
        <v>678</v>
      </c>
      <c r="K39" s="356">
        <v>115.0553</v>
      </c>
    </row>
    <row r="40" spans="1:11">
      <c r="A40" s="73" t="s">
        <v>675</v>
      </c>
      <c r="B40" s="74" t="s">
        <v>679</v>
      </c>
      <c r="C40" s="75">
        <v>11</v>
      </c>
      <c r="E40" s="173" t="s">
        <v>162</v>
      </c>
      <c r="F40" s="351" t="s">
        <v>680</v>
      </c>
      <c r="G40" s="294">
        <v>1</v>
      </c>
      <c r="H40" s="173" t="s">
        <v>598</v>
      </c>
      <c r="I40" s="355">
        <v>159.04515304361001</v>
      </c>
      <c r="J40" s="354" t="s">
        <v>678</v>
      </c>
      <c r="K40" s="356">
        <v>115.0553</v>
      </c>
    </row>
    <row r="41" spans="1:11">
      <c r="A41" s="73" t="s">
        <v>675</v>
      </c>
      <c r="B41" s="74" t="s">
        <v>681</v>
      </c>
      <c r="C41" s="75">
        <v>3</v>
      </c>
      <c r="E41" s="173" t="s">
        <v>162</v>
      </c>
      <c r="F41" s="354" t="s">
        <v>682</v>
      </c>
      <c r="G41" s="294">
        <v>3</v>
      </c>
      <c r="H41" s="173" t="s">
        <v>598</v>
      </c>
      <c r="I41" s="355">
        <v>159.04515304361001</v>
      </c>
      <c r="J41" s="354" t="s">
        <v>678</v>
      </c>
      <c r="K41" s="356">
        <v>115.0553</v>
      </c>
    </row>
    <row r="42" spans="1:11">
      <c r="A42" s="73" t="s">
        <v>523</v>
      </c>
      <c r="B42" s="74" t="s">
        <v>524</v>
      </c>
      <c r="C42" s="75">
        <v>1</v>
      </c>
      <c r="E42" s="173" t="s">
        <v>162</v>
      </c>
      <c r="F42" s="354" t="s">
        <v>683</v>
      </c>
      <c r="G42" s="294">
        <v>4</v>
      </c>
      <c r="H42" s="173" t="s">
        <v>664</v>
      </c>
      <c r="I42" s="355">
        <v>245.08193247514998</v>
      </c>
      <c r="J42" s="354" t="s">
        <v>684</v>
      </c>
      <c r="K42" s="365"/>
    </row>
    <row r="43" spans="1:11">
      <c r="A43" s="73" t="s">
        <v>685</v>
      </c>
      <c r="B43" s="74" t="s">
        <v>587</v>
      </c>
      <c r="C43" s="75">
        <v>2</v>
      </c>
      <c r="E43" s="173" t="s">
        <v>162</v>
      </c>
      <c r="F43" s="354" t="s">
        <v>686</v>
      </c>
      <c r="G43" s="294">
        <v>3</v>
      </c>
      <c r="H43" s="173" t="s">
        <v>664</v>
      </c>
      <c r="I43" s="355">
        <v>147.04515304361001</v>
      </c>
      <c r="J43" s="354" t="s">
        <v>687</v>
      </c>
      <c r="K43" s="356">
        <v>131.05023800000001</v>
      </c>
    </row>
    <row r="44" spans="1:11">
      <c r="A44" s="73" t="s">
        <v>161</v>
      </c>
      <c r="B44" s="74" t="s">
        <v>688</v>
      </c>
      <c r="C44" s="75">
        <v>13</v>
      </c>
      <c r="E44" s="173" t="s">
        <v>689</v>
      </c>
      <c r="F44" s="362" t="s">
        <v>690</v>
      </c>
      <c r="G44" s="294">
        <v>3</v>
      </c>
      <c r="H44" s="173" t="s">
        <v>691</v>
      </c>
      <c r="I44" s="355">
        <v>173.06080310774996</v>
      </c>
      <c r="J44" s="354" t="s">
        <v>692</v>
      </c>
      <c r="K44" s="356">
        <v>129.071</v>
      </c>
    </row>
    <row r="45" spans="1:11">
      <c r="A45" s="73" t="s">
        <v>161</v>
      </c>
      <c r="B45" s="74" t="s">
        <v>693</v>
      </c>
      <c r="C45" s="75">
        <v>11</v>
      </c>
      <c r="E45" s="173" t="s">
        <v>689</v>
      </c>
      <c r="F45" s="362" t="s">
        <v>694</v>
      </c>
      <c r="G45" s="294">
        <v>3</v>
      </c>
      <c r="H45" s="173" t="s">
        <v>691</v>
      </c>
      <c r="I45" s="355">
        <v>175.07645317188999</v>
      </c>
      <c r="J45" s="354" t="s">
        <v>695</v>
      </c>
      <c r="K45" s="356">
        <v>131.086624</v>
      </c>
    </row>
    <row r="46" spans="1:11">
      <c r="A46" s="76" t="s">
        <v>161</v>
      </c>
      <c r="B46" s="77" t="s">
        <v>696</v>
      </c>
      <c r="C46" s="78">
        <v>6</v>
      </c>
      <c r="E46" s="173" t="s">
        <v>689</v>
      </c>
      <c r="F46" s="362" t="s">
        <v>697</v>
      </c>
      <c r="G46" s="294">
        <v>3</v>
      </c>
      <c r="H46" s="173" t="s">
        <v>691</v>
      </c>
      <c r="I46" s="355">
        <v>177.09210323602997</v>
      </c>
      <c r="J46" s="354" t="s">
        <v>698</v>
      </c>
      <c r="K46" s="356">
        <v>133.10227399999999</v>
      </c>
    </row>
    <row r="47" spans="1:11">
      <c r="A47" s="76" t="s">
        <v>699</v>
      </c>
      <c r="B47" s="77" t="s">
        <v>700</v>
      </c>
      <c r="C47" s="78">
        <v>6</v>
      </c>
      <c r="E47" s="173" t="s">
        <v>689</v>
      </c>
      <c r="F47" s="354" t="s">
        <v>701</v>
      </c>
      <c r="G47" s="294">
        <v>4</v>
      </c>
      <c r="H47" s="173" t="s">
        <v>691</v>
      </c>
      <c r="I47" s="355">
        <v>179.10775330016997</v>
      </c>
      <c r="J47" s="354" t="s">
        <v>702</v>
      </c>
      <c r="K47" s="365"/>
    </row>
    <row r="48" spans="1:11">
      <c r="A48" s="76" t="s">
        <v>162</v>
      </c>
      <c r="B48" s="77" t="s">
        <v>677</v>
      </c>
      <c r="C48" s="78">
        <v>3</v>
      </c>
      <c r="E48" s="173" t="s">
        <v>689</v>
      </c>
      <c r="F48" s="354" t="s">
        <v>703</v>
      </c>
      <c r="G48" s="294">
        <v>3</v>
      </c>
      <c r="H48" s="173" t="s">
        <v>691</v>
      </c>
      <c r="I48" s="355">
        <v>185.08193247515001</v>
      </c>
      <c r="J48" s="354" t="s">
        <v>704</v>
      </c>
      <c r="K48" s="356">
        <v>141.09139999999999</v>
      </c>
    </row>
    <row r="49" spans="1:11">
      <c r="A49" s="73" t="s">
        <v>162</v>
      </c>
      <c r="B49" s="74" t="s">
        <v>680</v>
      </c>
      <c r="C49" s="75">
        <v>17</v>
      </c>
      <c r="E49" s="173" t="s">
        <v>705</v>
      </c>
      <c r="F49" s="354" t="s">
        <v>706</v>
      </c>
      <c r="G49" s="294">
        <v>3</v>
      </c>
      <c r="H49" s="173" t="s">
        <v>664</v>
      </c>
      <c r="I49" s="355">
        <v>147.04515304361001</v>
      </c>
      <c r="J49" s="354" t="s">
        <v>687</v>
      </c>
      <c r="K49" s="356">
        <v>103.0553</v>
      </c>
    </row>
    <row r="50" spans="1:11">
      <c r="A50" s="73" t="s">
        <v>162</v>
      </c>
      <c r="B50" s="74" t="s">
        <v>673</v>
      </c>
      <c r="C50" s="75">
        <v>6</v>
      </c>
      <c r="E50" s="173" t="s">
        <v>707</v>
      </c>
      <c r="F50" s="362" t="s">
        <v>708</v>
      </c>
      <c r="G50" s="294">
        <v>3</v>
      </c>
      <c r="H50" s="173" t="s">
        <v>664</v>
      </c>
      <c r="I50" s="355">
        <v>163.07645317189002</v>
      </c>
      <c r="J50" s="354" t="s">
        <v>542</v>
      </c>
      <c r="K50" s="356">
        <v>119.086624</v>
      </c>
    </row>
    <row r="51" spans="1:11">
      <c r="A51" s="76" t="s">
        <v>162</v>
      </c>
      <c r="B51" s="77" t="s">
        <v>683</v>
      </c>
      <c r="C51" s="78">
        <v>13</v>
      </c>
      <c r="E51" s="173" t="s">
        <v>709</v>
      </c>
      <c r="F51" s="354" t="s">
        <v>710</v>
      </c>
      <c r="G51" s="294">
        <v>3</v>
      </c>
      <c r="H51" s="173" t="s">
        <v>711</v>
      </c>
      <c r="I51" s="355">
        <v>135.04515304361001</v>
      </c>
      <c r="J51" s="354" t="s">
        <v>575</v>
      </c>
      <c r="K51" s="356">
        <v>91.055300000000003</v>
      </c>
    </row>
    <row r="52" spans="1:11">
      <c r="A52" s="73" t="s">
        <v>712</v>
      </c>
      <c r="B52" s="74" t="s">
        <v>713</v>
      </c>
      <c r="C52" s="75">
        <v>1</v>
      </c>
      <c r="E52" s="173" t="s">
        <v>163</v>
      </c>
      <c r="F52" s="351" t="s">
        <v>714</v>
      </c>
      <c r="G52" s="294">
        <v>1</v>
      </c>
      <c r="H52" t="s">
        <v>715</v>
      </c>
      <c r="I52" s="355">
        <v>143.05023842405001</v>
      </c>
      <c r="J52" s="354" t="s">
        <v>716</v>
      </c>
      <c r="K52" s="51">
        <v>115.0553</v>
      </c>
    </row>
    <row r="53" spans="1:11" ht="26.25">
      <c r="A53" s="76" t="s">
        <v>717</v>
      </c>
      <c r="B53" s="77" t="s">
        <v>690</v>
      </c>
      <c r="C53" s="78">
        <v>14</v>
      </c>
      <c r="E53" s="173" t="s">
        <v>163</v>
      </c>
      <c r="F53" s="369" t="s">
        <v>718</v>
      </c>
      <c r="G53" s="294">
        <v>4</v>
      </c>
      <c r="I53" s="355">
        <v>159.04515304361001</v>
      </c>
      <c r="J53" s="354" t="s">
        <v>678</v>
      </c>
      <c r="K53" s="356"/>
    </row>
    <row r="54" spans="1:11" ht="26.25">
      <c r="A54" s="73" t="s">
        <v>717</v>
      </c>
      <c r="B54" s="74" t="s">
        <v>694</v>
      </c>
      <c r="C54" s="75">
        <v>22</v>
      </c>
      <c r="E54" s="173" t="s">
        <v>717</v>
      </c>
      <c r="F54" s="354" t="s">
        <v>719</v>
      </c>
      <c r="G54" s="294">
        <v>4</v>
      </c>
      <c r="H54" s="173" t="s">
        <v>720</v>
      </c>
      <c r="I54" s="355">
        <v>181.12340336431004</v>
      </c>
      <c r="J54" s="354" t="s">
        <v>721</v>
      </c>
      <c r="K54" s="365"/>
    </row>
    <row r="55" spans="1:11" ht="26.25">
      <c r="A55" s="73" t="s">
        <v>717</v>
      </c>
      <c r="B55" s="74" t="s">
        <v>697</v>
      </c>
      <c r="C55" s="75">
        <v>16</v>
      </c>
      <c r="E55" s="173" t="s">
        <v>163</v>
      </c>
      <c r="F55" s="354" t="s">
        <v>722</v>
      </c>
      <c r="G55" s="294">
        <v>3</v>
      </c>
      <c r="H55" s="173" t="s">
        <v>723</v>
      </c>
      <c r="I55" s="355">
        <v>171.04515304361001</v>
      </c>
      <c r="J55" s="354" t="s">
        <v>724</v>
      </c>
      <c r="K55" s="356">
        <v>127.05500000000001</v>
      </c>
    </row>
    <row r="56" spans="1:11">
      <c r="A56" s="73" t="s">
        <v>705</v>
      </c>
      <c r="B56" s="74" t="s">
        <v>686</v>
      </c>
      <c r="C56" s="75">
        <v>3</v>
      </c>
      <c r="E56" s="173" t="s">
        <v>163</v>
      </c>
      <c r="F56" s="351" t="s">
        <v>725</v>
      </c>
      <c r="G56" s="294">
        <v>1</v>
      </c>
      <c r="H56" s="173" t="s">
        <v>723</v>
      </c>
      <c r="I56" s="355">
        <v>171.04515304361001</v>
      </c>
      <c r="J56" s="354" t="s">
        <v>724</v>
      </c>
      <c r="K56" s="356">
        <v>127.05500000000001</v>
      </c>
    </row>
    <row r="57" spans="1:11" ht="26.25">
      <c r="A57" s="76" t="s">
        <v>707</v>
      </c>
      <c r="B57" s="77" t="s">
        <v>726</v>
      </c>
      <c r="C57" s="78">
        <v>10</v>
      </c>
      <c r="E57" s="173" t="s">
        <v>163</v>
      </c>
      <c r="F57" s="369" t="s">
        <v>727</v>
      </c>
      <c r="G57" s="294">
        <v>4</v>
      </c>
      <c r="I57" s="355">
        <v>187.04006766317002</v>
      </c>
      <c r="J57" s="354" t="s">
        <v>728</v>
      </c>
      <c r="K57" s="365"/>
    </row>
    <row r="58" spans="1:11">
      <c r="A58" s="73" t="s">
        <v>729</v>
      </c>
      <c r="B58" s="74" t="s">
        <v>540</v>
      </c>
      <c r="C58" s="75">
        <v>6</v>
      </c>
      <c r="E58" s="173" t="s">
        <v>163</v>
      </c>
      <c r="F58" s="354" t="s">
        <v>730</v>
      </c>
      <c r="G58" s="294">
        <v>3</v>
      </c>
      <c r="H58" s="173" t="s">
        <v>731</v>
      </c>
      <c r="I58" s="355">
        <v>185.06080310774996</v>
      </c>
      <c r="J58" s="354" t="s">
        <v>732</v>
      </c>
      <c r="K58" s="356">
        <v>141.071</v>
      </c>
    </row>
    <row r="59" spans="1:11">
      <c r="A59" s="73" t="s">
        <v>733</v>
      </c>
      <c r="B59" s="74" t="s">
        <v>734</v>
      </c>
      <c r="C59" s="75">
        <v>5</v>
      </c>
      <c r="E59" s="173" t="s">
        <v>163</v>
      </c>
      <c r="F59" s="369" t="s">
        <v>735</v>
      </c>
      <c r="G59" s="294">
        <v>3</v>
      </c>
      <c r="H59" s="368"/>
      <c r="I59" s="355">
        <v>215.03498228273</v>
      </c>
      <c r="J59" s="354" t="s">
        <v>736</v>
      </c>
      <c r="K59" s="356" t="s">
        <v>737</v>
      </c>
    </row>
    <row r="60" spans="1:11">
      <c r="A60" s="73" t="s">
        <v>709</v>
      </c>
      <c r="B60" s="74" t="s">
        <v>738</v>
      </c>
      <c r="C60" s="75">
        <v>14</v>
      </c>
      <c r="E60" s="368" t="s">
        <v>163</v>
      </c>
      <c r="F60" s="354" t="s">
        <v>739</v>
      </c>
      <c r="G60" s="294">
        <v>3</v>
      </c>
      <c r="H60" s="173" t="s">
        <v>740</v>
      </c>
      <c r="I60" s="355">
        <v>199.07645317189002</v>
      </c>
      <c r="J60" s="354" t="s">
        <v>741</v>
      </c>
      <c r="K60" s="356">
        <v>155.08600000000001</v>
      </c>
    </row>
    <row r="61" spans="1:11">
      <c r="A61" s="73" t="s">
        <v>709</v>
      </c>
      <c r="B61" s="74" t="s">
        <v>742</v>
      </c>
      <c r="C61" s="75">
        <v>5</v>
      </c>
      <c r="E61" s="173" t="s">
        <v>163</v>
      </c>
      <c r="F61" s="354" t="s">
        <v>743</v>
      </c>
      <c r="G61" s="294">
        <v>4</v>
      </c>
      <c r="H61" s="173" t="s">
        <v>744</v>
      </c>
      <c r="I61" s="355">
        <v>257.08193247514998</v>
      </c>
      <c r="J61" s="354" t="s">
        <v>745</v>
      </c>
      <c r="K61" s="356"/>
    </row>
    <row r="62" spans="1:11">
      <c r="A62" s="73" t="s">
        <v>163</v>
      </c>
      <c r="B62" s="74" t="s">
        <v>725</v>
      </c>
      <c r="C62" s="75">
        <v>15</v>
      </c>
      <c r="E62" s="173" t="s">
        <v>746</v>
      </c>
      <c r="F62" s="354" t="s">
        <v>747</v>
      </c>
      <c r="G62" s="294">
        <v>3</v>
      </c>
      <c r="H62" s="173" t="s">
        <v>748</v>
      </c>
      <c r="I62" s="355">
        <v>191.07136779145</v>
      </c>
      <c r="J62" s="354" t="s">
        <v>749</v>
      </c>
      <c r="K62" s="356">
        <v>147.0813</v>
      </c>
    </row>
    <row r="63" spans="1:11">
      <c r="A63" s="73" t="s">
        <v>163</v>
      </c>
      <c r="B63" s="74" t="s">
        <v>750</v>
      </c>
      <c r="C63" s="75">
        <v>3</v>
      </c>
      <c r="E63" s="173" t="s">
        <v>751</v>
      </c>
      <c r="F63" s="354" t="s">
        <v>752</v>
      </c>
      <c r="G63" s="294">
        <v>3</v>
      </c>
      <c r="H63" s="173" t="s">
        <v>598</v>
      </c>
      <c r="I63" s="355">
        <v>221.06080310774999</v>
      </c>
      <c r="J63" s="354" t="s">
        <v>753</v>
      </c>
      <c r="K63" s="356">
        <v>177.07060000000001</v>
      </c>
    </row>
    <row r="64" spans="1:11">
      <c r="A64" s="73" t="s">
        <v>163</v>
      </c>
      <c r="B64" s="74" t="s">
        <v>735</v>
      </c>
      <c r="C64" s="75">
        <v>8</v>
      </c>
      <c r="E64" s="173" t="s">
        <v>754</v>
      </c>
      <c r="F64" s="354" t="s">
        <v>755</v>
      </c>
      <c r="G64" s="294">
        <v>3</v>
      </c>
      <c r="H64" s="173" t="s">
        <v>756</v>
      </c>
      <c r="I64" s="355">
        <v>107.05023842405002</v>
      </c>
      <c r="J64" s="354" t="s">
        <v>757</v>
      </c>
      <c r="K64" s="356" t="s">
        <v>758</v>
      </c>
    </row>
    <row r="65" spans="1:11">
      <c r="A65" s="73" t="s">
        <v>163</v>
      </c>
      <c r="B65" s="74" t="s">
        <v>759</v>
      </c>
      <c r="C65" s="75">
        <v>22</v>
      </c>
      <c r="E65" s="173" t="s">
        <v>760</v>
      </c>
      <c r="F65" s="354" t="s">
        <v>761</v>
      </c>
      <c r="G65" s="294">
        <v>2</v>
      </c>
      <c r="H65" s="173" t="s">
        <v>762</v>
      </c>
      <c r="I65" s="355">
        <v>137.02441759903002</v>
      </c>
      <c r="J65" s="354" t="s">
        <v>763</v>
      </c>
      <c r="K65" s="356">
        <v>93.034599999999998</v>
      </c>
    </row>
    <row r="66" spans="1:11">
      <c r="A66" s="73" t="s">
        <v>163</v>
      </c>
      <c r="B66" s="74" t="s">
        <v>739</v>
      </c>
      <c r="C66" s="75">
        <v>13</v>
      </c>
      <c r="E66" s="173" t="s">
        <v>764</v>
      </c>
      <c r="F66" s="354" t="s">
        <v>765</v>
      </c>
      <c r="G66" s="294">
        <v>3</v>
      </c>
      <c r="H66" s="173" t="s">
        <v>766</v>
      </c>
      <c r="I66" s="355">
        <v>149.02441759903002</v>
      </c>
      <c r="J66" s="354" t="s">
        <v>767</v>
      </c>
      <c r="K66" s="356" t="s">
        <v>768</v>
      </c>
    </row>
    <row r="67" spans="1:11">
      <c r="A67" s="73" t="s">
        <v>163</v>
      </c>
      <c r="B67" s="74" t="s">
        <v>743</v>
      </c>
      <c r="C67" s="75">
        <v>16</v>
      </c>
      <c r="E67" s="173" t="s">
        <v>769</v>
      </c>
      <c r="F67" s="354" t="s">
        <v>770</v>
      </c>
      <c r="G67" s="294">
        <v>3</v>
      </c>
      <c r="H67" s="173" t="s">
        <v>610</v>
      </c>
      <c r="I67" s="355">
        <v>131.03498228272997</v>
      </c>
      <c r="J67" s="354" t="s">
        <v>771</v>
      </c>
      <c r="K67" s="356">
        <v>87.045152999999999</v>
      </c>
    </row>
    <row r="68" spans="1:11">
      <c r="A68" s="73" t="s">
        <v>163</v>
      </c>
      <c r="B68" s="74" t="s">
        <v>772</v>
      </c>
      <c r="C68" s="75">
        <v>10</v>
      </c>
      <c r="E68" s="173" t="s">
        <v>769</v>
      </c>
      <c r="F68" s="354" t="s">
        <v>773</v>
      </c>
      <c r="G68" s="294">
        <v>4</v>
      </c>
      <c r="H68" s="173" t="s">
        <v>610</v>
      </c>
      <c r="I68" s="355">
        <v>157.05063234687</v>
      </c>
      <c r="J68" s="354" t="s">
        <v>774</v>
      </c>
      <c r="K68" s="365"/>
    </row>
    <row r="69" spans="1:11">
      <c r="A69" s="73" t="s">
        <v>163</v>
      </c>
      <c r="B69" s="74" t="s">
        <v>775</v>
      </c>
      <c r="C69" s="75">
        <v>6</v>
      </c>
      <c r="E69" s="173" t="s">
        <v>776</v>
      </c>
      <c r="F69" s="354" t="s">
        <v>777</v>
      </c>
      <c r="G69" s="294">
        <v>4</v>
      </c>
      <c r="H69" s="173" t="s">
        <v>547</v>
      </c>
      <c r="I69" s="355">
        <v>75.04515304361</v>
      </c>
      <c r="J69" s="354" t="s">
        <v>778</v>
      </c>
      <c r="K69" s="365"/>
    </row>
    <row r="70" spans="1:11">
      <c r="A70" s="76" t="s">
        <v>779</v>
      </c>
      <c r="B70" s="77" t="s">
        <v>780</v>
      </c>
      <c r="C70" s="78">
        <v>1</v>
      </c>
      <c r="E70" s="173" t="s">
        <v>764</v>
      </c>
      <c r="F70" s="354" t="s">
        <v>781</v>
      </c>
      <c r="G70" s="294">
        <v>4</v>
      </c>
      <c r="H70" s="173" t="s">
        <v>711</v>
      </c>
      <c r="I70" s="355">
        <v>129.12848874475</v>
      </c>
      <c r="J70" s="354" t="s">
        <v>782</v>
      </c>
      <c r="K70" s="365"/>
    </row>
    <row r="71" spans="1:11">
      <c r="A71" s="73" t="s">
        <v>751</v>
      </c>
      <c r="B71" s="74" t="s">
        <v>752</v>
      </c>
      <c r="C71" s="75">
        <v>9</v>
      </c>
      <c r="E71" s="173" t="s">
        <v>764</v>
      </c>
      <c r="F71" s="354" t="s">
        <v>783</v>
      </c>
      <c r="G71" s="294">
        <v>3</v>
      </c>
      <c r="H71" s="173" t="s">
        <v>711</v>
      </c>
      <c r="I71" s="355">
        <v>151.04006766317002</v>
      </c>
      <c r="J71" s="354" t="s">
        <v>784</v>
      </c>
      <c r="K71" s="356">
        <v>107.0502</v>
      </c>
    </row>
    <row r="72" spans="1:11" ht="39">
      <c r="A72" s="73" t="s">
        <v>785</v>
      </c>
      <c r="B72" s="74" t="s">
        <v>761</v>
      </c>
      <c r="C72" s="75">
        <v>2</v>
      </c>
      <c r="E72" s="173" t="s">
        <v>151</v>
      </c>
      <c r="F72" s="351" t="s">
        <v>786</v>
      </c>
      <c r="G72" s="294">
        <v>1</v>
      </c>
      <c r="H72" s="173" t="s">
        <v>598</v>
      </c>
      <c r="I72" s="355">
        <v>207.06628241100998</v>
      </c>
      <c r="J72" s="354" t="s">
        <v>787</v>
      </c>
      <c r="K72" s="370" t="s">
        <v>788</v>
      </c>
    </row>
    <row r="73" spans="1:11">
      <c r="A73" s="79" t="s">
        <v>534</v>
      </c>
      <c r="B73" s="74" t="s">
        <v>535</v>
      </c>
      <c r="C73" s="75">
        <v>8</v>
      </c>
      <c r="E73" s="173" t="s">
        <v>151</v>
      </c>
      <c r="F73" s="354" t="s">
        <v>789</v>
      </c>
      <c r="G73" s="294">
        <v>3</v>
      </c>
      <c r="H73" s="173" t="s">
        <v>598</v>
      </c>
      <c r="I73" s="355">
        <v>207.06628241100998</v>
      </c>
      <c r="J73" s="354" t="s">
        <v>787</v>
      </c>
      <c r="K73" s="356" t="s">
        <v>790</v>
      </c>
    </row>
    <row r="74" spans="1:11">
      <c r="A74" s="73" t="s">
        <v>637</v>
      </c>
      <c r="B74" s="74" t="s">
        <v>791</v>
      </c>
      <c r="C74" s="75">
        <v>3</v>
      </c>
      <c r="E74" s="173" t="s">
        <v>151</v>
      </c>
      <c r="F74" s="351" t="s">
        <v>792</v>
      </c>
      <c r="G74" s="294">
        <v>1</v>
      </c>
      <c r="H74" s="173" t="s">
        <v>793</v>
      </c>
      <c r="I74" s="355">
        <v>147.04515304361001</v>
      </c>
      <c r="J74" s="354" t="s">
        <v>687</v>
      </c>
      <c r="K74" s="356" t="s">
        <v>794</v>
      </c>
    </row>
    <row r="75" spans="1:11">
      <c r="A75" s="73" t="s">
        <v>151</v>
      </c>
      <c r="B75" s="474" t="s">
        <v>786</v>
      </c>
      <c r="C75" s="75">
        <v>5</v>
      </c>
      <c r="E75" s="173" t="s">
        <v>795</v>
      </c>
      <c r="F75" s="351" t="s">
        <v>796</v>
      </c>
      <c r="G75" s="294">
        <v>1</v>
      </c>
      <c r="H75" s="173" t="s">
        <v>598</v>
      </c>
      <c r="I75" s="355">
        <v>121.02950297947001</v>
      </c>
      <c r="J75" s="354" t="s">
        <v>797</v>
      </c>
      <c r="K75" s="356" t="s">
        <v>798</v>
      </c>
    </row>
    <row r="76" spans="1:11">
      <c r="A76" s="73" t="s">
        <v>795</v>
      </c>
      <c r="B76" s="74" t="s">
        <v>796</v>
      </c>
      <c r="C76" s="75">
        <v>9</v>
      </c>
      <c r="E76" s="173" t="s">
        <v>799</v>
      </c>
      <c r="F76" s="362" t="s">
        <v>800</v>
      </c>
      <c r="G76" s="294">
        <v>3</v>
      </c>
      <c r="H76" s="173" t="s">
        <v>801</v>
      </c>
      <c r="I76" s="355">
        <v>163.07645317189002</v>
      </c>
      <c r="J76" s="354" t="s">
        <v>542</v>
      </c>
      <c r="K76" s="356">
        <v>91.055300000000003</v>
      </c>
    </row>
    <row r="77" spans="1:11">
      <c r="A77" s="73" t="s">
        <v>802</v>
      </c>
      <c r="B77" s="74" t="s">
        <v>803</v>
      </c>
      <c r="C77" s="75">
        <v>7</v>
      </c>
      <c r="E77" s="173" t="s">
        <v>802</v>
      </c>
      <c r="F77" s="354" t="s">
        <v>803</v>
      </c>
      <c r="G77" s="294">
        <v>3</v>
      </c>
      <c r="H77" s="173" t="s">
        <v>801</v>
      </c>
      <c r="I77" s="355">
        <v>149.06080310775002</v>
      </c>
      <c r="J77" s="354" t="s">
        <v>804</v>
      </c>
      <c r="K77" s="356">
        <v>105.071</v>
      </c>
    </row>
    <row r="78" spans="1:11" ht="15.75" thickBot="1">
      <c r="A78" s="80" t="s">
        <v>805</v>
      </c>
      <c r="B78" s="81" t="s">
        <v>806</v>
      </c>
      <c r="C78" s="82">
        <v>25</v>
      </c>
      <c r="E78" s="173" t="s">
        <v>807</v>
      </c>
      <c r="F78" s="354" t="s">
        <v>806</v>
      </c>
      <c r="G78" s="294">
        <v>3</v>
      </c>
      <c r="H78" s="173" t="s">
        <v>808</v>
      </c>
      <c r="I78" s="355">
        <v>221.08193247514998</v>
      </c>
      <c r="J78" s="354" t="s">
        <v>809</v>
      </c>
      <c r="K78" s="356" t="s">
        <v>810</v>
      </c>
    </row>
    <row r="79" spans="1:11">
      <c r="K79" s="371"/>
    </row>
    <row r="80" spans="1:11">
      <c r="E80" s="173" t="s">
        <v>811</v>
      </c>
      <c r="F80" s="21"/>
    </row>
    <row r="81" spans="5:11" ht="21">
      <c r="E81" s="173" t="s">
        <v>812</v>
      </c>
    </row>
    <row r="82" spans="5:11">
      <c r="E82" s="173" t="s">
        <v>813</v>
      </c>
    </row>
    <row r="86" spans="5:11">
      <c r="E86" t="s">
        <v>814</v>
      </c>
    </row>
    <row r="87" spans="5:11">
      <c r="E87" t="s">
        <v>815</v>
      </c>
    </row>
    <row r="88" spans="5:11">
      <c r="E88" t="s">
        <v>572</v>
      </c>
      <c r="F88" t="s">
        <v>816</v>
      </c>
      <c r="H88" t="s">
        <v>817</v>
      </c>
      <c r="I88">
        <v>223.0633</v>
      </c>
      <c r="J88" t="s">
        <v>818</v>
      </c>
    </row>
    <row r="89" spans="5:11">
      <c r="E89" t="s">
        <v>572</v>
      </c>
      <c r="F89" t="s">
        <v>573</v>
      </c>
      <c r="H89" t="s">
        <v>819</v>
      </c>
      <c r="I89">
        <v>195.0684</v>
      </c>
      <c r="J89" t="s">
        <v>820</v>
      </c>
    </row>
    <row r="90" spans="5:11">
      <c r="E90" t="s">
        <v>589</v>
      </c>
      <c r="F90" s="372" t="s">
        <v>821</v>
      </c>
      <c r="H90" t="s">
        <v>822</v>
      </c>
      <c r="I90">
        <v>137.13999999999999</v>
      </c>
      <c r="J90" t="s">
        <v>647</v>
      </c>
    </row>
    <row r="91" spans="5:11">
      <c r="E91" t="s">
        <v>589</v>
      </c>
      <c r="F91" s="372" t="s">
        <v>823</v>
      </c>
      <c r="H91" t="s">
        <v>822</v>
      </c>
      <c r="I91">
        <v>107.073502</v>
      </c>
      <c r="J91" t="s">
        <v>824</v>
      </c>
    </row>
    <row r="92" spans="5:11">
      <c r="E92" t="s">
        <v>589</v>
      </c>
      <c r="F92" t="s">
        <v>825</v>
      </c>
      <c r="H92" t="s">
        <v>826</v>
      </c>
      <c r="I92">
        <v>136.03989999999999</v>
      </c>
      <c r="J92" t="s">
        <v>827</v>
      </c>
    </row>
    <row r="93" spans="5:11">
      <c r="E93" t="s">
        <v>629</v>
      </c>
      <c r="F93" t="s">
        <v>828</v>
      </c>
      <c r="H93" t="s">
        <v>829</v>
      </c>
      <c r="I93">
        <v>233.06881000000001</v>
      </c>
      <c r="J93" t="s">
        <v>830</v>
      </c>
    </row>
    <row r="94" spans="5:11">
      <c r="E94" t="s">
        <v>629</v>
      </c>
      <c r="F94" s="372" t="s">
        <v>632</v>
      </c>
      <c r="H94" t="s">
        <v>822</v>
      </c>
      <c r="I94">
        <v>211.06332900000001</v>
      </c>
      <c r="J94" t="s">
        <v>831</v>
      </c>
    </row>
    <row r="95" spans="5:11">
      <c r="E95" t="s">
        <v>629</v>
      </c>
      <c r="F95" s="372" t="s">
        <v>630</v>
      </c>
      <c r="H95" t="s">
        <v>822</v>
      </c>
      <c r="I95">
        <v>181.08914899999999</v>
      </c>
      <c r="J95" t="s">
        <v>832</v>
      </c>
    </row>
    <row r="96" spans="5:11">
      <c r="E96" t="s">
        <v>629</v>
      </c>
      <c r="F96" t="s">
        <v>833</v>
      </c>
      <c r="H96" t="s">
        <v>834</v>
      </c>
      <c r="I96">
        <v>187.06333000000001</v>
      </c>
      <c r="J96" t="s">
        <v>835</v>
      </c>
      <c r="K96" s="51" t="s">
        <v>836</v>
      </c>
    </row>
    <row r="97" spans="5:11">
      <c r="E97" t="s">
        <v>837</v>
      </c>
      <c r="F97" s="372" t="s">
        <v>838</v>
      </c>
      <c r="H97" t="s">
        <v>822</v>
      </c>
      <c r="I97">
        <v>112.01604399999999</v>
      </c>
      <c r="J97" t="s">
        <v>839</v>
      </c>
    </row>
    <row r="98" spans="5:11">
      <c r="E98" t="s">
        <v>837</v>
      </c>
      <c r="F98" s="372" t="s">
        <v>840</v>
      </c>
      <c r="H98" t="s">
        <v>822</v>
      </c>
      <c r="I98">
        <v>82.041865000000001</v>
      </c>
      <c r="J98" t="s">
        <v>841</v>
      </c>
    </row>
    <row r="99" spans="5:11">
      <c r="E99" t="s">
        <v>842</v>
      </c>
      <c r="F99" s="372" t="s">
        <v>843</v>
      </c>
      <c r="H99" t="s">
        <v>822</v>
      </c>
      <c r="I99">
        <v>143.07350199999999</v>
      </c>
      <c r="J99" t="s">
        <v>844</v>
      </c>
    </row>
    <row r="100" spans="5:11">
      <c r="E100" t="s">
        <v>842</v>
      </c>
      <c r="F100" s="372" t="s">
        <v>845</v>
      </c>
      <c r="H100" t="s">
        <v>822</v>
      </c>
      <c r="I100">
        <v>173.047684</v>
      </c>
      <c r="J100" t="s">
        <v>846</v>
      </c>
    </row>
    <row r="101" spans="5:11">
      <c r="E101" t="s">
        <v>524</v>
      </c>
      <c r="F101" t="s">
        <v>847</v>
      </c>
      <c r="H101" t="s">
        <v>848</v>
      </c>
      <c r="I101">
        <v>185.97181</v>
      </c>
      <c r="J101" t="s">
        <v>849</v>
      </c>
    </row>
    <row r="102" spans="5:11">
      <c r="E102" t="s">
        <v>850</v>
      </c>
      <c r="F102" t="s">
        <v>851</v>
      </c>
      <c r="H102" t="s">
        <v>817</v>
      </c>
      <c r="I102">
        <v>124.027275</v>
      </c>
      <c r="J102" t="s">
        <v>852</v>
      </c>
    </row>
    <row r="104" spans="5:11">
      <c r="G104"/>
      <c r="K104"/>
    </row>
    <row r="105" spans="5:11">
      <c r="E105" t="s">
        <v>853</v>
      </c>
    </row>
    <row r="106" spans="5:11">
      <c r="E106" t="s">
        <v>854</v>
      </c>
      <c r="F106" s="372" t="s">
        <v>522</v>
      </c>
      <c r="H106" t="s">
        <v>549</v>
      </c>
      <c r="I106">
        <v>156.115036</v>
      </c>
      <c r="J106" t="s">
        <v>642</v>
      </c>
    </row>
    <row r="107" spans="5:11">
      <c r="E107" t="s">
        <v>855</v>
      </c>
      <c r="F107" t="s">
        <v>856</v>
      </c>
      <c r="H107" t="s">
        <v>857</v>
      </c>
      <c r="I107">
        <v>152.04730000000001</v>
      </c>
      <c r="J107" t="s">
        <v>784</v>
      </c>
      <c r="K107" s="51" t="s">
        <v>858</v>
      </c>
    </row>
    <row r="108" spans="5:11">
      <c r="E108" t="s">
        <v>859</v>
      </c>
      <c r="F108" t="s">
        <v>860</v>
      </c>
      <c r="H108" t="s">
        <v>857</v>
      </c>
      <c r="I108">
        <v>152.04730000000001</v>
      </c>
      <c r="J108" t="s">
        <v>784</v>
      </c>
      <c r="K108" s="51" t="s">
        <v>858</v>
      </c>
    </row>
    <row r="109" spans="5:11">
      <c r="E109" t="s">
        <v>606</v>
      </c>
      <c r="F109" t="s">
        <v>607</v>
      </c>
      <c r="H109" t="s">
        <v>861</v>
      </c>
      <c r="I109">
        <v>248.0685</v>
      </c>
      <c r="J109" t="s">
        <v>862</v>
      </c>
    </row>
    <row r="110" spans="5:11">
      <c r="E110" t="s">
        <v>606</v>
      </c>
      <c r="F110" t="s">
        <v>863</v>
      </c>
      <c r="H110" t="s">
        <v>861</v>
      </c>
      <c r="I110">
        <v>162.0317</v>
      </c>
      <c r="J110" t="s">
        <v>864</v>
      </c>
    </row>
    <row r="111" spans="5:11">
      <c r="E111" t="s">
        <v>606</v>
      </c>
      <c r="F111" s="372" t="s">
        <v>865</v>
      </c>
      <c r="H111" t="s">
        <v>822</v>
      </c>
      <c r="I111">
        <v>132.16</v>
      </c>
      <c r="J111" t="s">
        <v>866</v>
      </c>
    </row>
    <row r="112" spans="5:11">
      <c r="E112" t="s">
        <v>618</v>
      </c>
      <c r="F112" t="s">
        <v>867</v>
      </c>
      <c r="H112" t="s">
        <v>861</v>
      </c>
      <c r="I112">
        <v>178.00890000000001</v>
      </c>
      <c r="J112" t="s">
        <v>868</v>
      </c>
    </row>
    <row r="113" spans="5:10">
      <c r="E113" t="s">
        <v>618</v>
      </c>
      <c r="F113" t="s">
        <v>626</v>
      </c>
      <c r="H113" t="s">
        <v>822</v>
      </c>
      <c r="I113">
        <v>148.22499999999999</v>
      </c>
      <c r="J113" t="s">
        <v>869</v>
      </c>
    </row>
    <row r="114" spans="5:10">
      <c r="E114" t="s">
        <v>618</v>
      </c>
      <c r="F114" t="s">
        <v>870</v>
      </c>
      <c r="H114" t="s">
        <v>861</v>
      </c>
      <c r="I114">
        <v>178.00890000000001</v>
      </c>
      <c r="J114" t="s">
        <v>868</v>
      </c>
    </row>
    <row r="115" spans="5:10">
      <c r="E115" t="s">
        <v>871</v>
      </c>
      <c r="F115" t="s">
        <v>872</v>
      </c>
      <c r="H115" t="s">
        <v>817</v>
      </c>
      <c r="I115">
        <v>110.11199999999999</v>
      </c>
      <c r="J115" t="s">
        <v>873</v>
      </c>
    </row>
    <row r="116" spans="5:10">
      <c r="E116" t="s">
        <v>874</v>
      </c>
      <c r="F116" t="s">
        <v>875</v>
      </c>
      <c r="H116" t="s">
        <v>817</v>
      </c>
      <c r="I116">
        <v>152.04733999999999</v>
      </c>
      <c r="J116" t="s">
        <v>784</v>
      </c>
    </row>
    <row r="117" spans="5:10">
      <c r="E117" t="s">
        <v>636</v>
      </c>
      <c r="F117" t="s">
        <v>606</v>
      </c>
      <c r="H117" t="s">
        <v>876</v>
      </c>
      <c r="I117">
        <v>118.04186</v>
      </c>
      <c r="J117" t="s">
        <v>877</v>
      </c>
    </row>
    <row r="118" spans="5:10">
      <c r="E118" t="s">
        <v>636</v>
      </c>
      <c r="F118" t="s">
        <v>733</v>
      </c>
      <c r="H118" t="s">
        <v>876</v>
      </c>
      <c r="I118">
        <v>117.14790000000001</v>
      </c>
      <c r="J118" t="s">
        <v>878</v>
      </c>
    </row>
    <row r="119" spans="5:10">
      <c r="E119" t="s">
        <v>636</v>
      </c>
      <c r="F119" t="s">
        <v>879</v>
      </c>
      <c r="H119" t="s">
        <v>876</v>
      </c>
      <c r="I119">
        <v>129.15860000000001</v>
      </c>
      <c r="J119" t="s">
        <v>880</v>
      </c>
    </row>
    <row r="120" spans="5:10">
      <c r="E120" t="s">
        <v>636</v>
      </c>
      <c r="F120" t="s">
        <v>618</v>
      </c>
      <c r="H120" t="s">
        <v>876</v>
      </c>
      <c r="I120">
        <v>134.19924</v>
      </c>
      <c r="J120" t="s">
        <v>881</v>
      </c>
    </row>
    <row r="121" spans="5:10">
      <c r="E121" t="s">
        <v>636</v>
      </c>
      <c r="F121" t="s">
        <v>637</v>
      </c>
      <c r="H121" t="s">
        <v>876</v>
      </c>
      <c r="I121">
        <v>84.14</v>
      </c>
      <c r="J121" t="s">
        <v>882</v>
      </c>
    </row>
    <row r="122" spans="5:10">
      <c r="E122" t="s">
        <v>636</v>
      </c>
      <c r="F122" t="s">
        <v>883</v>
      </c>
      <c r="H122" t="s">
        <v>876</v>
      </c>
      <c r="I122">
        <v>81.057850000000002</v>
      </c>
      <c r="J122" t="s">
        <v>884</v>
      </c>
    </row>
    <row r="123" spans="5:10">
      <c r="E123" t="s">
        <v>636</v>
      </c>
      <c r="F123" t="s">
        <v>885</v>
      </c>
      <c r="H123" t="s">
        <v>876</v>
      </c>
      <c r="I123">
        <v>67.089240000000004</v>
      </c>
      <c r="J123" t="s">
        <v>886</v>
      </c>
    </row>
    <row r="124" spans="5:10">
      <c r="E124" t="s">
        <v>636</v>
      </c>
      <c r="F124" t="s">
        <v>521</v>
      </c>
      <c r="H124" t="s">
        <v>876</v>
      </c>
      <c r="I124">
        <v>122.16500000000001</v>
      </c>
      <c r="J124" t="s">
        <v>887</v>
      </c>
    </row>
    <row r="125" spans="5:10">
      <c r="E125" t="s">
        <v>640</v>
      </c>
      <c r="F125" t="s">
        <v>641</v>
      </c>
      <c r="H125" t="s">
        <v>888</v>
      </c>
      <c r="I125">
        <v>202.20599999999999</v>
      </c>
      <c r="J125" t="s">
        <v>889</v>
      </c>
    </row>
    <row r="126" spans="5:10">
      <c r="E126" t="s">
        <v>890</v>
      </c>
      <c r="F126" t="s">
        <v>891</v>
      </c>
      <c r="H126" t="s">
        <v>817</v>
      </c>
      <c r="I126">
        <v>122.03677999999999</v>
      </c>
      <c r="J126" t="s">
        <v>797</v>
      </c>
    </row>
    <row r="127" spans="5:10">
      <c r="E127" t="s">
        <v>733</v>
      </c>
      <c r="F127" t="s">
        <v>892</v>
      </c>
      <c r="H127" t="s">
        <v>861</v>
      </c>
      <c r="I127">
        <v>177.04259300000001</v>
      </c>
      <c r="J127" t="s">
        <v>893</v>
      </c>
    </row>
    <row r="128" spans="5:10">
      <c r="E128" t="s">
        <v>733</v>
      </c>
      <c r="F128" s="372" t="s">
        <v>894</v>
      </c>
      <c r="H128" t="s">
        <v>822</v>
      </c>
      <c r="I128">
        <v>175.06332900000001</v>
      </c>
      <c r="J128" t="s">
        <v>895</v>
      </c>
    </row>
    <row r="129" spans="5:10">
      <c r="E129" t="s">
        <v>733</v>
      </c>
      <c r="F129" s="372" t="s">
        <v>896</v>
      </c>
      <c r="H129" t="s">
        <v>822</v>
      </c>
      <c r="I129">
        <v>131.073499</v>
      </c>
      <c r="J129" t="s">
        <v>897</v>
      </c>
    </row>
    <row r="130" spans="5:10">
      <c r="E130" t="s">
        <v>733</v>
      </c>
      <c r="F130" t="s">
        <v>734</v>
      </c>
      <c r="H130" t="s">
        <v>898</v>
      </c>
      <c r="I130">
        <v>133.1473</v>
      </c>
      <c r="J130" t="s">
        <v>899</v>
      </c>
    </row>
    <row r="131" spans="5:10">
      <c r="E131" t="s">
        <v>733</v>
      </c>
      <c r="F131" t="s">
        <v>900</v>
      </c>
      <c r="H131" t="s">
        <v>898</v>
      </c>
      <c r="I131">
        <v>147.13079999999999</v>
      </c>
      <c r="J131" t="s">
        <v>901</v>
      </c>
    </row>
    <row r="132" spans="5:10">
      <c r="E132" t="s">
        <v>902</v>
      </c>
      <c r="F132" t="s">
        <v>903</v>
      </c>
      <c r="H132" t="s">
        <v>904</v>
      </c>
      <c r="I132">
        <v>225.21789999999999</v>
      </c>
      <c r="J132" t="s">
        <v>905</v>
      </c>
    </row>
    <row r="133" spans="5:10">
      <c r="E133" t="s">
        <v>906</v>
      </c>
      <c r="F133" t="s">
        <v>907</v>
      </c>
      <c r="H133" t="s">
        <v>908</v>
      </c>
      <c r="I133">
        <v>124.052429</v>
      </c>
      <c r="J133" t="s">
        <v>909</v>
      </c>
    </row>
    <row r="134" spans="5:10">
      <c r="E134" t="s">
        <v>910</v>
      </c>
      <c r="F134" s="372" t="s">
        <v>911</v>
      </c>
      <c r="H134" t="s">
        <v>822</v>
      </c>
      <c r="I134">
        <v>152.14732000000001</v>
      </c>
      <c r="J134" t="s">
        <v>784</v>
      </c>
    </row>
    <row r="135" spans="5:10">
      <c r="E135" t="s">
        <v>912</v>
      </c>
      <c r="F135" t="s">
        <v>913</v>
      </c>
      <c r="H135" t="s">
        <v>848</v>
      </c>
      <c r="I135">
        <v>152.15</v>
      </c>
      <c r="J135" t="s">
        <v>784</v>
      </c>
    </row>
    <row r="136" spans="5:10">
      <c r="E136" t="s">
        <v>779</v>
      </c>
      <c r="F136" t="s">
        <v>914</v>
      </c>
      <c r="H136" t="s">
        <v>848</v>
      </c>
      <c r="I136">
        <v>124.052429</v>
      </c>
      <c r="J136" t="s">
        <v>909</v>
      </c>
    </row>
    <row r="137" spans="5:10">
      <c r="E137" t="s">
        <v>915</v>
      </c>
      <c r="F137" t="s">
        <v>780</v>
      </c>
      <c r="H137" t="s">
        <v>916</v>
      </c>
      <c r="I137">
        <v>224.06847348599999</v>
      </c>
      <c r="J137" t="s">
        <v>917</v>
      </c>
    </row>
    <row r="138" spans="5:10">
      <c r="E138" t="s">
        <v>918</v>
      </c>
      <c r="F138" t="s">
        <v>919</v>
      </c>
      <c r="H138" t="s">
        <v>920</v>
      </c>
      <c r="I138">
        <v>111.03202840900001</v>
      </c>
      <c r="J138" t="s">
        <v>921</v>
      </c>
    </row>
    <row r="139" spans="5:10">
      <c r="E139" t="s">
        <v>879</v>
      </c>
      <c r="F139" t="s">
        <v>922</v>
      </c>
      <c r="H139" t="s">
        <v>923</v>
      </c>
      <c r="I139">
        <v>189.04258999999999</v>
      </c>
      <c r="J139" t="s">
        <v>924</v>
      </c>
    </row>
    <row r="140" spans="5:10">
      <c r="E140" t="s">
        <v>879</v>
      </c>
      <c r="F140" s="372" t="s">
        <v>925</v>
      </c>
      <c r="H140" t="s">
        <v>822</v>
      </c>
      <c r="I140">
        <v>167.02185800000001</v>
      </c>
      <c r="J140" t="s">
        <v>570</v>
      </c>
    </row>
    <row r="141" spans="5:10">
      <c r="E141" t="s">
        <v>879</v>
      </c>
      <c r="F141" s="372" t="s">
        <v>926</v>
      </c>
      <c r="H141" t="s">
        <v>822</v>
      </c>
      <c r="I141">
        <v>143.07350199999999</v>
      </c>
      <c r="J141" t="s">
        <v>844</v>
      </c>
    </row>
    <row r="142" spans="5:10">
      <c r="E142" t="s">
        <v>879</v>
      </c>
      <c r="F142" t="s">
        <v>927</v>
      </c>
      <c r="H142" t="s">
        <v>923</v>
      </c>
      <c r="I142">
        <v>162.031694053</v>
      </c>
      <c r="J142" t="s">
        <v>864</v>
      </c>
    </row>
    <row r="143" spans="5:10">
      <c r="E143" t="s">
        <v>637</v>
      </c>
      <c r="F143" t="s">
        <v>928</v>
      </c>
      <c r="H143" t="s">
        <v>929</v>
      </c>
      <c r="I143">
        <v>99.998283000000001</v>
      </c>
      <c r="J143" t="s">
        <v>930</v>
      </c>
    </row>
    <row r="144" spans="5:10">
      <c r="E144" t="s">
        <v>637</v>
      </c>
      <c r="F144" t="s">
        <v>931</v>
      </c>
      <c r="H144" t="s">
        <v>929</v>
      </c>
      <c r="I144">
        <v>99.998283000000001</v>
      </c>
      <c r="J144" t="s">
        <v>930</v>
      </c>
    </row>
    <row r="145" spans="5:11">
      <c r="E145" t="s">
        <v>637</v>
      </c>
      <c r="F145" s="372" t="s">
        <v>791</v>
      </c>
      <c r="H145" t="s">
        <v>822</v>
      </c>
      <c r="I145">
        <v>127.993201</v>
      </c>
      <c r="J145" t="s">
        <v>932</v>
      </c>
    </row>
    <row r="146" spans="5:11">
      <c r="E146" t="s">
        <v>637</v>
      </c>
      <c r="F146" s="372" t="s">
        <v>933</v>
      </c>
      <c r="H146" t="s">
        <v>822</v>
      </c>
      <c r="I146">
        <v>98.019020999999995</v>
      </c>
      <c r="J146" t="s">
        <v>934</v>
      </c>
    </row>
    <row r="148" spans="5:11">
      <c r="E148" t="s">
        <v>935</v>
      </c>
    </row>
    <row r="151" spans="5:11">
      <c r="E151" t="s">
        <v>936</v>
      </c>
      <c r="G151"/>
      <c r="K151"/>
    </row>
    <row r="152" spans="5:11">
      <c r="E152" t="s">
        <v>595</v>
      </c>
      <c r="F152" t="s">
        <v>596</v>
      </c>
      <c r="H152" t="s">
        <v>822</v>
      </c>
      <c r="I152">
        <v>222.06800000000001</v>
      </c>
      <c r="J152" t="s">
        <v>753</v>
      </c>
    </row>
    <row r="153" spans="5:11">
      <c r="E153" t="s">
        <v>595</v>
      </c>
      <c r="F153" t="s">
        <v>937</v>
      </c>
      <c r="H153" t="s">
        <v>938</v>
      </c>
      <c r="I153">
        <v>208.05240000000001</v>
      </c>
      <c r="J153" t="s">
        <v>939</v>
      </c>
    </row>
    <row r="154" spans="5:11">
      <c r="E154" t="s">
        <v>595</v>
      </c>
      <c r="F154" t="s">
        <v>602</v>
      </c>
      <c r="H154" t="s">
        <v>938</v>
      </c>
      <c r="I154">
        <v>252.04220000000001</v>
      </c>
      <c r="J154" t="s">
        <v>940</v>
      </c>
    </row>
    <row r="155" spans="5:11">
      <c r="E155" t="s">
        <v>941</v>
      </c>
      <c r="F155" t="s">
        <v>942</v>
      </c>
      <c r="H155" t="s">
        <v>943</v>
      </c>
      <c r="I155">
        <v>180.0575</v>
      </c>
      <c r="J155" t="s">
        <v>944</v>
      </c>
    </row>
    <row r="156" spans="5:11">
      <c r="E156" t="s">
        <v>945</v>
      </c>
      <c r="F156" t="s">
        <v>946</v>
      </c>
      <c r="H156" t="s">
        <v>938</v>
      </c>
      <c r="I156">
        <v>206.1096</v>
      </c>
      <c r="J156" t="s">
        <v>947</v>
      </c>
    </row>
    <row r="157" spans="5:11">
      <c r="E157" t="s">
        <v>948</v>
      </c>
      <c r="F157" t="s">
        <v>949</v>
      </c>
      <c r="H157" t="s">
        <v>938</v>
      </c>
      <c r="I157">
        <v>256.12520000000001</v>
      </c>
      <c r="J157" t="s">
        <v>950</v>
      </c>
    </row>
    <row r="158" spans="5:11">
      <c r="E158" t="s">
        <v>948</v>
      </c>
      <c r="F158" t="s">
        <v>951</v>
      </c>
      <c r="H158" t="s">
        <v>938</v>
      </c>
      <c r="I158">
        <v>256.12520000000001</v>
      </c>
      <c r="J158" t="s">
        <v>950</v>
      </c>
    </row>
    <row r="159" spans="5:11">
      <c r="E159" t="s">
        <v>952</v>
      </c>
      <c r="F159" t="s">
        <v>953</v>
      </c>
      <c r="H159" t="s">
        <v>943</v>
      </c>
      <c r="I159">
        <v>210.14080000000001</v>
      </c>
      <c r="J159" t="s">
        <v>954</v>
      </c>
    </row>
    <row r="160" spans="5:11">
      <c r="E160" t="s">
        <v>955</v>
      </c>
      <c r="F160" t="s">
        <v>956</v>
      </c>
      <c r="H160" t="s">
        <v>938</v>
      </c>
      <c r="I160">
        <v>220.125201</v>
      </c>
      <c r="J160" t="s">
        <v>957</v>
      </c>
    </row>
    <row r="161" spans="5:10">
      <c r="E161" t="s">
        <v>661</v>
      </c>
      <c r="F161" t="s">
        <v>958</v>
      </c>
      <c r="H161" t="s">
        <v>959</v>
      </c>
      <c r="I161">
        <v>226.062994</v>
      </c>
      <c r="J161" t="s">
        <v>960</v>
      </c>
    </row>
    <row r="162" spans="5:10">
      <c r="E162" t="s">
        <v>661</v>
      </c>
      <c r="F162" t="s">
        <v>961</v>
      </c>
      <c r="H162" t="s">
        <v>959</v>
      </c>
      <c r="I162">
        <v>224.047348</v>
      </c>
      <c r="J162" t="s">
        <v>962</v>
      </c>
    </row>
    <row r="163" spans="5:10">
      <c r="E163" t="s">
        <v>661</v>
      </c>
      <c r="F163" t="s">
        <v>963</v>
      </c>
      <c r="H163" t="s">
        <v>822</v>
      </c>
      <c r="I163">
        <v>259.07590499999998</v>
      </c>
      <c r="J163" t="s">
        <v>964</v>
      </c>
    </row>
    <row r="164" spans="5:10">
      <c r="E164" t="s">
        <v>661</v>
      </c>
      <c r="F164" t="s">
        <v>965</v>
      </c>
      <c r="H164" t="s">
        <v>822</v>
      </c>
      <c r="I164">
        <v>246.06808000000001</v>
      </c>
      <c r="J164" t="s">
        <v>966</v>
      </c>
    </row>
    <row r="165" spans="5:10">
      <c r="E165" t="s">
        <v>967</v>
      </c>
      <c r="F165" t="s">
        <v>968</v>
      </c>
      <c r="H165" t="s">
        <v>969</v>
      </c>
      <c r="I165">
        <v>180.05751487890001</v>
      </c>
      <c r="J165" t="s">
        <v>944</v>
      </c>
    </row>
    <row r="166" spans="5:10">
      <c r="E166" t="s">
        <v>657</v>
      </c>
      <c r="F166" t="s">
        <v>676</v>
      </c>
      <c r="H166" t="s">
        <v>970</v>
      </c>
      <c r="I166">
        <v>160.16929999999999</v>
      </c>
      <c r="J166" t="s">
        <v>678</v>
      </c>
    </row>
    <row r="167" spans="5:10">
      <c r="E167" t="s">
        <v>657</v>
      </c>
      <c r="F167" t="s">
        <v>670</v>
      </c>
      <c r="H167" t="s">
        <v>822</v>
      </c>
      <c r="I167">
        <v>224.08373</v>
      </c>
      <c r="J167" t="s">
        <v>971</v>
      </c>
    </row>
    <row r="168" spans="5:10">
      <c r="E168" t="s">
        <v>657</v>
      </c>
      <c r="F168" t="s">
        <v>972</v>
      </c>
      <c r="H168" t="s">
        <v>970</v>
      </c>
      <c r="I168">
        <v>160.16929999999999</v>
      </c>
      <c r="J168" t="s">
        <v>678</v>
      </c>
    </row>
    <row r="169" spans="5:10" ht="16.5">
      <c r="E169" t="s">
        <v>973</v>
      </c>
      <c r="F169" t="s">
        <v>679</v>
      </c>
      <c r="H169" t="s">
        <v>970</v>
      </c>
      <c r="I169" s="373">
        <v>176.04734400000001</v>
      </c>
      <c r="J169" t="s">
        <v>974</v>
      </c>
    </row>
    <row r="170" spans="5:10" ht="16.5">
      <c r="E170" t="s">
        <v>973</v>
      </c>
      <c r="F170" t="s">
        <v>681</v>
      </c>
      <c r="H170" t="s">
        <v>970</v>
      </c>
      <c r="I170" s="373">
        <v>176.04734400000001</v>
      </c>
      <c r="J170" t="s">
        <v>974</v>
      </c>
    </row>
    <row r="171" spans="5:10">
      <c r="E171" t="s">
        <v>975</v>
      </c>
      <c r="F171" t="s">
        <v>976</v>
      </c>
      <c r="H171" t="s">
        <v>822</v>
      </c>
      <c r="I171">
        <v>210.06808000000001</v>
      </c>
      <c r="J171" t="s">
        <v>660</v>
      </c>
    </row>
    <row r="172" spans="5:10">
      <c r="E172" t="s">
        <v>161</v>
      </c>
      <c r="F172" t="s">
        <v>696</v>
      </c>
      <c r="H172" t="s">
        <v>977</v>
      </c>
      <c r="I172">
        <v>132.09390300000001</v>
      </c>
      <c r="J172" t="s">
        <v>978</v>
      </c>
    </row>
    <row r="173" spans="5:10">
      <c r="E173" t="s">
        <v>161</v>
      </c>
      <c r="F173" t="s">
        <v>700</v>
      </c>
      <c r="H173" t="s">
        <v>822</v>
      </c>
      <c r="I173">
        <v>146.109543</v>
      </c>
      <c r="J173" t="s">
        <v>979</v>
      </c>
    </row>
    <row r="174" spans="5:10">
      <c r="E174" t="s">
        <v>161</v>
      </c>
      <c r="F174" t="s">
        <v>693</v>
      </c>
      <c r="H174" t="s">
        <v>822</v>
      </c>
      <c r="I174">
        <v>150.068085</v>
      </c>
      <c r="J174" t="s">
        <v>804</v>
      </c>
    </row>
    <row r="175" spans="5:10">
      <c r="E175" t="s">
        <v>161</v>
      </c>
      <c r="F175" t="s">
        <v>980</v>
      </c>
      <c r="H175" t="s">
        <v>822</v>
      </c>
      <c r="I175">
        <v>160.12519800000001</v>
      </c>
      <c r="J175" t="s">
        <v>981</v>
      </c>
    </row>
    <row r="176" spans="5:10">
      <c r="E176" t="s">
        <v>161</v>
      </c>
      <c r="F176" t="s">
        <v>982</v>
      </c>
      <c r="H176" t="s">
        <v>822</v>
      </c>
      <c r="I176">
        <v>162.00680850000001</v>
      </c>
      <c r="J176" t="s">
        <v>669</v>
      </c>
    </row>
    <row r="177" spans="5:11">
      <c r="E177" t="s">
        <v>983</v>
      </c>
      <c r="F177" t="s">
        <v>713</v>
      </c>
      <c r="H177" t="s">
        <v>984</v>
      </c>
      <c r="I177">
        <v>132.05751000000001</v>
      </c>
      <c r="J177" t="s">
        <v>866</v>
      </c>
    </row>
    <row r="178" spans="5:11">
      <c r="E178" t="s">
        <v>751</v>
      </c>
      <c r="F178" t="s">
        <v>985</v>
      </c>
      <c r="H178" t="s">
        <v>986</v>
      </c>
      <c r="I178">
        <v>222.06800000000001</v>
      </c>
      <c r="J178" t="s">
        <v>753</v>
      </c>
    </row>
    <row r="179" spans="5:11">
      <c r="E179" t="s">
        <v>987</v>
      </c>
      <c r="F179" t="s">
        <v>988</v>
      </c>
      <c r="H179" t="s">
        <v>822</v>
      </c>
      <c r="I179">
        <v>246.068085</v>
      </c>
      <c r="J179" t="s">
        <v>966</v>
      </c>
    </row>
    <row r="180" spans="5:11">
      <c r="E180" t="s">
        <v>989</v>
      </c>
      <c r="F180" t="s">
        <v>990</v>
      </c>
      <c r="H180" t="s">
        <v>991</v>
      </c>
      <c r="I180">
        <v>340.49900000000002</v>
      </c>
      <c r="J180" t="s">
        <v>992</v>
      </c>
    </row>
    <row r="181" spans="5:11">
      <c r="E181" t="s">
        <v>989</v>
      </c>
      <c r="F181" t="s">
        <v>993</v>
      </c>
      <c r="H181" t="s">
        <v>938</v>
      </c>
      <c r="I181">
        <v>206.109543</v>
      </c>
      <c r="J181" t="s">
        <v>947</v>
      </c>
    </row>
    <row r="182" spans="5:11">
      <c r="G182"/>
      <c r="K182"/>
    </row>
    <row r="185" spans="5:11">
      <c r="E185" t="s">
        <v>994</v>
      </c>
    </row>
    <row r="186" spans="5:11">
      <c r="E186" t="s">
        <v>618</v>
      </c>
      <c r="F186" t="s">
        <v>995</v>
      </c>
      <c r="H186" t="s">
        <v>861</v>
      </c>
    </row>
    <row r="187" spans="5:11">
      <c r="E187" t="s">
        <v>618</v>
      </c>
      <c r="F187" t="s">
        <v>996</v>
      </c>
      <c r="H187" t="s">
        <v>861</v>
      </c>
    </row>
    <row r="188" spans="5:11">
      <c r="E188" t="s">
        <v>606</v>
      </c>
      <c r="F188" t="s">
        <v>997</v>
      </c>
      <c r="H188" t="s">
        <v>861</v>
      </c>
    </row>
    <row r="189" spans="5:11">
      <c r="E189" t="s">
        <v>998</v>
      </c>
      <c r="F189" t="s">
        <v>999</v>
      </c>
      <c r="H189" t="s">
        <v>822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D2A0-592F-41BD-9260-1E4DACF1D550}">
  <sheetPr>
    <tabColor theme="5" tint="0.59999389629810485"/>
  </sheetPr>
  <dimension ref="A2:L57"/>
  <sheetViews>
    <sheetView topLeftCell="K1" zoomScale="90" zoomScaleNormal="90" workbookViewId="0">
      <selection activeCell="O40" sqref="O40"/>
    </sheetView>
  </sheetViews>
  <sheetFormatPr defaultRowHeight="15"/>
  <cols>
    <col min="7" max="9" width="14.42578125" customWidth="1"/>
    <col min="10" max="11" width="11" customWidth="1"/>
  </cols>
  <sheetData>
    <row r="2" spans="1:12" s="36" customFormat="1" ht="75">
      <c r="A2" s="36" t="s">
        <v>115</v>
      </c>
      <c r="B2" s="36" t="s">
        <v>1000</v>
      </c>
      <c r="C2" s="36" t="s">
        <v>1001</v>
      </c>
      <c r="D2" s="36" t="s">
        <v>504</v>
      </c>
      <c r="E2" s="36" t="s">
        <v>1002</v>
      </c>
      <c r="F2" s="36" t="s">
        <v>118</v>
      </c>
      <c r="G2" s="36" t="s">
        <v>1003</v>
      </c>
      <c r="H2" s="36" t="s">
        <v>1004</v>
      </c>
      <c r="I2" s="36" t="s">
        <v>1005</v>
      </c>
      <c r="J2" s="36" t="s">
        <v>1006</v>
      </c>
      <c r="K2" s="36" t="s">
        <v>1007</v>
      </c>
      <c r="L2" s="36" t="s">
        <v>117</v>
      </c>
    </row>
    <row r="3" spans="1:12">
      <c r="A3" t="s">
        <v>1008</v>
      </c>
      <c r="B3" t="s">
        <v>6</v>
      </c>
      <c r="C3" t="s">
        <v>22</v>
      </c>
      <c r="D3" s="67">
        <v>203.2</v>
      </c>
      <c r="E3">
        <v>12.1</v>
      </c>
      <c r="F3">
        <v>1475833</v>
      </c>
      <c r="G3" s="43">
        <f>L3/1000</f>
        <v>6.7400000000000002E-2</v>
      </c>
      <c r="H3">
        <v>3</v>
      </c>
      <c r="I3">
        <v>0</v>
      </c>
      <c r="J3" s="173">
        <f t="shared" ref="J3:J28" si="0">I3/G3</f>
        <v>0</v>
      </c>
      <c r="K3" s="43">
        <f t="shared" ref="K3:K28" si="1">H3/G3</f>
        <v>44.510385756676556</v>
      </c>
      <c r="L3" s="24">
        <v>67.400000000000006</v>
      </c>
    </row>
    <row r="4" spans="1:12">
      <c r="A4" t="s">
        <v>1009</v>
      </c>
      <c r="B4" t="s">
        <v>6</v>
      </c>
      <c r="C4" t="s">
        <v>27</v>
      </c>
      <c r="D4" s="24">
        <v>166.5</v>
      </c>
      <c r="E4">
        <v>5.5</v>
      </c>
      <c r="F4">
        <v>5667500</v>
      </c>
      <c r="G4" s="43">
        <f t="shared" ref="G4:G28" si="2">L4/1000</f>
        <v>0.12079999999999999</v>
      </c>
      <c r="H4">
        <v>4</v>
      </c>
      <c r="I4">
        <v>0</v>
      </c>
      <c r="J4" s="173">
        <f t="shared" si="0"/>
        <v>0</v>
      </c>
      <c r="K4" s="43">
        <f t="shared" si="1"/>
        <v>33.112582781456958</v>
      </c>
      <c r="L4" s="24">
        <v>120.8</v>
      </c>
    </row>
    <row r="5" spans="1:12">
      <c r="A5" t="s">
        <v>1010</v>
      </c>
      <c r="B5" t="s">
        <v>7</v>
      </c>
      <c r="C5">
        <v>12</v>
      </c>
      <c r="D5" s="24">
        <v>23</v>
      </c>
      <c r="E5">
        <v>2.9641369233805599</v>
      </c>
      <c r="F5">
        <v>567889</v>
      </c>
      <c r="G5" s="43">
        <f t="shared" si="2"/>
        <v>4.6276082418081854</v>
      </c>
      <c r="H5" s="24">
        <v>47</v>
      </c>
      <c r="I5" s="24">
        <v>89.644953435690908</v>
      </c>
      <c r="J5" s="173">
        <f t="shared" si="0"/>
        <v>19.371768039003914</v>
      </c>
      <c r="K5" s="43">
        <f t="shared" si="1"/>
        <v>10.156434500089681</v>
      </c>
      <c r="L5" s="24">
        <v>4627.6082418081851</v>
      </c>
    </row>
    <row r="6" spans="1:12">
      <c r="A6" t="s">
        <v>1011</v>
      </c>
      <c r="B6" t="s">
        <v>7</v>
      </c>
      <c r="C6">
        <v>15.5</v>
      </c>
      <c r="D6" s="24">
        <v>0</v>
      </c>
      <c r="E6">
        <v>1.1262627950833</v>
      </c>
      <c r="F6">
        <v>261333</v>
      </c>
      <c r="G6" s="43">
        <f t="shared" si="2"/>
        <v>10.445299637632411</v>
      </c>
      <c r="H6" s="24">
        <v>47</v>
      </c>
      <c r="I6" s="24">
        <v>588.82874955502746</v>
      </c>
      <c r="J6" s="173">
        <f t="shared" si="0"/>
        <v>56.37260490197815</v>
      </c>
      <c r="K6" s="43">
        <f t="shared" si="1"/>
        <v>4.4996315692723661</v>
      </c>
      <c r="L6" s="24">
        <v>10445.299637632412</v>
      </c>
    </row>
    <row r="7" spans="1:12">
      <c r="A7" t="s">
        <v>1012</v>
      </c>
      <c r="B7" t="s">
        <v>7</v>
      </c>
      <c r="C7">
        <v>17</v>
      </c>
      <c r="D7" s="24">
        <v>1</v>
      </c>
      <c r="E7">
        <v>1.12915831935543</v>
      </c>
      <c r="F7">
        <v>507717</v>
      </c>
      <c r="G7" s="43">
        <f t="shared" si="2"/>
        <v>8.5177206461662855</v>
      </c>
      <c r="H7" s="24">
        <v>43</v>
      </c>
      <c r="I7" s="24">
        <v>674.15257991442229</v>
      </c>
      <c r="J7" s="173">
        <f t="shared" si="0"/>
        <v>79.147063858903323</v>
      </c>
      <c r="K7" s="43">
        <f t="shared" si="1"/>
        <v>5.048298927172933</v>
      </c>
      <c r="L7" s="24">
        <v>8517.7206461662863</v>
      </c>
    </row>
    <row r="8" spans="1:12">
      <c r="A8" t="s">
        <v>1013</v>
      </c>
      <c r="B8" t="s">
        <v>7</v>
      </c>
      <c r="C8">
        <v>19</v>
      </c>
      <c r="D8" s="24">
        <v>9</v>
      </c>
      <c r="E8">
        <v>0.156013410008567</v>
      </c>
      <c r="F8">
        <v>50500</v>
      </c>
      <c r="G8" s="43">
        <f t="shared" si="2"/>
        <v>6.0722362002911341</v>
      </c>
      <c r="H8" s="24">
        <v>41</v>
      </c>
      <c r="I8" s="24">
        <v>513.90820538635796</v>
      </c>
      <c r="J8" s="173">
        <f t="shared" si="0"/>
        <v>84.632446504916686</v>
      </c>
      <c r="K8" s="43">
        <f t="shared" si="1"/>
        <v>6.7520430114418559</v>
      </c>
      <c r="L8" s="24">
        <v>6072.2362002911341</v>
      </c>
    </row>
    <row r="9" spans="1:12">
      <c r="A9" t="s">
        <v>1014</v>
      </c>
      <c r="B9" t="s">
        <v>7</v>
      </c>
      <c r="C9">
        <v>20.5</v>
      </c>
      <c r="D9" s="24">
        <v>5</v>
      </c>
      <c r="E9">
        <v>4.0728365462998503E-2</v>
      </c>
      <c r="F9">
        <v>195478</v>
      </c>
      <c r="G9" s="43">
        <f t="shared" si="2"/>
        <v>3.3637875359597293</v>
      </c>
      <c r="H9" s="24">
        <v>36</v>
      </c>
      <c r="I9" s="24">
        <v>599.93858545179967</v>
      </c>
      <c r="J9" s="173">
        <f t="shared" si="0"/>
        <v>178.35210429859384</v>
      </c>
      <c r="K9" s="43">
        <f t="shared" si="1"/>
        <v>10.702221711434211</v>
      </c>
      <c r="L9" s="24">
        <v>3363.7875359597292</v>
      </c>
    </row>
    <row r="10" spans="1:12">
      <c r="A10" t="s">
        <v>1015</v>
      </c>
      <c r="B10" t="s">
        <v>7</v>
      </c>
      <c r="C10">
        <v>28</v>
      </c>
      <c r="D10" s="24">
        <v>79</v>
      </c>
      <c r="E10">
        <v>0.113612295106787</v>
      </c>
      <c r="F10">
        <v>116456</v>
      </c>
      <c r="G10" s="43">
        <f t="shared" si="2"/>
        <v>1.9769096035899396</v>
      </c>
      <c r="H10" s="24">
        <v>23</v>
      </c>
      <c r="I10" s="24">
        <v>15</v>
      </c>
      <c r="J10" s="173">
        <f t="shared" si="0"/>
        <v>7.5876003499406206</v>
      </c>
      <c r="K10" s="43">
        <f t="shared" si="1"/>
        <v>11.634320536575618</v>
      </c>
      <c r="L10" s="24">
        <v>1976.9096035899397</v>
      </c>
    </row>
    <row r="11" spans="1:12">
      <c r="A11" t="s">
        <v>1016</v>
      </c>
      <c r="B11" t="s">
        <v>7</v>
      </c>
      <c r="C11">
        <v>31</v>
      </c>
      <c r="D11" s="24">
        <v>127</v>
      </c>
      <c r="E11">
        <v>3.1863076334926901</v>
      </c>
      <c r="F11">
        <v>23726</v>
      </c>
      <c r="G11" s="43">
        <f t="shared" si="2"/>
        <v>0.20501316083293236</v>
      </c>
      <c r="H11" s="24">
        <v>12</v>
      </c>
      <c r="I11" s="24">
        <v>6</v>
      </c>
      <c r="J11" s="173">
        <f t="shared" si="0"/>
        <v>29.266413803011751</v>
      </c>
      <c r="K11" s="43">
        <f t="shared" si="1"/>
        <v>58.532827606023503</v>
      </c>
      <c r="L11" s="24">
        <v>205.01316083293236</v>
      </c>
    </row>
    <row r="12" spans="1:12">
      <c r="A12" t="s">
        <v>1017</v>
      </c>
      <c r="B12" t="s">
        <v>7</v>
      </c>
      <c r="C12">
        <v>45</v>
      </c>
      <c r="D12" s="24">
        <v>237</v>
      </c>
      <c r="E12">
        <v>9.9551880568739506</v>
      </c>
      <c r="F12">
        <v>35761</v>
      </c>
      <c r="G12" s="43">
        <f t="shared" si="2"/>
        <v>2.4769927925219561E-2</v>
      </c>
      <c r="H12" s="24">
        <v>4</v>
      </c>
      <c r="I12" s="24">
        <v>5.2153797194530398</v>
      </c>
      <c r="J12" s="173">
        <f t="shared" si="0"/>
        <v>210.55288231755364</v>
      </c>
      <c r="K12" s="43">
        <f t="shared" si="1"/>
        <v>161.48613803302149</v>
      </c>
      <c r="L12" s="24">
        <v>24.769927925219562</v>
      </c>
    </row>
    <row r="13" spans="1:12">
      <c r="A13" t="s">
        <v>1018</v>
      </c>
      <c r="B13" t="s">
        <v>7</v>
      </c>
      <c r="C13">
        <v>64</v>
      </c>
      <c r="D13" s="24">
        <v>39</v>
      </c>
      <c r="E13">
        <v>5.5635663777949604</v>
      </c>
      <c r="F13">
        <v>366889</v>
      </c>
      <c r="G13" s="43">
        <f t="shared" si="2"/>
        <v>2.2031508881945314E-2</v>
      </c>
      <c r="H13" s="24">
        <v>11</v>
      </c>
      <c r="I13" s="24">
        <v>7.7746428326927344</v>
      </c>
      <c r="J13" s="173">
        <f t="shared" si="0"/>
        <v>352.88744290519321</v>
      </c>
      <c r="K13" s="43">
        <f t="shared" si="1"/>
        <v>499.28491320966367</v>
      </c>
      <c r="L13" s="24">
        <v>22.031508881945314</v>
      </c>
    </row>
    <row r="14" spans="1:12">
      <c r="A14" t="s">
        <v>1019</v>
      </c>
      <c r="B14" t="s">
        <v>11</v>
      </c>
      <c r="C14">
        <v>7</v>
      </c>
      <c r="D14" s="24">
        <v>176</v>
      </c>
      <c r="E14">
        <v>11.1</v>
      </c>
      <c r="F14">
        <v>42120</v>
      </c>
      <c r="G14" s="43">
        <f t="shared" si="2"/>
        <v>9.6832077668474703</v>
      </c>
      <c r="H14" s="24">
        <v>33</v>
      </c>
      <c r="I14" s="24">
        <v>41.3</v>
      </c>
      <c r="J14" s="173">
        <f t="shared" si="0"/>
        <v>4.2651155479075191</v>
      </c>
      <c r="K14" s="43">
        <f t="shared" si="1"/>
        <v>3.4079615758098827</v>
      </c>
      <c r="L14" s="24">
        <v>9683.2077668474703</v>
      </c>
    </row>
    <row r="15" spans="1:12">
      <c r="A15" t="s">
        <v>1020</v>
      </c>
      <c r="B15" t="s">
        <v>11</v>
      </c>
      <c r="C15">
        <v>10.5</v>
      </c>
      <c r="D15" s="24">
        <v>42</v>
      </c>
      <c r="E15">
        <v>6.4</v>
      </c>
      <c r="F15">
        <v>355444</v>
      </c>
      <c r="G15" s="43">
        <f t="shared" si="2"/>
        <v>0.60699112448763304</v>
      </c>
      <c r="H15" s="24">
        <v>20</v>
      </c>
      <c r="I15" s="24">
        <v>100.77089743589744</v>
      </c>
      <c r="J15" s="173">
        <f t="shared" si="0"/>
        <v>166.01708553969237</v>
      </c>
      <c r="K15" s="43">
        <f t="shared" si="1"/>
        <v>32.949410943829186</v>
      </c>
      <c r="L15" s="24">
        <v>606.99112448763299</v>
      </c>
    </row>
    <row r="16" spans="1:12">
      <c r="A16" t="s">
        <v>1021</v>
      </c>
      <c r="B16" t="s">
        <v>11</v>
      </c>
      <c r="C16">
        <v>14</v>
      </c>
      <c r="D16" s="24">
        <v>88</v>
      </c>
      <c r="E16">
        <v>1.6</v>
      </c>
      <c r="F16">
        <v>85956</v>
      </c>
      <c r="G16" s="43">
        <f t="shared" si="2"/>
        <v>10.123158243273032</v>
      </c>
      <c r="H16" s="24">
        <v>27</v>
      </c>
      <c r="I16" s="24">
        <v>15.7</v>
      </c>
      <c r="J16" s="173">
        <f t="shared" si="0"/>
        <v>1.5508993954957535</v>
      </c>
      <c r="K16" s="43">
        <f t="shared" si="1"/>
        <v>2.6671518266487482</v>
      </c>
      <c r="L16" s="24">
        <v>10123.158243273032</v>
      </c>
    </row>
    <row r="17" spans="1:12">
      <c r="A17" t="s">
        <v>1022</v>
      </c>
      <c r="B17" t="s">
        <v>11</v>
      </c>
      <c r="C17">
        <v>15.5</v>
      </c>
      <c r="D17" s="24">
        <v>136</v>
      </c>
      <c r="E17">
        <v>2</v>
      </c>
      <c r="F17">
        <v>150267</v>
      </c>
      <c r="G17" s="43">
        <f t="shared" si="2"/>
        <v>0.70726364243081408</v>
      </c>
      <c r="H17" s="24">
        <v>11</v>
      </c>
      <c r="I17" s="24">
        <v>6.5320196220368416</v>
      </c>
      <c r="J17" s="173">
        <f t="shared" si="0"/>
        <v>9.2356219522139753</v>
      </c>
      <c r="K17" s="43">
        <f t="shared" si="1"/>
        <v>15.552899004102338</v>
      </c>
      <c r="L17" s="24">
        <v>707.26364243081412</v>
      </c>
    </row>
    <row r="18" spans="1:12">
      <c r="A18" t="s">
        <v>1023</v>
      </c>
      <c r="B18" t="s">
        <v>11</v>
      </c>
      <c r="C18">
        <v>20</v>
      </c>
      <c r="D18" s="24">
        <v>169</v>
      </c>
      <c r="E18">
        <v>14.9</v>
      </c>
      <c r="F18">
        <v>1190175</v>
      </c>
      <c r="G18" s="43">
        <f t="shared" si="2"/>
        <v>2.6329635294249171E-2</v>
      </c>
      <c r="H18" s="24">
        <v>2</v>
      </c>
      <c r="I18" s="24">
        <v>0</v>
      </c>
      <c r="J18" s="173">
        <f t="shared" si="0"/>
        <v>0</v>
      </c>
      <c r="K18" s="43">
        <f t="shared" si="1"/>
        <v>75.960034297810168</v>
      </c>
      <c r="L18" s="24">
        <v>26.329635294249172</v>
      </c>
    </row>
    <row r="19" spans="1:12">
      <c r="A19" t="s">
        <v>1024</v>
      </c>
      <c r="B19" t="s">
        <v>11</v>
      </c>
      <c r="C19">
        <v>43</v>
      </c>
      <c r="D19" s="24">
        <v>141</v>
      </c>
      <c r="E19">
        <v>9.1</v>
      </c>
      <c r="F19">
        <v>720167</v>
      </c>
      <c r="G19" s="43">
        <f t="shared" si="2"/>
        <v>3.3438457743231835E-2</v>
      </c>
      <c r="H19" s="24">
        <v>1</v>
      </c>
      <c r="I19" s="24">
        <v>0</v>
      </c>
      <c r="J19" s="173">
        <f t="shared" si="0"/>
        <v>0</v>
      </c>
      <c r="K19" s="43">
        <f t="shared" si="1"/>
        <v>29.905685473858512</v>
      </c>
      <c r="L19" s="24">
        <v>33.438457743231837</v>
      </c>
    </row>
    <row r="20" spans="1:12">
      <c r="A20" t="s">
        <v>1025</v>
      </c>
      <c r="B20" t="s">
        <v>11</v>
      </c>
      <c r="C20">
        <v>65</v>
      </c>
      <c r="D20" s="24">
        <v>209</v>
      </c>
      <c r="E20">
        <v>8.5</v>
      </c>
      <c r="F20">
        <v>2149167</v>
      </c>
      <c r="G20" s="43">
        <f t="shared" si="2"/>
        <v>0.12082128078730307</v>
      </c>
      <c r="H20" s="24">
        <v>1</v>
      </c>
      <c r="I20" s="24">
        <v>0</v>
      </c>
      <c r="J20" s="173">
        <f t="shared" si="0"/>
        <v>0</v>
      </c>
      <c r="K20" s="43">
        <f t="shared" si="1"/>
        <v>8.2766876288989693</v>
      </c>
      <c r="L20" s="24">
        <v>120.82128078730307</v>
      </c>
    </row>
    <row r="21" spans="1:12">
      <c r="A21" t="s">
        <v>1026</v>
      </c>
      <c r="B21" t="s">
        <v>14</v>
      </c>
      <c r="C21">
        <v>15.5</v>
      </c>
      <c r="D21" s="24">
        <v>11</v>
      </c>
      <c r="E21">
        <v>2.7283535104929601E-2</v>
      </c>
      <c r="F21">
        <v>149993</v>
      </c>
      <c r="G21" s="43">
        <f t="shared" si="2"/>
        <v>8.8783692042921452</v>
      </c>
      <c r="H21" s="24">
        <v>36</v>
      </c>
      <c r="I21" s="24">
        <v>353.91471685519855</v>
      </c>
      <c r="J21" s="173">
        <f t="shared" si="0"/>
        <v>39.862581597091342</v>
      </c>
      <c r="K21" s="43">
        <f t="shared" si="1"/>
        <v>4.0547987103978755</v>
      </c>
      <c r="L21" s="24">
        <v>8878.3692042921448</v>
      </c>
    </row>
    <row r="22" spans="1:12">
      <c r="A22" t="s">
        <v>1027</v>
      </c>
      <c r="B22" t="s">
        <v>14</v>
      </c>
      <c r="C22">
        <v>19</v>
      </c>
      <c r="D22" s="24">
        <v>0</v>
      </c>
      <c r="E22">
        <v>0.61339781005528504</v>
      </c>
      <c r="F22">
        <v>503575</v>
      </c>
      <c r="G22" s="43">
        <f t="shared" si="2"/>
        <v>12.09275376947649</v>
      </c>
      <c r="H22" s="24">
        <v>33</v>
      </c>
      <c r="I22" s="24">
        <v>430.99746049547178</v>
      </c>
      <c r="J22" s="173">
        <f t="shared" si="0"/>
        <v>35.640968857181171</v>
      </c>
      <c r="K22" s="43">
        <f t="shared" si="1"/>
        <v>2.7289069660291787</v>
      </c>
      <c r="L22" s="24">
        <v>12092.753769476491</v>
      </c>
    </row>
    <row r="23" spans="1:12">
      <c r="A23" t="s">
        <v>1028</v>
      </c>
      <c r="B23" t="s">
        <v>14</v>
      </c>
      <c r="C23">
        <v>26</v>
      </c>
      <c r="D23" s="24">
        <v>13.7</v>
      </c>
      <c r="E23">
        <v>2.0818129596617899E-2</v>
      </c>
      <c r="F23">
        <v>74248</v>
      </c>
      <c r="G23" s="43">
        <f t="shared" si="2"/>
        <v>10.296619441004365</v>
      </c>
      <c r="H23" s="24">
        <v>32</v>
      </c>
      <c r="I23" s="24">
        <v>107.34679487179488</v>
      </c>
      <c r="J23" s="173">
        <f t="shared" si="0"/>
        <v>10.425440649414147</v>
      </c>
      <c r="K23" s="43">
        <f t="shared" si="1"/>
        <v>3.1078161316291806</v>
      </c>
      <c r="L23" s="24">
        <v>10296.619441004364</v>
      </c>
    </row>
    <row r="24" spans="1:12">
      <c r="A24" t="s">
        <v>1029</v>
      </c>
      <c r="B24" t="s">
        <v>14</v>
      </c>
      <c r="C24">
        <v>39</v>
      </c>
      <c r="D24" s="24">
        <v>10</v>
      </c>
      <c r="E24">
        <v>2.2401960591924999</v>
      </c>
      <c r="F24">
        <v>4446</v>
      </c>
      <c r="G24" s="43">
        <f t="shared" si="2"/>
        <v>8.5234388136869406</v>
      </c>
      <c r="H24" s="24">
        <v>32</v>
      </c>
      <c r="I24" s="24">
        <v>84.151680079467354</v>
      </c>
      <c r="J24" s="173">
        <f t="shared" si="0"/>
        <v>9.8729728597730482</v>
      </c>
      <c r="K24" s="43">
        <f t="shared" si="1"/>
        <v>3.754353225204643</v>
      </c>
      <c r="L24" s="24">
        <v>8523.4388136869402</v>
      </c>
    </row>
    <row r="25" spans="1:12">
      <c r="A25" t="s">
        <v>1030</v>
      </c>
      <c r="B25" t="s">
        <v>14</v>
      </c>
      <c r="C25">
        <v>46</v>
      </c>
      <c r="D25" s="24">
        <v>28</v>
      </c>
      <c r="E25">
        <v>7.56683640329714</v>
      </c>
      <c r="F25">
        <v>640333</v>
      </c>
      <c r="G25" s="43">
        <f t="shared" si="2"/>
        <v>13.644107807809883</v>
      </c>
      <c r="H25" s="24">
        <v>41</v>
      </c>
      <c r="I25" s="24">
        <v>290.29568404580948</v>
      </c>
      <c r="J25" s="173">
        <f t="shared" si="0"/>
        <v>21.276267245531756</v>
      </c>
      <c r="K25" s="43">
        <f t="shared" si="1"/>
        <v>3.0049601320602006</v>
      </c>
      <c r="L25" s="24">
        <v>13644.107807809884</v>
      </c>
    </row>
    <row r="26" spans="1:12">
      <c r="A26" t="s">
        <v>1031</v>
      </c>
      <c r="B26" t="s">
        <v>72</v>
      </c>
      <c r="C26" t="s">
        <v>93</v>
      </c>
      <c r="D26" s="24">
        <v>261.89999999999998</v>
      </c>
      <c r="E26">
        <v>6.7</v>
      </c>
      <c r="F26">
        <v>2071598</v>
      </c>
      <c r="G26" s="43">
        <f t="shared" si="2"/>
        <v>0.22209999999999999</v>
      </c>
      <c r="H26" s="24">
        <v>1</v>
      </c>
      <c r="I26" s="24">
        <v>0</v>
      </c>
      <c r="J26" s="173">
        <f t="shared" si="0"/>
        <v>0</v>
      </c>
      <c r="K26" s="43">
        <f t="shared" si="1"/>
        <v>4.5024763619990997</v>
      </c>
      <c r="L26" s="24">
        <v>222.1</v>
      </c>
    </row>
    <row r="27" spans="1:12">
      <c r="A27" t="s">
        <v>1032</v>
      </c>
      <c r="B27">
        <v>60</v>
      </c>
      <c r="C27" t="s">
        <v>97</v>
      </c>
      <c r="D27" s="24">
        <v>25.6</v>
      </c>
      <c r="E27">
        <v>2.6</v>
      </c>
      <c r="F27">
        <v>1159453</v>
      </c>
      <c r="G27" s="43">
        <f t="shared" si="2"/>
        <v>1.8800000000000001E-2</v>
      </c>
      <c r="H27" s="24">
        <v>2</v>
      </c>
      <c r="I27" s="24">
        <v>0</v>
      </c>
      <c r="J27" s="173">
        <f t="shared" si="0"/>
        <v>0</v>
      </c>
      <c r="K27" s="43">
        <f t="shared" si="1"/>
        <v>106.38297872340425</v>
      </c>
      <c r="L27" s="24">
        <v>18.8</v>
      </c>
    </row>
    <row r="28" spans="1:12">
      <c r="A28" t="s">
        <v>1033</v>
      </c>
      <c r="B28" t="s">
        <v>43</v>
      </c>
      <c r="C28" t="s">
        <v>100</v>
      </c>
      <c r="D28" s="31">
        <v>0.34</v>
      </c>
      <c r="E28">
        <v>3</v>
      </c>
      <c r="F28">
        <v>184278</v>
      </c>
      <c r="G28" s="43">
        <f t="shared" si="2"/>
        <v>2.8000000000000001E-2</v>
      </c>
      <c r="H28" s="24">
        <v>1</v>
      </c>
      <c r="I28" s="24">
        <v>0</v>
      </c>
      <c r="J28" s="173">
        <f t="shared" si="0"/>
        <v>0</v>
      </c>
      <c r="K28" s="43">
        <f t="shared" si="1"/>
        <v>35.714285714285715</v>
      </c>
      <c r="L28" s="24">
        <v>28</v>
      </c>
    </row>
    <row r="29" spans="1:12">
      <c r="G29" s="24"/>
      <c r="H29" s="24"/>
      <c r="I29" s="24"/>
      <c r="J29" s="24"/>
      <c r="K29" s="24"/>
    </row>
    <row r="30" spans="1:12">
      <c r="G30" s="24"/>
      <c r="H30" s="24"/>
      <c r="I30" s="24"/>
      <c r="J30" s="24"/>
      <c r="K30" s="24"/>
    </row>
    <row r="31" spans="1:12">
      <c r="D31" s="67"/>
    </row>
    <row r="32" spans="1:12">
      <c r="D32" s="24"/>
      <c r="E32" s="67"/>
    </row>
    <row r="33" spans="4:5">
      <c r="D33" s="24"/>
      <c r="E33" s="24"/>
    </row>
    <row r="34" spans="4:5">
      <c r="D34" s="24"/>
      <c r="E34" s="24"/>
    </row>
    <row r="35" spans="4:5">
      <c r="D35" s="24"/>
      <c r="E35" s="24"/>
    </row>
    <row r="36" spans="4:5">
      <c r="D36" s="24"/>
      <c r="E36" s="24"/>
    </row>
    <row r="37" spans="4:5">
      <c r="D37" s="24"/>
      <c r="E37" s="24"/>
    </row>
    <row r="38" spans="4:5">
      <c r="D38" s="24"/>
      <c r="E38" s="24"/>
    </row>
    <row r="39" spans="4:5">
      <c r="D39" s="24"/>
      <c r="E39" s="24"/>
    </row>
    <row r="40" spans="4:5">
      <c r="D40" s="24"/>
      <c r="E40" s="24"/>
    </row>
    <row r="41" spans="4:5">
      <c r="D41" s="24"/>
      <c r="E41" s="24"/>
    </row>
    <row r="42" spans="4:5">
      <c r="D42" s="24"/>
      <c r="E42" s="24"/>
    </row>
    <row r="43" spans="4:5">
      <c r="D43" s="24"/>
      <c r="E43" s="24"/>
    </row>
    <row r="44" spans="4:5">
      <c r="D44" s="24"/>
      <c r="E44" s="24"/>
    </row>
    <row r="45" spans="4:5">
      <c r="D45" s="24"/>
      <c r="E45" s="24"/>
    </row>
    <row r="46" spans="4:5">
      <c r="D46" s="24"/>
      <c r="E46" s="24"/>
    </row>
    <row r="47" spans="4:5">
      <c r="D47" s="24"/>
      <c r="E47" s="24"/>
    </row>
    <row r="48" spans="4:5">
      <c r="D48" s="24"/>
      <c r="E48" s="24"/>
    </row>
    <row r="49" spans="4:5">
      <c r="D49" s="24"/>
      <c r="E49" s="24"/>
    </row>
    <row r="50" spans="4:5">
      <c r="D50" s="24"/>
      <c r="E50" s="24"/>
    </row>
    <row r="51" spans="4:5">
      <c r="D51" s="24"/>
      <c r="E51" s="24"/>
    </row>
    <row r="52" spans="4:5">
      <c r="D52" s="24"/>
      <c r="E52" s="24"/>
    </row>
    <row r="53" spans="4:5">
      <c r="D53" s="24"/>
      <c r="E53" s="24"/>
    </row>
    <row r="54" spans="4:5">
      <c r="D54" s="24"/>
      <c r="E54" s="24"/>
    </row>
    <row r="55" spans="4:5">
      <c r="D55" s="24"/>
      <c r="E55" s="24"/>
    </row>
    <row r="56" spans="4:5">
      <c r="D56" s="31"/>
      <c r="E56" s="24"/>
    </row>
    <row r="57" spans="4:5">
      <c r="E57" s="3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7BD6-FABF-4025-A2C5-07BB84D21A8D}">
  <sheetPr>
    <tabColor theme="5" tint="0.59999389629810485"/>
  </sheetPr>
  <dimension ref="A2:I30"/>
  <sheetViews>
    <sheetView workbookViewId="0">
      <selection activeCell="S34" sqref="S34"/>
    </sheetView>
  </sheetViews>
  <sheetFormatPr defaultRowHeight="15"/>
  <cols>
    <col min="7" max="7" width="12.140625" customWidth="1"/>
    <col min="8" max="9" width="14.42578125" customWidth="1"/>
  </cols>
  <sheetData>
    <row r="2" spans="1:9" ht="75">
      <c r="A2" s="36" t="s">
        <v>1000</v>
      </c>
      <c r="B2" s="36" t="s">
        <v>1001</v>
      </c>
      <c r="C2" s="36" t="s">
        <v>122</v>
      </c>
      <c r="D2" s="36" t="s">
        <v>1034</v>
      </c>
      <c r="E2" s="36" t="s">
        <v>129</v>
      </c>
      <c r="F2" s="36" t="s">
        <v>506</v>
      </c>
      <c r="G2" s="36" t="s">
        <v>1005</v>
      </c>
      <c r="H2" s="36" t="s">
        <v>1004</v>
      </c>
      <c r="I2" s="36" t="s">
        <v>1035</v>
      </c>
    </row>
    <row r="3" spans="1:9">
      <c r="A3" t="s">
        <v>6</v>
      </c>
      <c r="B3" t="s">
        <v>22</v>
      </c>
      <c r="C3" s="67">
        <v>203200</v>
      </c>
      <c r="D3" s="67">
        <v>106.86666666666666</v>
      </c>
      <c r="E3" s="67">
        <v>12100</v>
      </c>
      <c r="F3" s="67">
        <v>3.3376885514834205E-2</v>
      </c>
      <c r="G3">
        <v>0</v>
      </c>
      <c r="H3">
        <v>3</v>
      </c>
      <c r="I3" s="24">
        <v>67.400000000000006</v>
      </c>
    </row>
    <row r="4" spans="1:9">
      <c r="A4" t="s">
        <v>6</v>
      </c>
      <c r="B4" t="s">
        <v>27</v>
      </c>
      <c r="C4" s="24">
        <v>166500</v>
      </c>
      <c r="D4" s="24">
        <v>284.97777777777782</v>
      </c>
      <c r="E4" s="24">
        <v>5500</v>
      </c>
      <c r="F4" s="24">
        <v>6.1851790924956351E-2</v>
      </c>
      <c r="G4">
        <v>0</v>
      </c>
      <c r="H4">
        <v>4</v>
      </c>
      <c r="I4" s="24">
        <v>120.8</v>
      </c>
    </row>
    <row r="5" spans="1:9">
      <c r="A5" t="s">
        <v>7</v>
      </c>
      <c r="B5">
        <v>12</v>
      </c>
      <c r="C5" s="24">
        <v>23000</v>
      </c>
      <c r="D5" s="24">
        <v>89.055555555555557</v>
      </c>
      <c r="E5" s="24">
        <v>2964.1369233805599</v>
      </c>
      <c r="F5" s="24">
        <v>748.39467233856897</v>
      </c>
      <c r="G5" s="24">
        <v>89.644953435690908</v>
      </c>
      <c r="H5" s="24">
        <v>47</v>
      </c>
      <c r="I5" s="24">
        <v>4627.6082418081851</v>
      </c>
    </row>
    <row r="6" spans="1:9">
      <c r="A6" t="s">
        <v>7</v>
      </c>
      <c r="B6">
        <v>15.5</v>
      </c>
      <c r="C6" s="24">
        <v>0</v>
      </c>
      <c r="D6" s="24">
        <v>35.622222222222227</v>
      </c>
      <c r="E6" s="24">
        <v>1126.2627950833</v>
      </c>
      <c r="F6" s="24">
        <v>2022.2096247818497</v>
      </c>
      <c r="G6" s="24">
        <v>588.82874955502746</v>
      </c>
      <c r="H6" s="24">
        <v>47</v>
      </c>
      <c r="I6" s="24">
        <v>10445.299637632412</v>
      </c>
    </row>
    <row r="7" spans="1:9">
      <c r="A7" t="s">
        <v>7</v>
      </c>
      <c r="B7">
        <v>17</v>
      </c>
      <c r="C7" s="24">
        <v>1000</v>
      </c>
      <c r="D7" s="24">
        <v>302.78888888888889</v>
      </c>
      <c r="E7" s="24">
        <v>1129.15831935543</v>
      </c>
      <c r="F7" s="24">
        <v>200.41414288830714</v>
      </c>
      <c r="G7" s="24">
        <v>674.15257991442229</v>
      </c>
      <c r="H7" s="24">
        <v>43</v>
      </c>
      <c r="I7" s="24">
        <v>8517.7206461662863</v>
      </c>
    </row>
    <row r="8" spans="1:9">
      <c r="A8" t="s">
        <v>7</v>
      </c>
      <c r="B8">
        <v>19</v>
      </c>
      <c r="C8" s="24">
        <v>9000</v>
      </c>
      <c r="D8" s="24">
        <v>6447.6222222222232</v>
      </c>
      <c r="E8" s="24">
        <v>156.01341000856701</v>
      </c>
      <c r="F8" s="24">
        <v>214.54732853403144</v>
      </c>
      <c r="G8" s="24">
        <v>513.90820538635796</v>
      </c>
      <c r="H8" s="24">
        <v>41</v>
      </c>
      <c r="I8" s="24">
        <v>6072.2362002911341</v>
      </c>
    </row>
    <row r="9" spans="1:9">
      <c r="A9" t="s">
        <v>7</v>
      </c>
      <c r="B9">
        <v>20.5</v>
      </c>
      <c r="C9" s="24">
        <v>5000</v>
      </c>
      <c r="D9" s="24">
        <v>9475.5111111111109</v>
      </c>
      <c r="E9" s="24">
        <v>40.728365462998504</v>
      </c>
      <c r="F9" s="24">
        <v>91.05513743455495</v>
      </c>
      <c r="G9" s="24">
        <v>599.93858545179967</v>
      </c>
      <c r="H9" s="24">
        <v>36</v>
      </c>
      <c r="I9" s="24">
        <v>3363.7875359597292</v>
      </c>
    </row>
    <row r="10" spans="1:9">
      <c r="A10" t="s">
        <v>7</v>
      </c>
      <c r="B10">
        <v>28</v>
      </c>
      <c r="C10" s="24">
        <v>79000</v>
      </c>
      <c r="D10" s="24">
        <v>15477.855555555554</v>
      </c>
      <c r="E10" s="24">
        <v>113.612295106787</v>
      </c>
      <c r="F10" s="24">
        <v>6.6195299520069808</v>
      </c>
      <c r="G10" s="24">
        <v>15</v>
      </c>
      <c r="H10" s="24">
        <v>23</v>
      </c>
      <c r="I10" s="24">
        <v>1976.9096035899397</v>
      </c>
    </row>
    <row r="11" spans="1:9">
      <c r="A11" t="s">
        <v>7</v>
      </c>
      <c r="B11">
        <v>31</v>
      </c>
      <c r="C11" s="24">
        <v>127000</v>
      </c>
      <c r="D11" s="24">
        <v>4951.48888888889</v>
      </c>
      <c r="E11" s="24">
        <v>3186.30763349269</v>
      </c>
      <c r="F11" s="24">
        <v>6.941615183246074</v>
      </c>
      <c r="G11" s="24">
        <v>6</v>
      </c>
      <c r="H11" s="24">
        <v>12</v>
      </c>
      <c r="I11" s="24">
        <v>205.01316083293236</v>
      </c>
    </row>
    <row r="12" spans="1:9">
      <c r="A12" t="s">
        <v>7</v>
      </c>
      <c r="B12">
        <v>45</v>
      </c>
      <c r="C12" s="24">
        <v>237000</v>
      </c>
      <c r="D12" s="24">
        <v>53.43333333333333</v>
      </c>
      <c r="E12" s="24">
        <v>9955.1880568739507</v>
      </c>
      <c r="F12" s="24">
        <v>8.2842321116928428</v>
      </c>
      <c r="G12" s="24">
        <v>5.2153797194530398</v>
      </c>
      <c r="H12" s="24">
        <v>4</v>
      </c>
      <c r="I12" s="24">
        <v>24.769927925219562</v>
      </c>
    </row>
    <row r="13" spans="1:9">
      <c r="A13" t="s">
        <v>7</v>
      </c>
      <c r="B13">
        <v>64</v>
      </c>
      <c r="C13" s="24">
        <v>39000</v>
      </c>
      <c r="D13" s="24">
        <v>53.43333333333333</v>
      </c>
      <c r="E13" s="24">
        <v>5563.5663777949603</v>
      </c>
      <c r="F13" s="24">
        <v>21.539003490401392</v>
      </c>
      <c r="G13" s="24">
        <v>7.7746428326927344</v>
      </c>
      <c r="H13" s="24">
        <v>11</v>
      </c>
      <c r="I13" s="24">
        <v>22.031508881945314</v>
      </c>
    </row>
    <row r="14" spans="1:9">
      <c r="A14" t="s">
        <v>11</v>
      </c>
      <c r="B14" s="315">
        <v>7</v>
      </c>
      <c r="C14" s="24">
        <v>176000</v>
      </c>
      <c r="D14" s="24">
        <v>623.38888888888903</v>
      </c>
      <c r="E14" s="24">
        <v>11100</v>
      </c>
      <c r="F14" s="24">
        <v>1.8668088568935424</v>
      </c>
      <c r="G14" s="24">
        <v>41.3</v>
      </c>
      <c r="H14" s="24">
        <v>33</v>
      </c>
      <c r="I14" s="24">
        <v>9683.2077668474703</v>
      </c>
    </row>
    <row r="15" spans="1:9">
      <c r="A15" t="s">
        <v>11</v>
      </c>
      <c r="B15">
        <v>10.5</v>
      </c>
      <c r="C15" s="24">
        <v>42000</v>
      </c>
      <c r="D15" s="24">
        <v>231.54444444444442</v>
      </c>
      <c r="E15" s="24">
        <v>6400</v>
      </c>
      <c r="F15" s="24">
        <v>1.7268339005235598</v>
      </c>
      <c r="G15" s="24">
        <v>100.77089743589744</v>
      </c>
      <c r="H15" s="24">
        <v>20</v>
      </c>
      <c r="I15" s="24">
        <v>606.99112448763299</v>
      </c>
    </row>
    <row r="16" spans="1:9">
      <c r="A16" t="s">
        <v>11</v>
      </c>
      <c r="B16" s="315">
        <v>14</v>
      </c>
      <c r="C16" s="24">
        <v>88000</v>
      </c>
      <c r="D16" s="24">
        <v>1193.3444444444444</v>
      </c>
      <c r="E16" s="24">
        <v>1600</v>
      </c>
      <c r="F16" s="24">
        <v>2.4502758944153578</v>
      </c>
      <c r="G16" s="24">
        <v>15.7</v>
      </c>
      <c r="H16" s="24">
        <v>27</v>
      </c>
      <c r="I16" s="24">
        <v>10123.158243273032</v>
      </c>
    </row>
    <row r="17" spans="1:9">
      <c r="A17" t="s">
        <v>11</v>
      </c>
      <c r="B17">
        <v>15.5</v>
      </c>
      <c r="C17" s="24">
        <v>136000</v>
      </c>
      <c r="D17" s="24">
        <v>106.86666666666666</v>
      </c>
      <c r="E17" s="24">
        <v>2000</v>
      </c>
      <c r="F17" s="24">
        <v>912.20107918848146</v>
      </c>
      <c r="G17" s="24">
        <v>6.5320196220368416</v>
      </c>
      <c r="H17" s="24">
        <v>11</v>
      </c>
      <c r="I17" s="24">
        <v>707.26364243081412</v>
      </c>
    </row>
    <row r="18" spans="1:9">
      <c r="A18" t="s">
        <v>11</v>
      </c>
      <c r="B18">
        <v>20</v>
      </c>
      <c r="C18" s="24">
        <v>169000</v>
      </c>
      <c r="D18" s="24">
        <v>35.622222222222227</v>
      </c>
      <c r="E18" s="24">
        <v>14900</v>
      </c>
      <c r="F18" s="24">
        <v>3.9964278359511338</v>
      </c>
      <c r="G18" s="24">
        <v>0</v>
      </c>
      <c r="H18" s="24">
        <v>2</v>
      </c>
      <c r="I18" s="24">
        <v>26.329635294249172</v>
      </c>
    </row>
    <row r="19" spans="1:9">
      <c r="A19" t="s">
        <v>11</v>
      </c>
      <c r="B19">
        <v>43</v>
      </c>
      <c r="C19" s="24">
        <v>141000</v>
      </c>
      <c r="D19" s="24">
        <v>89.055555555555557</v>
      </c>
      <c r="E19" s="24">
        <v>9100</v>
      </c>
      <c r="F19" s="24">
        <v>2.0396350785340314</v>
      </c>
      <c r="G19" s="24">
        <v>0</v>
      </c>
      <c r="H19" s="24">
        <v>1</v>
      </c>
      <c r="I19" s="24">
        <v>33.438457743231837</v>
      </c>
    </row>
    <row r="20" spans="1:9">
      <c r="A20" t="s">
        <v>11</v>
      </c>
      <c r="B20">
        <v>65</v>
      </c>
      <c r="C20" s="24">
        <v>209000</v>
      </c>
      <c r="D20" s="24">
        <v>35.622222222222227</v>
      </c>
      <c r="E20" s="24">
        <v>8500</v>
      </c>
      <c r="F20" s="24">
        <v>1.9817882853403139</v>
      </c>
      <c r="G20" s="24">
        <v>0</v>
      </c>
      <c r="H20" s="24">
        <v>1</v>
      </c>
      <c r="I20" s="24">
        <v>120.82128078730307</v>
      </c>
    </row>
    <row r="21" spans="1:9">
      <c r="A21" t="s">
        <v>14</v>
      </c>
      <c r="B21">
        <v>15.5</v>
      </c>
      <c r="C21" s="24">
        <v>11000</v>
      </c>
      <c r="D21" s="24">
        <v>19253.811111111114</v>
      </c>
      <c r="E21" s="24">
        <v>27.283535104929602</v>
      </c>
      <c r="F21" s="24">
        <v>102.24456404886561</v>
      </c>
      <c r="G21" s="24">
        <v>353.91471685519855</v>
      </c>
      <c r="H21" s="24">
        <v>36</v>
      </c>
      <c r="I21" s="24">
        <v>8878.3692042921448</v>
      </c>
    </row>
    <row r="22" spans="1:9">
      <c r="A22" t="s">
        <v>14</v>
      </c>
      <c r="B22">
        <v>19</v>
      </c>
      <c r="C22" s="24">
        <v>0</v>
      </c>
      <c r="D22" s="24">
        <v>409.65555555555557</v>
      </c>
      <c r="E22" s="24">
        <v>613.39781005528505</v>
      </c>
      <c r="F22" s="24">
        <v>305.7952886125654</v>
      </c>
      <c r="G22" s="24">
        <v>430.99746049547178</v>
      </c>
      <c r="H22" s="24">
        <v>33</v>
      </c>
      <c r="I22" s="24">
        <v>12092.753769476491</v>
      </c>
    </row>
    <row r="23" spans="1:9">
      <c r="A23" t="s">
        <v>14</v>
      </c>
      <c r="B23">
        <v>26</v>
      </c>
      <c r="C23" s="24">
        <v>13700</v>
      </c>
      <c r="D23" s="24">
        <v>27660.655555555561</v>
      </c>
      <c r="E23" s="24">
        <v>20.818129596617897</v>
      </c>
      <c r="F23" s="24">
        <v>41.79823595113438</v>
      </c>
      <c r="G23" s="24">
        <v>107.34679487179488</v>
      </c>
      <c r="H23" s="24">
        <v>32</v>
      </c>
      <c r="I23" s="24">
        <v>10296.619441004364</v>
      </c>
    </row>
    <row r="24" spans="1:9">
      <c r="A24" t="s">
        <v>14</v>
      </c>
      <c r="B24">
        <v>39</v>
      </c>
      <c r="C24" s="24">
        <v>10000</v>
      </c>
      <c r="D24" s="24">
        <v>302.78888888888889</v>
      </c>
      <c r="E24" s="24">
        <v>2240.1960591924999</v>
      </c>
      <c r="F24" s="24">
        <v>75.343662739965083</v>
      </c>
      <c r="G24" s="24">
        <v>84.151680079467354</v>
      </c>
      <c r="H24" s="24">
        <v>32</v>
      </c>
      <c r="I24" s="24">
        <v>8523.4388136869402</v>
      </c>
    </row>
    <row r="25" spans="1:9">
      <c r="A25" t="s">
        <v>14</v>
      </c>
      <c r="B25">
        <v>46</v>
      </c>
      <c r="C25" s="24">
        <v>28000</v>
      </c>
      <c r="D25" s="24">
        <v>71.244444444444454</v>
      </c>
      <c r="E25" s="24">
        <v>7566.8364032971404</v>
      </c>
      <c r="F25" s="24">
        <v>125.85962467277484</v>
      </c>
      <c r="G25" s="24">
        <v>290.29568404580948</v>
      </c>
      <c r="H25" s="24">
        <v>41</v>
      </c>
      <c r="I25" s="24">
        <v>13644.107807809884</v>
      </c>
    </row>
    <row r="26" spans="1:9">
      <c r="A26" t="s">
        <v>72</v>
      </c>
      <c r="B26" t="s">
        <v>93</v>
      </c>
      <c r="C26" s="24">
        <v>261899.99999999997</v>
      </c>
      <c r="D26" s="24">
        <v>231.54444444444442</v>
      </c>
      <c r="E26" s="24">
        <v>6700</v>
      </c>
      <c r="F26" s="24">
        <v>15.235845506108204</v>
      </c>
      <c r="G26" s="24">
        <v>0</v>
      </c>
      <c r="H26" s="24">
        <v>1</v>
      </c>
      <c r="I26" s="24">
        <v>222.1</v>
      </c>
    </row>
    <row r="27" spans="1:9">
      <c r="A27">
        <v>60</v>
      </c>
      <c r="B27" t="s">
        <v>97</v>
      </c>
      <c r="C27" s="24">
        <v>25600</v>
      </c>
      <c r="D27" s="24">
        <v>106.86666666666666</v>
      </c>
      <c r="E27" s="24">
        <v>2600</v>
      </c>
      <c r="F27" s="24">
        <v>9.0676633726003484</v>
      </c>
      <c r="G27" s="24">
        <v>0</v>
      </c>
      <c r="H27" s="24">
        <v>2</v>
      </c>
      <c r="I27" s="24">
        <v>18.8</v>
      </c>
    </row>
    <row r="28" spans="1:9">
      <c r="A28" t="s">
        <v>43</v>
      </c>
      <c r="B28" t="s">
        <v>100</v>
      </c>
      <c r="C28" s="31">
        <v>340</v>
      </c>
      <c r="D28" s="31">
        <v>89.055555555555557</v>
      </c>
      <c r="E28" s="31">
        <v>3000</v>
      </c>
      <c r="F28" s="31">
        <v>14.740219895287956</v>
      </c>
      <c r="G28" s="24">
        <v>0</v>
      </c>
      <c r="H28" s="24">
        <v>1</v>
      </c>
      <c r="I28" s="24">
        <v>28</v>
      </c>
    </row>
    <row r="29" spans="1:9">
      <c r="G29" s="24"/>
      <c r="H29" s="24"/>
      <c r="I29" s="24"/>
    </row>
    <row r="30" spans="1:9">
      <c r="G30" s="24"/>
      <c r="H30" s="24"/>
      <c r="I30" s="2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13DF-B130-435F-BBB9-2AB441894264}">
  <sheetPr>
    <tabColor rgb="FF7030A0"/>
  </sheetPr>
  <dimension ref="A1:AT45"/>
  <sheetViews>
    <sheetView zoomScale="80" zoomScaleNormal="80" workbookViewId="0">
      <pane xSplit="2" topLeftCell="C1" activePane="topRight" state="frozen"/>
      <selection pane="topRight" sqref="A1:L29"/>
    </sheetView>
  </sheetViews>
  <sheetFormatPr defaultRowHeight="15"/>
  <cols>
    <col min="1" max="1" width="2.28515625" customWidth="1"/>
    <col min="2" max="2" width="8.7109375" customWidth="1"/>
    <col min="3" max="14" width="18.140625" customWidth="1"/>
    <col min="15" max="15" width="15.140625" bestFit="1" customWidth="1"/>
    <col min="17" max="17" width="14.42578125" customWidth="1"/>
    <col min="18" max="18" width="8.85546875" hidden="1" customWidth="1"/>
    <col min="19" max="20" width="11.7109375" hidden="1" customWidth="1"/>
    <col min="21" max="30" width="14.140625" hidden="1" customWidth="1"/>
    <col min="31" max="31" width="2.7109375" hidden="1" customWidth="1"/>
    <col min="35" max="35" width="11.42578125" customWidth="1"/>
    <col min="37" max="37" width="11.42578125" customWidth="1"/>
    <col min="38" max="46" width="14" customWidth="1"/>
    <col min="52" max="52" width="8.85546875"/>
  </cols>
  <sheetData>
    <row r="1" spans="1:46" ht="47.25" customHeight="1">
      <c r="B1" s="21" t="s">
        <v>1036</v>
      </c>
      <c r="E1" s="308" t="s">
        <v>1037</v>
      </c>
      <c r="F1" s="308" t="s">
        <v>1038</v>
      </c>
      <c r="G1" s="308" t="s">
        <v>1039</v>
      </c>
      <c r="H1" s="308" t="s">
        <v>1040</v>
      </c>
      <c r="I1" s="308" t="s">
        <v>1041</v>
      </c>
      <c r="J1" s="308" t="s">
        <v>1042</v>
      </c>
      <c r="K1" s="308" t="s">
        <v>1043</v>
      </c>
      <c r="L1" s="308" t="s">
        <v>1044</v>
      </c>
      <c r="M1" s="210" t="s">
        <v>114</v>
      </c>
      <c r="N1" s="210"/>
      <c r="S1" s="21" t="s">
        <v>1045</v>
      </c>
      <c r="AI1" s="21"/>
      <c r="AK1" s="21" t="s">
        <v>1046</v>
      </c>
    </row>
    <row r="2" spans="1:46" s="36" customFormat="1" ht="45.6" customHeight="1">
      <c r="A2" s="33"/>
      <c r="B2" s="33" t="s">
        <v>1000</v>
      </c>
      <c r="C2" s="90" t="s">
        <v>1047</v>
      </c>
      <c r="D2" s="90" t="s">
        <v>125</v>
      </c>
      <c r="E2" s="164" t="s">
        <v>1048</v>
      </c>
      <c r="F2" s="211" t="s">
        <v>1049</v>
      </c>
      <c r="G2" s="211" t="s">
        <v>1050</v>
      </c>
      <c r="H2" s="211" t="s">
        <v>1051</v>
      </c>
      <c r="I2" s="164" t="s">
        <v>1041</v>
      </c>
      <c r="J2" s="211" t="s">
        <v>1052</v>
      </c>
      <c r="K2" s="211" t="s">
        <v>1053</v>
      </c>
      <c r="L2" s="212" t="s">
        <v>1054</v>
      </c>
      <c r="M2" s="34" t="s">
        <v>308</v>
      </c>
      <c r="N2" s="34" t="s">
        <v>118</v>
      </c>
      <c r="O2" s="91" t="s">
        <v>1055</v>
      </c>
      <c r="P2" s="92" t="s">
        <v>1056</v>
      </c>
      <c r="Q2" s="34" t="s">
        <v>118</v>
      </c>
      <c r="R2" s="89" t="s">
        <v>115</v>
      </c>
      <c r="S2" s="36" t="s">
        <v>1000</v>
      </c>
      <c r="T2" s="36" t="s">
        <v>1057</v>
      </c>
      <c r="U2" s="36" t="s">
        <v>127</v>
      </c>
      <c r="V2" s="36" t="s">
        <v>1058</v>
      </c>
      <c r="W2" s="36" t="s">
        <v>1059</v>
      </c>
      <c r="X2" s="36" t="s">
        <v>1060</v>
      </c>
      <c r="Y2" s="36" t="s">
        <v>1061</v>
      </c>
      <c r="Z2" s="36" t="s">
        <v>1062</v>
      </c>
      <c r="AA2" s="36" t="s">
        <v>1063</v>
      </c>
      <c r="AB2" s="36" t="s">
        <v>1041</v>
      </c>
      <c r="AC2" s="36" t="s">
        <v>1064</v>
      </c>
      <c r="AD2" s="36" t="s">
        <v>1065</v>
      </c>
      <c r="AE2" s="36" t="s">
        <v>1066</v>
      </c>
      <c r="AF2" s="34" t="s">
        <v>1067</v>
      </c>
      <c r="AG2" s="36" t="s">
        <v>147</v>
      </c>
      <c r="AH2" s="90"/>
      <c r="AI2" s="33"/>
      <c r="AK2" s="33" t="s">
        <v>1000</v>
      </c>
      <c r="AL2" s="34" t="s">
        <v>1060</v>
      </c>
      <c r="AM2" s="34" t="s">
        <v>1061</v>
      </c>
      <c r="AN2" s="34" t="s">
        <v>1062</v>
      </c>
      <c r="AO2" s="34" t="s">
        <v>1063</v>
      </c>
      <c r="AP2" s="34" t="s">
        <v>1041</v>
      </c>
      <c r="AQ2" s="34" t="s">
        <v>1064</v>
      </c>
      <c r="AR2" s="34" t="s">
        <v>1065</v>
      </c>
      <c r="AS2" s="34" t="s">
        <v>1066</v>
      </c>
      <c r="AT2" s="35" t="s">
        <v>1068</v>
      </c>
    </row>
    <row r="3" spans="1:46">
      <c r="A3" s="25" t="s">
        <v>6</v>
      </c>
      <c r="B3" s="158" t="s">
        <v>24</v>
      </c>
      <c r="C3" s="84">
        <v>1475833.3333333333</v>
      </c>
      <c r="D3" s="85">
        <v>18439.444444444445</v>
      </c>
      <c r="E3" s="84">
        <v>0</v>
      </c>
      <c r="F3" s="85">
        <v>408.4666666666667</v>
      </c>
      <c r="G3" s="84">
        <v>25.383333333333333</v>
      </c>
      <c r="H3" s="85">
        <v>0</v>
      </c>
      <c r="I3" s="84">
        <v>660.12222222222215</v>
      </c>
      <c r="J3" s="85">
        <v>0</v>
      </c>
      <c r="K3" s="84">
        <v>1254.4444444444443</v>
      </c>
      <c r="L3" s="85">
        <v>12866.666666666666</v>
      </c>
      <c r="M3" s="24">
        <v>67.400000000000006</v>
      </c>
      <c r="N3" s="480">
        <f>SUM(E3:L3)</f>
        <v>15215.083333333332</v>
      </c>
      <c r="O3" s="93">
        <v>30765833.333333336</v>
      </c>
      <c r="P3" s="40">
        <v>5</v>
      </c>
      <c r="Q3" s="24">
        <f t="shared" ref="Q3:Q28" si="0">SUM(E3:L3)</f>
        <v>15215.083333333332</v>
      </c>
      <c r="R3" t="s">
        <v>24</v>
      </c>
      <c r="S3" t="s">
        <v>6</v>
      </c>
      <c r="T3" t="s">
        <v>1069</v>
      </c>
      <c r="U3">
        <v>67</v>
      </c>
      <c r="V3" s="24">
        <f t="shared" ref="V3:V27" si="1">SUM(X3:AE3)</f>
        <v>15215.083333333332</v>
      </c>
      <c r="W3" s="24">
        <v>18439.444444444445</v>
      </c>
      <c r="X3" s="24" t="s">
        <v>1070</v>
      </c>
      <c r="Y3" s="24">
        <v>408.4666666666667</v>
      </c>
      <c r="Z3" s="24">
        <v>25.383333333333333</v>
      </c>
      <c r="AA3" s="24" t="s">
        <v>1070</v>
      </c>
      <c r="AB3" s="24">
        <v>660.12222222222215</v>
      </c>
      <c r="AC3" s="24" t="s">
        <v>1070</v>
      </c>
      <c r="AD3" s="24">
        <v>1254.4444444444443</v>
      </c>
      <c r="AE3" s="24">
        <v>12866.666666666666</v>
      </c>
      <c r="AF3" s="34">
        <v>-51</v>
      </c>
      <c r="AG3">
        <v>3.3376885514834205E-2</v>
      </c>
      <c r="AH3" s="307"/>
      <c r="AI3" s="25"/>
      <c r="AK3" s="158" t="s">
        <v>60</v>
      </c>
      <c r="AL3" s="84">
        <v>0</v>
      </c>
      <c r="AM3" s="85">
        <v>86.805555555555543</v>
      </c>
      <c r="AN3" s="84">
        <v>29.567777777777778</v>
      </c>
      <c r="AO3" s="85">
        <v>0</v>
      </c>
      <c r="AP3" s="84">
        <v>0</v>
      </c>
      <c r="AQ3" s="85">
        <v>0</v>
      </c>
      <c r="AR3" s="84">
        <v>0</v>
      </c>
      <c r="AS3" s="85">
        <v>87.666666666666671</v>
      </c>
      <c r="AT3" s="40">
        <v>204.04</v>
      </c>
    </row>
    <row r="4" spans="1:46">
      <c r="A4" s="25" t="s">
        <v>6</v>
      </c>
      <c r="B4" s="158" t="s">
        <v>33</v>
      </c>
      <c r="C4" s="84">
        <v>5667500</v>
      </c>
      <c r="D4" s="85">
        <v>7470</v>
      </c>
      <c r="E4" s="84">
        <v>0</v>
      </c>
      <c r="F4" s="85">
        <v>1034.9333333333334</v>
      </c>
      <c r="G4" s="84">
        <v>0</v>
      </c>
      <c r="H4" s="85">
        <v>0</v>
      </c>
      <c r="I4" s="84">
        <v>628.20000000000005</v>
      </c>
      <c r="J4" s="85">
        <v>0</v>
      </c>
      <c r="K4" s="84">
        <v>12254.166666666668</v>
      </c>
      <c r="L4" s="85">
        <v>80092.5</v>
      </c>
      <c r="M4" s="24">
        <v>120.8</v>
      </c>
      <c r="N4" s="480">
        <f t="shared" ref="N4:N28" si="2">SUM(E4:L4)</f>
        <v>94009.8</v>
      </c>
      <c r="O4" s="93">
        <v>0</v>
      </c>
      <c r="P4" s="40">
        <v>4</v>
      </c>
      <c r="Q4" s="24">
        <f t="shared" si="0"/>
        <v>94009.8</v>
      </c>
      <c r="R4" t="s">
        <v>33</v>
      </c>
      <c r="S4" t="s">
        <v>6</v>
      </c>
      <c r="T4" t="s">
        <v>1071</v>
      </c>
      <c r="U4">
        <v>121</v>
      </c>
      <c r="V4" s="24">
        <f t="shared" si="1"/>
        <v>94009.8</v>
      </c>
      <c r="W4" s="24">
        <v>7470</v>
      </c>
      <c r="X4" s="24" t="s">
        <v>1070</v>
      </c>
      <c r="Y4" s="24">
        <v>1034.9333333333334</v>
      </c>
      <c r="Z4" s="24" t="s">
        <v>1070</v>
      </c>
      <c r="AA4" s="24" t="s">
        <v>1070</v>
      </c>
      <c r="AB4" s="24">
        <v>628.20000000000005</v>
      </c>
      <c r="AC4" s="24" t="s">
        <v>1070</v>
      </c>
      <c r="AD4" s="24">
        <v>12254.166666666668</v>
      </c>
      <c r="AE4" s="24">
        <v>80092.5</v>
      </c>
      <c r="AF4">
        <v>-65</v>
      </c>
      <c r="AG4">
        <v>6.1851790924956351E-2</v>
      </c>
      <c r="AH4" s="307"/>
      <c r="AI4" s="25"/>
      <c r="AK4" s="158" t="s">
        <v>90</v>
      </c>
      <c r="AL4" s="84">
        <v>0</v>
      </c>
      <c r="AM4" s="85">
        <v>257.01666666666665</v>
      </c>
      <c r="AO4" s="85">
        <v>0</v>
      </c>
      <c r="AP4" s="84">
        <v>0</v>
      </c>
      <c r="AQ4" s="85">
        <v>0</v>
      </c>
      <c r="AR4" s="84">
        <v>0</v>
      </c>
      <c r="AS4" s="85">
        <v>0</v>
      </c>
      <c r="AT4" s="40">
        <v>257.01666666666665</v>
      </c>
    </row>
    <row r="5" spans="1:46">
      <c r="A5" s="25" t="s">
        <v>7</v>
      </c>
      <c r="B5" s="158" t="s">
        <v>39</v>
      </c>
      <c r="C5" s="84">
        <v>567888.88888888888</v>
      </c>
      <c r="D5" s="85">
        <v>37986.666666666672</v>
      </c>
      <c r="E5" s="84">
        <v>0</v>
      </c>
      <c r="F5" s="85">
        <v>493.77777777777777</v>
      </c>
      <c r="G5" s="84">
        <v>115.64444444444445</v>
      </c>
      <c r="H5" s="85">
        <v>145.78333333333333</v>
      </c>
      <c r="I5" s="84">
        <v>338.01666666666665</v>
      </c>
      <c r="J5" s="85">
        <v>108516.66666666666</v>
      </c>
      <c r="K5" s="84">
        <v>302.16666666666669</v>
      </c>
      <c r="L5" s="85">
        <v>5414.4444444444443</v>
      </c>
      <c r="M5" s="24">
        <v>4627.6082418081851</v>
      </c>
      <c r="N5" s="480">
        <f t="shared" si="2"/>
        <v>115326.49999999999</v>
      </c>
      <c r="O5" s="93">
        <v>535026957500</v>
      </c>
      <c r="P5" s="40">
        <v>7</v>
      </c>
      <c r="Q5" s="24">
        <f t="shared" si="0"/>
        <v>115326.49999999999</v>
      </c>
      <c r="R5" t="s">
        <v>39</v>
      </c>
      <c r="S5" t="s">
        <v>7</v>
      </c>
      <c r="T5">
        <v>12</v>
      </c>
      <c r="U5">
        <v>4628</v>
      </c>
      <c r="V5" s="24">
        <f t="shared" si="1"/>
        <v>115326.49999999999</v>
      </c>
      <c r="W5" s="24">
        <v>37986.666666666672</v>
      </c>
      <c r="X5" s="24" t="s">
        <v>1070</v>
      </c>
      <c r="Y5" s="24">
        <v>493.77777777777777</v>
      </c>
      <c r="Z5" s="24">
        <v>115.64444444444445</v>
      </c>
      <c r="AA5" s="24">
        <v>145.78333333333333</v>
      </c>
      <c r="AB5" s="24">
        <v>338.01666666666665</v>
      </c>
      <c r="AC5" s="24">
        <v>108516.66666666666</v>
      </c>
      <c r="AD5" s="24">
        <v>302.16666666666669</v>
      </c>
      <c r="AE5" s="24">
        <v>5414.4444444444443</v>
      </c>
      <c r="AF5" s="27">
        <v>-12</v>
      </c>
      <c r="AG5">
        <v>748.39467233856897</v>
      </c>
      <c r="AH5" s="307"/>
      <c r="AI5" s="25"/>
      <c r="AK5" s="158" t="s">
        <v>62</v>
      </c>
      <c r="AL5" s="84">
        <v>0</v>
      </c>
      <c r="AM5" s="85">
        <v>20.079999999999998</v>
      </c>
      <c r="AN5" s="84">
        <v>28.25333333333333</v>
      </c>
      <c r="AO5" s="85">
        <v>0</v>
      </c>
      <c r="AP5" s="84">
        <v>0</v>
      </c>
      <c r="AQ5" s="85">
        <v>0</v>
      </c>
      <c r="AR5" s="84">
        <v>0</v>
      </c>
      <c r="AS5" s="85">
        <v>379.83333333333337</v>
      </c>
      <c r="AT5" s="40">
        <v>428.16666666666669</v>
      </c>
    </row>
    <row r="6" spans="1:46">
      <c r="A6" s="25" t="s">
        <v>7</v>
      </c>
      <c r="B6" s="158" t="s">
        <v>45</v>
      </c>
      <c r="C6" s="84">
        <v>261333.33333333334</v>
      </c>
      <c r="D6" s="85">
        <v>50777.5</v>
      </c>
      <c r="E6" s="84">
        <v>0</v>
      </c>
      <c r="F6" s="85">
        <v>380.71111111111105</v>
      </c>
      <c r="G6" s="84">
        <v>95.716666666666669</v>
      </c>
      <c r="H6" s="85">
        <v>201.54999999999998</v>
      </c>
      <c r="I6" s="84">
        <v>110.33333333333333</v>
      </c>
      <c r="J6" s="85">
        <v>10203.333333333334</v>
      </c>
      <c r="K6" s="84">
        <v>0</v>
      </c>
      <c r="L6" s="85">
        <v>0</v>
      </c>
      <c r="M6" s="24">
        <v>10445.299637632412</v>
      </c>
      <c r="N6" s="480">
        <f t="shared" si="2"/>
        <v>10991.644444444444</v>
      </c>
      <c r="O6" s="93">
        <v>0</v>
      </c>
      <c r="P6" s="40">
        <v>5</v>
      </c>
      <c r="Q6" s="24">
        <f t="shared" si="0"/>
        <v>10991.644444444444</v>
      </c>
      <c r="R6" t="s">
        <v>45</v>
      </c>
      <c r="S6" t="s">
        <v>7</v>
      </c>
      <c r="T6">
        <v>15.5</v>
      </c>
      <c r="U6">
        <v>10445</v>
      </c>
      <c r="V6" s="24">
        <f t="shared" si="1"/>
        <v>10991.644444444444</v>
      </c>
      <c r="W6" s="24">
        <v>50777.5</v>
      </c>
      <c r="X6" s="24" t="s">
        <v>1070</v>
      </c>
      <c r="Y6" s="24">
        <v>380.71111111111105</v>
      </c>
      <c r="Z6" s="24">
        <v>95.716666666666669</v>
      </c>
      <c r="AA6" s="24">
        <v>201.54999999999998</v>
      </c>
      <c r="AB6" s="24">
        <v>110.33333333333333</v>
      </c>
      <c r="AC6" s="24">
        <v>10203.333333333334</v>
      </c>
      <c r="AD6" s="24" t="s">
        <v>1070</v>
      </c>
      <c r="AE6" s="24" t="s">
        <v>1070</v>
      </c>
      <c r="AF6">
        <v>-15.5</v>
      </c>
      <c r="AG6">
        <v>2022.2096247818497</v>
      </c>
      <c r="AH6" s="307"/>
      <c r="AI6" s="25"/>
      <c r="AK6" s="158" t="s">
        <v>76</v>
      </c>
      <c r="AL6" s="84">
        <v>0</v>
      </c>
      <c r="AM6" s="85">
        <v>271.0333333333333</v>
      </c>
      <c r="AN6" s="84">
        <v>0</v>
      </c>
      <c r="AO6" s="85">
        <v>0</v>
      </c>
      <c r="AP6" s="84">
        <v>38.866666666666667</v>
      </c>
      <c r="AQ6" s="85">
        <v>0</v>
      </c>
      <c r="AR6" s="84">
        <v>0</v>
      </c>
      <c r="AS6" s="85">
        <v>1380</v>
      </c>
      <c r="AT6" s="40">
        <v>1689.9</v>
      </c>
    </row>
    <row r="7" spans="1:46">
      <c r="A7" s="25" t="s">
        <v>7</v>
      </c>
      <c r="B7" s="158" t="s">
        <v>51</v>
      </c>
      <c r="C7" s="84">
        <v>507716.66666666669</v>
      </c>
      <c r="D7" s="85">
        <v>16618.333333333332</v>
      </c>
      <c r="E7" s="84">
        <v>0</v>
      </c>
      <c r="F7" s="85">
        <v>10659.166666666668</v>
      </c>
      <c r="G7" s="84">
        <v>2135.75</v>
      </c>
      <c r="H7" s="85">
        <v>8449.1666666666679</v>
      </c>
      <c r="I7" s="84">
        <v>186.63333333333333</v>
      </c>
      <c r="J7" s="85">
        <v>37466.666666666664</v>
      </c>
      <c r="K7" s="84">
        <v>323.66666666666669</v>
      </c>
      <c r="L7" s="85">
        <v>0</v>
      </c>
      <c r="M7" s="24">
        <v>8517.7206461662863</v>
      </c>
      <c r="N7" s="480">
        <f t="shared" si="2"/>
        <v>59221.049999999996</v>
      </c>
      <c r="O7" s="93">
        <v>5106724195833.333</v>
      </c>
      <c r="P7" s="40">
        <v>6</v>
      </c>
      <c r="Q7" s="24">
        <f t="shared" si="0"/>
        <v>59221.049999999996</v>
      </c>
      <c r="R7" t="s">
        <v>51</v>
      </c>
      <c r="S7" t="s">
        <v>7</v>
      </c>
      <c r="T7">
        <v>17.7</v>
      </c>
      <c r="U7">
        <v>8518</v>
      </c>
      <c r="V7" s="24">
        <f t="shared" si="1"/>
        <v>59221.049999999996</v>
      </c>
      <c r="W7" s="24">
        <v>16618.333333333332</v>
      </c>
      <c r="X7" s="24" t="s">
        <v>1070</v>
      </c>
      <c r="Y7" s="24">
        <v>10659.166666666668</v>
      </c>
      <c r="Z7" s="24">
        <v>2135.75</v>
      </c>
      <c r="AA7" s="24">
        <v>8449.1666666666679</v>
      </c>
      <c r="AB7" s="24">
        <v>186.63333333333333</v>
      </c>
      <c r="AC7" s="24">
        <v>37466.666666666664</v>
      </c>
      <c r="AD7" s="24">
        <v>323.66666666666669</v>
      </c>
      <c r="AE7" s="24" t="s">
        <v>1070</v>
      </c>
      <c r="AF7">
        <v>-17</v>
      </c>
      <c r="AG7">
        <v>200.41414288830714</v>
      </c>
      <c r="AH7" s="307"/>
      <c r="AI7" s="25"/>
      <c r="AK7" s="158" t="s">
        <v>64</v>
      </c>
      <c r="AL7" s="84">
        <v>0</v>
      </c>
      <c r="AM7" s="85">
        <v>100.21111111111111</v>
      </c>
      <c r="AN7" s="84">
        <v>65.281666666666666</v>
      </c>
      <c r="AO7" s="85">
        <v>0</v>
      </c>
      <c r="AP7" s="84">
        <v>32.573333333333331</v>
      </c>
      <c r="AQ7" s="85">
        <v>1831.5</v>
      </c>
      <c r="AR7" s="84">
        <v>0</v>
      </c>
      <c r="AS7" s="85">
        <v>1525.8333333333333</v>
      </c>
      <c r="AT7" s="40">
        <v>3555.3994444444443</v>
      </c>
    </row>
    <row r="8" spans="1:46">
      <c r="A8" s="25" t="s">
        <v>7</v>
      </c>
      <c r="B8" s="158" t="s">
        <v>53</v>
      </c>
      <c r="C8" s="84">
        <v>50500</v>
      </c>
      <c r="D8" s="85">
        <v>8240.4444444444453</v>
      </c>
      <c r="E8" s="84">
        <v>0</v>
      </c>
      <c r="F8" s="85">
        <v>1122.25</v>
      </c>
      <c r="G8" s="84">
        <v>253.26666666666665</v>
      </c>
      <c r="H8" s="85">
        <v>668</v>
      </c>
      <c r="I8" s="84">
        <v>0</v>
      </c>
      <c r="J8" s="85">
        <v>9632.2222222222226</v>
      </c>
      <c r="K8" s="84">
        <v>0</v>
      </c>
      <c r="L8" s="85">
        <v>1066.6666666666667</v>
      </c>
      <c r="M8" s="24">
        <v>6072.2362002911341</v>
      </c>
      <c r="N8" s="480">
        <f t="shared" si="2"/>
        <v>12742.405555555555</v>
      </c>
      <c r="O8" s="93">
        <v>2239583.333333333</v>
      </c>
      <c r="P8" s="40">
        <v>5</v>
      </c>
      <c r="Q8" s="24">
        <f t="shared" si="0"/>
        <v>12742.405555555555</v>
      </c>
      <c r="R8" t="s">
        <v>53</v>
      </c>
      <c r="S8" t="s">
        <v>7</v>
      </c>
      <c r="T8">
        <v>19</v>
      </c>
      <c r="U8">
        <v>6072</v>
      </c>
      <c r="V8" s="24">
        <f t="shared" si="1"/>
        <v>12742.405555555555</v>
      </c>
      <c r="W8" s="24">
        <v>8240.4444444444453</v>
      </c>
      <c r="X8" s="24" t="s">
        <v>1070</v>
      </c>
      <c r="Y8" s="24">
        <v>1122.25</v>
      </c>
      <c r="Z8" s="24">
        <v>253.26666666666665</v>
      </c>
      <c r="AA8" s="24">
        <v>668</v>
      </c>
      <c r="AB8" s="24" t="s">
        <v>1070</v>
      </c>
      <c r="AC8" s="24">
        <v>9632.2222222222226</v>
      </c>
      <c r="AD8" s="24" t="s">
        <v>1070</v>
      </c>
      <c r="AE8" s="24">
        <v>1066.6666666666667</v>
      </c>
      <c r="AF8">
        <v>-19</v>
      </c>
      <c r="AG8">
        <v>214.54732853403144</v>
      </c>
      <c r="AH8" s="307"/>
      <c r="AI8" s="25"/>
      <c r="AK8" s="158" t="s">
        <v>87</v>
      </c>
      <c r="AL8" s="84">
        <v>0</v>
      </c>
      <c r="AM8" s="85">
        <v>502.4083333333333</v>
      </c>
      <c r="AN8" s="84">
        <v>13.219777777777779</v>
      </c>
      <c r="AO8" s="85">
        <v>87.466666666666669</v>
      </c>
      <c r="AP8" s="84">
        <v>0</v>
      </c>
      <c r="AQ8" s="85">
        <v>2015.3333333333335</v>
      </c>
      <c r="AR8" s="84">
        <v>466.66666666666669</v>
      </c>
      <c r="AS8" s="85">
        <v>1806.6666666666667</v>
      </c>
      <c r="AT8" s="40">
        <v>4891.7614444444444</v>
      </c>
    </row>
    <row r="9" spans="1:46">
      <c r="A9" s="25" t="s">
        <v>7</v>
      </c>
      <c r="B9" s="158" t="s">
        <v>56</v>
      </c>
      <c r="C9" s="84">
        <v>195477.77777777778</v>
      </c>
      <c r="D9" s="85">
        <v>1237084.1666666667</v>
      </c>
      <c r="E9" s="84">
        <v>0</v>
      </c>
      <c r="F9" s="85">
        <v>2648.25</v>
      </c>
      <c r="G9" s="84">
        <v>714.49166666666667</v>
      </c>
      <c r="H9" s="85">
        <v>1670.0000000000002</v>
      </c>
      <c r="I9" s="84">
        <v>0</v>
      </c>
      <c r="J9" s="85">
        <v>4113.3333333333339</v>
      </c>
      <c r="K9" s="84">
        <v>396.66666666666669</v>
      </c>
      <c r="L9" s="85">
        <v>510</v>
      </c>
      <c r="M9" s="24">
        <v>3363.7875359597292</v>
      </c>
      <c r="N9" s="480">
        <f t="shared" si="2"/>
        <v>10052.741666666667</v>
      </c>
      <c r="O9" s="93">
        <v>0</v>
      </c>
      <c r="P9" s="40">
        <v>6</v>
      </c>
      <c r="Q9" s="24">
        <f t="shared" si="0"/>
        <v>10052.741666666667</v>
      </c>
      <c r="R9" t="s">
        <v>56</v>
      </c>
      <c r="S9" t="s">
        <v>7</v>
      </c>
      <c r="T9">
        <v>20.5</v>
      </c>
      <c r="U9">
        <v>3364</v>
      </c>
      <c r="V9" s="24">
        <f t="shared" si="1"/>
        <v>10052.741666666667</v>
      </c>
      <c r="W9" s="24">
        <v>1237084.1666666667</v>
      </c>
      <c r="X9" s="24" t="s">
        <v>1070</v>
      </c>
      <c r="Y9" s="24">
        <v>2648.25</v>
      </c>
      <c r="Z9" s="24">
        <v>714.49166666666667</v>
      </c>
      <c r="AA9" s="24">
        <v>1670.0000000000002</v>
      </c>
      <c r="AB9" s="24" t="s">
        <v>1070</v>
      </c>
      <c r="AC9" s="24">
        <v>4113.3333333333339</v>
      </c>
      <c r="AD9" s="24">
        <v>396.66666666666669</v>
      </c>
      <c r="AE9" s="24">
        <v>510</v>
      </c>
      <c r="AF9">
        <v>-20.5</v>
      </c>
      <c r="AG9">
        <v>91.05513743455495</v>
      </c>
      <c r="AH9" s="307"/>
      <c r="AI9" s="25"/>
      <c r="AK9" s="158" t="s">
        <v>81</v>
      </c>
      <c r="AL9" s="84">
        <v>0</v>
      </c>
      <c r="AM9" s="85">
        <v>515.08333333333337</v>
      </c>
      <c r="AN9" s="84">
        <v>58.567777777777785</v>
      </c>
      <c r="AO9" s="85">
        <v>201.09999999999997</v>
      </c>
      <c r="AP9" s="84">
        <v>69.666666666666671</v>
      </c>
      <c r="AQ9" s="85">
        <v>3618.8888888888887</v>
      </c>
      <c r="AR9" s="84">
        <v>227.83333333333331</v>
      </c>
      <c r="AS9" s="85">
        <v>4287.666666666667</v>
      </c>
      <c r="AT9" s="40">
        <v>8978.8066666666673</v>
      </c>
    </row>
    <row r="10" spans="1:46">
      <c r="A10" s="25" t="s">
        <v>7</v>
      </c>
      <c r="B10" s="158" t="s">
        <v>58</v>
      </c>
      <c r="C10" s="84">
        <v>116455.55555555555</v>
      </c>
      <c r="D10" s="85">
        <v>7342.333333333333</v>
      </c>
      <c r="E10" s="84">
        <v>0</v>
      </c>
      <c r="F10" s="85">
        <v>11540.833333333334</v>
      </c>
      <c r="G10" s="84">
        <v>4211.75</v>
      </c>
      <c r="H10" s="85">
        <v>6379.166666666667</v>
      </c>
      <c r="I10" s="84">
        <v>0</v>
      </c>
      <c r="J10" s="85">
        <v>0</v>
      </c>
      <c r="K10" s="84">
        <v>146</v>
      </c>
      <c r="L10" s="85">
        <v>178</v>
      </c>
      <c r="M10" s="24">
        <v>1976.9096035899397</v>
      </c>
      <c r="N10" s="480">
        <f t="shared" si="2"/>
        <v>22455.75</v>
      </c>
      <c r="O10" s="93">
        <v>57675011209833.336</v>
      </c>
      <c r="P10" s="40">
        <v>5</v>
      </c>
      <c r="Q10" s="24">
        <f t="shared" si="0"/>
        <v>22455.75</v>
      </c>
      <c r="R10" t="s">
        <v>58</v>
      </c>
      <c r="S10" t="s">
        <v>7</v>
      </c>
      <c r="T10">
        <v>28</v>
      </c>
      <c r="U10">
        <v>1977</v>
      </c>
      <c r="V10" s="24">
        <f t="shared" si="1"/>
        <v>22455.75</v>
      </c>
      <c r="W10" s="24">
        <v>7342.333333333333</v>
      </c>
      <c r="X10" s="24" t="s">
        <v>1070</v>
      </c>
      <c r="Y10" s="24">
        <v>11540.833333333334</v>
      </c>
      <c r="Z10" s="24">
        <v>4211.75</v>
      </c>
      <c r="AA10" s="24">
        <v>6379.166666666667</v>
      </c>
      <c r="AB10" s="24" t="s">
        <v>1070</v>
      </c>
      <c r="AC10" s="24" t="s">
        <v>1070</v>
      </c>
      <c r="AD10" s="24">
        <v>146</v>
      </c>
      <c r="AE10" s="24">
        <v>178</v>
      </c>
      <c r="AF10">
        <v>-28</v>
      </c>
      <c r="AG10">
        <v>6.6195299520069808</v>
      </c>
      <c r="AH10" s="307"/>
      <c r="AI10" s="25"/>
      <c r="AK10" s="158" t="s">
        <v>56</v>
      </c>
      <c r="AL10" s="84">
        <v>0</v>
      </c>
      <c r="AM10" s="85">
        <v>2648.25</v>
      </c>
      <c r="AN10" s="84">
        <v>714.49166666666667</v>
      </c>
      <c r="AO10" s="85">
        <v>1670.0000000000002</v>
      </c>
      <c r="AP10" s="84">
        <v>0</v>
      </c>
      <c r="AQ10" s="85">
        <v>4113.3333333333339</v>
      </c>
      <c r="AR10" s="84">
        <v>396.66666666666669</v>
      </c>
      <c r="AS10" s="85">
        <v>510</v>
      </c>
      <c r="AT10" s="40">
        <v>10052.741666666667</v>
      </c>
    </row>
    <row r="11" spans="1:46">
      <c r="A11" s="25" t="s">
        <v>7</v>
      </c>
      <c r="B11" s="158" t="s">
        <v>60</v>
      </c>
      <c r="C11" s="84">
        <v>23725.555555555551</v>
      </c>
      <c r="D11" s="85">
        <v>79302</v>
      </c>
      <c r="E11" s="84">
        <v>0</v>
      </c>
      <c r="F11" s="85">
        <v>86.805555555555543</v>
      </c>
      <c r="G11" s="84">
        <v>29.567777777777778</v>
      </c>
      <c r="H11" s="85">
        <v>0</v>
      </c>
      <c r="I11" s="84">
        <v>0</v>
      </c>
      <c r="J11" s="85">
        <v>0</v>
      </c>
      <c r="K11" s="84">
        <v>0</v>
      </c>
      <c r="L11" s="85">
        <v>87.666666666666671</v>
      </c>
      <c r="M11" s="24">
        <v>205.01316083293236</v>
      </c>
      <c r="N11" s="480">
        <f t="shared" si="2"/>
        <v>204.04</v>
      </c>
      <c r="O11" s="93">
        <v>193616.66666666666</v>
      </c>
      <c r="P11" s="40">
        <v>3</v>
      </c>
      <c r="Q11" s="24">
        <f t="shared" si="0"/>
        <v>204.04</v>
      </c>
      <c r="R11" t="s">
        <v>60</v>
      </c>
      <c r="S11" t="s">
        <v>7</v>
      </c>
      <c r="T11">
        <v>31</v>
      </c>
      <c r="U11">
        <v>205</v>
      </c>
      <c r="V11" s="24">
        <f t="shared" si="1"/>
        <v>204.04</v>
      </c>
      <c r="W11" s="24">
        <v>79302</v>
      </c>
      <c r="X11" s="24" t="s">
        <v>1070</v>
      </c>
      <c r="Y11" s="24">
        <v>86.805555555555543</v>
      </c>
      <c r="Z11" s="24">
        <v>29.567777777777778</v>
      </c>
      <c r="AA11" s="24" t="s">
        <v>1070</v>
      </c>
      <c r="AB11" s="24" t="s">
        <v>1070</v>
      </c>
      <c r="AC11" s="24" t="s">
        <v>1070</v>
      </c>
      <c r="AD11" s="24" t="s">
        <v>1070</v>
      </c>
      <c r="AE11" s="24">
        <v>87.666666666666671</v>
      </c>
      <c r="AF11">
        <v>-31</v>
      </c>
      <c r="AG11">
        <v>6.941615183246074</v>
      </c>
      <c r="AH11" s="307"/>
      <c r="AI11" s="25"/>
      <c r="AK11" s="158" t="s">
        <v>45</v>
      </c>
      <c r="AL11" s="84">
        <v>0</v>
      </c>
      <c r="AM11" s="85">
        <v>380.71111111111105</v>
      </c>
      <c r="AN11" s="84">
        <v>95.716666666666669</v>
      </c>
      <c r="AO11" s="85">
        <v>201.54999999999998</v>
      </c>
      <c r="AP11" s="84">
        <v>110.33333333333333</v>
      </c>
      <c r="AQ11" s="85">
        <v>10203.333333333334</v>
      </c>
      <c r="AR11" s="84">
        <v>0</v>
      </c>
      <c r="AS11" s="85">
        <v>0</v>
      </c>
      <c r="AT11" s="40">
        <v>10991.644444444444</v>
      </c>
    </row>
    <row r="12" spans="1:46">
      <c r="A12" s="25" t="s">
        <v>7</v>
      </c>
      <c r="B12" s="158" t="s">
        <v>62</v>
      </c>
      <c r="C12" s="84">
        <v>35761.111111111109</v>
      </c>
      <c r="D12" s="85">
        <v>33433.333333333336</v>
      </c>
      <c r="E12" s="84">
        <v>0</v>
      </c>
      <c r="F12" s="85">
        <v>20.079999999999998</v>
      </c>
      <c r="G12" s="84">
        <v>28.25333333333333</v>
      </c>
      <c r="H12" s="85">
        <v>0</v>
      </c>
      <c r="I12" s="84">
        <v>0</v>
      </c>
      <c r="J12" s="85">
        <v>0</v>
      </c>
      <c r="K12" s="84">
        <v>0</v>
      </c>
      <c r="L12" s="85">
        <v>379.83333333333337</v>
      </c>
      <c r="M12" s="24">
        <v>24.769927925219562</v>
      </c>
      <c r="N12" s="480">
        <f t="shared" si="2"/>
        <v>428.16666666666669</v>
      </c>
      <c r="O12" s="93">
        <v>211483.33333333334</v>
      </c>
      <c r="P12" s="40">
        <v>3</v>
      </c>
      <c r="Q12" s="24">
        <f t="shared" si="0"/>
        <v>428.16666666666669</v>
      </c>
      <c r="R12" t="s">
        <v>62</v>
      </c>
      <c r="S12" t="s">
        <v>7</v>
      </c>
      <c r="T12">
        <v>45</v>
      </c>
      <c r="U12">
        <v>25</v>
      </c>
      <c r="V12" s="24">
        <f t="shared" si="1"/>
        <v>428.16666666666669</v>
      </c>
      <c r="W12" s="24">
        <v>33433.333333333336</v>
      </c>
      <c r="X12" s="24" t="s">
        <v>1070</v>
      </c>
      <c r="Y12" s="24">
        <v>20.079999999999998</v>
      </c>
      <c r="Z12" s="24">
        <v>28.25333333333333</v>
      </c>
      <c r="AA12" s="24" t="s">
        <v>1070</v>
      </c>
      <c r="AB12" s="24" t="s">
        <v>1070</v>
      </c>
      <c r="AC12" s="24" t="s">
        <v>1070</v>
      </c>
      <c r="AD12" s="24" t="s">
        <v>1070</v>
      </c>
      <c r="AE12" s="24">
        <v>379.83333333333337</v>
      </c>
      <c r="AF12" s="97">
        <v>-45</v>
      </c>
      <c r="AG12">
        <v>8.2842321116928428</v>
      </c>
      <c r="AH12" s="307"/>
      <c r="AI12" s="25"/>
      <c r="AK12" s="158" t="s">
        <v>53</v>
      </c>
      <c r="AL12" s="84">
        <v>0</v>
      </c>
      <c r="AM12" s="85">
        <v>1122.25</v>
      </c>
      <c r="AN12" s="84">
        <v>253.26666666666665</v>
      </c>
      <c r="AO12" s="85">
        <v>668</v>
      </c>
      <c r="AP12" s="84">
        <v>0</v>
      </c>
      <c r="AQ12" s="85">
        <v>9632.2222222222226</v>
      </c>
      <c r="AR12" s="84">
        <v>0</v>
      </c>
      <c r="AS12" s="85">
        <v>1066.6666666666667</v>
      </c>
      <c r="AT12" s="40">
        <v>12742.405555555555</v>
      </c>
    </row>
    <row r="13" spans="1:46">
      <c r="A13" s="25" t="s">
        <v>7</v>
      </c>
      <c r="B13" s="158" t="s">
        <v>64</v>
      </c>
      <c r="C13" s="84">
        <v>366888.88888888893</v>
      </c>
      <c r="D13" s="85">
        <v>999</v>
      </c>
      <c r="E13" s="84">
        <v>0</v>
      </c>
      <c r="F13" s="85">
        <v>100.21111111111111</v>
      </c>
      <c r="G13" s="84">
        <v>65.281666666666666</v>
      </c>
      <c r="H13" s="85">
        <v>0</v>
      </c>
      <c r="I13" s="84">
        <v>32.573333333333331</v>
      </c>
      <c r="J13" s="85">
        <v>1831.5</v>
      </c>
      <c r="K13" s="84">
        <v>0</v>
      </c>
      <c r="L13" s="85">
        <v>1525.8333333333333</v>
      </c>
      <c r="M13" s="24">
        <v>22.031508881945314</v>
      </c>
      <c r="N13" s="480">
        <f t="shared" si="2"/>
        <v>3555.3994444444443</v>
      </c>
      <c r="O13" s="93">
        <v>2766083.3333333335</v>
      </c>
      <c r="P13" s="40">
        <v>5</v>
      </c>
      <c r="Q13" s="24">
        <f t="shared" si="0"/>
        <v>3555.3994444444443</v>
      </c>
      <c r="R13" t="s">
        <v>64</v>
      </c>
      <c r="S13" t="s">
        <v>7</v>
      </c>
      <c r="T13">
        <v>64</v>
      </c>
      <c r="U13">
        <v>22</v>
      </c>
      <c r="V13" s="24">
        <f t="shared" si="1"/>
        <v>3555.3994444444443</v>
      </c>
      <c r="W13" s="24">
        <v>999</v>
      </c>
      <c r="X13" s="24" t="s">
        <v>1070</v>
      </c>
      <c r="Y13" s="24">
        <v>100.21111111111111</v>
      </c>
      <c r="Z13" s="24">
        <v>65.281666666666666</v>
      </c>
      <c r="AA13" s="24" t="s">
        <v>1070</v>
      </c>
      <c r="AB13" s="24">
        <v>32.573333333333331</v>
      </c>
      <c r="AC13" s="24">
        <v>1831.5</v>
      </c>
      <c r="AD13" s="24" t="s">
        <v>1070</v>
      </c>
      <c r="AE13" s="24">
        <v>1525.8333333333333</v>
      </c>
      <c r="AF13" s="97">
        <v>-64</v>
      </c>
      <c r="AG13">
        <v>21.539003490401392</v>
      </c>
      <c r="AH13" s="307"/>
      <c r="AI13" s="25"/>
      <c r="AK13" s="158" t="s">
        <v>78</v>
      </c>
      <c r="AL13" s="84">
        <v>0</v>
      </c>
      <c r="AM13" s="85">
        <v>370.16666666666663</v>
      </c>
      <c r="AN13" s="84">
        <v>16.12</v>
      </c>
      <c r="AO13" s="85">
        <v>0</v>
      </c>
      <c r="AP13" s="84">
        <v>0</v>
      </c>
      <c r="AQ13" s="85">
        <v>0</v>
      </c>
      <c r="AR13" s="84">
        <v>2180</v>
      </c>
      <c r="AS13" s="85">
        <v>10477.777777777776</v>
      </c>
      <c r="AT13" s="40">
        <v>13044.064444444442</v>
      </c>
    </row>
    <row r="14" spans="1:46">
      <c r="A14" s="25" t="s">
        <v>11</v>
      </c>
      <c r="B14" s="158" t="s">
        <v>67</v>
      </c>
      <c r="C14" s="84">
        <v>42120</v>
      </c>
      <c r="D14" s="85">
        <v>425666.66666666669</v>
      </c>
      <c r="E14" s="84">
        <v>0</v>
      </c>
      <c r="F14" s="85">
        <v>4686.75</v>
      </c>
      <c r="G14" s="84">
        <v>414.40250000000003</v>
      </c>
      <c r="H14" s="85">
        <v>1348.5833333333333</v>
      </c>
      <c r="I14" s="84">
        <v>0</v>
      </c>
      <c r="J14" s="85">
        <v>98633.333333333328</v>
      </c>
      <c r="K14" s="84">
        <v>0</v>
      </c>
      <c r="L14" s="85">
        <v>525.66666666666663</v>
      </c>
      <c r="M14" s="24">
        <v>9683.2077668474703</v>
      </c>
      <c r="N14" s="480">
        <f t="shared" si="2"/>
        <v>105608.73583333334</v>
      </c>
      <c r="O14" s="93">
        <v>0</v>
      </c>
      <c r="P14" s="40">
        <v>5</v>
      </c>
      <c r="Q14" s="24">
        <f t="shared" si="0"/>
        <v>105608.73583333334</v>
      </c>
      <c r="R14" t="s">
        <v>67</v>
      </c>
      <c r="S14" t="s">
        <v>11</v>
      </c>
      <c r="T14">
        <v>7</v>
      </c>
      <c r="U14">
        <v>9683</v>
      </c>
      <c r="V14" s="24">
        <f t="shared" si="1"/>
        <v>105608.73583333334</v>
      </c>
      <c r="W14" s="24">
        <v>425666.66666666669</v>
      </c>
      <c r="X14" s="24" t="s">
        <v>1070</v>
      </c>
      <c r="Y14" s="24">
        <v>4686.75</v>
      </c>
      <c r="Z14" s="24">
        <v>414.40250000000003</v>
      </c>
      <c r="AA14" s="24">
        <v>1348.5833333333333</v>
      </c>
      <c r="AB14" s="24" t="s">
        <v>1070</v>
      </c>
      <c r="AC14" s="24">
        <v>98633.333333333328</v>
      </c>
      <c r="AD14" s="24" t="s">
        <v>1070</v>
      </c>
      <c r="AE14" s="24">
        <v>525.66666666666663</v>
      </c>
      <c r="AF14" s="27">
        <v>-7</v>
      </c>
      <c r="AG14">
        <v>1.8668088568935424</v>
      </c>
      <c r="AH14" s="307"/>
      <c r="AI14" s="25"/>
      <c r="AK14" s="158" t="s">
        <v>58</v>
      </c>
      <c r="AL14" s="84">
        <v>0</v>
      </c>
      <c r="AM14" s="85">
        <v>11540.833333333334</v>
      </c>
      <c r="AN14" s="84">
        <v>4211.75</v>
      </c>
      <c r="AO14" s="85">
        <v>6379.166666666667</v>
      </c>
      <c r="AP14" s="84">
        <v>0</v>
      </c>
      <c r="AQ14" s="85">
        <v>0</v>
      </c>
      <c r="AR14" s="84">
        <v>146</v>
      </c>
      <c r="AS14" s="85">
        <v>178</v>
      </c>
      <c r="AT14" s="40">
        <v>22455.75</v>
      </c>
    </row>
    <row r="15" spans="1:46">
      <c r="A15" s="25" t="s">
        <v>11</v>
      </c>
      <c r="B15" s="158" t="s">
        <v>69</v>
      </c>
      <c r="C15" s="84">
        <v>355444.44444444444</v>
      </c>
      <c r="D15" s="85">
        <v>101500</v>
      </c>
      <c r="E15" s="84">
        <v>29.711111111111109</v>
      </c>
      <c r="F15" s="85">
        <v>9247.5</v>
      </c>
      <c r="G15" s="84">
        <v>1800.1111111111111</v>
      </c>
      <c r="H15" s="85">
        <v>4977.6666666666661</v>
      </c>
      <c r="I15" s="84">
        <v>78.333333333333329</v>
      </c>
      <c r="J15" s="85">
        <v>472444.44444444444</v>
      </c>
      <c r="K15" s="84">
        <v>370.16666666666669</v>
      </c>
      <c r="L15" s="85">
        <v>3461.666666666667</v>
      </c>
      <c r="M15" s="24">
        <v>606.99112448763299</v>
      </c>
      <c r="N15" s="480">
        <f t="shared" si="2"/>
        <v>492409.60000000003</v>
      </c>
      <c r="O15" s="93">
        <v>765044766666.66675</v>
      </c>
      <c r="P15" s="40">
        <v>8</v>
      </c>
      <c r="Q15" s="24">
        <f t="shared" si="0"/>
        <v>492409.60000000003</v>
      </c>
      <c r="R15" t="s">
        <v>69</v>
      </c>
      <c r="S15" t="s">
        <v>11</v>
      </c>
      <c r="T15">
        <v>10.5</v>
      </c>
      <c r="U15">
        <v>607</v>
      </c>
      <c r="V15" s="24">
        <f t="shared" si="1"/>
        <v>492409.60000000003</v>
      </c>
      <c r="W15" s="24">
        <v>101500</v>
      </c>
      <c r="X15" s="24">
        <v>29.711111111111109</v>
      </c>
      <c r="Y15" s="24">
        <v>9247.5</v>
      </c>
      <c r="Z15" s="24">
        <v>1800.1111111111111</v>
      </c>
      <c r="AA15" s="24">
        <v>4977.6666666666661</v>
      </c>
      <c r="AB15" s="24">
        <v>78.333333333333329</v>
      </c>
      <c r="AC15" s="24">
        <v>472444.44444444444</v>
      </c>
      <c r="AD15" s="24">
        <v>370.16666666666669</v>
      </c>
      <c r="AE15" s="24">
        <v>3461.666666666667</v>
      </c>
      <c r="AF15">
        <v>-10.5</v>
      </c>
      <c r="AG15">
        <v>1.7268339005235598</v>
      </c>
      <c r="AH15" s="307"/>
      <c r="AI15" s="25"/>
      <c r="AK15" s="158" t="s">
        <v>83</v>
      </c>
      <c r="AL15" s="84">
        <v>0</v>
      </c>
      <c r="AM15" s="85">
        <v>968.8416666666667</v>
      </c>
      <c r="AN15" s="84">
        <v>62.649999999999991</v>
      </c>
      <c r="AO15" s="85">
        <v>303.33333333333331</v>
      </c>
      <c r="AP15" s="84">
        <v>433.4666666666667</v>
      </c>
      <c r="AQ15" s="85">
        <v>10038.666666666668</v>
      </c>
      <c r="AR15" s="84">
        <v>1337.1666666666667</v>
      </c>
      <c r="AS15" s="85">
        <v>15333.333333333334</v>
      </c>
      <c r="AT15" s="40">
        <v>28477.458333333336</v>
      </c>
    </row>
    <row r="16" spans="1:46">
      <c r="A16" s="25" t="s">
        <v>11</v>
      </c>
      <c r="B16" s="158" t="s">
        <v>71</v>
      </c>
      <c r="C16" s="84">
        <v>85955.555555555562</v>
      </c>
      <c r="D16" s="85">
        <v>497</v>
      </c>
      <c r="E16" s="84">
        <v>0</v>
      </c>
      <c r="F16" s="85">
        <v>4050.5</v>
      </c>
      <c r="G16" s="84">
        <v>1461.8666666666666</v>
      </c>
      <c r="H16" s="85">
        <v>2130.4166666666665</v>
      </c>
      <c r="I16" s="84">
        <v>67.099999999999994</v>
      </c>
      <c r="J16" s="85">
        <v>68525</v>
      </c>
      <c r="K16" s="84">
        <v>0</v>
      </c>
      <c r="L16" s="85">
        <v>1246.6666666666667</v>
      </c>
      <c r="M16" s="24">
        <v>10123.158243273032</v>
      </c>
      <c r="N16" s="480">
        <f t="shared" si="2"/>
        <v>77481.55</v>
      </c>
      <c r="O16" s="93">
        <v>11300002910333.332</v>
      </c>
      <c r="P16" s="40">
        <v>6</v>
      </c>
      <c r="Q16" s="24">
        <f t="shared" si="0"/>
        <v>77481.55</v>
      </c>
      <c r="R16" t="s">
        <v>71</v>
      </c>
      <c r="S16" t="s">
        <v>11</v>
      </c>
      <c r="T16">
        <v>14</v>
      </c>
      <c r="U16">
        <v>10123</v>
      </c>
      <c r="V16" s="24">
        <f t="shared" si="1"/>
        <v>77481.55</v>
      </c>
      <c r="W16" s="24">
        <v>497</v>
      </c>
      <c r="X16" s="24" t="s">
        <v>1070</v>
      </c>
      <c r="Y16" s="24">
        <v>4050.5</v>
      </c>
      <c r="Z16" s="24">
        <v>1461.8666666666666</v>
      </c>
      <c r="AA16" s="24">
        <v>2130.4166666666665</v>
      </c>
      <c r="AB16" s="24">
        <v>67.099999999999994</v>
      </c>
      <c r="AC16" s="24">
        <v>68525</v>
      </c>
      <c r="AD16" s="24" t="s">
        <v>1070</v>
      </c>
      <c r="AE16" s="24">
        <v>1246.6666666666667</v>
      </c>
      <c r="AF16">
        <v>-14</v>
      </c>
      <c r="AG16">
        <v>2.4502758944153578</v>
      </c>
      <c r="AH16" s="307"/>
      <c r="AI16" s="25"/>
      <c r="AK16" s="158" t="s">
        <v>91</v>
      </c>
      <c r="AL16" s="84">
        <v>0</v>
      </c>
      <c r="AM16" s="85">
        <v>875.24166666666679</v>
      </c>
      <c r="AN16" s="84">
        <v>78.766666666666666</v>
      </c>
      <c r="AO16" s="85">
        <v>280.05</v>
      </c>
      <c r="AP16" s="84">
        <v>476.84444444444443</v>
      </c>
      <c r="AQ16" s="85">
        <v>30666.666666666664</v>
      </c>
      <c r="AR16" s="84">
        <v>1226.6666666666667</v>
      </c>
      <c r="AS16" s="85">
        <v>13900</v>
      </c>
      <c r="AT16" s="40">
        <v>47504.236111111109</v>
      </c>
    </row>
    <row r="17" spans="1:46">
      <c r="A17" s="25" t="s">
        <v>11</v>
      </c>
      <c r="B17" s="158" t="s">
        <v>73</v>
      </c>
      <c r="C17" s="84">
        <v>150266.66666666666</v>
      </c>
      <c r="D17" s="85">
        <v>47525.444444444445</v>
      </c>
      <c r="E17" s="84">
        <v>0</v>
      </c>
      <c r="F17" s="85">
        <v>4449.25</v>
      </c>
      <c r="G17" s="84">
        <v>1821.3333333333333</v>
      </c>
      <c r="H17" s="85">
        <v>2692.25</v>
      </c>
      <c r="I17" s="84">
        <v>0</v>
      </c>
      <c r="J17" s="85">
        <v>77116.666666666672</v>
      </c>
      <c r="K17" s="84">
        <v>0</v>
      </c>
      <c r="L17" s="85">
        <v>2846.666666666667</v>
      </c>
      <c r="M17" s="24">
        <v>707.26364243081412</v>
      </c>
      <c r="N17" s="480">
        <f t="shared" si="2"/>
        <v>88926.166666666672</v>
      </c>
      <c r="O17" s="93">
        <v>15135833.333333332</v>
      </c>
      <c r="P17" s="40">
        <v>5</v>
      </c>
      <c r="Q17" s="24">
        <f t="shared" si="0"/>
        <v>88926.166666666672</v>
      </c>
      <c r="R17" t="s">
        <v>73</v>
      </c>
      <c r="S17" t="s">
        <v>11</v>
      </c>
      <c r="T17">
        <v>15.5</v>
      </c>
      <c r="U17">
        <v>707</v>
      </c>
      <c r="V17" s="24">
        <f t="shared" si="1"/>
        <v>88926.166666666672</v>
      </c>
      <c r="W17" s="24">
        <v>47525.444444444445</v>
      </c>
      <c r="X17" s="24" t="s">
        <v>1070</v>
      </c>
      <c r="Y17" s="24">
        <v>4449.25</v>
      </c>
      <c r="Z17" s="24">
        <v>1821.3333333333333</v>
      </c>
      <c r="AA17" s="24">
        <v>2692.25</v>
      </c>
      <c r="AB17" s="24" t="s">
        <v>1070</v>
      </c>
      <c r="AC17" s="24">
        <v>77116.666666666672</v>
      </c>
      <c r="AD17" s="24" t="s">
        <v>1070</v>
      </c>
      <c r="AE17" s="24">
        <v>2846.666666666667</v>
      </c>
      <c r="AF17">
        <v>-15.5</v>
      </c>
      <c r="AG17">
        <v>912.20107918848146</v>
      </c>
      <c r="AH17" s="307"/>
      <c r="AI17" s="25"/>
      <c r="AK17" s="158" t="s">
        <v>51</v>
      </c>
      <c r="AL17" s="84">
        <v>0</v>
      </c>
      <c r="AM17" s="85">
        <v>10659.166666666668</v>
      </c>
      <c r="AN17" s="84">
        <v>2135.75</v>
      </c>
      <c r="AO17" s="85">
        <v>8449.1666666666679</v>
      </c>
      <c r="AP17" s="84">
        <v>186.63333333333333</v>
      </c>
      <c r="AQ17" s="85">
        <v>37466.666666666664</v>
      </c>
      <c r="AR17" s="84">
        <v>323.66666666666669</v>
      </c>
      <c r="AS17" s="85">
        <v>0</v>
      </c>
      <c r="AT17" s="40">
        <v>59221.049999999996</v>
      </c>
    </row>
    <row r="18" spans="1:46">
      <c r="A18" s="25" t="s">
        <v>11</v>
      </c>
      <c r="B18" s="158" t="s">
        <v>75</v>
      </c>
      <c r="C18" s="84">
        <v>1190175</v>
      </c>
      <c r="D18" s="85">
        <v>48590.666666666664</v>
      </c>
      <c r="E18" s="84">
        <v>0</v>
      </c>
      <c r="F18" s="85">
        <v>867.25833333333333</v>
      </c>
      <c r="G18" s="84">
        <v>72.601111111111109</v>
      </c>
      <c r="H18" s="85">
        <v>0</v>
      </c>
      <c r="I18" s="84">
        <v>123.73333333333333</v>
      </c>
      <c r="J18" s="85">
        <v>78191.666666666672</v>
      </c>
      <c r="K18" s="84">
        <v>309.16666666666663</v>
      </c>
      <c r="L18" s="85">
        <v>1288.3333333333333</v>
      </c>
      <c r="M18" s="24">
        <v>26.329635294249172</v>
      </c>
      <c r="N18" s="480">
        <f t="shared" si="2"/>
        <v>80852.759444444455</v>
      </c>
      <c r="O18" s="93">
        <v>4322166.666666667</v>
      </c>
      <c r="P18" s="40">
        <v>6</v>
      </c>
      <c r="Q18" s="24">
        <f t="shared" si="0"/>
        <v>80852.759444444455</v>
      </c>
      <c r="R18" t="s">
        <v>75</v>
      </c>
      <c r="S18" t="s">
        <v>11</v>
      </c>
      <c r="T18">
        <v>20</v>
      </c>
      <c r="U18">
        <v>26</v>
      </c>
      <c r="V18" s="24">
        <f t="shared" si="1"/>
        <v>80852.759444444455</v>
      </c>
      <c r="W18" s="24">
        <v>48590.666666666664</v>
      </c>
      <c r="X18" s="24" t="s">
        <v>1070</v>
      </c>
      <c r="Y18" s="24">
        <v>867.25833333333333</v>
      </c>
      <c r="Z18" s="24">
        <v>72.601111111111109</v>
      </c>
      <c r="AA18" s="24" t="s">
        <v>1070</v>
      </c>
      <c r="AB18" s="24">
        <v>123.73333333333333</v>
      </c>
      <c r="AC18" s="24">
        <v>78191.666666666672</v>
      </c>
      <c r="AD18" s="24">
        <v>309.16666666666663</v>
      </c>
      <c r="AE18" s="24">
        <v>1288.3333333333333</v>
      </c>
      <c r="AF18" s="97">
        <v>-20</v>
      </c>
      <c r="AG18">
        <v>3.9964278359511338</v>
      </c>
      <c r="AH18" s="307"/>
      <c r="AI18" s="25"/>
      <c r="AK18" s="158" t="s">
        <v>71</v>
      </c>
      <c r="AL18" s="84">
        <v>0</v>
      </c>
      <c r="AM18" s="85">
        <v>4050.5</v>
      </c>
      <c r="AN18" s="84">
        <v>1461.8666666666666</v>
      </c>
      <c r="AO18" s="85">
        <v>2130.4166666666665</v>
      </c>
      <c r="AP18" s="84">
        <v>67.099999999999994</v>
      </c>
      <c r="AQ18" s="85">
        <v>68525</v>
      </c>
      <c r="AR18" s="84">
        <v>0</v>
      </c>
      <c r="AS18" s="85">
        <v>1246.6666666666667</v>
      </c>
      <c r="AT18" s="40">
        <v>77481.55</v>
      </c>
    </row>
    <row r="19" spans="1:46">
      <c r="A19" s="25" t="s">
        <v>11</v>
      </c>
      <c r="B19" s="158" t="s">
        <v>76</v>
      </c>
      <c r="C19" s="84">
        <v>720166.66666666663</v>
      </c>
      <c r="D19" s="85">
        <v>30655.555555555558</v>
      </c>
      <c r="E19" s="84">
        <v>0</v>
      </c>
      <c r="F19" s="85">
        <v>271.0333333333333</v>
      </c>
      <c r="G19" s="84">
        <v>0</v>
      </c>
      <c r="H19" s="85">
        <v>0</v>
      </c>
      <c r="I19" s="84">
        <v>38.866666666666667</v>
      </c>
      <c r="J19" s="85">
        <v>0</v>
      </c>
      <c r="K19" s="84">
        <v>0</v>
      </c>
      <c r="L19" s="85">
        <v>1380</v>
      </c>
      <c r="M19" s="24">
        <v>33.438457743231837</v>
      </c>
      <c r="N19" s="480">
        <f t="shared" si="2"/>
        <v>1689.9</v>
      </c>
      <c r="O19" s="93">
        <v>2416366.6666666665</v>
      </c>
      <c r="P19" s="40">
        <v>3</v>
      </c>
      <c r="Q19" s="24">
        <f t="shared" si="0"/>
        <v>1689.9</v>
      </c>
      <c r="R19" t="s">
        <v>76</v>
      </c>
      <c r="S19" t="s">
        <v>11</v>
      </c>
      <c r="T19">
        <v>43</v>
      </c>
      <c r="U19">
        <v>33</v>
      </c>
      <c r="V19" s="24">
        <f t="shared" si="1"/>
        <v>1689.9</v>
      </c>
      <c r="W19" s="24">
        <v>30655.555555555558</v>
      </c>
      <c r="X19" s="24" t="s">
        <v>1070</v>
      </c>
      <c r="Y19" s="24">
        <v>271.0333333333333</v>
      </c>
      <c r="Z19" s="24" t="s">
        <v>1070</v>
      </c>
      <c r="AA19" s="24" t="s">
        <v>1070</v>
      </c>
      <c r="AB19" s="24">
        <v>38.866666666666667</v>
      </c>
      <c r="AC19" s="24" t="s">
        <v>1070</v>
      </c>
      <c r="AD19" s="24" t="s">
        <v>1070</v>
      </c>
      <c r="AE19" s="24">
        <v>1380</v>
      </c>
      <c r="AF19" s="97">
        <v>-43</v>
      </c>
      <c r="AG19">
        <v>2.0396350785340314</v>
      </c>
      <c r="AH19" s="307"/>
      <c r="AI19" s="25"/>
      <c r="AK19" s="158" t="s">
        <v>75</v>
      </c>
      <c r="AL19" s="84">
        <v>0</v>
      </c>
      <c r="AM19" s="85">
        <v>867.25833333333333</v>
      </c>
      <c r="AN19" s="84">
        <v>72.601111111111109</v>
      </c>
      <c r="AO19" s="85">
        <v>0</v>
      </c>
      <c r="AP19" s="84">
        <v>123.73333333333333</v>
      </c>
      <c r="AQ19" s="85">
        <v>78191.666666666672</v>
      </c>
      <c r="AR19" s="84">
        <v>309.16666666666663</v>
      </c>
      <c r="AS19" s="85">
        <v>1288.3333333333333</v>
      </c>
      <c r="AT19" s="40">
        <v>80852.759444444455</v>
      </c>
    </row>
    <row r="20" spans="1:46">
      <c r="A20" s="25" t="s">
        <v>11</v>
      </c>
      <c r="B20" s="158" t="s">
        <v>78</v>
      </c>
      <c r="C20" s="84">
        <v>2149166.6666666665</v>
      </c>
      <c r="D20" s="85">
        <v>5632.333333333333</v>
      </c>
      <c r="E20" s="84">
        <v>0</v>
      </c>
      <c r="F20" s="85">
        <v>370.16666666666663</v>
      </c>
      <c r="G20" s="84">
        <v>16.12</v>
      </c>
      <c r="H20" s="85">
        <v>0</v>
      </c>
      <c r="I20" s="84">
        <v>0</v>
      </c>
      <c r="J20" s="85">
        <v>0</v>
      </c>
      <c r="K20" s="84">
        <v>2180</v>
      </c>
      <c r="L20" s="85">
        <v>10477.777777777776</v>
      </c>
      <c r="M20" s="24">
        <v>120.82128078730307</v>
      </c>
      <c r="N20" s="480">
        <f t="shared" si="2"/>
        <v>13044.064444444442</v>
      </c>
      <c r="O20" s="93">
        <v>452483608333.33337</v>
      </c>
      <c r="P20" s="40">
        <v>4</v>
      </c>
      <c r="Q20" s="24">
        <f t="shared" si="0"/>
        <v>13044.064444444442</v>
      </c>
      <c r="R20" t="s">
        <v>78</v>
      </c>
      <c r="S20" t="s">
        <v>11</v>
      </c>
      <c r="T20">
        <v>65</v>
      </c>
      <c r="U20">
        <v>121</v>
      </c>
      <c r="V20" s="24">
        <f t="shared" si="1"/>
        <v>13044.064444444442</v>
      </c>
      <c r="W20" s="24">
        <v>5632.333333333333</v>
      </c>
      <c r="X20" s="24" t="s">
        <v>1070</v>
      </c>
      <c r="Y20" s="24">
        <v>370.16666666666663</v>
      </c>
      <c r="Z20" s="24">
        <v>16.12</v>
      </c>
      <c r="AA20" s="24" t="s">
        <v>1070</v>
      </c>
      <c r="AB20" s="24" t="s">
        <v>1070</v>
      </c>
      <c r="AC20" s="24" t="s">
        <v>1070</v>
      </c>
      <c r="AD20" s="24">
        <v>2180</v>
      </c>
      <c r="AE20" s="24">
        <v>10477.777777777776</v>
      </c>
      <c r="AF20" s="97">
        <v>-65</v>
      </c>
      <c r="AG20">
        <v>1.9817882853403139</v>
      </c>
      <c r="AH20" s="307"/>
      <c r="AI20" s="25"/>
      <c r="AK20" s="158" t="s">
        <v>73</v>
      </c>
      <c r="AL20" s="84">
        <v>0</v>
      </c>
      <c r="AM20" s="85">
        <v>4449.25</v>
      </c>
      <c r="AN20" s="84">
        <v>1821.3333333333333</v>
      </c>
      <c r="AO20" s="85">
        <v>2692.25</v>
      </c>
      <c r="AP20" s="84">
        <v>0</v>
      </c>
      <c r="AQ20" s="85">
        <v>77116.666666666672</v>
      </c>
      <c r="AR20" s="84">
        <v>0</v>
      </c>
      <c r="AS20" s="85">
        <v>2846.666666666667</v>
      </c>
      <c r="AT20" s="40">
        <v>88926.166666666672</v>
      </c>
    </row>
    <row r="21" spans="1:46">
      <c r="A21" s="25" t="s">
        <v>14</v>
      </c>
      <c r="B21" s="158" t="s">
        <v>81</v>
      </c>
      <c r="C21" s="84">
        <v>149992.5</v>
      </c>
      <c r="D21" s="85">
        <v>16029096.666666666</v>
      </c>
      <c r="E21" s="84">
        <v>0</v>
      </c>
      <c r="F21" s="85">
        <v>515.08333333333337</v>
      </c>
      <c r="G21" s="84">
        <v>58.567777777777785</v>
      </c>
      <c r="H21" s="85">
        <v>201.09999999999997</v>
      </c>
      <c r="I21" s="84">
        <v>69.666666666666671</v>
      </c>
      <c r="J21" s="85">
        <v>3618.8888888888887</v>
      </c>
      <c r="K21" s="84">
        <v>227.83333333333331</v>
      </c>
      <c r="L21" s="85">
        <v>4287.666666666667</v>
      </c>
      <c r="M21" s="24">
        <v>8878.3692042921448</v>
      </c>
      <c r="N21" s="480">
        <f t="shared" si="2"/>
        <v>8978.8066666666673</v>
      </c>
      <c r="O21" s="93">
        <v>960777.77777777787</v>
      </c>
      <c r="P21" s="40">
        <v>7</v>
      </c>
      <c r="Q21" s="24">
        <f t="shared" si="0"/>
        <v>8978.8066666666673</v>
      </c>
      <c r="R21" t="s">
        <v>81</v>
      </c>
      <c r="S21" t="s">
        <v>14</v>
      </c>
      <c r="T21">
        <v>15.5</v>
      </c>
      <c r="U21">
        <v>8878</v>
      </c>
      <c r="V21" s="24">
        <f t="shared" si="1"/>
        <v>8978.8066666666673</v>
      </c>
      <c r="W21" s="24">
        <v>16029096.666666666</v>
      </c>
      <c r="X21" s="24" t="s">
        <v>1070</v>
      </c>
      <c r="Y21" s="24">
        <v>515.08333333333337</v>
      </c>
      <c r="Z21" s="24">
        <v>58.567777777777785</v>
      </c>
      <c r="AA21" s="24">
        <v>201.09999999999997</v>
      </c>
      <c r="AB21" s="24">
        <v>69.666666666666671</v>
      </c>
      <c r="AC21" s="24">
        <v>3618.8888888888887</v>
      </c>
      <c r="AD21" s="24">
        <v>227.83333333333331</v>
      </c>
      <c r="AE21" s="24">
        <v>4287.666666666667</v>
      </c>
      <c r="AF21" s="27">
        <v>-15.5</v>
      </c>
      <c r="AG21">
        <v>102.24456404886561</v>
      </c>
      <c r="AH21" s="307"/>
      <c r="AI21" s="25"/>
      <c r="AK21" s="158" t="s">
        <v>67</v>
      </c>
      <c r="AL21" s="84">
        <v>0</v>
      </c>
      <c r="AM21" s="85">
        <v>4686.75</v>
      </c>
      <c r="AN21" s="84">
        <v>414.40250000000003</v>
      </c>
      <c r="AO21" s="85">
        <v>1348.5833333333333</v>
      </c>
      <c r="AP21" s="84">
        <v>0</v>
      </c>
      <c r="AQ21" s="85">
        <v>98633.333333333328</v>
      </c>
      <c r="AR21" s="84">
        <v>0</v>
      </c>
      <c r="AS21" s="85">
        <v>525.66666666666663</v>
      </c>
      <c r="AT21" s="40">
        <v>105608.73583333334</v>
      </c>
    </row>
    <row r="22" spans="1:46">
      <c r="A22" s="25" t="s">
        <v>14</v>
      </c>
      <c r="B22" s="158" t="s">
        <v>83</v>
      </c>
      <c r="C22" s="84">
        <v>503575</v>
      </c>
      <c r="D22" s="85">
        <v>38261.111111111109</v>
      </c>
      <c r="E22" s="84">
        <v>0</v>
      </c>
      <c r="F22" s="85">
        <v>968.8416666666667</v>
      </c>
      <c r="G22" s="84">
        <v>62.649999999999991</v>
      </c>
      <c r="H22" s="85">
        <v>303.33333333333331</v>
      </c>
      <c r="I22" s="84">
        <v>433.4666666666667</v>
      </c>
      <c r="J22" s="85">
        <v>10038.666666666668</v>
      </c>
      <c r="K22" s="84">
        <v>1337.1666666666667</v>
      </c>
      <c r="L22" s="85">
        <v>15333.333333333334</v>
      </c>
      <c r="M22" s="24">
        <v>12092.753769476491</v>
      </c>
      <c r="N22" s="480">
        <f t="shared" si="2"/>
        <v>28477.458333333336</v>
      </c>
      <c r="O22" s="93">
        <v>387178392833.33331</v>
      </c>
      <c r="P22" s="40">
        <v>7</v>
      </c>
      <c r="Q22" s="24">
        <f t="shared" si="0"/>
        <v>28477.458333333336</v>
      </c>
      <c r="R22" t="s">
        <v>83</v>
      </c>
      <c r="S22" t="s">
        <v>14</v>
      </c>
      <c r="T22">
        <v>19.899999999999999</v>
      </c>
      <c r="U22">
        <v>12093</v>
      </c>
      <c r="V22" s="24">
        <f t="shared" si="1"/>
        <v>28477.458333333336</v>
      </c>
      <c r="W22" s="24">
        <v>38261.111111111109</v>
      </c>
      <c r="X22" s="24" t="s">
        <v>1070</v>
      </c>
      <c r="Y22" s="24">
        <v>968.8416666666667</v>
      </c>
      <c r="Z22" s="24">
        <v>62.649999999999991</v>
      </c>
      <c r="AA22" s="24">
        <v>303.33333333333331</v>
      </c>
      <c r="AB22" s="24">
        <v>433.4666666666667</v>
      </c>
      <c r="AC22" s="24">
        <v>10038.666666666668</v>
      </c>
      <c r="AD22" s="24">
        <v>1337.1666666666667</v>
      </c>
      <c r="AE22" s="24">
        <v>15333.333333333334</v>
      </c>
      <c r="AF22">
        <v>-19</v>
      </c>
      <c r="AG22">
        <v>305.7952886125654</v>
      </c>
      <c r="AH22" s="307"/>
      <c r="AI22" s="25"/>
      <c r="AK22" s="158" t="s">
        <v>39</v>
      </c>
      <c r="AL22" s="84">
        <v>0</v>
      </c>
      <c r="AM22" s="85">
        <v>493.77777777777777</v>
      </c>
      <c r="AN22" s="84">
        <v>115.64444444444445</v>
      </c>
      <c r="AO22" s="85">
        <v>145.78333333333333</v>
      </c>
      <c r="AP22" s="84">
        <v>338.01666666666665</v>
      </c>
      <c r="AQ22" s="85">
        <v>108516.66666666666</v>
      </c>
      <c r="AR22" s="84">
        <v>302.16666666666669</v>
      </c>
      <c r="AS22" s="85">
        <v>5414.4444444444443</v>
      </c>
      <c r="AT22" s="40">
        <v>115326.49999999999</v>
      </c>
    </row>
    <row r="23" spans="1:46">
      <c r="A23" s="25" t="s">
        <v>14</v>
      </c>
      <c r="B23" s="158" t="s">
        <v>87</v>
      </c>
      <c r="C23" s="84">
        <v>74247.5</v>
      </c>
      <c r="D23" s="85">
        <v>63116.666666666664</v>
      </c>
      <c r="E23" s="84">
        <v>0</v>
      </c>
      <c r="F23" s="85">
        <v>502.4083333333333</v>
      </c>
      <c r="G23" s="84">
        <v>13.219777777777779</v>
      </c>
      <c r="H23" s="85">
        <v>87.466666666666669</v>
      </c>
      <c r="I23" s="84">
        <v>0</v>
      </c>
      <c r="J23" s="85">
        <v>2015.3333333333335</v>
      </c>
      <c r="K23" s="84">
        <v>466.66666666666669</v>
      </c>
      <c r="L23" s="85">
        <v>1806.6666666666667</v>
      </c>
      <c r="M23" s="24">
        <v>10296.619441004364</v>
      </c>
      <c r="N23" s="480">
        <f t="shared" si="2"/>
        <v>4891.7614444444444</v>
      </c>
      <c r="O23" s="93">
        <v>0</v>
      </c>
      <c r="P23" s="40">
        <v>6</v>
      </c>
      <c r="Q23" s="24">
        <f t="shared" si="0"/>
        <v>4891.7614444444444</v>
      </c>
      <c r="R23" t="s">
        <v>87</v>
      </c>
      <c r="S23" t="s">
        <v>14</v>
      </c>
      <c r="T23">
        <v>26</v>
      </c>
      <c r="U23">
        <v>10297</v>
      </c>
      <c r="V23" s="24">
        <f t="shared" si="1"/>
        <v>4891.7614444444444</v>
      </c>
      <c r="W23" s="24">
        <v>63116.666666666664</v>
      </c>
      <c r="X23" s="24" t="s">
        <v>1070</v>
      </c>
      <c r="Y23" s="24">
        <v>502.4083333333333</v>
      </c>
      <c r="Z23" s="24">
        <v>13.219777777777779</v>
      </c>
      <c r="AA23" s="24">
        <v>87.466666666666669</v>
      </c>
      <c r="AB23" s="24" t="s">
        <v>1070</v>
      </c>
      <c r="AC23" s="24">
        <v>2015.3333333333335</v>
      </c>
      <c r="AD23" s="24">
        <v>466.66666666666669</v>
      </c>
      <c r="AE23" s="24">
        <v>1806.6666666666667</v>
      </c>
      <c r="AF23">
        <v>-26</v>
      </c>
      <c r="AG23">
        <v>41.79823595113438</v>
      </c>
      <c r="AH23" s="307"/>
      <c r="AI23" s="25"/>
      <c r="AK23" s="158" t="s">
        <v>69</v>
      </c>
      <c r="AL23" s="94">
        <v>29.711111111111109</v>
      </c>
      <c r="AM23" s="95">
        <v>9247.5</v>
      </c>
      <c r="AN23" s="94">
        <v>1800.1111111111111</v>
      </c>
      <c r="AO23" s="95">
        <v>4977.6666666666661</v>
      </c>
      <c r="AP23" s="94">
        <v>78.333333333333329</v>
      </c>
      <c r="AQ23" s="95">
        <v>472444.44444444444</v>
      </c>
      <c r="AR23" s="94">
        <v>370.16666666666669</v>
      </c>
      <c r="AS23" s="95">
        <v>3461.666666666667</v>
      </c>
      <c r="AT23" s="38">
        <v>492409.60000000003</v>
      </c>
    </row>
    <row r="24" spans="1:46">
      <c r="A24" s="25" t="s">
        <v>14</v>
      </c>
      <c r="B24" s="158" t="s">
        <v>90</v>
      </c>
      <c r="C24" s="84">
        <v>4446.416666666667</v>
      </c>
      <c r="D24" s="331">
        <v>1</v>
      </c>
      <c r="E24" s="84">
        <v>0</v>
      </c>
      <c r="F24" s="85">
        <v>257.01666666666665</v>
      </c>
      <c r="H24" s="85">
        <v>0</v>
      </c>
      <c r="I24" s="84">
        <v>0</v>
      </c>
      <c r="J24" s="85">
        <v>0</v>
      </c>
      <c r="K24" s="84">
        <v>0</v>
      </c>
      <c r="L24" s="85">
        <v>0</v>
      </c>
      <c r="M24" s="24">
        <v>8523.4388136869402</v>
      </c>
      <c r="N24" s="480">
        <f t="shared" si="2"/>
        <v>257.01666666666665</v>
      </c>
      <c r="O24" s="93">
        <v>0</v>
      </c>
      <c r="P24" s="40">
        <v>1</v>
      </c>
      <c r="Q24" s="24">
        <f t="shared" si="0"/>
        <v>257.01666666666665</v>
      </c>
      <c r="R24" t="s">
        <v>90</v>
      </c>
      <c r="S24" t="s">
        <v>14</v>
      </c>
      <c r="T24">
        <v>39</v>
      </c>
      <c r="U24">
        <v>8523</v>
      </c>
      <c r="V24" s="24">
        <f t="shared" si="1"/>
        <v>257.87099999999998</v>
      </c>
      <c r="W24" s="24" t="s">
        <v>1070</v>
      </c>
      <c r="X24" s="24" t="s">
        <v>1070</v>
      </c>
      <c r="Y24" s="24">
        <v>257.01666666666665</v>
      </c>
      <c r="Z24" s="24">
        <v>0.85433333333333339</v>
      </c>
      <c r="AA24" s="24" t="s">
        <v>1070</v>
      </c>
      <c r="AB24" s="24" t="s">
        <v>1070</v>
      </c>
      <c r="AC24" s="24" t="s">
        <v>1070</v>
      </c>
      <c r="AD24" s="24" t="s">
        <v>1070</v>
      </c>
      <c r="AE24" s="24" t="s">
        <v>1070</v>
      </c>
      <c r="AF24">
        <v>-39</v>
      </c>
      <c r="AG24">
        <v>75.343662739965083</v>
      </c>
      <c r="AH24" s="307"/>
      <c r="AI24" s="25"/>
    </row>
    <row r="25" spans="1:46">
      <c r="A25" s="26" t="s">
        <v>14</v>
      </c>
      <c r="B25" s="158" t="s">
        <v>91</v>
      </c>
      <c r="C25" s="94">
        <v>640333.33333333337</v>
      </c>
      <c r="D25" s="95">
        <v>189199.99999999997</v>
      </c>
      <c r="E25" s="94">
        <v>0</v>
      </c>
      <c r="F25" s="95">
        <v>875.24166666666679</v>
      </c>
      <c r="G25" s="94">
        <v>78.766666666666666</v>
      </c>
      <c r="H25" s="95">
        <v>280.05</v>
      </c>
      <c r="I25" s="94">
        <v>476.84444444444443</v>
      </c>
      <c r="J25" s="95">
        <v>30666.666666666664</v>
      </c>
      <c r="K25" s="94">
        <v>1226.6666666666667</v>
      </c>
      <c r="L25" s="95">
        <v>13900</v>
      </c>
      <c r="M25" s="24">
        <v>13644.107807809884</v>
      </c>
      <c r="N25" s="480">
        <f t="shared" si="2"/>
        <v>47504.236111111109</v>
      </c>
      <c r="O25" s="96">
        <v>317090073416.66663</v>
      </c>
      <c r="P25" s="38">
        <v>7</v>
      </c>
      <c r="Q25" s="24">
        <f t="shared" si="0"/>
        <v>47504.236111111109</v>
      </c>
      <c r="R25" t="s">
        <v>91</v>
      </c>
      <c r="S25" t="s">
        <v>14</v>
      </c>
      <c r="T25">
        <v>46</v>
      </c>
      <c r="U25">
        <v>13644</v>
      </c>
      <c r="V25" s="24">
        <f t="shared" si="1"/>
        <v>47504.236111111109</v>
      </c>
      <c r="W25" s="24">
        <v>189199.99999999997</v>
      </c>
      <c r="X25" s="24" t="s">
        <v>1070</v>
      </c>
      <c r="Y25" s="24">
        <v>875.24166666666679</v>
      </c>
      <c r="Z25" s="24">
        <v>78.766666666666666</v>
      </c>
      <c r="AA25" s="24">
        <v>280.05</v>
      </c>
      <c r="AB25" s="24">
        <v>476.84444444444443</v>
      </c>
      <c r="AC25" s="24">
        <v>30666.666666666664</v>
      </c>
      <c r="AD25" s="24">
        <v>1226.6666666666667</v>
      </c>
      <c r="AE25" s="24">
        <v>13900</v>
      </c>
      <c r="AF25">
        <v>-46</v>
      </c>
      <c r="AG25">
        <v>125.85962467277484</v>
      </c>
      <c r="AH25" s="307"/>
      <c r="AI25" s="25"/>
    </row>
    <row r="26" spans="1:46">
      <c r="A26" s="25" t="s">
        <v>1072</v>
      </c>
      <c r="B26" s="158" t="s">
        <v>95</v>
      </c>
      <c r="C26" s="84">
        <v>37079520.499819487</v>
      </c>
      <c r="D26" s="85">
        <v>3819.3839134423342</v>
      </c>
      <c r="E26" s="84" t="s">
        <v>1070</v>
      </c>
      <c r="F26" s="85">
        <v>302.69749999999999</v>
      </c>
      <c r="G26" s="84">
        <v>0</v>
      </c>
      <c r="H26" s="85" t="s">
        <v>1070</v>
      </c>
      <c r="I26" s="84">
        <v>144.76666666666668</v>
      </c>
      <c r="J26" s="85">
        <v>3833.3333333333335</v>
      </c>
      <c r="K26" s="84" t="s">
        <v>1070</v>
      </c>
      <c r="L26" s="85">
        <v>1056.6666666666667</v>
      </c>
      <c r="M26" s="24">
        <v>222.1</v>
      </c>
      <c r="N26" s="480">
        <f t="shared" si="2"/>
        <v>5337.4641666666676</v>
      </c>
      <c r="O26" s="93">
        <v>25573.66396513482</v>
      </c>
      <c r="P26" s="40">
        <v>7</v>
      </c>
      <c r="Q26" s="24">
        <f t="shared" si="0"/>
        <v>5337.4641666666676</v>
      </c>
      <c r="R26" t="s">
        <v>95</v>
      </c>
      <c r="S26" t="s">
        <v>1073</v>
      </c>
      <c r="T26" t="s">
        <v>1074</v>
      </c>
      <c r="U26">
        <v>222</v>
      </c>
      <c r="V26" s="24">
        <f t="shared" si="1"/>
        <v>5337.4641666666676</v>
      </c>
      <c r="W26" s="24">
        <v>15626.666666666666</v>
      </c>
      <c r="X26" s="24" t="s">
        <v>1070</v>
      </c>
      <c r="Y26" s="24">
        <v>302.69749999999999</v>
      </c>
      <c r="Z26" s="24">
        <v>0</v>
      </c>
      <c r="AA26" s="24" t="s">
        <v>1070</v>
      </c>
      <c r="AB26" s="24">
        <v>144.76666666666668</v>
      </c>
      <c r="AC26" s="24">
        <v>3833.3333333333335</v>
      </c>
      <c r="AD26" s="24" t="s">
        <v>1070</v>
      </c>
      <c r="AE26" s="24">
        <v>1056.6666666666667</v>
      </c>
      <c r="AF26" s="27">
        <v>-44</v>
      </c>
      <c r="AH26" s="307"/>
      <c r="AI26" s="25"/>
    </row>
    <row r="27" spans="1:46">
      <c r="A27" s="25" t="s">
        <v>1072</v>
      </c>
      <c r="B27" s="158" t="s">
        <v>99</v>
      </c>
      <c r="C27" s="84">
        <v>1850248.6171442128</v>
      </c>
      <c r="D27" s="85">
        <v>36607.921589522863</v>
      </c>
      <c r="E27" s="84">
        <v>16.484316810220268</v>
      </c>
      <c r="F27" s="85"/>
      <c r="H27" s="85">
        <v>1137.1505391732021</v>
      </c>
      <c r="I27" s="84">
        <v>0</v>
      </c>
      <c r="J27" s="85">
        <v>0</v>
      </c>
      <c r="K27" s="84">
        <v>0</v>
      </c>
      <c r="L27" s="85">
        <v>3048.6059619545681</v>
      </c>
      <c r="M27" s="24">
        <v>18.8</v>
      </c>
      <c r="N27" s="480">
        <f t="shared" si="2"/>
        <v>4202.2408179379909</v>
      </c>
      <c r="O27" s="93">
        <v>0</v>
      </c>
      <c r="P27" s="40">
        <v>7</v>
      </c>
      <c r="Q27" s="24">
        <f t="shared" si="0"/>
        <v>4202.2408179379909</v>
      </c>
      <c r="R27" t="s">
        <v>99</v>
      </c>
      <c r="S27" t="s">
        <v>1075</v>
      </c>
      <c r="T27" t="s">
        <v>1076</v>
      </c>
      <c r="U27">
        <v>19</v>
      </c>
      <c r="V27" s="24">
        <f t="shared" si="1"/>
        <v>33513.044444444444</v>
      </c>
      <c r="W27" s="24">
        <v>75149.166666666672</v>
      </c>
      <c r="X27" s="24" t="s">
        <v>1070</v>
      </c>
      <c r="Y27" s="24">
        <v>197.85111111111109</v>
      </c>
      <c r="Z27" s="24">
        <v>5.1933333333333334</v>
      </c>
      <c r="AA27" s="24" t="s">
        <v>1070</v>
      </c>
      <c r="AB27" s="24" t="s">
        <v>1070</v>
      </c>
      <c r="AC27" s="24">
        <v>32318.333333333336</v>
      </c>
      <c r="AD27" s="24">
        <v>161.66666666666666</v>
      </c>
      <c r="AE27" s="24">
        <v>830</v>
      </c>
      <c r="AF27">
        <v>-17</v>
      </c>
      <c r="AH27" s="307"/>
      <c r="AI27" s="25"/>
    </row>
    <row r="28" spans="1:46" ht="15.75" thickBot="1">
      <c r="A28" s="26"/>
      <c r="B28" s="174" t="s">
        <v>101</v>
      </c>
      <c r="C28" s="94">
        <v>221935.40876995967</v>
      </c>
      <c r="D28" s="95">
        <v>615.5164729092354</v>
      </c>
      <c r="E28" s="94">
        <v>0</v>
      </c>
      <c r="F28" s="95"/>
      <c r="G28" s="94"/>
      <c r="H28" s="95">
        <v>1132.1939138281909</v>
      </c>
      <c r="I28" s="94">
        <v>631.01110277170733</v>
      </c>
      <c r="J28" s="95">
        <v>0</v>
      </c>
      <c r="K28" s="94">
        <v>0</v>
      </c>
      <c r="L28" s="95">
        <v>3423.2104957928832</v>
      </c>
      <c r="M28" s="24">
        <v>28</v>
      </c>
      <c r="N28" s="480">
        <f t="shared" si="2"/>
        <v>5186.4155123927812</v>
      </c>
      <c r="O28" s="96">
        <v>0</v>
      </c>
      <c r="P28" s="38">
        <v>7</v>
      </c>
      <c r="Q28" s="24">
        <f t="shared" si="0"/>
        <v>5186.4155123927812</v>
      </c>
      <c r="R28" t="s">
        <v>101</v>
      </c>
      <c r="S28" t="s">
        <v>1077</v>
      </c>
      <c r="T28" t="s">
        <v>1078</v>
      </c>
      <c r="U28">
        <v>28</v>
      </c>
      <c r="V28" s="24">
        <v>44896.666666666664</v>
      </c>
      <c r="W28" s="24">
        <v>28.944444444444443</v>
      </c>
      <c r="X28" s="24">
        <v>27381.666666666668</v>
      </c>
      <c r="Y28" s="24">
        <v>3868.4666666666667</v>
      </c>
      <c r="Z28" s="24">
        <v>4986.833333333333</v>
      </c>
      <c r="AA28" s="24">
        <v>252.91666666666669</v>
      </c>
      <c r="AB28" s="24">
        <v>54995.833333333336</v>
      </c>
      <c r="AC28" s="24">
        <v>583.33333333333337</v>
      </c>
      <c r="AD28" s="24">
        <v>18888.888888888887</v>
      </c>
      <c r="AE28" s="24"/>
      <c r="AF28">
        <v>-70</v>
      </c>
      <c r="AH28" s="307"/>
      <c r="AI28" s="25"/>
    </row>
    <row r="29" spans="1:46">
      <c r="A29" s="312" t="s">
        <v>1079</v>
      </c>
      <c r="B29" s="313" t="s">
        <v>1080</v>
      </c>
      <c r="C29" s="85">
        <v>1429201250.8116596</v>
      </c>
      <c r="D29" s="85">
        <v>2991793.1752441116</v>
      </c>
      <c r="E29" s="85">
        <v>11313.474128410402</v>
      </c>
      <c r="F29" s="85"/>
      <c r="G29" s="85"/>
      <c r="H29" s="84">
        <v>12692859.879654162</v>
      </c>
      <c r="I29" s="85">
        <v>120256.90621511071</v>
      </c>
      <c r="J29" s="84">
        <v>1002649698.7335089</v>
      </c>
      <c r="K29" s="85">
        <v>19724.151225886671</v>
      </c>
      <c r="L29" s="314" t="s">
        <v>1070</v>
      </c>
    </row>
    <row r="30" spans="1:46">
      <c r="A30" s="25"/>
    </row>
    <row r="31" spans="1:46">
      <c r="D31" s="133" t="s">
        <v>1081</v>
      </c>
    </row>
    <row r="36" spans="19:30">
      <c r="S36" t="s">
        <v>1082</v>
      </c>
      <c r="T36">
        <v>48</v>
      </c>
      <c r="U36">
        <v>45991555.555555552</v>
      </c>
      <c r="V36">
        <v>4285600</v>
      </c>
      <c r="W36" t="s">
        <v>1070</v>
      </c>
      <c r="X36">
        <v>11503110</v>
      </c>
      <c r="Y36">
        <v>1962305</v>
      </c>
      <c r="Z36">
        <v>3110200</v>
      </c>
      <c r="AA36" t="s">
        <v>1070</v>
      </c>
      <c r="AB36">
        <v>36640000</v>
      </c>
      <c r="AC36">
        <v>0</v>
      </c>
      <c r="AD36">
        <v>17258666.666666668</v>
      </c>
    </row>
    <row r="37" spans="19:30">
      <c r="S37" t="s">
        <v>1083</v>
      </c>
      <c r="T37">
        <v>5.7</v>
      </c>
      <c r="U37">
        <v>280769888.8888889</v>
      </c>
      <c r="V37" t="s">
        <v>1070</v>
      </c>
      <c r="W37" t="s">
        <v>1070</v>
      </c>
      <c r="X37">
        <v>13159000</v>
      </c>
      <c r="Y37">
        <v>3211200</v>
      </c>
      <c r="Z37">
        <v>3344200</v>
      </c>
      <c r="AA37" t="s">
        <v>1070</v>
      </c>
      <c r="AB37" t="s">
        <v>1070</v>
      </c>
      <c r="AC37" t="s">
        <v>1070</v>
      </c>
      <c r="AD37">
        <v>29120000</v>
      </c>
    </row>
    <row r="38" spans="19:30">
      <c r="S38" t="s">
        <v>1084</v>
      </c>
      <c r="T38" t="s">
        <v>1085</v>
      </c>
      <c r="U38">
        <v>37079520.499819487</v>
      </c>
      <c r="V38">
        <v>3819.3839134423342</v>
      </c>
      <c r="W38">
        <v>1107.6259652378653</v>
      </c>
      <c r="Z38" t="s">
        <v>1070</v>
      </c>
      <c r="AA38">
        <v>459.42682052258561</v>
      </c>
      <c r="AB38">
        <v>232066440.56242749</v>
      </c>
      <c r="AC38" t="s">
        <v>1070</v>
      </c>
      <c r="AD38">
        <v>25573.66396513482</v>
      </c>
    </row>
    <row r="39" spans="19:30">
      <c r="S39" t="s">
        <v>1086</v>
      </c>
      <c r="T39" t="s">
        <v>1087</v>
      </c>
      <c r="U39">
        <v>1850248.6171442128</v>
      </c>
      <c r="V39">
        <v>36607.921589522863</v>
      </c>
      <c r="W39">
        <v>16.484316810220268</v>
      </c>
      <c r="Z39">
        <v>1137.1505391732021</v>
      </c>
      <c r="AA39" t="s">
        <v>1070</v>
      </c>
      <c r="AB39" t="s">
        <v>1070</v>
      </c>
      <c r="AC39" t="s">
        <v>1070</v>
      </c>
      <c r="AD39" t="s">
        <v>1070</v>
      </c>
    </row>
    <row r="40" spans="19:30">
      <c r="S40" t="s">
        <v>1079</v>
      </c>
      <c r="T40" t="s">
        <v>1088</v>
      </c>
      <c r="U40">
        <v>1429201250.8116596</v>
      </c>
      <c r="V40">
        <v>2991793.1752441116</v>
      </c>
      <c r="W40">
        <v>11313.474128410402</v>
      </c>
      <c r="Z40">
        <v>12692859.879654162</v>
      </c>
      <c r="AA40">
        <v>120256.90621511071</v>
      </c>
      <c r="AB40">
        <v>1002649698.7335089</v>
      </c>
      <c r="AC40">
        <v>19724.151225886671</v>
      </c>
      <c r="AD40" t="s">
        <v>1070</v>
      </c>
    </row>
    <row r="41" spans="19:30">
      <c r="S41" t="s">
        <v>1089</v>
      </c>
      <c r="T41" t="s">
        <v>1090</v>
      </c>
      <c r="U41">
        <v>2173183.6860587914</v>
      </c>
      <c r="V41">
        <v>6567.3191989933784</v>
      </c>
      <c r="W41">
        <v>93.661858836415348</v>
      </c>
      <c r="Z41">
        <v>2047.1282764808234</v>
      </c>
      <c r="AA41">
        <v>1609.41625127873</v>
      </c>
      <c r="AB41">
        <v>38082034.714455336</v>
      </c>
      <c r="AC41">
        <v>334.00563938138669</v>
      </c>
      <c r="AD41" t="s">
        <v>1070</v>
      </c>
    </row>
    <row r="42" spans="19:30">
      <c r="S42" t="s">
        <v>1091</v>
      </c>
      <c r="T42" t="s">
        <v>1074</v>
      </c>
      <c r="U42">
        <v>1159452.9656958845</v>
      </c>
      <c r="V42">
        <v>10666.827371061139</v>
      </c>
      <c r="W42">
        <v>37.505012505339401</v>
      </c>
      <c r="Z42">
        <v>1205.1131849216201</v>
      </c>
      <c r="AA42" t="s">
        <v>1070</v>
      </c>
      <c r="AB42">
        <v>9578503.5121052004</v>
      </c>
      <c r="AC42" t="s">
        <v>1070</v>
      </c>
      <c r="AD42">
        <v>1761.9747376236269</v>
      </c>
    </row>
    <row r="43" spans="19:30">
      <c r="S43" t="s">
        <v>1092</v>
      </c>
      <c r="T43">
        <v>22</v>
      </c>
      <c r="U43">
        <v>221935.40876995967</v>
      </c>
      <c r="V43">
        <v>615.5164729092354</v>
      </c>
      <c r="W43" t="s">
        <v>1070</v>
      </c>
      <c r="Z43">
        <v>1132.1939138281909</v>
      </c>
      <c r="AA43">
        <v>631.01110277170733</v>
      </c>
      <c r="AB43" t="s">
        <v>1070</v>
      </c>
      <c r="AC43" t="s">
        <v>1070</v>
      </c>
      <c r="AD43" t="s">
        <v>1070</v>
      </c>
    </row>
    <row r="44" spans="19:30">
      <c r="S44" t="s">
        <v>1093</v>
      </c>
      <c r="T44" t="s">
        <v>1076</v>
      </c>
      <c r="U44">
        <v>184277.90584255266</v>
      </c>
      <c r="V44">
        <v>20479.544080901178</v>
      </c>
      <c r="W44" t="s">
        <v>1070</v>
      </c>
      <c r="Z44">
        <v>2311.7067110049734</v>
      </c>
      <c r="AA44" t="s">
        <v>1070</v>
      </c>
      <c r="AB44" t="s">
        <v>1070</v>
      </c>
      <c r="AC44" t="s">
        <v>1070</v>
      </c>
      <c r="AD44" t="s">
        <v>1070</v>
      </c>
    </row>
    <row r="45" spans="19:30">
      <c r="S45" t="s">
        <v>1094</v>
      </c>
      <c r="T45" t="s">
        <v>1078</v>
      </c>
      <c r="U45">
        <v>2071598.3721847408</v>
      </c>
      <c r="V45">
        <v>10985.189705795536</v>
      </c>
      <c r="W45">
        <v>655.72083515986037</v>
      </c>
      <c r="Z45">
        <v>26480.868191050453</v>
      </c>
      <c r="AA45">
        <v>9874.9672317421318</v>
      </c>
      <c r="AB45">
        <v>9203566.4756024648</v>
      </c>
      <c r="AC45" t="s">
        <v>1070</v>
      </c>
      <c r="AD45" t="s">
        <v>1070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B6CF-2670-4DE6-A4CE-620A16651070}">
  <sheetPr>
    <tabColor rgb="FFE2C5FF"/>
  </sheetPr>
  <dimension ref="A1:AE128"/>
  <sheetViews>
    <sheetView topLeftCell="M1" zoomScale="80" zoomScaleNormal="80" workbookViewId="0">
      <selection activeCell="AJ22" sqref="AJ22"/>
    </sheetView>
  </sheetViews>
  <sheetFormatPr defaultRowHeight="15"/>
  <cols>
    <col min="1" max="10" width="11.140625" customWidth="1"/>
    <col min="11" max="12" width="9.42578125" bestFit="1" customWidth="1"/>
    <col min="13" max="13" width="10.42578125" bestFit="1" customWidth="1"/>
    <col min="14" max="14" width="9.42578125" customWidth="1"/>
    <col min="15" max="21" width="8.85546875"/>
    <col min="22" max="23" width="11.42578125" customWidth="1"/>
  </cols>
  <sheetData>
    <row r="1" spans="1:31" ht="36.4" customHeight="1">
      <c r="A1" s="21" t="s">
        <v>1095</v>
      </c>
      <c r="B1" s="21"/>
      <c r="E1" s="25" t="s">
        <v>1096</v>
      </c>
      <c r="N1" s="25" t="s">
        <v>1097</v>
      </c>
      <c r="Y1" s="21" t="s">
        <v>1098</v>
      </c>
      <c r="AA1" s="309" t="s">
        <v>1038</v>
      </c>
      <c r="AB1" s="309" t="s">
        <v>1039</v>
      </c>
      <c r="AC1" s="309" t="s">
        <v>1040</v>
      </c>
      <c r="AD1" s="605" t="s">
        <v>133</v>
      </c>
    </row>
    <row r="2" spans="1:31" s="36" customFormat="1" ht="57.6" customHeight="1">
      <c r="A2" s="36" t="s">
        <v>1000</v>
      </c>
      <c r="B2" s="36" t="s">
        <v>1099</v>
      </c>
      <c r="C2" s="36" t="s">
        <v>1100</v>
      </c>
      <c r="D2" s="36" t="s">
        <v>125</v>
      </c>
      <c r="E2" s="41" t="s">
        <v>1048</v>
      </c>
      <c r="F2" s="36" t="s">
        <v>1049</v>
      </c>
      <c r="G2" s="36" t="s">
        <v>1050</v>
      </c>
      <c r="H2" s="36" t="s">
        <v>1051</v>
      </c>
      <c r="I2" s="36" t="s">
        <v>1101</v>
      </c>
      <c r="J2" s="211" t="s">
        <v>1052</v>
      </c>
      <c r="K2" s="211" t="s">
        <v>1053</v>
      </c>
      <c r="L2" s="36" t="s">
        <v>1054</v>
      </c>
      <c r="M2" s="36" t="s">
        <v>1102</v>
      </c>
      <c r="N2" s="41" t="s">
        <v>1048</v>
      </c>
      <c r="O2" s="36" t="s">
        <v>1049</v>
      </c>
      <c r="P2" s="36" t="s">
        <v>1050</v>
      </c>
      <c r="Q2" s="36" t="s">
        <v>1051</v>
      </c>
      <c r="R2" s="36" t="s">
        <v>1101</v>
      </c>
      <c r="S2" s="36" t="s">
        <v>1052</v>
      </c>
      <c r="T2" s="36" t="s">
        <v>1053</v>
      </c>
      <c r="U2" s="36" t="s">
        <v>1054</v>
      </c>
      <c r="V2" s="36" t="s">
        <v>1103</v>
      </c>
      <c r="W2" s="36" t="s">
        <v>1004</v>
      </c>
      <c r="Z2" s="158"/>
      <c r="AA2" s="211" t="s">
        <v>1049</v>
      </c>
      <c r="AB2" s="211" t="s">
        <v>1050</v>
      </c>
      <c r="AC2" s="211" t="s">
        <v>1051</v>
      </c>
      <c r="AD2" s="182" t="s">
        <v>1099</v>
      </c>
      <c r="AE2" s="36" t="s">
        <v>1104</v>
      </c>
    </row>
    <row r="3" spans="1:31" ht="28.35" customHeight="1">
      <c r="A3" t="s">
        <v>99</v>
      </c>
      <c r="B3" s="43">
        <v>1.8800000000000001E-2</v>
      </c>
      <c r="C3" s="22">
        <v>1850248.6171442128</v>
      </c>
      <c r="D3" s="22">
        <v>36607.921589522863</v>
      </c>
      <c r="E3" s="377">
        <v>16.484316810220268</v>
      </c>
      <c r="F3" s="22"/>
      <c r="G3" s="22"/>
      <c r="H3" s="22">
        <v>1137.1505391732021</v>
      </c>
      <c r="I3" s="22">
        <v>0</v>
      </c>
      <c r="J3" s="22">
        <v>0</v>
      </c>
      <c r="K3" s="22">
        <v>0</v>
      </c>
      <c r="L3" s="22">
        <v>3048.6059619545681</v>
      </c>
      <c r="M3" s="22">
        <f>SUM(E3:L3)</f>
        <v>4202.2408179379909</v>
      </c>
      <c r="N3" s="481">
        <f t="shared" ref="N3:N28" si="0">E3/$C3</f>
        <v>8.9092442266829926E-6</v>
      </c>
      <c r="O3" s="316">
        <f t="shared" ref="O3:U3" si="1">F3/$C3</f>
        <v>0</v>
      </c>
      <c r="P3" s="316">
        <f t="shared" si="1"/>
        <v>0</v>
      </c>
      <c r="Q3" s="316">
        <f t="shared" si="1"/>
        <v>6.1459337336425095E-4</v>
      </c>
      <c r="R3" s="316">
        <f t="shared" si="1"/>
        <v>0</v>
      </c>
      <c r="S3" s="316">
        <f t="shared" si="1"/>
        <v>0</v>
      </c>
      <c r="T3" s="316">
        <f t="shared" si="1"/>
        <v>0</v>
      </c>
      <c r="U3" s="316">
        <f t="shared" si="1"/>
        <v>1.6476736875825767E-3</v>
      </c>
      <c r="V3" s="24">
        <v>0</v>
      </c>
      <c r="W3" s="24">
        <v>2</v>
      </c>
      <c r="Y3" s="24"/>
      <c r="Z3" s="158" t="s">
        <v>99</v>
      </c>
      <c r="AA3" s="85"/>
      <c r="AC3" s="85">
        <v>1137.1505391732021</v>
      </c>
      <c r="AD3" s="562">
        <v>1.8800000000000001E-2</v>
      </c>
      <c r="AE3" s="316">
        <f>SUM(AA3:AC3)</f>
        <v>1137.1505391732021</v>
      </c>
    </row>
    <row r="4" spans="1:31">
      <c r="A4" t="s">
        <v>64</v>
      </c>
      <c r="B4" s="43">
        <v>2.2031508881945314E-2</v>
      </c>
      <c r="C4" s="22">
        <v>366888.88888888893</v>
      </c>
      <c r="D4" s="22">
        <v>999</v>
      </c>
      <c r="E4" s="377">
        <v>0</v>
      </c>
      <c r="F4" s="22">
        <v>100.21111111111111</v>
      </c>
      <c r="G4" s="22">
        <v>65.281666666666666</v>
      </c>
      <c r="H4" s="22">
        <v>0</v>
      </c>
      <c r="I4" s="22">
        <v>32.573333333333331</v>
      </c>
      <c r="J4" s="22">
        <v>1831.5</v>
      </c>
      <c r="K4" s="22">
        <v>0</v>
      </c>
      <c r="L4" s="22">
        <v>1525.8333333333333</v>
      </c>
      <c r="M4" s="22">
        <f t="shared" ref="M4:M27" si="2">SUM(E4:L4)</f>
        <v>3555.3994444444443</v>
      </c>
      <c r="N4" s="481">
        <f t="shared" si="0"/>
        <v>0</v>
      </c>
      <c r="O4" s="316">
        <f t="shared" ref="O4:O28" si="3">F4/$C4</f>
        <v>2.7313749242883096E-4</v>
      </c>
      <c r="P4" s="316">
        <f t="shared" ref="P4:P28" si="4">G4/$C4</f>
        <v>1.7793307086614172E-4</v>
      </c>
      <c r="Q4" s="316">
        <f t="shared" ref="Q4:Q28" si="5">H4/$C4</f>
        <v>0</v>
      </c>
      <c r="R4" s="316">
        <f t="shared" ref="R4:R28" si="6">I4/$C4</f>
        <v>8.8782556026650495E-5</v>
      </c>
      <c r="S4" s="316">
        <f t="shared" ref="S4:S28" si="7">J4/$C4</f>
        <v>4.9919745608721982E-3</v>
      </c>
      <c r="T4" s="316">
        <f t="shared" ref="T4:T28" si="8">K4/$C4</f>
        <v>0</v>
      </c>
      <c r="U4" s="316">
        <f t="shared" ref="U4:U28" si="9">L4/$C4</f>
        <v>4.158843125378558E-3</v>
      </c>
      <c r="V4" s="24">
        <v>7.7746428326927344</v>
      </c>
      <c r="W4" s="24">
        <v>11</v>
      </c>
      <c r="Y4" s="24"/>
      <c r="Z4" s="158" t="s">
        <v>64</v>
      </c>
      <c r="AA4" s="84">
        <v>100.21111111111111</v>
      </c>
      <c r="AB4" s="85">
        <v>65.281666666666666</v>
      </c>
      <c r="AC4" s="84">
        <v>0</v>
      </c>
      <c r="AD4" s="562">
        <v>2.2031508881945314E-2</v>
      </c>
      <c r="AE4" s="316">
        <f t="shared" ref="AE4:AE28" si="10">SUM(AA4:AC4)</f>
        <v>165.49277777777777</v>
      </c>
    </row>
    <row r="5" spans="1:31">
      <c r="A5" t="s">
        <v>62</v>
      </c>
      <c r="B5" s="43">
        <v>2.4769927925219561E-2</v>
      </c>
      <c r="C5" s="22">
        <v>35761.111111111109</v>
      </c>
      <c r="D5" s="22">
        <v>33433.333333333336</v>
      </c>
      <c r="E5" s="377">
        <v>0</v>
      </c>
      <c r="F5" s="22">
        <v>20.079999999999998</v>
      </c>
      <c r="G5" s="22">
        <v>28.25333333333333</v>
      </c>
      <c r="H5" s="22">
        <v>0</v>
      </c>
      <c r="I5" s="22">
        <v>0</v>
      </c>
      <c r="J5" s="22">
        <v>0</v>
      </c>
      <c r="K5" s="22">
        <v>0</v>
      </c>
      <c r="L5" s="22">
        <v>379.83333333333337</v>
      </c>
      <c r="M5" s="22">
        <f t="shared" si="2"/>
        <v>428.16666666666669</v>
      </c>
      <c r="N5" s="481">
        <f t="shared" si="0"/>
        <v>0</v>
      </c>
      <c r="O5" s="316">
        <f t="shared" si="3"/>
        <v>5.6150380612086373E-4</v>
      </c>
      <c r="P5" s="316">
        <f t="shared" si="4"/>
        <v>7.9005748019263624E-4</v>
      </c>
      <c r="Q5" s="316">
        <f t="shared" si="5"/>
        <v>0</v>
      </c>
      <c r="R5" s="316">
        <f t="shared" si="6"/>
        <v>0</v>
      </c>
      <c r="S5" s="316">
        <f t="shared" si="7"/>
        <v>0</v>
      </c>
      <c r="T5" s="316">
        <f t="shared" si="8"/>
        <v>0</v>
      </c>
      <c r="U5" s="316">
        <f t="shared" si="9"/>
        <v>1.0621407487960231E-2</v>
      </c>
      <c r="V5" s="24">
        <v>5.2153797194530398</v>
      </c>
      <c r="W5" s="24">
        <v>4</v>
      </c>
      <c r="Y5" s="24"/>
      <c r="Z5" s="158" t="s">
        <v>62</v>
      </c>
      <c r="AA5" s="84">
        <v>20.079999999999998</v>
      </c>
      <c r="AB5" s="85">
        <v>28.25333333333333</v>
      </c>
      <c r="AC5" s="84">
        <v>0</v>
      </c>
      <c r="AD5" s="562">
        <v>2.4769927925219561E-2</v>
      </c>
      <c r="AE5" s="316">
        <f t="shared" si="10"/>
        <v>48.333333333333329</v>
      </c>
    </row>
    <row r="6" spans="1:31">
      <c r="A6" t="s">
        <v>75</v>
      </c>
      <c r="B6" s="43">
        <v>2.6329635294249171E-2</v>
      </c>
      <c r="C6" s="22">
        <v>1190175</v>
      </c>
      <c r="D6" s="22">
        <v>48590.666666666664</v>
      </c>
      <c r="E6" s="377">
        <v>0</v>
      </c>
      <c r="F6" s="22">
        <v>867.25833333333333</v>
      </c>
      <c r="G6" s="22">
        <v>72.601111111111109</v>
      </c>
      <c r="H6" s="22">
        <v>0</v>
      </c>
      <c r="I6" s="22">
        <v>123.73333333333333</v>
      </c>
      <c r="J6" s="22">
        <v>78191.666666666672</v>
      </c>
      <c r="K6" s="22">
        <v>309.16666666666663</v>
      </c>
      <c r="L6" s="22">
        <v>1288.3333333333333</v>
      </c>
      <c r="M6" s="22">
        <f t="shared" si="2"/>
        <v>80852.759444444455</v>
      </c>
      <c r="N6" s="481">
        <f t="shared" si="0"/>
        <v>0</v>
      </c>
      <c r="O6" s="316">
        <f t="shared" si="3"/>
        <v>7.2868135638316496E-4</v>
      </c>
      <c r="P6" s="316">
        <f t="shared" si="4"/>
        <v>6.1000366426039121E-5</v>
      </c>
      <c r="Q6" s="316">
        <f t="shared" si="5"/>
        <v>0</v>
      </c>
      <c r="R6" s="316">
        <f t="shared" si="6"/>
        <v>1.0396230246252302E-4</v>
      </c>
      <c r="S6" s="316">
        <f t="shared" si="7"/>
        <v>6.5697621498239059E-2</v>
      </c>
      <c r="T6" s="316">
        <f t="shared" si="8"/>
        <v>2.5976572072734398E-4</v>
      </c>
      <c r="U6" s="316">
        <f t="shared" si="9"/>
        <v>1.0824738658880696E-3</v>
      </c>
      <c r="V6" s="24">
        <v>0</v>
      </c>
      <c r="W6" s="24">
        <v>2</v>
      </c>
      <c r="Y6" s="24"/>
      <c r="Z6" s="158" t="s">
        <v>75</v>
      </c>
      <c r="AA6" s="84">
        <v>867.25833333333333</v>
      </c>
      <c r="AB6" s="85">
        <v>72.601111111111109</v>
      </c>
      <c r="AC6" s="84">
        <v>0</v>
      </c>
      <c r="AD6" s="562">
        <v>2.6329635294249171E-2</v>
      </c>
      <c r="AE6" s="316">
        <f t="shared" si="10"/>
        <v>939.85944444444442</v>
      </c>
    </row>
    <row r="7" spans="1:31">
      <c r="A7" t="s">
        <v>101</v>
      </c>
      <c r="B7" s="43">
        <v>2.8000000000000001E-2</v>
      </c>
      <c r="C7" s="22">
        <v>221935.40876995967</v>
      </c>
      <c r="D7" s="22">
        <v>615.5164729092354</v>
      </c>
      <c r="E7" s="377">
        <v>0</v>
      </c>
      <c r="F7" s="22"/>
      <c r="G7" s="22"/>
      <c r="H7" s="22">
        <v>1132.1939138281909</v>
      </c>
      <c r="I7" s="22">
        <v>631.01110277170733</v>
      </c>
      <c r="J7" s="22">
        <v>0</v>
      </c>
      <c r="K7" s="22">
        <v>0</v>
      </c>
      <c r="L7" s="22">
        <v>3423.2104957928832</v>
      </c>
      <c r="M7" s="22">
        <f t="shared" si="2"/>
        <v>5186.4155123927812</v>
      </c>
      <c r="N7" s="481">
        <f t="shared" si="0"/>
        <v>0</v>
      </c>
      <c r="O7" s="316">
        <f t="shared" si="3"/>
        <v>0</v>
      </c>
      <c r="P7" s="316">
        <f t="shared" si="4"/>
        <v>0</v>
      </c>
      <c r="Q7" s="316">
        <f t="shared" si="5"/>
        <v>5.101456861269631E-3</v>
      </c>
      <c r="R7" s="316">
        <f t="shared" si="6"/>
        <v>2.8432195937952492E-3</v>
      </c>
      <c r="S7" s="316">
        <f t="shared" si="7"/>
        <v>0</v>
      </c>
      <c r="T7" s="316">
        <f t="shared" si="8"/>
        <v>0</v>
      </c>
      <c r="U7" s="316">
        <f t="shared" si="9"/>
        <v>1.5424354837136903E-2</v>
      </c>
      <c r="V7" s="24">
        <v>0</v>
      </c>
      <c r="W7" s="24">
        <v>1</v>
      </c>
      <c r="Y7" s="24"/>
      <c r="Z7" s="158" t="s">
        <v>101</v>
      </c>
      <c r="AA7" s="85"/>
      <c r="AB7" s="84"/>
      <c r="AC7" s="85">
        <v>1132.1939138281909</v>
      </c>
      <c r="AD7" s="562">
        <v>2.8000000000000001E-2</v>
      </c>
      <c r="AE7" s="316">
        <f t="shared" si="10"/>
        <v>1132.1939138281909</v>
      </c>
    </row>
    <row r="8" spans="1:31">
      <c r="A8" t="s">
        <v>76</v>
      </c>
      <c r="B8" s="43">
        <v>3.3438457743231835E-2</v>
      </c>
      <c r="C8" s="22">
        <v>720166.66666666663</v>
      </c>
      <c r="D8" s="22">
        <v>30655.555555555558</v>
      </c>
      <c r="E8" s="377">
        <v>0</v>
      </c>
      <c r="F8" s="22">
        <v>271.0333333333333</v>
      </c>
      <c r="G8" s="22">
        <v>0</v>
      </c>
      <c r="H8" s="22">
        <v>0</v>
      </c>
      <c r="I8" s="22">
        <v>38.866666666666667</v>
      </c>
      <c r="J8" s="22">
        <v>0</v>
      </c>
      <c r="K8" s="22">
        <v>0</v>
      </c>
      <c r="L8" s="22">
        <v>1380</v>
      </c>
      <c r="M8" s="22">
        <f t="shared" si="2"/>
        <v>1689.9</v>
      </c>
      <c r="N8" s="481">
        <f t="shared" si="0"/>
        <v>0</v>
      </c>
      <c r="O8" s="316">
        <f t="shared" si="3"/>
        <v>3.7634806757694977E-4</v>
      </c>
      <c r="P8" s="316">
        <f t="shared" si="4"/>
        <v>0</v>
      </c>
      <c r="Q8" s="316">
        <f t="shared" si="5"/>
        <v>0</v>
      </c>
      <c r="R8" s="316">
        <f t="shared" si="6"/>
        <v>5.3968988660032404E-5</v>
      </c>
      <c r="S8" s="316">
        <f t="shared" si="7"/>
        <v>0</v>
      </c>
      <c r="T8" s="316">
        <f t="shared" si="8"/>
        <v>0</v>
      </c>
      <c r="U8" s="316">
        <f t="shared" si="9"/>
        <v>1.9162230965054387E-3</v>
      </c>
      <c r="V8" s="24">
        <v>0</v>
      </c>
      <c r="W8" s="24">
        <v>1</v>
      </c>
      <c r="Y8" s="24"/>
      <c r="Z8" s="158" t="s">
        <v>76</v>
      </c>
      <c r="AA8" s="84">
        <v>271.0333333333333</v>
      </c>
      <c r="AB8" s="85">
        <v>0</v>
      </c>
      <c r="AC8" s="84">
        <v>0</v>
      </c>
      <c r="AD8" s="562">
        <v>3.3438457743231835E-2</v>
      </c>
      <c r="AE8" s="316">
        <f t="shared" si="10"/>
        <v>271.0333333333333</v>
      </c>
    </row>
    <row r="9" spans="1:31">
      <c r="A9" t="s">
        <v>24</v>
      </c>
      <c r="B9" s="43">
        <v>6.7400000000000002E-2</v>
      </c>
      <c r="C9" s="22">
        <v>1475833.3333333333</v>
      </c>
      <c r="D9" s="22">
        <v>18439.444444444445</v>
      </c>
      <c r="E9" s="377">
        <v>0</v>
      </c>
      <c r="F9" s="22">
        <v>408.4666666666667</v>
      </c>
      <c r="G9" s="22">
        <v>25.383333333333333</v>
      </c>
      <c r="H9" s="22">
        <v>0</v>
      </c>
      <c r="I9" s="22">
        <v>660.12222222222215</v>
      </c>
      <c r="J9" s="22">
        <v>0</v>
      </c>
      <c r="K9" s="22">
        <v>1254.4444444444443</v>
      </c>
      <c r="L9" s="22">
        <v>12866.666666666666</v>
      </c>
      <c r="M9" s="22">
        <f t="shared" si="2"/>
        <v>15215.083333333332</v>
      </c>
      <c r="N9" s="481">
        <f t="shared" si="0"/>
        <v>0</v>
      </c>
      <c r="O9" s="316">
        <f t="shared" si="3"/>
        <v>2.7677018633540378E-4</v>
      </c>
      <c r="P9" s="316">
        <f t="shared" si="4"/>
        <v>1.7199322416713722E-5</v>
      </c>
      <c r="Q9" s="316">
        <f t="shared" si="5"/>
        <v>0</v>
      </c>
      <c r="R9" s="316">
        <f t="shared" si="6"/>
        <v>4.47287784679089E-4</v>
      </c>
      <c r="S9" s="316">
        <f t="shared" si="7"/>
        <v>0</v>
      </c>
      <c r="T9" s="316">
        <f t="shared" si="8"/>
        <v>8.4999058912102389E-4</v>
      </c>
      <c r="U9" s="316">
        <f t="shared" si="9"/>
        <v>8.7182382834556753E-3</v>
      </c>
      <c r="V9">
        <v>0</v>
      </c>
      <c r="W9">
        <v>3</v>
      </c>
      <c r="Y9" s="24"/>
      <c r="Z9" s="158" t="s">
        <v>24</v>
      </c>
      <c r="AA9" s="84">
        <v>408.4666666666667</v>
      </c>
      <c r="AB9" s="85">
        <v>25.383333333333333</v>
      </c>
      <c r="AC9" s="84">
        <v>0</v>
      </c>
      <c r="AD9" s="562">
        <v>6.7400000000000002E-2</v>
      </c>
      <c r="AE9" s="316">
        <f t="shared" si="10"/>
        <v>433.85</v>
      </c>
    </row>
    <row r="10" spans="1:31">
      <c r="A10" t="s">
        <v>33</v>
      </c>
      <c r="B10" s="43">
        <v>0.12079999999999999</v>
      </c>
      <c r="C10" s="22">
        <v>5667500</v>
      </c>
      <c r="D10" s="22">
        <v>7470</v>
      </c>
      <c r="E10" s="377">
        <v>0</v>
      </c>
      <c r="F10" s="22">
        <v>1034.9333333333334</v>
      </c>
      <c r="G10" s="22">
        <v>0</v>
      </c>
      <c r="H10" s="22">
        <v>0</v>
      </c>
      <c r="I10" s="22">
        <v>628.20000000000005</v>
      </c>
      <c r="J10" s="22">
        <v>0</v>
      </c>
      <c r="K10" s="22">
        <v>12254.166666666668</v>
      </c>
      <c r="L10" s="22">
        <v>80092.5</v>
      </c>
      <c r="M10" s="22">
        <f t="shared" si="2"/>
        <v>94009.8</v>
      </c>
      <c r="N10" s="481">
        <f t="shared" si="0"/>
        <v>0</v>
      </c>
      <c r="O10" s="316">
        <f t="shared" si="3"/>
        <v>1.8260843993530364E-4</v>
      </c>
      <c r="P10" s="316">
        <f t="shared" si="4"/>
        <v>0</v>
      </c>
      <c r="Q10" s="316">
        <f t="shared" si="5"/>
        <v>0</v>
      </c>
      <c r="R10" s="316">
        <f t="shared" si="6"/>
        <v>1.1084252315835908E-4</v>
      </c>
      <c r="S10" s="316">
        <f t="shared" si="7"/>
        <v>0</v>
      </c>
      <c r="T10" s="316">
        <f t="shared" si="8"/>
        <v>2.1621820320541097E-3</v>
      </c>
      <c r="U10" s="316">
        <f t="shared" si="9"/>
        <v>1.4131892368769298E-2</v>
      </c>
      <c r="V10">
        <v>0</v>
      </c>
      <c r="W10">
        <v>4</v>
      </c>
      <c r="Y10" s="24"/>
      <c r="Z10" s="158" t="s">
        <v>33</v>
      </c>
      <c r="AA10" s="84">
        <v>1034.9333333333334</v>
      </c>
      <c r="AB10" s="85">
        <v>0</v>
      </c>
      <c r="AC10" s="84">
        <v>0</v>
      </c>
      <c r="AD10" s="562">
        <v>0.12079999999999999</v>
      </c>
      <c r="AE10" s="316">
        <f t="shared" si="10"/>
        <v>1034.9333333333334</v>
      </c>
    </row>
    <row r="11" spans="1:31">
      <c r="A11" t="s">
        <v>78</v>
      </c>
      <c r="B11" s="43">
        <v>0.12082128078730307</v>
      </c>
      <c r="C11" s="22">
        <v>2149166.6666666665</v>
      </c>
      <c r="D11" s="22">
        <v>5632.333333333333</v>
      </c>
      <c r="E11" s="377">
        <v>0</v>
      </c>
      <c r="F11" s="22">
        <v>370.16666666666663</v>
      </c>
      <c r="G11" s="22">
        <v>16.12</v>
      </c>
      <c r="H11" s="22">
        <v>0</v>
      </c>
      <c r="I11" s="22">
        <v>0</v>
      </c>
      <c r="J11" s="22">
        <v>0</v>
      </c>
      <c r="K11" s="22">
        <v>2180</v>
      </c>
      <c r="L11" s="22">
        <v>10477.777777777776</v>
      </c>
      <c r="M11" s="22">
        <f t="shared" si="2"/>
        <v>13044.064444444442</v>
      </c>
      <c r="N11" s="481">
        <f t="shared" si="0"/>
        <v>0</v>
      </c>
      <c r="O11" s="316">
        <f t="shared" si="3"/>
        <v>1.7223730127956572E-4</v>
      </c>
      <c r="P11" s="316">
        <f t="shared" si="4"/>
        <v>7.5005816207832501E-6</v>
      </c>
      <c r="Q11" s="316">
        <f t="shared" si="5"/>
        <v>0</v>
      </c>
      <c r="R11" s="316">
        <f t="shared" si="6"/>
        <v>0</v>
      </c>
      <c r="S11" s="316">
        <f t="shared" si="7"/>
        <v>0</v>
      </c>
      <c r="T11" s="316">
        <f t="shared" si="8"/>
        <v>1.0143466459868167E-3</v>
      </c>
      <c r="U11" s="316">
        <f t="shared" si="9"/>
        <v>4.8752746542587563E-3</v>
      </c>
      <c r="V11" s="24">
        <v>0</v>
      </c>
      <c r="W11" s="24">
        <v>1</v>
      </c>
      <c r="Y11" s="24"/>
      <c r="Z11" s="158" t="s">
        <v>78</v>
      </c>
      <c r="AA11" s="84">
        <v>370.16666666666663</v>
      </c>
      <c r="AB11" s="85">
        <v>16.12</v>
      </c>
      <c r="AC11" s="84">
        <v>0</v>
      </c>
      <c r="AD11" s="562">
        <v>0.12082128078730307</v>
      </c>
      <c r="AE11" s="316">
        <f t="shared" si="10"/>
        <v>386.28666666666663</v>
      </c>
    </row>
    <row r="12" spans="1:31">
      <c r="A12" t="s">
        <v>60</v>
      </c>
      <c r="B12" s="43">
        <v>0.20501316083293236</v>
      </c>
      <c r="C12" s="22">
        <v>23725.555555555551</v>
      </c>
      <c r="D12" s="22">
        <v>79302</v>
      </c>
      <c r="E12" s="377">
        <v>0</v>
      </c>
      <c r="F12" s="22">
        <v>86.805555555555543</v>
      </c>
      <c r="G12" s="22">
        <v>29.567777777777778</v>
      </c>
      <c r="H12" s="22">
        <v>0</v>
      </c>
      <c r="I12" s="22">
        <v>0</v>
      </c>
      <c r="J12" s="22">
        <v>0</v>
      </c>
      <c r="K12" s="22">
        <v>0</v>
      </c>
      <c r="L12" s="22">
        <v>87.666666666666671</v>
      </c>
      <c r="M12" s="22">
        <f t="shared" si="2"/>
        <v>204.04</v>
      </c>
      <c r="N12" s="481">
        <f t="shared" si="0"/>
        <v>0</v>
      </c>
      <c r="O12" s="316">
        <f t="shared" si="3"/>
        <v>3.6587364773099798E-3</v>
      </c>
      <c r="P12" s="316">
        <f t="shared" si="4"/>
        <v>1.2462417458905075E-3</v>
      </c>
      <c r="Q12" s="316">
        <f t="shared" si="5"/>
        <v>0</v>
      </c>
      <c r="R12" s="316">
        <f t="shared" si="6"/>
        <v>0</v>
      </c>
      <c r="S12" s="316">
        <f t="shared" si="7"/>
        <v>0</v>
      </c>
      <c r="T12" s="316">
        <f t="shared" si="8"/>
        <v>0</v>
      </c>
      <c r="U12" s="316">
        <f t="shared" si="9"/>
        <v>3.6950311431648958E-3</v>
      </c>
      <c r="V12" s="24">
        <v>6</v>
      </c>
      <c r="W12" s="24">
        <v>12</v>
      </c>
      <c r="Y12" s="24"/>
      <c r="Z12" s="158" t="s">
        <v>60</v>
      </c>
      <c r="AA12" s="84">
        <v>86.805555555555543</v>
      </c>
      <c r="AB12" s="85">
        <v>29.567777777777778</v>
      </c>
      <c r="AC12" s="84">
        <v>0</v>
      </c>
      <c r="AD12" s="562">
        <v>0.20501316083293236</v>
      </c>
      <c r="AE12" s="316">
        <f t="shared" si="10"/>
        <v>116.37333333333332</v>
      </c>
    </row>
    <row r="13" spans="1:31">
      <c r="A13" t="s">
        <v>95</v>
      </c>
      <c r="B13" s="43">
        <v>0.22209999999999999</v>
      </c>
      <c r="C13" s="22">
        <v>37079520.499819487</v>
      </c>
      <c r="D13" s="22">
        <v>3819.3839134423342</v>
      </c>
      <c r="E13" s="377" t="s">
        <v>1070</v>
      </c>
      <c r="F13" s="22">
        <v>302.69749999999999</v>
      </c>
      <c r="G13" s="22">
        <v>0</v>
      </c>
      <c r="H13" s="22" t="s">
        <v>1070</v>
      </c>
      <c r="I13" s="22">
        <v>144.76666666666668</v>
      </c>
      <c r="J13" s="22">
        <v>3833.3333333333335</v>
      </c>
      <c r="K13" s="22" t="s">
        <v>1070</v>
      </c>
      <c r="L13" s="22">
        <v>1056.6666666666667</v>
      </c>
      <c r="M13" s="22">
        <f t="shared" si="2"/>
        <v>5337.4641666666676</v>
      </c>
      <c r="N13" s="481" t="e">
        <f t="shared" si="0"/>
        <v>#VALUE!</v>
      </c>
      <c r="O13" s="316">
        <f t="shared" si="3"/>
        <v>8.1634685648503361E-6</v>
      </c>
      <c r="P13" s="316">
        <f t="shared" si="4"/>
        <v>0</v>
      </c>
      <c r="Q13" s="316" t="e">
        <f t="shared" si="5"/>
        <v>#VALUE!</v>
      </c>
      <c r="R13" s="316">
        <f t="shared" si="6"/>
        <v>3.9042216489118687E-6</v>
      </c>
      <c r="S13" s="316">
        <f t="shared" si="7"/>
        <v>1.0338141598546278E-4</v>
      </c>
      <c r="T13" s="316" t="e">
        <f t="shared" si="8"/>
        <v>#VALUE!</v>
      </c>
      <c r="U13" s="316">
        <f t="shared" si="9"/>
        <v>2.8497312058601482E-5</v>
      </c>
      <c r="V13" s="24">
        <v>0</v>
      </c>
      <c r="W13" s="24">
        <v>1</v>
      </c>
      <c r="Y13" s="24"/>
      <c r="Z13" s="158" t="s">
        <v>95</v>
      </c>
      <c r="AA13" s="85">
        <v>302.69749999999999</v>
      </c>
      <c r="AB13" s="84">
        <v>0</v>
      </c>
      <c r="AC13" s="85" t="s">
        <v>1070</v>
      </c>
      <c r="AD13" s="562">
        <v>0.22209999999999999</v>
      </c>
      <c r="AE13" s="316">
        <f t="shared" si="10"/>
        <v>302.69749999999999</v>
      </c>
    </row>
    <row r="14" spans="1:31">
      <c r="A14" t="s">
        <v>69</v>
      </c>
      <c r="B14" s="43">
        <v>0.60699112448763304</v>
      </c>
      <c r="C14" s="22">
        <v>355444.44444444444</v>
      </c>
      <c r="D14" s="22">
        <v>101500</v>
      </c>
      <c r="E14" s="377">
        <v>29.711111111111109</v>
      </c>
      <c r="F14" s="22">
        <v>9247.5</v>
      </c>
      <c r="G14" s="22">
        <v>1800.1111111111111</v>
      </c>
      <c r="H14" s="22">
        <v>4977.6666666666661</v>
      </c>
      <c r="I14" s="22">
        <v>78.333333333333329</v>
      </c>
      <c r="J14" s="22">
        <v>472444.44444444444</v>
      </c>
      <c r="K14" s="22">
        <v>370.16666666666669</v>
      </c>
      <c r="L14" s="22">
        <v>3461.666666666667</v>
      </c>
      <c r="M14" s="22">
        <f t="shared" si="2"/>
        <v>492409.60000000003</v>
      </c>
      <c r="N14" s="481">
        <f t="shared" si="0"/>
        <v>8.3588621444201301E-5</v>
      </c>
      <c r="O14" s="316">
        <f t="shared" si="3"/>
        <v>2.6016723976242575E-2</v>
      </c>
      <c r="P14" s="316">
        <f t="shared" si="4"/>
        <v>5.0643951234760863E-3</v>
      </c>
      <c r="Q14" s="316">
        <f t="shared" si="5"/>
        <v>1.4004063769928101E-2</v>
      </c>
      <c r="R14" s="316">
        <f t="shared" si="6"/>
        <v>2.2038136917786806E-4</v>
      </c>
      <c r="S14" s="316">
        <f t="shared" si="7"/>
        <v>1.329165364176305</v>
      </c>
      <c r="T14" s="316">
        <f t="shared" si="8"/>
        <v>1.0414191934979681E-3</v>
      </c>
      <c r="U14" s="316">
        <f t="shared" si="9"/>
        <v>9.7389809315411077E-3</v>
      </c>
      <c r="V14" s="24">
        <v>100.77089743589744</v>
      </c>
      <c r="W14" s="24">
        <v>20</v>
      </c>
      <c r="Y14" s="24"/>
      <c r="Z14" s="158" t="s">
        <v>69</v>
      </c>
      <c r="AA14" s="84">
        <v>9247.5</v>
      </c>
      <c r="AB14" s="85">
        <v>1800.1111111111111</v>
      </c>
      <c r="AC14" s="84">
        <v>4977.6666666666661</v>
      </c>
      <c r="AD14" s="562">
        <v>0.60699112448763304</v>
      </c>
      <c r="AE14" s="316">
        <f t="shared" si="10"/>
        <v>16025.277777777777</v>
      </c>
    </row>
    <row r="15" spans="1:31">
      <c r="A15" t="s">
        <v>73</v>
      </c>
      <c r="B15" s="43">
        <v>0.70726364243081408</v>
      </c>
      <c r="C15" s="22">
        <v>150266.66666666666</v>
      </c>
      <c r="D15" s="22">
        <v>47525.444444444445</v>
      </c>
      <c r="E15" s="377">
        <v>0</v>
      </c>
      <c r="F15" s="22">
        <v>4449.25</v>
      </c>
      <c r="G15" s="22">
        <v>1821.3333333333333</v>
      </c>
      <c r="H15" s="22">
        <v>2692.25</v>
      </c>
      <c r="I15" s="22">
        <v>0</v>
      </c>
      <c r="J15" s="22">
        <v>77116.666666666672</v>
      </c>
      <c r="K15" s="22">
        <v>0</v>
      </c>
      <c r="L15" s="22">
        <v>2846.666666666667</v>
      </c>
      <c r="M15" s="22">
        <f t="shared" si="2"/>
        <v>88926.166666666672</v>
      </c>
      <c r="N15" s="481">
        <f t="shared" si="0"/>
        <v>0</v>
      </c>
      <c r="O15" s="316">
        <f t="shared" si="3"/>
        <v>2.9609028393966286E-2</v>
      </c>
      <c r="P15" s="316">
        <f t="shared" si="4"/>
        <v>1.2120674356699201E-2</v>
      </c>
      <c r="Q15" s="316">
        <f t="shared" si="5"/>
        <v>1.7916481810115351E-2</v>
      </c>
      <c r="R15" s="316">
        <f t="shared" si="6"/>
        <v>0</v>
      </c>
      <c r="S15" s="316">
        <f t="shared" si="7"/>
        <v>0.51319875776397517</v>
      </c>
      <c r="T15" s="316">
        <f t="shared" si="8"/>
        <v>0</v>
      </c>
      <c r="U15" s="316">
        <f t="shared" si="9"/>
        <v>1.8944099378881991E-2</v>
      </c>
      <c r="V15" s="24">
        <v>6.5320196220368416</v>
      </c>
      <c r="W15" s="24">
        <v>11</v>
      </c>
      <c r="Y15" s="24"/>
      <c r="Z15" s="158" t="s">
        <v>330</v>
      </c>
      <c r="AA15" s="84">
        <v>4449.25</v>
      </c>
      <c r="AB15" s="85">
        <v>1821.3333333333333</v>
      </c>
      <c r="AC15" s="84">
        <v>2692.25</v>
      </c>
      <c r="AD15" s="562">
        <v>0.70726364243081408</v>
      </c>
      <c r="AE15" s="316">
        <f t="shared" si="10"/>
        <v>8962.8333333333321</v>
      </c>
    </row>
    <row r="16" spans="1:31">
      <c r="A16" t="s">
        <v>58</v>
      </c>
      <c r="B16" s="43">
        <v>1.9769096035899396</v>
      </c>
      <c r="C16" s="22">
        <v>116455.55555555555</v>
      </c>
      <c r="D16" s="22">
        <v>7342.333333333333</v>
      </c>
      <c r="E16" s="377">
        <v>0</v>
      </c>
      <c r="F16" s="22">
        <v>11540.833333333334</v>
      </c>
      <c r="G16" s="22">
        <v>4211.75</v>
      </c>
      <c r="H16" s="22">
        <v>6379.166666666667</v>
      </c>
      <c r="I16" s="22">
        <v>0</v>
      </c>
      <c r="J16" s="22">
        <v>0</v>
      </c>
      <c r="K16" s="22">
        <v>146</v>
      </c>
      <c r="L16" s="22">
        <v>178</v>
      </c>
      <c r="M16" s="22">
        <f t="shared" si="2"/>
        <v>22455.75</v>
      </c>
      <c r="N16" s="481">
        <f t="shared" si="0"/>
        <v>0</v>
      </c>
      <c r="O16" s="316">
        <f t="shared" si="3"/>
        <v>9.9100753744871678E-2</v>
      </c>
      <c r="P16" s="316">
        <f t="shared" si="4"/>
        <v>3.616615780936934E-2</v>
      </c>
      <c r="Q16" s="316">
        <f t="shared" si="5"/>
        <v>5.477769296822823E-2</v>
      </c>
      <c r="R16" s="316">
        <f t="shared" si="6"/>
        <v>0</v>
      </c>
      <c r="S16" s="316">
        <f t="shared" si="7"/>
        <v>0</v>
      </c>
      <c r="T16" s="316">
        <f t="shared" si="8"/>
        <v>1.2536971663009255E-3</v>
      </c>
      <c r="U16" s="316">
        <f t="shared" si="9"/>
        <v>1.5284801068600326E-3</v>
      </c>
      <c r="V16" s="24">
        <v>15</v>
      </c>
      <c r="W16" s="24">
        <v>23</v>
      </c>
      <c r="Y16" s="24"/>
      <c r="Z16" s="158" t="s">
        <v>58</v>
      </c>
      <c r="AA16" s="84">
        <v>11540.833333333334</v>
      </c>
      <c r="AB16" s="85">
        <v>4211.75</v>
      </c>
      <c r="AC16" s="84">
        <v>6379.166666666667</v>
      </c>
      <c r="AD16" s="562">
        <v>1.9769096035899396</v>
      </c>
      <c r="AE16" s="316">
        <f t="shared" si="10"/>
        <v>22131.75</v>
      </c>
    </row>
    <row r="17" spans="1:31">
      <c r="A17" t="s">
        <v>56</v>
      </c>
      <c r="B17" s="43">
        <v>3.3637875359597293</v>
      </c>
      <c r="C17" s="22">
        <v>195477.77777777778</v>
      </c>
      <c r="D17" s="22">
        <v>1237084.1666666667</v>
      </c>
      <c r="E17" s="377">
        <v>0</v>
      </c>
      <c r="F17" s="22">
        <v>2648.25</v>
      </c>
      <c r="G17" s="22">
        <v>714.49166666666667</v>
      </c>
      <c r="H17" s="22">
        <v>1670.0000000000002</v>
      </c>
      <c r="I17" s="22">
        <v>0</v>
      </c>
      <c r="J17" s="22">
        <v>4113.3333333333339</v>
      </c>
      <c r="K17" s="22">
        <v>396.66666666666669</v>
      </c>
      <c r="L17" s="22">
        <v>510</v>
      </c>
      <c r="M17" s="22">
        <f t="shared" si="2"/>
        <v>10052.741666666667</v>
      </c>
      <c r="N17" s="481">
        <f t="shared" si="0"/>
        <v>0</v>
      </c>
      <c r="O17" s="316">
        <f t="shared" si="3"/>
        <v>1.3547575740351276E-2</v>
      </c>
      <c r="P17" s="316">
        <f t="shared" si="4"/>
        <v>3.6551043028477236E-3</v>
      </c>
      <c r="Q17" s="316">
        <f t="shared" si="5"/>
        <v>8.5431705792076412E-3</v>
      </c>
      <c r="R17" s="316">
        <f t="shared" si="6"/>
        <v>0</v>
      </c>
      <c r="S17" s="316">
        <f t="shared" si="7"/>
        <v>2.1042460069345764E-2</v>
      </c>
      <c r="T17" s="316">
        <f t="shared" si="8"/>
        <v>2.0292161655203773E-3</v>
      </c>
      <c r="U17" s="316">
        <f t="shared" si="9"/>
        <v>2.6089922128119136E-3</v>
      </c>
      <c r="V17" s="24">
        <v>599.93858545179967</v>
      </c>
      <c r="W17" s="24">
        <v>36</v>
      </c>
      <c r="Y17" s="24"/>
      <c r="Z17" s="158" t="s">
        <v>56</v>
      </c>
      <c r="AA17" s="84">
        <v>2648.25</v>
      </c>
      <c r="AB17" s="85">
        <v>714.49166666666667</v>
      </c>
      <c r="AC17" s="84">
        <v>1670.0000000000002</v>
      </c>
      <c r="AD17" s="562">
        <v>3.3637875359597293</v>
      </c>
      <c r="AE17" s="316">
        <f t="shared" si="10"/>
        <v>5032.7416666666668</v>
      </c>
    </row>
    <row r="18" spans="1:31">
      <c r="A18" t="s">
        <v>39</v>
      </c>
      <c r="B18" s="43">
        <v>4.6276082418081854</v>
      </c>
      <c r="C18" s="22">
        <v>567888.88888888888</v>
      </c>
      <c r="D18" s="22">
        <v>37986.666666666672</v>
      </c>
      <c r="E18" s="377">
        <v>0</v>
      </c>
      <c r="F18" s="22">
        <v>493.77777777777777</v>
      </c>
      <c r="G18" s="22">
        <v>115.64444444444445</v>
      </c>
      <c r="H18" s="22">
        <v>145.78333333333333</v>
      </c>
      <c r="I18" s="22">
        <v>338.01666666666665</v>
      </c>
      <c r="J18" s="22">
        <v>108516.66666666666</v>
      </c>
      <c r="K18" s="22">
        <v>302.16666666666669</v>
      </c>
      <c r="L18" s="22">
        <v>5414.4444444444443</v>
      </c>
      <c r="M18" s="22">
        <f t="shared" si="2"/>
        <v>115326.49999999999</v>
      </c>
      <c r="N18" s="481">
        <f t="shared" si="0"/>
        <v>0</v>
      </c>
      <c r="O18" s="316">
        <f t="shared" si="3"/>
        <v>8.6949716298180394E-4</v>
      </c>
      <c r="P18" s="316">
        <f t="shared" si="4"/>
        <v>2.0363920954803366E-4</v>
      </c>
      <c r="Q18" s="316">
        <f t="shared" si="5"/>
        <v>2.5671101545685776E-4</v>
      </c>
      <c r="R18" s="316">
        <f t="shared" si="6"/>
        <v>5.9521620035218154E-4</v>
      </c>
      <c r="S18" s="316">
        <f t="shared" si="7"/>
        <v>0.19108784973586382</v>
      </c>
      <c r="T18" s="316">
        <f t="shared" si="8"/>
        <v>5.3208765407943654E-4</v>
      </c>
      <c r="U18" s="316">
        <f t="shared" si="9"/>
        <v>9.534337702993544E-3</v>
      </c>
      <c r="V18" s="24">
        <v>89.644953435690908</v>
      </c>
      <c r="W18" s="24">
        <v>47</v>
      </c>
      <c r="Y18" s="24"/>
      <c r="Z18" s="158" t="s">
        <v>39</v>
      </c>
      <c r="AA18" s="84">
        <v>493.77777777777777</v>
      </c>
      <c r="AB18" s="85">
        <v>115.64444444444445</v>
      </c>
      <c r="AC18" s="84">
        <v>145.78333333333333</v>
      </c>
      <c r="AD18" s="562">
        <v>4.6276082418081854</v>
      </c>
      <c r="AE18" s="316">
        <f t="shared" si="10"/>
        <v>755.20555555555552</v>
      </c>
    </row>
    <row r="19" spans="1:31">
      <c r="A19" t="s">
        <v>53</v>
      </c>
      <c r="B19" s="43">
        <v>6.0722362002911341</v>
      </c>
      <c r="C19" s="22">
        <v>50500</v>
      </c>
      <c r="D19" s="22">
        <v>8240.4444444444453</v>
      </c>
      <c r="E19" s="377">
        <v>0</v>
      </c>
      <c r="F19" s="22">
        <v>1122.25</v>
      </c>
      <c r="G19" s="22">
        <v>253.26666666666665</v>
      </c>
      <c r="H19" s="22">
        <v>668</v>
      </c>
      <c r="I19" s="22">
        <v>0</v>
      </c>
      <c r="J19" s="22">
        <v>9632.2222222222226</v>
      </c>
      <c r="K19" s="22">
        <v>0</v>
      </c>
      <c r="L19" s="22">
        <v>1066.6666666666667</v>
      </c>
      <c r="M19" s="22">
        <f t="shared" si="2"/>
        <v>12742.405555555555</v>
      </c>
      <c r="N19" s="481">
        <f t="shared" si="0"/>
        <v>0</v>
      </c>
      <c r="O19" s="316">
        <f t="shared" si="3"/>
        <v>2.2222772277227722E-2</v>
      </c>
      <c r="P19" s="316">
        <f t="shared" si="4"/>
        <v>5.0151815181518145E-3</v>
      </c>
      <c r="Q19" s="316">
        <f t="shared" si="5"/>
        <v>1.3227722772277227E-2</v>
      </c>
      <c r="R19" s="316">
        <f t="shared" si="6"/>
        <v>0</v>
      </c>
      <c r="S19" s="316">
        <f t="shared" si="7"/>
        <v>0.19073707370737075</v>
      </c>
      <c r="T19" s="316">
        <f t="shared" si="8"/>
        <v>0</v>
      </c>
      <c r="U19" s="316">
        <f t="shared" si="9"/>
        <v>2.1122112211221122E-2</v>
      </c>
      <c r="V19" s="24">
        <v>513.90820538635796</v>
      </c>
      <c r="W19" s="24">
        <v>41</v>
      </c>
      <c r="Y19" s="24"/>
      <c r="Z19" s="158" t="s">
        <v>53</v>
      </c>
      <c r="AA19" s="84">
        <v>1122.25</v>
      </c>
      <c r="AB19" s="85">
        <v>253.26666666666665</v>
      </c>
      <c r="AC19" s="84">
        <v>668</v>
      </c>
      <c r="AD19" s="562">
        <v>6.0722362002911341</v>
      </c>
      <c r="AE19" s="316">
        <f t="shared" si="10"/>
        <v>2043.5166666666667</v>
      </c>
    </row>
    <row r="20" spans="1:31">
      <c r="A20" t="s">
        <v>51</v>
      </c>
      <c r="B20" s="43">
        <v>8.5177206461662855</v>
      </c>
      <c r="C20" s="22">
        <v>507716.66666666669</v>
      </c>
      <c r="D20" s="22">
        <v>16618.333333333332</v>
      </c>
      <c r="E20" s="377">
        <v>0</v>
      </c>
      <c r="F20" s="22">
        <v>10659.166666666668</v>
      </c>
      <c r="G20" s="22">
        <v>2135.75</v>
      </c>
      <c r="H20" s="22">
        <v>8449.1666666666679</v>
      </c>
      <c r="I20" s="22">
        <v>186.63333333333333</v>
      </c>
      <c r="J20" s="22">
        <v>37466.666666666664</v>
      </c>
      <c r="K20" s="22">
        <v>323.66666666666669</v>
      </c>
      <c r="L20" s="22">
        <v>0</v>
      </c>
      <c r="M20" s="22">
        <f t="shared" si="2"/>
        <v>59221.049999999996</v>
      </c>
      <c r="N20" s="481">
        <f t="shared" si="0"/>
        <v>0</v>
      </c>
      <c r="O20" s="316">
        <f t="shared" si="3"/>
        <v>2.0994320979548963E-2</v>
      </c>
      <c r="P20" s="316">
        <f t="shared" si="4"/>
        <v>4.2065784722450181E-3</v>
      </c>
      <c r="Q20" s="316">
        <f t="shared" si="5"/>
        <v>1.664149952401274E-2</v>
      </c>
      <c r="R20" s="316">
        <f t="shared" si="6"/>
        <v>3.6759347405048744E-4</v>
      </c>
      <c r="S20" s="316">
        <f t="shared" si="7"/>
        <v>7.379443915569707E-2</v>
      </c>
      <c r="T20" s="316">
        <f t="shared" si="8"/>
        <v>6.3749466565998097E-4</v>
      </c>
      <c r="U20" s="316">
        <f t="shared" si="9"/>
        <v>0</v>
      </c>
      <c r="V20" s="24">
        <v>674.15257991442229</v>
      </c>
      <c r="W20" s="24">
        <v>43</v>
      </c>
      <c r="Y20" s="24"/>
      <c r="Z20" s="158" t="s">
        <v>51</v>
      </c>
      <c r="AA20" s="84">
        <v>10659.166666666668</v>
      </c>
      <c r="AB20" s="85">
        <v>2135.75</v>
      </c>
      <c r="AC20" s="84">
        <v>8449.1666666666679</v>
      </c>
      <c r="AD20" s="562">
        <v>8.5177206461662855</v>
      </c>
      <c r="AE20" s="316">
        <f t="shared" si="10"/>
        <v>21244.083333333336</v>
      </c>
    </row>
    <row r="21" spans="1:31">
      <c r="A21" t="s">
        <v>90</v>
      </c>
      <c r="B21" s="43">
        <v>8.5234388136869406</v>
      </c>
      <c r="C21" s="22">
        <v>4446.416666666667</v>
      </c>
      <c r="D21" s="22">
        <v>0</v>
      </c>
      <c r="E21" s="377">
        <v>0</v>
      </c>
      <c r="F21" s="22">
        <v>257.01666666666665</v>
      </c>
      <c r="G21" s="22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f t="shared" si="2"/>
        <v>257.01666666666665</v>
      </c>
      <c r="N21" s="481">
        <f t="shared" si="0"/>
        <v>0</v>
      </c>
      <c r="O21" s="316">
        <f t="shared" si="3"/>
        <v>5.7803099874430712E-2</v>
      </c>
      <c r="P21" s="316">
        <f t="shared" si="4"/>
        <v>0</v>
      </c>
      <c r="Q21" s="316">
        <f t="shared" si="5"/>
        <v>0</v>
      </c>
      <c r="R21" s="316">
        <f t="shared" si="6"/>
        <v>0</v>
      </c>
      <c r="S21" s="316">
        <f t="shared" si="7"/>
        <v>0</v>
      </c>
      <c r="T21" s="316">
        <f t="shared" si="8"/>
        <v>0</v>
      </c>
      <c r="U21" s="316">
        <f t="shared" si="9"/>
        <v>0</v>
      </c>
      <c r="V21" s="24">
        <v>84.151680079467354</v>
      </c>
      <c r="W21" s="24">
        <v>32</v>
      </c>
      <c r="Y21" s="24"/>
      <c r="Z21" s="158" t="s">
        <v>90</v>
      </c>
      <c r="AA21" s="84">
        <v>257.01666666666665</v>
      </c>
      <c r="AB21" s="85"/>
      <c r="AD21" s="562">
        <v>8.5234388136869406</v>
      </c>
      <c r="AE21" s="316">
        <f t="shared" si="10"/>
        <v>257.01666666666665</v>
      </c>
    </row>
    <row r="22" spans="1:31">
      <c r="A22" t="s">
        <v>81</v>
      </c>
      <c r="B22" s="43">
        <v>8.8783692042921452</v>
      </c>
      <c r="C22" s="22">
        <v>149992.5</v>
      </c>
      <c r="D22" s="22">
        <v>16029096.666666666</v>
      </c>
      <c r="E22" s="377">
        <v>0</v>
      </c>
      <c r="F22" s="22">
        <v>515.08333333333337</v>
      </c>
      <c r="G22" s="22">
        <v>58.567777777777785</v>
      </c>
      <c r="H22" s="22">
        <v>201.09999999999997</v>
      </c>
      <c r="I22" s="22">
        <v>69.666666666666671</v>
      </c>
      <c r="J22" s="22">
        <v>3618.8888888888887</v>
      </c>
      <c r="K22" s="22">
        <v>227.83333333333331</v>
      </c>
      <c r="L22" s="22">
        <v>4287.666666666667</v>
      </c>
      <c r="M22" s="22">
        <f t="shared" si="2"/>
        <v>8978.8066666666673</v>
      </c>
      <c r="N22" s="481">
        <f t="shared" si="0"/>
        <v>0</v>
      </c>
      <c r="O22" s="316">
        <f t="shared" si="3"/>
        <v>3.4340605919184852E-3</v>
      </c>
      <c r="P22" s="316">
        <f t="shared" si="4"/>
        <v>3.9047137542062296E-4</v>
      </c>
      <c r="Q22" s="316">
        <f t="shared" si="5"/>
        <v>1.340733703351834E-3</v>
      </c>
      <c r="R22" s="316">
        <f t="shared" si="6"/>
        <v>4.6446766782783588E-4</v>
      </c>
      <c r="S22" s="316">
        <f t="shared" si="7"/>
        <v>2.4127132282540053E-2</v>
      </c>
      <c r="T22" s="316">
        <f t="shared" si="8"/>
        <v>1.5189648371307454E-3</v>
      </c>
      <c r="U22" s="316">
        <f t="shared" si="9"/>
        <v>2.8585873738131352E-2</v>
      </c>
      <c r="V22" s="24">
        <v>353.91471685519855</v>
      </c>
      <c r="W22" s="24">
        <v>36</v>
      </c>
      <c r="Y22" s="24"/>
      <c r="Z22" s="158" t="s">
        <v>81</v>
      </c>
      <c r="AA22" s="84">
        <v>515.08333333333337</v>
      </c>
      <c r="AB22" s="85">
        <v>58.567777777777785</v>
      </c>
      <c r="AC22" s="84">
        <v>201.09999999999997</v>
      </c>
      <c r="AD22" s="562">
        <v>8.8783692042921452</v>
      </c>
      <c r="AE22" s="316">
        <f t="shared" si="10"/>
        <v>774.75111111111119</v>
      </c>
    </row>
    <row r="23" spans="1:31">
      <c r="A23" t="s">
        <v>67</v>
      </c>
      <c r="B23" s="43">
        <v>9.6832077668474703</v>
      </c>
      <c r="C23" s="22">
        <v>42120</v>
      </c>
      <c r="D23" s="22">
        <v>425666.66666666669</v>
      </c>
      <c r="E23" s="377">
        <v>0</v>
      </c>
      <c r="F23" s="22">
        <v>4686.75</v>
      </c>
      <c r="G23" s="22">
        <v>414.40250000000003</v>
      </c>
      <c r="H23" s="22">
        <v>1348.5833333333333</v>
      </c>
      <c r="I23" s="22">
        <v>0</v>
      </c>
      <c r="J23" s="22">
        <v>98633.333333333328</v>
      </c>
      <c r="K23" s="22">
        <v>0</v>
      </c>
      <c r="L23" s="22">
        <v>525.66666666666663</v>
      </c>
      <c r="M23" s="22">
        <f t="shared" si="2"/>
        <v>105608.73583333334</v>
      </c>
      <c r="N23" s="481">
        <f t="shared" si="0"/>
        <v>0</v>
      </c>
      <c r="O23" s="316">
        <f t="shared" si="3"/>
        <v>0.11127136752136751</v>
      </c>
      <c r="P23" s="316">
        <f t="shared" si="4"/>
        <v>9.8386158594491943E-3</v>
      </c>
      <c r="Q23" s="316">
        <f t="shared" si="5"/>
        <v>3.201764798987021E-2</v>
      </c>
      <c r="R23" s="316">
        <f t="shared" si="6"/>
        <v>0</v>
      </c>
      <c r="S23" s="316">
        <f t="shared" si="7"/>
        <v>2.3417220639442862</v>
      </c>
      <c r="T23" s="316">
        <f t="shared" si="8"/>
        <v>0</v>
      </c>
      <c r="U23" s="316">
        <f t="shared" si="9"/>
        <v>1.2480215257993034E-2</v>
      </c>
      <c r="V23" s="24">
        <v>41.3</v>
      </c>
      <c r="W23" s="24">
        <v>33</v>
      </c>
      <c r="Y23" s="24"/>
      <c r="Z23" s="158" t="s">
        <v>67</v>
      </c>
      <c r="AA23" s="84">
        <v>4686.75</v>
      </c>
      <c r="AB23" s="85">
        <v>414.40250000000003</v>
      </c>
      <c r="AC23" s="84">
        <v>1348.5833333333333</v>
      </c>
      <c r="AD23" s="562">
        <v>9.6832077668474703</v>
      </c>
      <c r="AE23" s="316">
        <f t="shared" si="10"/>
        <v>6449.7358333333332</v>
      </c>
    </row>
    <row r="24" spans="1:31">
      <c r="A24" t="s">
        <v>71</v>
      </c>
      <c r="B24" s="43">
        <v>10.123158243273032</v>
      </c>
      <c r="C24" s="22">
        <v>85955.555555555562</v>
      </c>
      <c r="D24" s="22">
        <v>497</v>
      </c>
      <c r="E24" s="377">
        <v>0</v>
      </c>
      <c r="F24" s="22">
        <v>4050.5</v>
      </c>
      <c r="G24" s="22">
        <v>1461.8666666666666</v>
      </c>
      <c r="H24" s="22">
        <v>2130.4166666666665</v>
      </c>
      <c r="I24" s="22">
        <v>67.099999999999994</v>
      </c>
      <c r="J24" s="22">
        <v>68525</v>
      </c>
      <c r="K24" s="22">
        <v>0</v>
      </c>
      <c r="L24" s="22">
        <v>1246.6666666666667</v>
      </c>
      <c r="M24" s="22">
        <f t="shared" si="2"/>
        <v>77481.55</v>
      </c>
      <c r="N24" s="481">
        <f t="shared" si="0"/>
        <v>0</v>
      </c>
      <c r="O24" s="316">
        <f t="shared" si="3"/>
        <v>4.7123190279214064E-2</v>
      </c>
      <c r="P24" s="316">
        <f t="shared" si="4"/>
        <v>1.700723888314374E-2</v>
      </c>
      <c r="Q24" s="316">
        <f t="shared" si="5"/>
        <v>2.4785095656670111E-2</v>
      </c>
      <c r="R24" s="316">
        <f t="shared" si="6"/>
        <v>7.8063598759048596E-4</v>
      </c>
      <c r="S24" s="316">
        <f t="shared" si="7"/>
        <v>0.79721432264736292</v>
      </c>
      <c r="T24" s="316">
        <f t="shared" si="8"/>
        <v>0</v>
      </c>
      <c r="U24" s="316">
        <f t="shared" si="9"/>
        <v>1.4503619441571872E-2</v>
      </c>
      <c r="V24" s="24">
        <v>15.7</v>
      </c>
      <c r="W24" s="24">
        <v>27</v>
      </c>
      <c r="Y24" s="24"/>
      <c r="Z24" s="158" t="s">
        <v>71</v>
      </c>
      <c r="AA24" s="84">
        <v>4050.5</v>
      </c>
      <c r="AB24" s="85">
        <v>1461.8666666666666</v>
      </c>
      <c r="AC24" s="84">
        <v>2130.4166666666665</v>
      </c>
      <c r="AD24" s="562">
        <v>10.123158243273032</v>
      </c>
      <c r="AE24" s="316">
        <f t="shared" si="10"/>
        <v>7642.7833333333328</v>
      </c>
    </row>
    <row r="25" spans="1:31">
      <c r="A25" t="s">
        <v>87</v>
      </c>
      <c r="B25" s="43">
        <v>10.296619441004365</v>
      </c>
      <c r="C25" s="22">
        <v>74247.5</v>
      </c>
      <c r="D25" s="22">
        <v>63116.666666666664</v>
      </c>
      <c r="E25" s="377">
        <v>0</v>
      </c>
      <c r="F25" s="22">
        <v>502.4083333333333</v>
      </c>
      <c r="G25" s="22">
        <v>13.219777777777779</v>
      </c>
      <c r="H25" s="22">
        <v>87.466666666666669</v>
      </c>
      <c r="I25" s="22">
        <v>0</v>
      </c>
      <c r="J25" s="22">
        <v>2015.3333333333335</v>
      </c>
      <c r="K25" s="22">
        <v>466.66666666666669</v>
      </c>
      <c r="L25" s="22">
        <v>1806.6666666666667</v>
      </c>
      <c r="M25" s="22">
        <f t="shared" si="2"/>
        <v>4891.7614444444444</v>
      </c>
      <c r="N25" s="481">
        <f t="shared" si="0"/>
        <v>0</v>
      </c>
      <c r="O25" s="316">
        <f t="shared" si="3"/>
        <v>6.7666700337834038E-3</v>
      </c>
      <c r="P25" s="316">
        <f t="shared" si="4"/>
        <v>1.7805014010946872E-4</v>
      </c>
      <c r="Q25" s="316">
        <f t="shared" si="5"/>
        <v>1.1780419093796648E-3</v>
      </c>
      <c r="R25" s="316">
        <f t="shared" si="6"/>
        <v>0</v>
      </c>
      <c r="S25" s="316">
        <f t="shared" si="7"/>
        <v>2.7143450396758591E-2</v>
      </c>
      <c r="T25" s="316">
        <f t="shared" si="8"/>
        <v>6.2852845774829681E-3</v>
      </c>
      <c r="U25" s="316">
        <f t="shared" si="9"/>
        <v>2.4333030292826921E-2</v>
      </c>
      <c r="V25" s="24">
        <v>107.34679487179488</v>
      </c>
      <c r="W25" s="24">
        <v>32</v>
      </c>
      <c r="Y25" s="24"/>
      <c r="Z25" s="158" t="s">
        <v>87</v>
      </c>
      <c r="AA25" s="84">
        <v>502.4083333333333</v>
      </c>
      <c r="AB25" s="85">
        <v>13.219777777777779</v>
      </c>
      <c r="AC25" s="84">
        <v>87.466666666666669</v>
      </c>
      <c r="AD25" s="562">
        <v>10.296619441004365</v>
      </c>
      <c r="AE25" s="316">
        <f t="shared" si="10"/>
        <v>603.09477777777784</v>
      </c>
    </row>
    <row r="26" spans="1:31">
      <c r="A26" t="s">
        <v>45</v>
      </c>
      <c r="B26" s="43">
        <v>10.445299637632411</v>
      </c>
      <c r="C26" s="22">
        <v>261333.33333333334</v>
      </c>
      <c r="D26" s="22">
        <v>50777.5</v>
      </c>
      <c r="E26" s="377">
        <v>0</v>
      </c>
      <c r="F26" s="22">
        <v>380.71111111111105</v>
      </c>
      <c r="G26" s="22">
        <v>95.716666666666669</v>
      </c>
      <c r="H26" s="22">
        <v>201.54999999999998</v>
      </c>
      <c r="I26" s="22">
        <v>110.33333333333333</v>
      </c>
      <c r="J26" s="22">
        <v>10203.333333333334</v>
      </c>
      <c r="K26" s="22">
        <v>0</v>
      </c>
      <c r="L26" s="22">
        <v>0</v>
      </c>
      <c r="M26" s="22">
        <f t="shared" si="2"/>
        <v>10991.644444444444</v>
      </c>
      <c r="N26" s="481">
        <f t="shared" si="0"/>
        <v>0</v>
      </c>
      <c r="O26" s="316">
        <f t="shared" si="3"/>
        <v>1.4568027210884352E-3</v>
      </c>
      <c r="P26" s="316">
        <f t="shared" si="4"/>
        <v>3.662627551020408E-4</v>
      </c>
      <c r="Q26" s="316">
        <f t="shared" si="5"/>
        <v>7.7123724489795904E-4</v>
      </c>
      <c r="R26" s="316">
        <f t="shared" si="6"/>
        <v>4.2219387755102036E-4</v>
      </c>
      <c r="S26" s="316">
        <f t="shared" si="7"/>
        <v>3.9043367346938779E-2</v>
      </c>
      <c r="T26" s="316">
        <f t="shared" si="8"/>
        <v>0</v>
      </c>
      <c r="U26" s="316">
        <f t="shared" si="9"/>
        <v>0</v>
      </c>
      <c r="V26" s="24">
        <v>588.82874955502746</v>
      </c>
      <c r="W26" s="24">
        <v>47</v>
      </c>
      <c r="Y26" s="24"/>
      <c r="Z26" s="158" t="s">
        <v>45</v>
      </c>
      <c r="AA26" s="84">
        <v>380.71111111111105</v>
      </c>
      <c r="AB26" s="85">
        <v>95.716666666666669</v>
      </c>
      <c r="AC26" s="84">
        <v>201.54999999999998</v>
      </c>
      <c r="AD26" s="562">
        <v>10.445299637632411</v>
      </c>
      <c r="AE26" s="316">
        <f t="shared" si="10"/>
        <v>677.97777777777765</v>
      </c>
    </row>
    <row r="27" spans="1:31" ht="17.850000000000001" customHeight="1">
      <c r="A27" t="s">
        <v>83</v>
      </c>
      <c r="B27" s="43">
        <v>12.09275376947649</v>
      </c>
      <c r="C27" s="22">
        <v>503575</v>
      </c>
      <c r="D27" s="22">
        <v>38261.111111111109</v>
      </c>
      <c r="E27" s="377">
        <v>0</v>
      </c>
      <c r="F27" s="22">
        <v>968.8416666666667</v>
      </c>
      <c r="G27" s="22">
        <v>62.649999999999991</v>
      </c>
      <c r="H27" s="22">
        <v>303.33333333333331</v>
      </c>
      <c r="I27" s="22">
        <v>433.4666666666667</v>
      </c>
      <c r="J27" s="22">
        <v>10038.666666666668</v>
      </c>
      <c r="K27" s="22">
        <v>1337.1666666666667</v>
      </c>
      <c r="L27" s="22">
        <v>15333.333333333334</v>
      </c>
      <c r="M27" s="22">
        <f t="shared" si="2"/>
        <v>28477.458333333336</v>
      </c>
      <c r="N27" s="481">
        <f t="shared" si="0"/>
        <v>0</v>
      </c>
      <c r="O27" s="316">
        <f t="shared" si="3"/>
        <v>1.9239272534710156E-3</v>
      </c>
      <c r="P27" s="316">
        <f t="shared" si="4"/>
        <v>1.2441046517400585E-4</v>
      </c>
      <c r="Q27" s="316">
        <f t="shared" si="5"/>
        <v>6.0235979413857577E-4</v>
      </c>
      <c r="R27" s="316">
        <f t="shared" si="6"/>
        <v>8.6077876516242212E-4</v>
      </c>
      <c r="S27" s="316">
        <f t="shared" si="7"/>
        <v>1.9934799516788299E-2</v>
      </c>
      <c r="T27" s="316">
        <f t="shared" si="8"/>
        <v>2.6553475980075794E-3</v>
      </c>
      <c r="U27" s="316">
        <f t="shared" si="9"/>
        <v>3.0448956626785154E-2</v>
      </c>
      <c r="V27" s="24">
        <v>430.99746049547178</v>
      </c>
      <c r="W27" s="24">
        <v>33</v>
      </c>
      <c r="Y27" s="24"/>
      <c r="Z27" s="158" t="s">
        <v>83</v>
      </c>
      <c r="AA27" s="84">
        <v>968.8416666666667</v>
      </c>
      <c r="AB27" s="85">
        <v>62.649999999999991</v>
      </c>
      <c r="AC27" s="84">
        <v>303.33333333333331</v>
      </c>
      <c r="AD27" s="562">
        <v>12.09275376947649</v>
      </c>
      <c r="AE27" s="316">
        <f t="shared" si="10"/>
        <v>1334.825</v>
      </c>
    </row>
    <row r="28" spans="1:31" ht="15.75" thickBot="1">
      <c r="A28" t="s">
        <v>91</v>
      </c>
      <c r="B28" s="43">
        <v>13.644107807809883</v>
      </c>
      <c r="C28" s="22">
        <v>640333.33333333337</v>
      </c>
      <c r="D28" s="22">
        <v>189199.99999999997</v>
      </c>
      <c r="E28" s="377">
        <v>0</v>
      </c>
      <c r="F28" s="22">
        <v>875.24166666666679</v>
      </c>
      <c r="G28" s="22">
        <v>78.766666666666666</v>
      </c>
      <c r="H28" s="22">
        <v>280.05</v>
      </c>
      <c r="I28" s="22">
        <v>476.84444444444443</v>
      </c>
      <c r="J28" s="22">
        <v>30666.666666666664</v>
      </c>
      <c r="K28" s="22">
        <v>1226.6666666666667</v>
      </c>
      <c r="L28" s="22">
        <v>13900</v>
      </c>
      <c r="M28" s="22">
        <f>SUM(E28:L28)</f>
        <v>47504.236111111109</v>
      </c>
      <c r="N28" s="481">
        <f t="shared" si="0"/>
        <v>0</v>
      </c>
      <c r="O28" s="316">
        <f t="shared" si="3"/>
        <v>1.3668532014575743E-3</v>
      </c>
      <c r="P28" s="316">
        <f t="shared" si="4"/>
        <v>1.2300884955752212E-4</v>
      </c>
      <c r="Q28" s="316">
        <f t="shared" si="5"/>
        <v>4.3735033836543466E-4</v>
      </c>
      <c r="R28" s="316">
        <f t="shared" si="6"/>
        <v>7.4468158944993924E-4</v>
      </c>
      <c r="S28" s="316">
        <f t="shared" si="7"/>
        <v>4.7891723060905771E-2</v>
      </c>
      <c r="T28" s="316">
        <f t="shared" si="8"/>
        <v>1.9156689224362311E-3</v>
      </c>
      <c r="U28" s="316">
        <f t="shared" si="9"/>
        <v>2.1707444039562727E-2</v>
      </c>
      <c r="V28" s="24">
        <v>290.29568404580948</v>
      </c>
      <c r="W28" s="24">
        <v>41</v>
      </c>
      <c r="Y28" s="24"/>
      <c r="Z28" s="174" t="s">
        <v>91</v>
      </c>
      <c r="AA28" s="311">
        <v>875.24166666666679</v>
      </c>
      <c r="AB28" s="310">
        <v>78.766666666666666</v>
      </c>
      <c r="AC28" s="311">
        <v>280.05</v>
      </c>
      <c r="AD28" s="562">
        <v>13.644107807809883</v>
      </c>
      <c r="AE28" s="316">
        <f t="shared" si="10"/>
        <v>1234.0583333333334</v>
      </c>
    </row>
    <row r="30" spans="1:31">
      <c r="B30" s="24"/>
    </row>
    <row r="31" spans="1:31">
      <c r="B31" s="24"/>
    </row>
    <row r="32" spans="1:31">
      <c r="B32" s="24"/>
    </row>
    <row r="33" spans="2:2">
      <c r="B33" s="24"/>
    </row>
    <row r="34" spans="2:2">
      <c r="B34" s="24"/>
    </row>
    <row r="35" spans="2:2">
      <c r="B35" s="24"/>
    </row>
    <row r="36" spans="2:2">
      <c r="B36" s="24"/>
    </row>
    <row r="37" spans="2:2">
      <c r="B37" s="24"/>
    </row>
    <row r="38" spans="2:2">
      <c r="B38" s="24"/>
    </row>
    <row r="39" spans="2:2">
      <c r="B39" s="24"/>
    </row>
    <row r="40" spans="2:2">
      <c r="B40" s="24"/>
    </row>
    <row r="41" spans="2:2">
      <c r="B41" s="24"/>
    </row>
    <row r="42" spans="2:2">
      <c r="B42" s="24"/>
    </row>
    <row r="43" spans="2:2">
      <c r="B43" s="24"/>
    </row>
    <row r="44" spans="2:2">
      <c r="B44" s="24"/>
    </row>
    <row r="45" spans="2:2">
      <c r="B45" s="24"/>
    </row>
    <row r="46" spans="2:2">
      <c r="B46" s="24"/>
    </row>
    <row r="47" spans="2:2">
      <c r="B47" s="24"/>
    </row>
    <row r="48" spans="2:2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102" spans="12:21"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spans="12:21"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2:21"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2:21"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2:21"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2:21"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2:21"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2:21"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2:21"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2:21"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2:21"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2:21"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2:21"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2:21"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2:21"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2:21"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2:21"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2:21"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2:21"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2:21"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2:21"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2:21"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2:21"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2:21"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2:21"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2:21"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2:21"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</sheetData>
  <sortState xmlns:xlrd2="http://schemas.microsoft.com/office/spreadsheetml/2017/richdata2" ref="B3:B28">
    <sortCondition ref="B3:B28"/>
  </sortState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65D5-F441-4CF7-984C-EE9E36373A30}">
  <sheetPr>
    <tabColor rgb="FFE2C5FF"/>
  </sheetPr>
  <dimension ref="A2:W28"/>
  <sheetViews>
    <sheetView topLeftCell="L16" zoomScale="80" zoomScaleNormal="80" workbookViewId="0">
      <selection activeCell="AN22" sqref="AN22"/>
    </sheetView>
  </sheetViews>
  <sheetFormatPr defaultRowHeight="15"/>
  <cols>
    <col min="1" max="1" width="10.28515625" customWidth="1"/>
    <col min="2" max="2" width="7.85546875" customWidth="1"/>
    <col min="3" max="3" width="22.140625" customWidth="1"/>
    <col min="4" max="4" width="10.5703125" customWidth="1"/>
    <col min="5" max="5" width="12.42578125" bestFit="1" customWidth="1"/>
    <col min="6" max="6" width="10.7109375" customWidth="1"/>
    <col min="7" max="7" width="13.28515625" customWidth="1"/>
    <col min="8" max="10" width="11.140625" customWidth="1"/>
    <col min="11" max="11" width="13.28515625" customWidth="1"/>
    <col min="12" max="12" width="11.85546875" customWidth="1"/>
    <col min="13" max="14" width="13.28515625" customWidth="1"/>
    <col min="19" max="21" width="8.85546875"/>
  </cols>
  <sheetData>
    <row r="2" spans="1:23" s="36" customFormat="1" ht="60">
      <c r="A2" s="33" t="s">
        <v>126</v>
      </c>
      <c r="B2" s="34" t="s">
        <v>139</v>
      </c>
      <c r="C2" s="34" t="s">
        <v>1105</v>
      </c>
      <c r="D2" s="34" t="s">
        <v>1106</v>
      </c>
      <c r="E2" s="86" t="s">
        <v>1107</v>
      </c>
      <c r="F2" s="34" t="s">
        <v>1060</v>
      </c>
      <c r="G2" s="34" t="s">
        <v>1061</v>
      </c>
      <c r="H2" s="34" t="s">
        <v>1062</v>
      </c>
      <c r="I2" s="34" t="s">
        <v>1063</v>
      </c>
      <c r="J2" s="34" t="s">
        <v>1041</v>
      </c>
      <c r="K2" s="34" t="s">
        <v>1064</v>
      </c>
      <c r="L2" s="34" t="s">
        <v>1065</v>
      </c>
      <c r="M2" s="34" t="s">
        <v>1066</v>
      </c>
      <c r="N2" s="35" t="s">
        <v>1108</v>
      </c>
      <c r="Q2" s="33"/>
      <c r="R2" s="90" t="s">
        <v>125</v>
      </c>
      <c r="S2" s="34" t="s">
        <v>1109</v>
      </c>
      <c r="T2" s="34" t="s">
        <v>1034</v>
      </c>
      <c r="U2" s="34" t="s">
        <v>1110</v>
      </c>
      <c r="V2" s="34" t="s">
        <v>506</v>
      </c>
      <c r="W2" s="34" t="s">
        <v>1067</v>
      </c>
    </row>
    <row r="3" spans="1:23">
      <c r="A3" s="25" t="s">
        <v>7</v>
      </c>
      <c r="B3">
        <v>31</v>
      </c>
      <c r="C3" t="s">
        <v>1111</v>
      </c>
      <c r="D3" s="24">
        <v>-571</v>
      </c>
      <c r="E3" s="87">
        <v>204.04</v>
      </c>
      <c r="F3" s="24"/>
      <c r="G3" s="24">
        <v>42.543401076041732</v>
      </c>
      <c r="H3" s="24">
        <v>14.491167309242197</v>
      </c>
      <c r="I3" s="24"/>
      <c r="J3" s="24"/>
      <c r="K3" s="24"/>
      <c r="L3" s="24"/>
      <c r="M3" s="24">
        <v>42.965431614716074</v>
      </c>
      <c r="N3" s="40">
        <v>205</v>
      </c>
      <c r="Q3" s="25" t="s">
        <v>6</v>
      </c>
      <c r="R3" s="85">
        <v>18439.444444444445</v>
      </c>
      <c r="S3" s="325">
        <v>12100</v>
      </c>
      <c r="T3" s="325">
        <v>106.86666666666666</v>
      </c>
      <c r="U3" s="325">
        <v>703.69121379541195</v>
      </c>
      <c r="V3" s="325">
        <v>3.3376885514834205E-2</v>
      </c>
      <c r="W3" s="34">
        <v>-51</v>
      </c>
    </row>
    <row r="4" spans="1:23">
      <c r="A4" s="25" t="s">
        <v>7</v>
      </c>
      <c r="B4">
        <v>28</v>
      </c>
      <c r="C4" t="s">
        <v>501</v>
      </c>
      <c r="D4" s="24">
        <v>-362</v>
      </c>
      <c r="E4" s="87">
        <v>22455.75</v>
      </c>
      <c r="F4" s="24"/>
      <c r="G4" s="24">
        <v>51.393666803973744</v>
      </c>
      <c r="H4" s="24">
        <v>18.755775246874411</v>
      </c>
      <c r="I4" s="24">
        <v>28.407720368576722</v>
      </c>
      <c r="J4" s="24"/>
      <c r="K4" s="24"/>
      <c r="L4" s="24">
        <v>0.65016755174064544</v>
      </c>
      <c r="M4" s="24">
        <v>0.79267002883448567</v>
      </c>
      <c r="N4" s="40">
        <v>1977</v>
      </c>
      <c r="Q4" s="25" t="s">
        <v>6</v>
      </c>
      <c r="R4" s="85">
        <v>7470</v>
      </c>
      <c r="S4" s="24">
        <v>5500</v>
      </c>
      <c r="T4" s="24">
        <v>284.97777777777782</v>
      </c>
      <c r="U4" s="67">
        <v>679.63978612487199</v>
      </c>
      <c r="V4" s="24">
        <v>6.1851790924956351E-2</v>
      </c>
      <c r="W4">
        <v>-65</v>
      </c>
    </row>
    <row r="5" spans="1:23">
      <c r="A5" s="25" t="s">
        <v>14</v>
      </c>
      <c r="B5">
        <v>15.5</v>
      </c>
      <c r="C5" t="s">
        <v>501</v>
      </c>
      <c r="D5" s="24">
        <v>-336</v>
      </c>
      <c r="E5" s="87">
        <v>8978.8066666666673</v>
      </c>
      <c r="F5" s="24"/>
      <c r="G5" s="24">
        <v>5.7366569128339995</v>
      </c>
      <c r="H5" s="24">
        <v>0.65228910647121385</v>
      </c>
      <c r="I5" s="24">
        <v>2.239718566906812</v>
      </c>
      <c r="J5" s="24">
        <v>0.7759011776620649</v>
      </c>
      <c r="K5" s="24">
        <v>40.304786852397854</v>
      </c>
      <c r="L5" s="24">
        <v>2.5374567221627813</v>
      </c>
      <c r="M5" s="24">
        <v>47.75319066156527</v>
      </c>
      <c r="N5" s="40">
        <v>8878</v>
      </c>
      <c r="Q5" s="25" t="s">
        <v>7</v>
      </c>
      <c r="R5" s="85">
        <v>37986.666666666672</v>
      </c>
      <c r="S5" s="44">
        <v>2964.1369233805599</v>
      </c>
      <c r="T5" s="44">
        <v>89.055555555555557</v>
      </c>
      <c r="U5" s="44">
        <v>587.95062857681796</v>
      </c>
      <c r="V5" s="44">
        <v>748.39467233856897</v>
      </c>
      <c r="W5" s="27">
        <v>-12</v>
      </c>
    </row>
    <row r="6" spans="1:23">
      <c r="A6" s="25" t="s">
        <v>14</v>
      </c>
      <c r="B6">
        <v>39</v>
      </c>
      <c r="C6" t="s">
        <v>1111</v>
      </c>
      <c r="D6" s="24">
        <v>-334</v>
      </c>
      <c r="E6" s="87">
        <v>257.87099999999998</v>
      </c>
      <c r="F6" s="24"/>
      <c r="G6" s="24">
        <v>99.668697397794503</v>
      </c>
      <c r="H6" s="24">
        <v>0.33130260220549557</v>
      </c>
      <c r="I6" s="24"/>
      <c r="J6" s="24"/>
      <c r="K6" s="24"/>
      <c r="L6" s="24"/>
      <c r="M6" s="24"/>
      <c r="N6" s="40">
        <v>8523</v>
      </c>
      <c r="Q6" s="25" t="s">
        <v>7</v>
      </c>
      <c r="R6" s="85">
        <v>50777.5</v>
      </c>
      <c r="S6" s="24">
        <v>1126.2627950833</v>
      </c>
      <c r="T6" s="24">
        <v>35.622222222222227</v>
      </c>
      <c r="U6" s="24">
        <v>196.74431961704201</v>
      </c>
      <c r="V6" s="24">
        <v>2022.2096247818497</v>
      </c>
      <c r="W6">
        <v>-15.5</v>
      </c>
    </row>
    <row r="7" spans="1:23">
      <c r="A7" s="25" t="s">
        <v>7</v>
      </c>
      <c r="B7">
        <v>20.5</v>
      </c>
      <c r="C7" t="s">
        <v>501</v>
      </c>
      <c r="D7" s="24">
        <v>-329</v>
      </c>
      <c r="E7" s="87">
        <v>10052.741666666667</v>
      </c>
      <c r="F7" s="24"/>
      <c r="G7" s="24">
        <v>26.343559675677199</v>
      </c>
      <c r="H7" s="24">
        <v>7.1074308915726974</v>
      </c>
      <c r="I7" s="24">
        <v>16.612383520581865</v>
      </c>
      <c r="J7" s="24"/>
      <c r="K7" s="24">
        <v>40.917527473848352</v>
      </c>
      <c r="L7" s="24">
        <v>3.945855566764954</v>
      </c>
      <c r="M7" s="24">
        <v>5.0732428715549407</v>
      </c>
      <c r="N7" s="40">
        <v>3364</v>
      </c>
      <c r="Q7" s="25" t="s">
        <v>7</v>
      </c>
      <c r="R7" s="85">
        <v>16618.333333333332</v>
      </c>
      <c r="S7" s="24">
        <v>1129.15831935543</v>
      </c>
      <c r="T7" s="24">
        <v>302.78888888888889</v>
      </c>
      <c r="U7" s="24">
        <v>149.803836238364</v>
      </c>
      <c r="V7" s="24">
        <v>200.41414288830714</v>
      </c>
      <c r="W7">
        <v>-17</v>
      </c>
    </row>
    <row r="8" spans="1:23">
      <c r="A8" s="25" t="s">
        <v>7</v>
      </c>
      <c r="B8">
        <v>19</v>
      </c>
      <c r="C8" t="s">
        <v>501</v>
      </c>
      <c r="D8" s="24">
        <v>-317</v>
      </c>
      <c r="E8" s="87">
        <v>12742.405555555555</v>
      </c>
      <c r="F8" s="24"/>
      <c r="G8" s="24">
        <v>8.8072067327248948</v>
      </c>
      <c r="H8" s="24">
        <v>1.9875891217121484</v>
      </c>
      <c r="I8" s="24">
        <v>5.242338246790136</v>
      </c>
      <c r="J8" s="24"/>
      <c r="K8" s="24">
        <v>75.591866702301544</v>
      </c>
      <c r="L8" s="24"/>
      <c r="M8" s="24">
        <v>8.370999196471276</v>
      </c>
      <c r="N8" s="40">
        <v>6072</v>
      </c>
      <c r="Q8" s="25" t="s">
        <v>7</v>
      </c>
      <c r="R8" s="85">
        <v>8240.4444444444453</v>
      </c>
      <c r="S8" s="24">
        <v>156.01341000856701</v>
      </c>
      <c r="T8" s="24">
        <v>6447.6222222222232</v>
      </c>
      <c r="U8" s="24">
        <v>394.75386461465001</v>
      </c>
      <c r="V8" s="24">
        <v>214.54732853403144</v>
      </c>
      <c r="W8">
        <v>-19</v>
      </c>
    </row>
    <row r="9" spans="1:23">
      <c r="A9" s="25" t="s">
        <v>14</v>
      </c>
      <c r="B9">
        <v>26</v>
      </c>
      <c r="C9" t="s">
        <v>501</v>
      </c>
      <c r="D9" s="24">
        <v>-314</v>
      </c>
      <c r="E9" s="87">
        <v>4891.7614444444444</v>
      </c>
      <c r="F9" s="24"/>
      <c r="G9" s="24">
        <v>10.27049947220784</v>
      </c>
      <c r="H9" s="24">
        <v>0.27024575764608127</v>
      </c>
      <c r="I9" s="24">
        <v>1.7880403134948912</v>
      </c>
      <c r="J9" s="24"/>
      <c r="K9" s="24">
        <v>41.198520333041593</v>
      </c>
      <c r="L9" s="24">
        <v>9.5398492335855476</v>
      </c>
      <c r="M9" s="24">
        <v>36.93284489002405</v>
      </c>
      <c r="N9" s="40">
        <v>10297</v>
      </c>
      <c r="Q9" s="25" t="s">
        <v>7</v>
      </c>
      <c r="R9" s="85">
        <v>1237084.1666666667</v>
      </c>
      <c r="S9" s="24">
        <v>40.728365462998504</v>
      </c>
      <c r="T9" s="24">
        <v>9475.5111111111109</v>
      </c>
      <c r="U9" s="24">
        <v>467.39132789608402</v>
      </c>
      <c r="V9" s="24">
        <v>91.05513743455495</v>
      </c>
      <c r="W9">
        <v>-20.5</v>
      </c>
    </row>
    <row r="10" spans="1:23">
      <c r="A10" s="25" t="s">
        <v>11</v>
      </c>
      <c r="B10">
        <v>14</v>
      </c>
      <c r="C10" t="s">
        <v>1112</v>
      </c>
      <c r="D10">
        <v>-292</v>
      </c>
      <c r="E10" s="87">
        <v>77481.55</v>
      </c>
      <c r="F10" s="24"/>
      <c r="G10" s="24">
        <v>5.2276961418557057</v>
      </c>
      <c r="H10" s="24">
        <v>1.8867287330553744</v>
      </c>
      <c r="I10" s="24">
        <v>2.7495793084504201</v>
      </c>
      <c r="J10" s="24">
        <v>8.6601261848788497E-2</v>
      </c>
      <c r="K10" s="24">
        <v>88.44040936197068</v>
      </c>
      <c r="L10" s="24"/>
      <c r="M10" s="24">
        <v>1.6089851928190217</v>
      </c>
      <c r="N10" s="40">
        <v>10123</v>
      </c>
      <c r="Q10" s="25" t="s">
        <v>7</v>
      </c>
      <c r="R10" s="85">
        <v>7342.333333333333</v>
      </c>
      <c r="S10" s="24">
        <v>113.612295106787</v>
      </c>
      <c r="T10" s="24">
        <v>15477.855555555554</v>
      </c>
      <c r="U10" s="24">
        <v>30.511156297776999</v>
      </c>
      <c r="V10" s="24">
        <v>6.6195299520069808</v>
      </c>
      <c r="W10">
        <v>-28</v>
      </c>
    </row>
    <row r="11" spans="1:23">
      <c r="A11" s="25" t="s">
        <v>14</v>
      </c>
      <c r="B11">
        <v>19</v>
      </c>
      <c r="C11" t="s">
        <v>1112</v>
      </c>
      <c r="D11" s="24">
        <v>-277</v>
      </c>
      <c r="E11" s="87">
        <v>28477.458333333336</v>
      </c>
      <c r="F11" s="24"/>
      <c r="G11" s="24">
        <v>3.4021353146275053</v>
      </c>
      <c r="H11" s="24">
        <v>0.21999856611735302</v>
      </c>
      <c r="I11" s="24">
        <v>1.0651699663037577</v>
      </c>
      <c r="J11" s="24">
        <v>1.5221395870125347</v>
      </c>
      <c r="K11" s="24">
        <v>35.25127330242195</v>
      </c>
      <c r="L11" s="24">
        <v>4.695526725085192</v>
      </c>
      <c r="M11" s="24">
        <v>53.843756538431705</v>
      </c>
      <c r="N11" s="40">
        <v>12093</v>
      </c>
      <c r="Q11" s="25" t="s">
        <v>7</v>
      </c>
      <c r="R11" s="85">
        <v>79302</v>
      </c>
      <c r="S11" s="24">
        <v>3186.30763349269</v>
      </c>
      <c r="T11" s="24">
        <v>4951.48888888889</v>
      </c>
      <c r="U11" s="24">
        <v>701.82098929139897</v>
      </c>
      <c r="V11" s="24">
        <v>6.941615183246074</v>
      </c>
      <c r="W11">
        <v>-31</v>
      </c>
    </row>
    <row r="12" spans="1:23">
      <c r="A12" s="25" t="s">
        <v>11</v>
      </c>
      <c r="B12">
        <v>7</v>
      </c>
      <c r="C12" t="s">
        <v>1111</v>
      </c>
      <c r="D12">
        <v>-264</v>
      </c>
      <c r="E12" s="87">
        <v>105608.73583333334</v>
      </c>
      <c r="F12" s="24"/>
      <c r="G12" s="24">
        <v>4.4378431036201444</v>
      </c>
      <c r="H12" s="24">
        <v>0.39239414877003198</v>
      </c>
      <c r="I12" s="24">
        <v>1.2769619129440228</v>
      </c>
      <c r="J12" s="24"/>
      <c r="K12" s="24">
        <v>93.395051607275875</v>
      </c>
      <c r="L12" s="24"/>
      <c r="M12" s="24">
        <v>0.4977492273899089</v>
      </c>
      <c r="N12" s="40">
        <v>9683</v>
      </c>
      <c r="Q12" s="25" t="s">
        <v>7</v>
      </c>
      <c r="R12" s="85">
        <v>33433.333333333336</v>
      </c>
      <c r="S12" s="24">
        <v>9955.1880568739507</v>
      </c>
      <c r="T12" s="24">
        <v>53.43333333333333</v>
      </c>
      <c r="U12" s="24">
        <v>399.239336567598</v>
      </c>
      <c r="V12" s="24">
        <v>8.2842321116928428</v>
      </c>
      <c r="W12" s="97">
        <v>-45</v>
      </c>
    </row>
    <row r="13" spans="1:23">
      <c r="A13" s="25" t="s">
        <v>11</v>
      </c>
      <c r="B13">
        <v>10.5</v>
      </c>
      <c r="C13" t="s">
        <v>1111</v>
      </c>
      <c r="D13">
        <v>-253</v>
      </c>
      <c r="E13" s="87">
        <v>492409.60000000003</v>
      </c>
      <c r="F13" s="24">
        <v>6.0338204436126159E-3</v>
      </c>
      <c r="G13" s="24">
        <v>1.8780096894942744</v>
      </c>
      <c r="H13" s="24">
        <v>0.36557189606195956</v>
      </c>
      <c r="I13" s="24">
        <v>1.010879289653708</v>
      </c>
      <c r="J13" s="24">
        <v>1.5908165343107308E-2</v>
      </c>
      <c r="K13" s="24">
        <v>95.945417076442951</v>
      </c>
      <c r="L13" s="24">
        <v>7.517454303625816E-2</v>
      </c>
      <c r="M13" s="24">
        <v>0.70300551952412516</v>
      </c>
      <c r="N13" s="40">
        <v>607</v>
      </c>
      <c r="Q13" s="25" t="s">
        <v>7</v>
      </c>
      <c r="R13" s="85">
        <v>999</v>
      </c>
      <c r="S13" s="214">
        <v>5563.5663777949603</v>
      </c>
      <c r="T13" s="214">
        <v>53.43333333333333</v>
      </c>
      <c r="U13" s="24">
        <v>610.10908890698306</v>
      </c>
      <c r="V13" s="214">
        <v>21.539003490401392</v>
      </c>
      <c r="W13" s="97">
        <v>-64</v>
      </c>
    </row>
    <row r="14" spans="1:23">
      <c r="A14" s="25" t="s">
        <v>7</v>
      </c>
      <c r="B14">
        <v>17</v>
      </c>
      <c r="C14" t="s">
        <v>1111</v>
      </c>
      <c r="D14" s="24">
        <v>-252</v>
      </c>
      <c r="E14" s="87">
        <v>59221.049999999996</v>
      </c>
      <c r="F14" s="24"/>
      <c r="G14" s="24">
        <v>17.998949134921904</v>
      </c>
      <c r="H14" s="24">
        <v>3.6064034663350277</v>
      </c>
      <c r="I14" s="24">
        <v>14.267167952386304</v>
      </c>
      <c r="J14" s="24">
        <v>0.31514695084489946</v>
      </c>
      <c r="K14" s="24">
        <v>63.265792596832824</v>
      </c>
      <c r="L14" s="24">
        <v>0.54653989867904518</v>
      </c>
      <c r="M14" s="24"/>
      <c r="N14" s="40">
        <v>8518</v>
      </c>
      <c r="Q14" s="25" t="s">
        <v>11</v>
      </c>
      <c r="R14" s="85">
        <v>425666.66666666669</v>
      </c>
      <c r="S14" s="46">
        <v>11100</v>
      </c>
      <c r="T14" s="46">
        <v>623.38888888888903</v>
      </c>
      <c r="U14" s="44">
        <v>627.761464911742</v>
      </c>
      <c r="V14" s="46">
        <v>1.8668088568935424</v>
      </c>
      <c r="W14" s="27">
        <v>-7</v>
      </c>
    </row>
    <row r="15" spans="1:23">
      <c r="A15" s="25" t="s">
        <v>11</v>
      </c>
      <c r="B15">
        <v>15.5</v>
      </c>
      <c r="C15" t="s">
        <v>501</v>
      </c>
      <c r="D15">
        <v>-244</v>
      </c>
      <c r="E15" s="87">
        <v>88926.166666666672</v>
      </c>
      <c r="F15" s="24"/>
      <c r="G15" s="24">
        <v>5.0033079877126525</v>
      </c>
      <c r="H15" s="24">
        <v>2.0481410608426089</v>
      </c>
      <c r="I15" s="24">
        <v>3.027511587328064</v>
      </c>
      <c r="J15" s="24"/>
      <c r="K15" s="24">
        <v>86.719881849549338</v>
      </c>
      <c r="L15" s="24"/>
      <c r="M15" s="24">
        <v>3.2011575145673286</v>
      </c>
      <c r="N15" s="40">
        <v>707</v>
      </c>
      <c r="Q15" s="25" t="s">
        <v>11</v>
      </c>
      <c r="R15" s="85">
        <v>101500</v>
      </c>
      <c r="S15" s="214">
        <v>6400</v>
      </c>
      <c r="T15" s="214">
        <v>231.54444444444442</v>
      </c>
      <c r="U15" s="24">
        <v>510.59962649233603</v>
      </c>
      <c r="V15" s="214">
        <v>1.7268339005235598</v>
      </c>
      <c r="W15">
        <v>-10.5</v>
      </c>
    </row>
    <row r="16" spans="1:23">
      <c r="A16" s="25" t="s">
        <v>7</v>
      </c>
      <c r="B16">
        <v>15.5</v>
      </c>
      <c r="C16" t="s">
        <v>1113</v>
      </c>
      <c r="D16" s="24">
        <v>-231</v>
      </c>
      <c r="E16" s="87">
        <v>10991.644444444444</v>
      </c>
      <c r="F16" s="24"/>
      <c r="G16" s="24">
        <v>3.4636410687714303</v>
      </c>
      <c r="H16" s="24">
        <v>0.8708129811735783</v>
      </c>
      <c r="I16" s="24">
        <v>1.8336655722326451</v>
      </c>
      <c r="J16" s="24">
        <v>1.00379277997024</v>
      </c>
      <c r="K16" s="24">
        <v>92.828087597852118</v>
      </c>
      <c r="L16" s="24"/>
      <c r="M16" s="24"/>
      <c r="N16" s="40">
        <v>10445</v>
      </c>
      <c r="Q16" s="25" t="s">
        <v>11</v>
      </c>
      <c r="R16" s="85">
        <v>497</v>
      </c>
      <c r="S16" s="45">
        <v>1600</v>
      </c>
      <c r="T16" s="45">
        <v>1193.3444444444444</v>
      </c>
      <c r="U16" s="24">
        <v>1085.3119418153701</v>
      </c>
      <c r="V16" s="45">
        <v>2.4502758944153578</v>
      </c>
      <c r="W16">
        <v>-14</v>
      </c>
    </row>
    <row r="17" spans="1:23">
      <c r="A17" s="25" t="s">
        <v>14</v>
      </c>
      <c r="B17">
        <v>46</v>
      </c>
      <c r="C17" t="s">
        <v>1111</v>
      </c>
      <c r="D17" s="24">
        <v>-230</v>
      </c>
      <c r="E17" s="87">
        <v>47504.236111111109</v>
      </c>
      <c r="F17" s="24"/>
      <c r="G17" s="24">
        <v>1.8424497230510146</v>
      </c>
      <c r="H17" s="24">
        <v>0.16580977427451646</v>
      </c>
      <c r="I17" s="24">
        <v>0.5895263726480533</v>
      </c>
      <c r="J17" s="24">
        <v>1.0037935213380094</v>
      </c>
      <c r="K17" s="24">
        <v>64.555646353176101</v>
      </c>
      <c r="L17" s="24">
        <v>2.5822258541270444</v>
      </c>
      <c r="M17" s="24">
        <v>29.260548401385257</v>
      </c>
      <c r="N17" s="40">
        <v>13644</v>
      </c>
      <c r="Q17" s="25" t="s">
        <v>11</v>
      </c>
      <c r="R17" s="85">
        <v>47525.444444444445</v>
      </c>
      <c r="S17" s="24">
        <v>2000</v>
      </c>
      <c r="T17" s="24">
        <v>106.86666666666666</v>
      </c>
      <c r="U17" s="24">
        <v>1344.5663786947798</v>
      </c>
      <c r="V17" s="24">
        <v>912.20107918848146</v>
      </c>
      <c r="W17">
        <v>-15.5</v>
      </c>
    </row>
    <row r="18" spans="1:23">
      <c r="A18" s="25" t="s">
        <v>11</v>
      </c>
      <c r="B18">
        <v>20</v>
      </c>
      <c r="C18" t="s">
        <v>501</v>
      </c>
      <c r="D18">
        <v>-227</v>
      </c>
      <c r="E18" s="87">
        <v>80852.759444444455</v>
      </c>
      <c r="F18" s="24"/>
      <c r="G18" s="24">
        <v>1.0726391273376932</v>
      </c>
      <c r="H18" s="24">
        <v>8.9794227939736293E-2</v>
      </c>
      <c r="I18" s="24"/>
      <c r="J18" s="24">
        <v>0.15303538702145716</v>
      </c>
      <c r="K18" s="24">
        <v>96.708717431460983</v>
      </c>
      <c r="L18" s="24">
        <v>0.38238233152586615</v>
      </c>
      <c r="M18" s="24">
        <v>1.5934314947142565</v>
      </c>
      <c r="N18" s="40">
        <v>26</v>
      </c>
      <c r="Q18" s="25" t="s">
        <v>11</v>
      </c>
      <c r="R18" s="85">
        <v>48590.666666666664</v>
      </c>
      <c r="S18" s="24">
        <v>14900</v>
      </c>
      <c r="T18" s="24">
        <v>35.622222222222227</v>
      </c>
      <c r="U18" s="24">
        <v>1653.5882379310601</v>
      </c>
      <c r="V18" s="24">
        <v>3.9964278359511338</v>
      </c>
      <c r="W18" s="97">
        <v>-20</v>
      </c>
    </row>
    <row r="19" spans="1:23">
      <c r="A19" s="25" t="s">
        <v>11</v>
      </c>
      <c r="B19">
        <v>65</v>
      </c>
      <c r="C19" t="s">
        <v>501</v>
      </c>
      <c r="D19">
        <v>-227</v>
      </c>
      <c r="E19" s="87">
        <v>13044.064444444442</v>
      </c>
      <c r="F19" s="24"/>
      <c r="G19" s="24">
        <v>2.8378169108503841</v>
      </c>
      <c r="H19" s="24">
        <v>0.1235811128399141</v>
      </c>
      <c r="I19" s="24"/>
      <c r="J19" s="24"/>
      <c r="K19" s="24"/>
      <c r="L19" s="24">
        <v>16.712582257506995</v>
      </c>
      <c r="M19" s="24">
        <v>80.326019718802712</v>
      </c>
      <c r="N19" s="40">
        <v>121</v>
      </c>
      <c r="Q19" s="25" t="s">
        <v>11</v>
      </c>
      <c r="R19" s="85">
        <v>30655.555555555558</v>
      </c>
      <c r="S19" s="24">
        <v>9100</v>
      </c>
      <c r="T19" s="24">
        <v>89.055555555555557</v>
      </c>
      <c r="U19" s="24">
        <v>591.65561802057096</v>
      </c>
      <c r="V19" s="24">
        <v>2.0396350785340314</v>
      </c>
      <c r="W19" s="97">
        <v>-43</v>
      </c>
    </row>
    <row r="20" spans="1:23">
      <c r="A20" s="25" t="s">
        <v>7</v>
      </c>
      <c r="B20">
        <v>12</v>
      </c>
      <c r="C20" t="s">
        <v>1113</v>
      </c>
      <c r="D20" s="24">
        <v>-208</v>
      </c>
      <c r="E20" s="87">
        <v>115326.49999999999</v>
      </c>
      <c r="F20" s="24"/>
      <c r="G20" s="24">
        <v>0.42815638884192087</v>
      </c>
      <c r="H20" s="24">
        <v>0.10027569070807182</v>
      </c>
      <c r="I20" s="24">
        <v>0.12640922366787627</v>
      </c>
      <c r="J20" s="24">
        <v>0.29309540016099223</v>
      </c>
      <c r="K20" s="24">
        <v>94.095170378591803</v>
      </c>
      <c r="L20" s="24">
        <v>0.26200974335184601</v>
      </c>
      <c r="M20" s="24">
        <v>4.6948831746774982</v>
      </c>
      <c r="N20" s="40">
        <v>4628</v>
      </c>
      <c r="Q20" s="25" t="s">
        <v>11</v>
      </c>
      <c r="R20" s="85">
        <v>5632.333333333333</v>
      </c>
      <c r="S20" s="24">
        <v>8500</v>
      </c>
      <c r="T20" s="24">
        <v>35.622222222222227</v>
      </c>
      <c r="U20" s="24">
        <v>490.73889438431803</v>
      </c>
      <c r="V20" s="24">
        <v>1.9817882853403139</v>
      </c>
      <c r="W20" s="97">
        <v>-65</v>
      </c>
    </row>
    <row r="21" spans="1:23">
      <c r="A21" s="25" t="s">
        <v>7</v>
      </c>
      <c r="B21">
        <v>45</v>
      </c>
      <c r="C21" t="s">
        <v>1111</v>
      </c>
      <c r="D21" s="24">
        <v>-187</v>
      </c>
      <c r="E21" s="87">
        <v>428.16666666666669</v>
      </c>
      <c r="F21" s="24"/>
      <c r="G21" s="24">
        <v>4.6897625535227707</v>
      </c>
      <c r="H21" s="24">
        <v>6.5986765278318398</v>
      </c>
      <c r="I21" s="24"/>
      <c r="J21" s="24"/>
      <c r="K21" s="24"/>
      <c r="L21" s="24"/>
      <c r="M21" s="24">
        <v>88.71156091864539</v>
      </c>
      <c r="N21" s="40">
        <v>25</v>
      </c>
      <c r="Q21" s="25" t="s">
        <v>14</v>
      </c>
      <c r="R21" s="85">
        <v>16029096.666666666</v>
      </c>
      <c r="S21" s="44">
        <v>27.283535104929602</v>
      </c>
      <c r="T21" s="44">
        <v>19253.811111111114</v>
      </c>
      <c r="U21" s="44">
        <v>129.30630159745499</v>
      </c>
      <c r="V21" s="44">
        <v>102.24456404886561</v>
      </c>
      <c r="W21" s="27">
        <v>-15.5</v>
      </c>
    </row>
    <row r="22" spans="1:23">
      <c r="A22" s="25" t="s">
        <v>11</v>
      </c>
      <c r="B22">
        <v>43</v>
      </c>
      <c r="C22" t="s">
        <v>501</v>
      </c>
      <c r="D22">
        <v>-183</v>
      </c>
      <c r="E22" s="87">
        <v>1689.9</v>
      </c>
      <c r="F22" s="24"/>
      <c r="G22" s="24">
        <v>16.038424364360807</v>
      </c>
      <c r="H22" s="24"/>
      <c r="I22" s="24"/>
      <c r="J22" s="24">
        <v>2.2999388523975774</v>
      </c>
      <c r="K22" s="24"/>
      <c r="L22" s="24"/>
      <c r="M22" s="24">
        <v>81.661636783241605</v>
      </c>
      <c r="N22" s="40">
        <v>33</v>
      </c>
      <c r="Q22" s="25" t="s">
        <v>14</v>
      </c>
      <c r="R22" s="85">
        <v>38261.111111111109</v>
      </c>
      <c r="S22" s="24">
        <v>613.39781005528505</v>
      </c>
      <c r="T22" s="24">
        <v>409.65555555555557</v>
      </c>
      <c r="U22" s="24">
        <v>127.14461551750999</v>
      </c>
      <c r="V22" s="24">
        <v>305.7952886125654</v>
      </c>
      <c r="W22">
        <v>-19</v>
      </c>
    </row>
    <row r="23" spans="1:23">
      <c r="A23" s="26" t="s">
        <v>7</v>
      </c>
      <c r="B23" s="30">
        <v>64</v>
      </c>
      <c r="C23" s="30" t="s">
        <v>1111</v>
      </c>
      <c r="D23" s="31">
        <v>-175</v>
      </c>
      <c r="E23" s="88">
        <v>3555.3994444444443</v>
      </c>
      <c r="F23" s="31"/>
      <c r="G23" s="31">
        <v>2.8185612524549906</v>
      </c>
      <c r="H23" s="31">
        <v>1.8361274924727162</v>
      </c>
      <c r="I23" s="31"/>
      <c r="J23" s="31">
        <v>0.9161652253794268</v>
      </c>
      <c r="K23" s="31">
        <v>51.513199251404643</v>
      </c>
      <c r="L23" s="31"/>
      <c r="M23" s="31">
        <v>42.91594677828823</v>
      </c>
      <c r="N23" s="38">
        <v>22</v>
      </c>
      <c r="Q23" s="25" t="s">
        <v>14</v>
      </c>
      <c r="R23" s="85">
        <v>63116.666666666664</v>
      </c>
      <c r="S23" s="24">
        <v>20.818129596617897</v>
      </c>
      <c r="T23" s="24">
        <v>27660.655555555561</v>
      </c>
      <c r="U23" s="24">
        <v>96.375289518496004</v>
      </c>
      <c r="V23" s="24">
        <v>41.79823595113438</v>
      </c>
      <c r="W23">
        <v>-26</v>
      </c>
    </row>
    <row r="24" spans="1:23">
      <c r="E24" s="24"/>
      <c r="F24" s="24"/>
      <c r="G24" s="24"/>
      <c r="H24" s="24"/>
      <c r="I24" s="24"/>
      <c r="J24" s="24"/>
      <c r="K24" s="24"/>
      <c r="L24" s="24"/>
      <c r="M24" s="24"/>
      <c r="Q24" s="25" t="s">
        <v>14</v>
      </c>
      <c r="R24" s="331">
        <v>1</v>
      </c>
      <c r="S24" s="24">
        <v>2240.1960591924999</v>
      </c>
      <c r="T24" s="24">
        <v>302.78888888888889</v>
      </c>
      <c r="U24" s="24">
        <v>227.96088340665398</v>
      </c>
      <c r="V24" s="24">
        <v>75.343662739965083</v>
      </c>
      <c r="W24">
        <v>-39</v>
      </c>
    </row>
    <row r="25" spans="1:23">
      <c r="Q25" s="26" t="s">
        <v>14</v>
      </c>
      <c r="R25" s="95">
        <v>189199.99999999997</v>
      </c>
      <c r="S25" s="24">
        <v>7566.8364032971404</v>
      </c>
      <c r="T25" s="24">
        <v>71.244444444444454</v>
      </c>
      <c r="U25" s="24">
        <v>380.39627521891703</v>
      </c>
      <c r="V25" s="24">
        <v>125.85962467277484</v>
      </c>
      <c r="W25">
        <v>-46</v>
      </c>
    </row>
    <row r="26" spans="1:23">
      <c r="S26" s="44">
        <v>6700</v>
      </c>
      <c r="T26" s="44">
        <v>231.54444444444442</v>
      </c>
      <c r="U26" s="44">
        <v>1471.61998532086</v>
      </c>
    </row>
    <row r="27" spans="1:23">
      <c r="S27" s="214">
        <v>2600</v>
      </c>
      <c r="T27" s="214">
        <v>106.86666666666666</v>
      </c>
      <c r="U27" s="24">
        <v>307.938635154797</v>
      </c>
    </row>
    <row r="28" spans="1:23">
      <c r="S28" s="213">
        <v>3000</v>
      </c>
      <c r="T28" s="213">
        <v>89.055555555555557</v>
      </c>
      <c r="U28" s="31">
        <v>355.27614883592099</v>
      </c>
    </row>
  </sheetData>
  <sortState xmlns:xlrd2="http://schemas.microsoft.com/office/spreadsheetml/2017/richdata2" ref="A3:N23">
    <sortCondition ref="D3:D23"/>
  </sortState>
  <conditionalFormatting sqref="V3:V25">
    <cfRule type="top10" dxfId="290" priority="5" percent="1" bottom="1" rank="30"/>
    <cfRule type="top10" dxfId="289" priority="6" percent="1" rank="20"/>
  </conditionalFormatting>
  <conditionalFormatting sqref="S3:S28">
    <cfRule type="top10" dxfId="288" priority="3" percent="1" bottom="1" rank="30"/>
    <cfRule type="top10" dxfId="287" priority="4" percent="1" rank="20"/>
  </conditionalFormatting>
  <conditionalFormatting sqref="T3:T28">
    <cfRule type="top10" dxfId="286" priority="1" percent="1" bottom="1" rank="30"/>
    <cfRule type="top10" dxfId="285" priority="2" percent="1" rank="20"/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5CD1-BA76-4752-8313-41579477AB69}">
  <sheetPr>
    <tabColor rgb="FFE2C5FF"/>
  </sheetPr>
  <dimension ref="A1:AJ30"/>
  <sheetViews>
    <sheetView topLeftCell="T1" zoomScale="90" zoomScaleNormal="90" workbookViewId="0">
      <selection activeCell="M56" sqref="M56"/>
    </sheetView>
  </sheetViews>
  <sheetFormatPr defaultRowHeight="15"/>
  <cols>
    <col min="1" max="1" width="10.5703125" customWidth="1"/>
    <col min="16" max="16" width="10.5703125" customWidth="1"/>
    <col min="34" max="36" width="16" customWidth="1"/>
  </cols>
  <sheetData>
    <row r="1" spans="1:36" ht="60">
      <c r="A1" s="21" t="s">
        <v>1114</v>
      </c>
      <c r="L1" t="s">
        <v>114</v>
      </c>
      <c r="P1" s="21" t="s">
        <v>1115</v>
      </c>
      <c r="AA1" t="s">
        <v>114</v>
      </c>
      <c r="AF1" s="36" t="s">
        <v>126</v>
      </c>
      <c r="AG1" s="36" t="s">
        <v>1</v>
      </c>
      <c r="AH1" s="36" t="s">
        <v>1116</v>
      </c>
      <c r="AI1" s="36" t="s">
        <v>1117</v>
      </c>
      <c r="AJ1" s="36" t="s">
        <v>1004</v>
      </c>
    </row>
    <row r="2" spans="1:36" ht="90">
      <c r="A2" s="36" t="s">
        <v>1000</v>
      </c>
      <c r="B2" s="36" t="s">
        <v>1047</v>
      </c>
      <c r="C2" s="36" t="s">
        <v>125</v>
      </c>
      <c r="D2" s="36" t="s">
        <v>1048</v>
      </c>
      <c r="E2" s="36" t="s">
        <v>1049</v>
      </c>
      <c r="F2" s="36" t="s">
        <v>1050</v>
      </c>
      <c r="G2" s="36" t="s">
        <v>1051</v>
      </c>
      <c r="H2" s="36" t="s">
        <v>1101</v>
      </c>
      <c r="I2" s="211" t="s">
        <v>1052</v>
      </c>
      <c r="J2" s="211" t="s">
        <v>1053</v>
      </c>
      <c r="K2" s="36" t="s">
        <v>1054</v>
      </c>
      <c r="L2" s="36" t="s">
        <v>1118</v>
      </c>
      <c r="M2" s="36" t="s">
        <v>1119</v>
      </c>
      <c r="N2" s="36" t="s">
        <v>1004</v>
      </c>
      <c r="P2" s="36" t="s">
        <v>1000</v>
      </c>
      <c r="Q2" s="36" t="s">
        <v>1047</v>
      </c>
      <c r="R2" s="36" t="s">
        <v>125</v>
      </c>
      <c r="S2" s="36" t="s">
        <v>1048</v>
      </c>
      <c r="T2" s="36" t="s">
        <v>1049</v>
      </c>
      <c r="U2" s="36" t="s">
        <v>1050</v>
      </c>
      <c r="V2" s="36" t="s">
        <v>1051</v>
      </c>
      <c r="W2" s="36" t="s">
        <v>1101</v>
      </c>
      <c r="X2" s="211" t="s">
        <v>1052</v>
      </c>
      <c r="Y2" s="211" t="s">
        <v>1053</v>
      </c>
      <c r="Z2" s="36" t="s">
        <v>1054</v>
      </c>
      <c r="AA2" s="36" t="s">
        <v>1118</v>
      </c>
      <c r="AB2" s="36" t="s">
        <v>1005</v>
      </c>
      <c r="AC2" s="36" t="s">
        <v>1004</v>
      </c>
      <c r="AF2" t="s">
        <v>6</v>
      </c>
      <c r="AG2" t="s">
        <v>22</v>
      </c>
      <c r="AH2" s="84">
        <v>15215.083333333332</v>
      </c>
      <c r="AI2">
        <v>0</v>
      </c>
      <c r="AJ2">
        <v>3</v>
      </c>
    </row>
    <row r="3" spans="1:36">
      <c r="A3" t="s">
        <v>99</v>
      </c>
      <c r="B3">
        <v>1850248.6171442128</v>
      </c>
      <c r="C3">
        <v>36607.921589522863</v>
      </c>
      <c r="D3">
        <v>16.484316810220268</v>
      </c>
      <c r="G3">
        <v>1137.1505391732021</v>
      </c>
      <c r="H3">
        <v>0</v>
      </c>
      <c r="I3">
        <v>0</v>
      </c>
      <c r="J3">
        <v>0</v>
      </c>
      <c r="K3">
        <v>3048.6059619545681</v>
      </c>
      <c r="L3">
        <v>18.8</v>
      </c>
      <c r="M3" s="24">
        <v>0</v>
      </c>
      <c r="N3" s="24">
        <v>2</v>
      </c>
      <c r="P3" t="s">
        <v>101</v>
      </c>
      <c r="Q3">
        <v>221935.40876995967</v>
      </c>
      <c r="R3">
        <v>615.5164729092354</v>
      </c>
      <c r="S3">
        <v>0</v>
      </c>
      <c r="V3">
        <v>1132.1939138281909</v>
      </c>
      <c r="W3">
        <v>631.01110277170733</v>
      </c>
      <c r="X3">
        <v>0</v>
      </c>
      <c r="Y3">
        <v>0</v>
      </c>
      <c r="Z3">
        <v>3423.2104957928832</v>
      </c>
      <c r="AA3">
        <v>28</v>
      </c>
      <c r="AB3" s="24">
        <v>0</v>
      </c>
      <c r="AC3" s="24">
        <v>1</v>
      </c>
      <c r="AF3" t="s">
        <v>6</v>
      </c>
      <c r="AG3" t="s">
        <v>27</v>
      </c>
      <c r="AH3" s="84">
        <v>94009.8</v>
      </c>
      <c r="AI3">
        <v>0</v>
      </c>
      <c r="AJ3">
        <v>4</v>
      </c>
    </row>
    <row r="4" spans="1:36">
      <c r="A4" t="s">
        <v>75</v>
      </c>
      <c r="B4">
        <v>1190175</v>
      </c>
      <c r="C4" s="24">
        <v>48590.666666666664</v>
      </c>
      <c r="D4" s="24">
        <v>0</v>
      </c>
      <c r="E4" s="24">
        <v>867.25833333333333</v>
      </c>
      <c r="F4" s="24">
        <v>72.601111111111109</v>
      </c>
      <c r="G4" s="24">
        <v>0</v>
      </c>
      <c r="H4" s="24">
        <v>123.73333333333333</v>
      </c>
      <c r="I4" s="24">
        <v>78191.666666666672</v>
      </c>
      <c r="J4">
        <v>309.16666666666663</v>
      </c>
      <c r="K4">
        <v>1288.3333333333333</v>
      </c>
      <c r="L4">
        <v>26.329635294249172</v>
      </c>
      <c r="M4" s="24">
        <v>0</v>
      </c>
      <c r="N4" s="24">
        <v>2</v>
      </c>
      <c r="P4" t="s">
        <v>76</v>
      </c>
      <c r="Q4">
        <v>720166.66666666663</v>
      </c>
      <c r="R4" s="24">
        <v>30655.555555555558</v>
      </c>
      <c r="S4" s="24">
        <v>0</v>
      </c>
      <c r="T4" s="24">
        <v>271.0333333333333</v>
      </c>
      <c r="U4" s="24">
        <v>0</v>
      </c>
      <c r="V4" s="24">
        <v>0</v>
      </c>
      <c r="W4" s="24">
        <v>38.866666666666667</v>
      </c>
      <c r="X4" s="24">
        <v>0</v>
      </c>
      <c r="Y4">
        <v>0</v>
      </c>
      <c r="Z4">
        <v>1380</v>
      </c>
      <c r="AA4">
        <v>33.438457743231837</v>
      </c>
      <c r="AB4" s="24">
        <v>0</v>
      </c>
      <c r="AC4" s="24">
        <v>1</v>
      </c>
      <c r="AF4" t="s">
        <v>7</v>
      </c>
      <c r="AG4">
        <v>12</v>
      </c>
      <c r="AH4" s="84">
        <v>115326.49999999999</v>
      </c>
      <c r="AI4" s="24">
        <v>89.644953435690908</v>
      </c>
      <c r="AJ4" s="24">
        <v>47</v>
      </c>
    </row>
    <row r="5" spans="1:36">
      <c r="A5" t="s">
        <v>101</v>
      </c>
      <c r="B5">
        <v>221935.40876995967</v>
      </c>
      <c r="C5">
        <v>615.5164729092354</v>
      </c>
      <c r="D5">
        <v>0</v>
      </c>
      <c r="G5">
        <v>1132.1939138281909</v>
      </c>
      <c r="H5">
        <v>631.01110277170733</v>
      </c>
      <c r="I5">
        <v>0</v>
      </c>
      <c r="J5">
        <v>0</v>
      </c>
      <c r="K5">
        <v>3423.2104957928832</v>
      </c>
      <c r="L5">
        <v>28</v>
      </c>
      <c r="M5" s="24">
        <v>0</v>
      </c>
      <c r="N5" s="24">
        <v>1</v>
      </c>
      <c r="P5" t="s">
        <v>78</v>
      </c>
      <c r="Q5">
        <v>2149166.6666666665</v>
      </c>
      <c r="R5" s="24">
        <v>5632.333333333333</v>
      </c>
      <c r="S5" s="24">
        <v>0</v>
      </c>
      <c r="T5" s="24">
        <v>370.16666666666663</v>
      </c>
      <c r="U5" s="24">
        <v>16.12</v>
      </c>
      <c r="V5" s="24">
        <v>0</v>
      </c>
      <c r="W5" s="24">
        <v>0</v>
      </c>
      <c r="X5" s="24">
        <v>0</v>
      </c>
      <c r="Y5">
        <v>2180</v>
      </c>
      <c r="Z5">
        <v>10477.777777777776</v>
      </c>
      <c r="AA5">
        <v>120.82128078730307</v>
      </c>
      <c r="AB5" s="24">
        <v>0</v>
      </c>
      <c r="AC5" s="24">
        <v>1</v>
      </c>
      <c r="AF5" t="s">
        <v>7</v>
      </c>
      <c r="AG5">
        <v>15.5</v>
      </c>
      <c r="AH5" s="84">
        <v>10991.644444444444</v>
      </c>
      <c r="AI5" s="24">
        <v>588.82874955502746</v>
      </c>
      <c r="AJ5" s="24">
        <v>47</v>
      </c>
    </row>
    <row r="6" spans="1:36">
      <c r="A6" t="s">
        <v>76</v>
      </c>
      <c r="B6">
        <v>720166.66666666663</v>
      </c>
      <c r="C6" s="24">
        <v>30655.555555555558</v>
      </c>
      <c r="D6" s="24">
        <v>0</v>
      </c>
      <c r="E6" s="24">
        <v>271.0333333333333</v>
      </c>
      <c r="F6" s="24">
        <v>0</v>
      </c>
      <c r="G6" s="24">
        <v>0</v>
      </c>
      <c r="H6" s="24">
        <v>38.866666666666667</v>
      </c>
      <c r="I6" s="24">
        <v>0</v>
      </c>
      <c r="J6">
        <v>0</v>
      </c>
      <c r="K6">
        <v>1380</v>
      </c>
      <c r="L6">
        <v>33.438457743231837</v>
      </c>
      <c r="M6" s="24">
        <v>0</v>
      </c>
      <c r="N6" s="24">
        <v>1</v>
      </c>
      <c r="P6" t="s">
        <v>95</v>
      </c>
      <c r="Q6">
        <v>37079520.499819487</v>
      </c>
      <c r="R6">
        <v>3819.3839134423342</v>
      </c>
      <c r="S6" t="s">
        <v>1070</v>
      </c>
      <c r="T6">
        <v>302.69749999999999</v>
      </c>
      <c r="U6">
        <v>0</v>
      </c>
      <c r="V6" t="s">
        <v>1070</v>
      </c>
      <c r="W6">
        <v>144.76666666666668</v>
      </c>
      <c r="X6">
        <v>3833.3333333333335</v>
      </c>
      <c r="Y6" t="s">
        <v>1070</v>
      </c>
      <c r="Z6">
        <v>1056.6666666666667</v>
      </c>
      <c r="AA6" s="24">
        <v>222.1</v>
      </c>
      <c r="AB6" s="24">
        <v>0</v>
      </c>
      <c r="AC6" s="24">
        <v>1</v>
      </c>
      <c r="AF6" t="s">
        <v>7</v>
      </c>
      <c r="AG6">
        <v>17</v>
      </c>
      <c r="AH6" s="84">
        <v>59221.049999999996</v>
      </c>
      <c r="AI6" s="24">
        <v>674.15257991442229</v>
      </c>
      <c r="AJ6" s="24">
        <v>43</v>
      </c>
    </row>
    <row r="7" spans="1:36">
      <c r="A7" t="s">
        <v>24</v>
      </c>
      <c r="B7">
        <v>1475833.3333333333</v>
      </c>
      <c r="C7" s="24">
        <v>18439.444444444445</v>
      </c>
      <c r="D7" s="24">
        <v>0</v>
      </c>
      <c r="E7" s="24">
        <v>408.4666666666667</v>
      </c>
      <c r="F7" s="24">
        <v>25.383333333333333</v>
      </c>
      <c r="G7" s="24">
        <v>0</v>
      </c>
      <c r="H7" s="24">
        <v>660.12222222222215</v>
      </c>
      <c r="I7" s="24">
        <v>0</v>
      </c>
      <c r="J7">
        <v>1254.4444444444443</v>
      </c>
      <c r="K7">
        <v>12866.666666666666</v>
      </c>
      <c r="L7">
        <v>67.400000000000006</v>
      </c>
      <c r="M7">
        <v>0</v>
      </c>
      <c r="N7">
        <v>3</v>
      </c>
      <c r="P7" t="s">
        <v>99</v>
      </c>
      <c r="Q7">
        <v>1850248.6171442128</v>
      </c>
      <c r="R7">
        <v>36607.921589522863</v>
      </c>
      <c r="S7">
        <v>16.484316810220268</v>
      </c>
      <c r="V7">
        <v>1137.1505391732021</v>
      </c>
      <c r="W7">
        <v>0</v>
      </c>
      <c r="X7">
        <v>0</v>
      </c>
      <c r="Y7">
        <v>0</v>
      </c>
      <c r="Z7">
        <v>3048.6059619545681</v>
      </c>
      <c r="AA7">
        <v>18.8</v>
      </c>
      <c r="AB7" s="24">
        <v>0</v>
      </c>
      <c r="AC7" s="24">
        <v>2</v>
      </c>
      <c r="AF7" t="s">
        <v>7</v>
      </c>
      <c r="AG7">
        <v>19</v>
      </c>
      <c r="AH7" s="84">
        <v>12742.405555555555</v>
      </c>
      <c r="AI7" s="24">
        <v>513.90820538635796</v>
      </c>
      <c r="AJ7" s="24">
        <v>41</v>
      </c>
    </row>
    <row r="8" spans="1:36">
      <c r="A8" t="s">
        <v>33</v>
      </c>
      <c r="B8">
        <v>5667500</v>
      </c>
      <c r="C8" s="24">
        <v>7470</v>
      </c>
      <c r="D8" s="24">
        <v>0</v>
      </c>
      <c r="E8" s="24">
        <v>1034.9333333333334</v>
      </c>
      <c r="F8" s="24">
        <v>0</v>
      </c>
      <c r="G8" s="24">
        <v>0</v>
      </c>
      <c r="H8" s="24">
        <v>628.20000000000005</v>
      </c>
      <c r="I8" s="24">
        <v>0</v>
      </c>
      <c r="J8">
        <v>12254.166666666668</v>
      </c>
      <c r="K8">
        <v>80092.5</v>
      </c>
      <c r="L8">
        <v>120.8</v>
      </c>
      <c r="M8">
        <v>0</v>
      </c>
      <c r="N8">
        <v>4</v>
      </c>
      <c r="P8" t="s">
        <v>75</v>
      </c>
      <c r="Q8">
        <v>1190175</v>
      </c>
      <c r="R8" s="24">
        <v>48590.666666666664</v>
      </c>
      <c r="S8" s="24">
        <v>0</v>
      </c>
      <c r="T8" s="24">
        <v>867.25833333333333</v>
      </c>
      <c r="U8" s="24">
        <v>72.601111111111109</v>
      </c>
      <c r="V8" s="24">
        <v>0</v>
      </c>
      <c r="W8" s="24">
        <v>123.73333333333333</v>
      </c>
      <c r="X8" s="24">
        <v>78191.666666666672</v>
      </c>
      <c r="Y8">
        <v>309.16666666666663</v>
      </c>
      <c r="Z8">
        <v>1288.3333333333333</v>
      </c>
      <c r="AA8">
        <v>26.329635294249172</v>
      </c>
      <c r="AB8" s="24">
        <v>0</v>
      </c>
      <c r="AC8" s="24">
        <v>2</v>
      </c>
      <c r="AF8" t="s">
        <v>7</v>
      </c>
      <c r="AG8">
        <v>20.5</v>
      </c>
      <c r="AH8" s="84">
        <v>10052.741666666667</v>
      </c>
      <c r="AI8" s="24">
        <v>599.93858545179967</v>
      </c>
      <c r="AJ8" s="24">
        <v>36</v>
      </c>
    </row>
    <row r="9" spans="1:36">
      <c r="A9" t="s">
        <v>78</v>
      </c>
      <c r="B9">
        <v>2149166.6666666665</v>
      </c>
      <c r="C9" s="24">
        <v>5632.333333333333</v>
      </c>
      <c r="D9" s="24">
        <v>0</v>
      </c>
      <c r="E9" s="24">
        <v>370.16666666666663</v>
      </c>
      <c r="F9" s="24">
        <v>16.12</v>
      </c>
      <c r="G9" s="24">
        <v>0</v>
      </c>
      <c r="H9" s="24">
        <v>0</v>
      </c>
      <c r="I9" s="24">
        <v>0</v>
      </c>
      <c r="J9">
        <v>2180</v>
      </c>
      <c r="K9">
        <v>10477.777777777776</v>
      </c>
      <c r="L9">
        <v>120.82128078730307</v>
      </c>
      <c r="M9" s="24">
        <v>0</v>
      </c>
      <c r="N9" s="24">
        <v>1</v>
      </c>
      <c r="P9" t="s">
        <v>24</v>
      </c>
      <c r="Q9">
        <v>1475833.3333333333</v>
      </c>
      <c r="R9" s="24">
        <v>18439.444444444445</v>
      </c>
      <c r="S9" s="24">
        <v>0</v>
      </c>
      <c r="T9" s="24">
        <v>408.4666666666667</v>
      </c>
      <c r="U9" s="24">
        <v>25.383333333333333</v>
      </c>
      <c r="V9" s="24">
        <v>0</v>
      </c>
      <c r="W9" s="24">
        <v>660.12222222222215</v>
      </c>
      <c r="X9" s="24">
        <v>0</v>
      </c>
      <c r="Y9">
        <v>1254.4444444444443</v>
      </c>
      <c r="Z9">
        <v>12866.666666666666</v>
      </c>
      <c r="AA9">
        <v>67.400000000000006</v>
      </c>
      <c r="AB9">
        <v>0</v>
      </c>
      <c r="AC9">
        <v>3</v>
      </c>
      <c r="AF9" t="s">
        <v>7</v>
      </c>
      <c r="AG9">
        <v>28</v>
      </c>
      <c r="AH9" s="84">
        <v>22455.75</v>
      </c>
      <c r="AI9" s="24">
        <v>15</v>
      </c>
      <c r="AJ9" s="24">
        <v>23</v>
      </c>
    </row>
    <row r="10" spans="1:36">
      <c r="A10" t="s">
        <v>95</v>
      </c>
      <c r="B10">
        <v>37079520.499819487</v>
      </c>
      <c r="C10">
        <v>3819.3839134423342</v>
      </c>
      <c r="D10" t="s">
        <v>1070</v>
      </c>
      <c r="E10">
        <v>302.69749999999999</v>
      </c>
      <c r="F10">
        <v>0</v>
      </c>
      <c r="G10" t="s">
        <v>1070</v>
      </c>
      <c r="H10">
        <v>144.76666666666668</v>
      </c>
      <c r="I10">
        <v>3833.3333333333335</v>
      </c>
      <c r="J10" t="s">
        <v>1070</v>
      </c>
      <c r="K10">
        <v>1056.6666666666667</v>
      </c>
      <c r="L10" s="24">
        <v>222.1</v>
      </c>
      <c r="M10" s="24">
        <v>0</v>
      </c>
      <c r="N10" s="24">
        <v>1</v>
      </c>
      <c r="P10" t="s">
        <v>33</v>
      </c>
      <c r="Q10">
        <v>5667500</v>
      </c>
      <c r="R10" s="24">
        <v>7470</v>
      </c>
      <c r="S10" s="24">
        <v>0</v>
      </c>
      <c r="T10" s="24">
        <v>1034.9333333333334</v>
      </c>
      <c r="U10" s="24">
        <v>0</v>
      </c>
      <c r="V10" s="24">
        <v>0</v>
      </c>
      <c r="W10" s="24">
        <v>628.20000000000005</v>
      </c>
      <c r="X10" s="24">
        <v>0</v>
      </c>
      <c r="Y10">
        <v>12254.166666666668</v>
      </c>
      <c r="Z10">
        <v>80092.5</v>
      </c>
      <c r="AA10">
        <v>120.8</v>
      </c>
      <c r="AB10">
        <v>0</v>
      </c>
      <c r="AC10">
        <v>4</v>
      </c>
      <c r="AF10" t="s">
        <v>7</v>
      </c>
      <c r="AG10">
        <v>31</v>
      </c>
      <c r="AH10" s="84">
        <v>204.04</v>
      </c>
      <c r="AI10" s="24">
        <v>6</v>
      </c>
      <c r="AJ10" s="24">
        <v>12</v>
      </c>
    </row>
    <row r="11" spans="1:36">
      <c r="A11" t="s">
        <v>62</v>
      </c>
      <c r="B11">
        <v>35761.111111111109</v>
      </c>
      <c r="C11" s="24">
        <v>33433.333333333336</v>
      </c>
      <c r="D11" s="24">
        <v>0</v>
      </c>
      <c r="E11" s="24">
        <v>20.079999999999998</v>
      </c>
      <c r="F11" s="24">
        <v>28.25333333333333</v>
      </c>
      <c r="G11" s="24">
        <v>0</v>
      </c>
      <c r="H11" s="24">
        <v>0</v>
      </c>
      <c r="I11" s="24">
        <v>0</v>
      </c>
      <c r="J11">
        <v>0</v>
      </c>
      <c r="K11">
        <v>379.83333333333337</v>
      </c>
      <c r="L11">
        <v>24.769927925219562</v>
      </c>
      <c r="M11" s="24">
        <v>5.2153797194530398</v>
      </c>
      <c r="N11" s="24">
        <v>4</v>
      </c>
      <c r="P11" t="s">
        <v>62</v>
      </c>
      <c r="Q11">
        <v>35761.111111111109</v>
      </c>
      <c r="R11" s="24">
        <v>33433.333333333336</v>
      </c>
      <c r="S11" s="24">
        <v>0</v>
      </c>
      <c r="T11" s="24">
        <v>20.079999999999998</v>
      </c>
      <c r="U11" s="24">
        <v>28.25333333333333</v>
      </c>
      <c r="V11" s="24">
        <v>0</v>
      </c>
      <c r="W11" s="24">
        <v>0</v>
      </c>
      <c r="X11" s="24">
        <v>0</v>
      </c>
      <c r="Y11">
        <v>0</v>
      </c>
      <c r="Z11">
        <v>379.83333333333337</v>
      </c>
      <c r="AA11">
        <v>24.769927925219562</v>
      </c>
      <c r="AB11" s="24">
        <v>5.2153797194530398</v>
      </c>
      <c r="AC11" s="24">
        <v>4</v>
      </c>
      <c r="AF11" t="s">
        <v>7</v>
      </c>
      <c r="AG11">
        <v>45</v>
      </c>
      <c r="AH11" s="84">
        <v>428.16666666666669</v>
      </c>
      <c r="AI11" s="24">
        <v>5.2153797194530398</v>
      </c>
      <c r="AJ11" s="24">
        <v>4</v>
      </c>
    </row>
    <row r="12" spans="1:36">
      <c r="A12" t="s">
        <v>60</v>
      </c>
      <c r="B12">
        <v>23725.555555555551</v>
      </c>
      <c r="C12" s="24">
        <v>79302</v>
      </c>
      <c r="D12" s="24">
        <v>0</v>
      </c>
      <c r="E12" s="24">
        <v>86.805555555555543</v>
      </c>
      <c r="F12" s="24">
        <v>29.567777777777778</v>
      </c>
      <c r="G12" s="24">
        <v>0</v>
      </c>
      <c r="H12" s="24">
        <v>0</v>
      </c>
      <c r="I12" s="24">
        <v>0</v>
      </c>
      <c r="J12">
        <v>0</v>
      </c>
      <c r="K12">
        <v>87.666666666666671</v>
      </c>
      <c r="L12">
        <v>205.01316083293236</v>
      </c>
      <c r="M12" s="24">
        <v>6</v>
      </c>
      <c r="N12" s="24">
        <v>12</v>
      </c>
      <c r="P12" t="s">
        <v>73</v>
      </c>
      <c r="Q12" s="24">
        <v>150266.66666666666</v>
      </c>
      <c r="R12" s="24">
        <v>47525.444444444445</v>
      </c>
      <c r="S12" s="24">
        <v>0</v>
      </c>
      <c r="T12" s="24">
        <v>4449.25</v>
      </c>
      <c r="U12" s="24">
        <v>1821.3333333333333</v>
      </c>
      <c r="V12" s="24">
        <v>2692.25</v>
      </c>
      <c r="W12" s="24">
        <v>0</v>
      </c>
      <c r="X12" s="24">
        <v>77116.666666666672</v>
      </c>
      <c r="Y12">
        <v>0</v>
      </c>
      <c r="Z12">
        <v>2846.666666666667</v>
      </c>
      <c r="AA12">
        <v>707.26364243081412</v>
      </c>
      <c r="AB12" s="24">
        <v>6.5320196220368416</v>
      </c>
      <c r="AC12" s="24">
        <v>11</v>
      </c>
      <c r="AF12" t="s">
        <v>7</v>
      </c>
      <c r="AG12">
        <v>64</v>
      </c>
      <c r="AH12" s="84">
        <v>3555.3994444444443</v>
      </c>
      <c r="AI12" s="24">
        <v>7.7746428326927344</v>
      </c>
      <c r="AJ12" s="24">
        <v>11</v>
      </c>
    </row>
    <row r="13" spans="1:36">
      <c r="A13" t="s">
        <v>73</v>
      </c>
      <c r="B13" s="24">
        <v>150266.66666666666</v>
      </c>
      <c r="C13" s="24">
        <v>47525.444444444445</v>
      </c>
      <c r="D13" s="24">
        <v>0</v>
      </c>
      <c r="E13" s="24">
        <v>4449.25</v>
      </c>
      <c r="F13" s="24">
        <v>1821.3333333333333</v>
      </c>
      <c r="G13" s="24">
        <v>2692.25</v>
      </c>
      <c r="H13" s="24">
        <v>0</v>
      </c>
      <c r="I13" s="24">
        <v>77116.666666666672</v>
      </c>
      <c r="J13">
        <v>0</v>
      </c>
      <c r="K13">
        <v>2846.666666666667</v>
      </c>
      <c r="L13">
        <v>707.26364243081412</v>
      </c>
      <c r="M13" s="24">
        <v>6.5320196220368416</v>
      </c>
      <c r="N13" s="24">
        <v>11</v>
      </c>
      <c r="P13" t="s">
        <v>64</v>
      </c>
      <c r="Q13">
        <v>366888.88888888893</v>
      </c>
      <c r="R13" s="24">
        <v>999</v>
      </c>
      <c r="S13" s="24">
        <v>0</v>
      </c>
      <c r="T13" s="24">
        <v>100.21111111111111</v>
      </c>
      <c r="U13" s="24">
        <v>65.281666666666666</v>
      </c>
      <c r="V13" s="24">
        <v>0</v>
      </c>
      <c r="W13" s="24">
        <v>32.573333333333331</v>
      </c>
      <c r="X13" s="24">
        <v>1831.5</v>
      </c>
      <c r="Y13">
        <v>0</v>
      </c>
      <c r="Z13">
        <v>1525.8333333333333</v>
      </c>
      <c r="AA13">
        <v>22.031508881945314</v>
      </c>
      <c r="AB13" s="24">
        <v>7.7746428326927344</v>
      </c>
      <c r="AC13" s="24">
        <v>11</v>
      </c>
      <c r="AF13" t="s">
        <v>11</v>
      </c>
      <c r="AG13">
        <v>7</v>
      </c>
      <c r="AH13" s="84">
        <v>105608.73583333334</v>
      </c>
      <c r="AI13" s="24">
        <v>41.3</v>
      </c>
      <c r="AJ13" s="24">
        <v>33</v>
      </c>
    </row>
    <row r="14" spans="1:36">
      <c r="A14" t="s">
        <v>64</v>
      </c>
      <c r="B14">
        <v>366888.88888888893</v>
      </c>
      <c r="C14" s="24">
        <v>999</v>
      </c>
      <c r="D14" s="24">
        <v>0</v>
      </c>
      <c r="E14" s="24">
        <v>100.21111111111111</v>
      </c>
      <c r="F14" s="24">
        <v>65.281666666666666</v>
      </c>
      <c r="G14" s="24">
        <v>0</v>
      </c>
      <c r="H14" s="24">
        <v>32.573333333333331</v>
      </c>
      <c r="I14" s="24">
        <v>1831.5</v>
      </c>
      <c r="J14">
        <v>0</v>
      </c>
      <c r="K14">
        <v>1525.8333333333333</v>
      </c>
      <c r="L14">
        <v>22.031508881945314</v>
      </c>
      <c r="M14" s="24">
        <v>7.7746428326927344</v>
      </c>
      <c r="N14" s="24">
        <v>11</v>
      </c>
      <c r="P14" t="s">
        <v>60</v>
      </c>
      <c r="Q14">
        <v>23725.555555555551</v>
      </c>
      <c r="R14" s="24">
        <v>79302</v>
      </c>
      <c r="S14" s="24">
        <v>0</v>
      </c>
      <c r="T14" s="24">
        <v>86.805555555555543</v>
      </c>
      <c r="U14" s="24">
        <v>29.567777777777778</v>
      </c>
      <c r="V14" s="24">
        <v>0</v>
      </c>
      <c r="W14" s="24">
        <v>0</v>
      </c>
      <c r="X14" s="24">
        <v>0</v>
      </c>
      <c r="Y14">
        <v>0</v>
      </c>
      <c r="Z14">
        <v>87.666666666666671</v>
      </c>
      <c r="AA14">
        <v>205.01316083293236</v>
      </c>
      <c r="AB14" s="24">
        <v>6</v>
      </c>
      <c r="AC14" s="24">
        <v>12</v>
      </c>
      <c r="AF14" t="s">
        <v>11</v>
      </c>
      <c r="AG14">
        <v>10.5</v>
      </c>
      <c r="AH14" s="84">
        <v>492409.60000000003</v>
      </c>
      <c r="AI14" s="24">
        <v>100.77089743589744</v>
      </c>
      <c r="AJ14" s="24">
        <v>20</v>
      </c>
    </row>
    <row r="15" spans="1:36">
      <c r="A15" t="s">
        <v>58</v>
      </c>
      <c r="B15">
        <v>116455.55555555555</v>
      </c>
      <c r="C15" s="24">
        <v>7342.333333333333</v>
      </c>
      <c r="D15" s="24">
        <v>0</v>
      </c>
      <c r="E15" s="24">
        <v>11540.833333333334</v>
      </c>
      <c r="F15" s="24">
        <v>4211.75</v>
      </c>
      <c r="G15" s="24">
        <v>6379.166666666667</v>
      </c>
      <c r="H15" s="24">
        <v>0</v>
      </c>
      <c r="I15" s="24">
        <v>0</v>
      </c>
      <c r="J15">
        <v>146</v>
      </c>
      <c r="K15">
        <v>178</v>
      </c>
      <c r="L15">
        <v>1976.9096035899397</v>
      </c>
      <c r="M15" s="24">
        <v>15</v>
      </c>
      <c r="N15" s="24">
        <v>23</v>
      </c>
      <c r="P15" t="s">
        <v>69</v>
      </c>
      <c r="Q15">
        <v>355444.44444444444</v>
      </c>
      <c r="R15" s="24">
        <v>101500</v>
      </c>
      <c r="S15" s="24">
        <v>29.711111111111109</v>
      </c>
      <c r="T15" s="24">
        <v>9247.5</v>
      </c>
      <c r="U15" s="24">
        <v>1800.1111111111111</v>
      </c>
      <c r="V15" s="24">
        <v>4977.6666666666661</v>
      </c>
      <c r="W15" s="24">
        <v>78.333333333333329</v>
      </c>
      <c r="X15" s="24">
        <v>472444.44444444444</v>
      </c>
      <c r="Y15">
        <v>370.16666666666669</v>
      </c>
      <c r="Z15">
        <v>3461.666666666667</v>
      </c>
      <c r="AA15">
        <v>606.99112448763299</v>
      </c>
      <c r="AB15" s="24">
        <v>100.77089743589744</v>
      </c>
      <c r="AC15" s="24">
        <v>20</v>
      </c>
      <c r="AF15" t="s">
        <v>11</v>
      </c>
      <c r="AG15">
        <v>14</v>
      </c>
      <c r="AH15" s="84">
        <v>77481.55</v>
      </c>
      <c r="AI15" s="24">
        <v>15.7</v>
      </c>
      <c r="AJ15" s="24">
        <v>27</v>
      </c>
    </row>
    <row r="16" spans="1:36">
      <c r="A16" t="s">
        <v>71</v>
      </c>
      <c r="B16">
        <v>85955.555555555562</v>
      </c>
      <c r="C16" s="24">
        <v>497</v>
      </c>
      <c r="D16" s="24">
        <v>0</v>
      </c>
      <c r="E16" s="24">
        <v>4050.5</v>
      </c>
      <c r="F16" s="24">
        <v>1461.8666666666666</v>
      </c>
      <c r="G16" s="24">
        <v>2130.4166666666665</v>
      </c>
      <c r="H16" s="24">
        <v>67.099999999999994</v>
      </c>
      <c r="I16" s="24">
        <v>68525</v>
      </c>
      <c r="J16">
        <v>0</v>
      </c>
      <c r="K16">
        <v>1246.6666666666667</v>
      </c>
      <c r="L16">
        <v>10123.158243273032</v>
      </c>
      <c r="M16" s="24">
        <v>15.7</v>
      </c>
      <c r="N16" s="24">
        <v>27</v>
      </c>
      <c r="P16" t="s">
        <v>58</v>
      </c>
      <c r="Q16">
        <v>116455.55555555555</v>
      </c>
      <c r="R16" s="24">
        <v>7342.333333333333</v>
      </c>
      <c r="S16" s="24">
        <v>0</v>
      </c>
      <c r="T16" s="24">
        <v>11540.833333333334</v>
      </c>
      <c r="U16" s="24">
        <v>4211.75</v>
      </c>
      <c r="V16" s="24">
        <v>6379.166666666667</v>
      </c>
      <c r="W16" s="24">
        <v>0</v>
      </c>
      <c r="X16" s="24">
        <v>0</v>
      </c>
      <c r="Y16">
        <v>146</v>
      </c>
      <c r="Z16">
        <v>178</v>
      </c>
      <c r="AA16">
        <v>1976.9096035899397</v>
      </c>
      <c r="AB16" s="24">
        <v>15</v>
      </c>
      <c r="AC16" s="24">
        <v>23</v>
      </c>
      <c r="AF16" t="s">
        <v>11</v>
      </c>
      <c r="AG16">
        <v>15.5</v>
      </c>
      <c r="AH16" s="84">
        <v>88926.166666666672</v>
      </c>
      <c r="AI16" s="24">
        <v>6.5320196220368416</v>
      </c>
      <c r="AJ16" s="24">
        <v>11</v>
      </c>
    </row>
    <row r="17" spans="1:36">
      <c r="A17" t="s">
        <v>67</v>
      </c>
      <c r="B17">
        <v>42120</v>
      </c>
      <c r="C17" s="24">
        <v>425666.66666666669</v>
      </c>
      <c r="D17" s="24">
        <v>0</v>
      </c>
      <c r="E17" s="24">
        <v>4686.75</v>
      </c>
      <c r="F17" s="24">
        <v>414.40250000000003</v>
      </c>
      <c r="G17" s="24">
        <v>1348.5833333333333</v>
      </c>
      <c r="H17" s="24">
        <v>0</v>
      </c>
      <c r="I17" s="24">
        <v>98633.333333333328</v>
      </c>
      <c r="J17">
        <v>0</v>
      </c>
      <c r="K17">
        <v>525.66666666666663</v>
      </c>
      <c r="L17">
        <v>9683.2077668474703</v>
      </c>
      <c r="M17" s="24">
        <v>41.3</v>
      </c>
      <c r="N17" s="24">
        <v>33</v>
      </c>
      <c r="P17" t="s">
        <v>71</v>
      </c>
      <c r="Q17">
        <v>85955.555555555562</v>
      </c>
      <c r="R17" s="24">
        <v>497</v>
      </c>
      <c r="S17" s="24">
        <v>0</v>
      </c>
      <c r="T17" s="24">
        <v>4050.5</v>
      </c>
      <c r="U17" s="24">
        <v>1461.8666666666666</v>
      </c>
      <c r="V17" s="24">
        <v>2130.4166666666665</v>
      </c>
      <c r="W17" s="24">
        <v>67.099999999999994</v>
      </c>
      <c r="X17" s="24">
        <v>68525</v>
      </c>
      <c r="Y17">
        <v>0</v>
      </c>
      <c r="Z17">
        <v>1246.6666666666667</v>
      </c>
      <c r="AA17">
        <v>10123.158243273032</v>
      </c>
      <c r="AB17" s="24">
        <v>15.7</v>
      </c>
      <c r="AC17" s="24">
        <v>27</v>
      </c>
      <c r="AF17" t="s">
        <v>11</v>
      </c>
      <c r="AG17">
        <v>20</v>
      </c>
      <c r="AH17" s="84">
        <v>80852.759444444455</v>
      </c>
      <c r="AI17" s="24">
        <v>0</v>
      </c>
      <c r="AJ17" s="24">
        <v>2</v>
      </c>
    </row>
    <row r="18" spans="1:36">
      <c r="A18" t="s">
        <v>90</v>
      </c>
      <c r="B18">
        <v>4446.416666666667</v>
      </c>
      <c r="C18">
        <v>0</v>
      </c>
      <c r="D18">
        <v>0</v>
      </c>
      <c r="E18">
        <v>257.01666666666665</v>
      </c>
      <c r="G18">
        <v>0</v>
      </c>
      <c r="H18">
        <v>0</v>
      </c>
      <c r="I18">
        <v>0</v>
      </c>
      <c r="J18">
        <v>0</v>
      </c>
      <c r="K18">
        <v>0</v>
      </c>
      <c r="L18">
        <v>8523.4388136869402</v>
      </c>
      <c r="M18" s="24">
        <v>84.151680079467354</v>
      </c>
      <c r="N18" s="24">
        <v>32</v>
      </c>
      <c r="P18" t="s">
        <v>90</v>
      </c>
      <c r="Q18">
        <v>4446.416666666667</v>
      </c>
      <c r="R18">
        <v>0</v>
      </c>
      <c r="S18">
        <v>0</v>
      </c>
      <c r="T18">
        <v>257.01666666666665</v>
      </c>
      <c r="V18">
        <v>0</v>
      </c>
      <c r="W18">
        <v>0</v>
      </c>
      <c r="X18">
        <v>0</v>
      </c>
      <c r="Y18">
        <v>0</v>
      </c>
      <c r="Z18">
        <v>0</v>
      </c>
      <c r="AA18">
        <v>8523.4388136869402</v>
      </c>
      <c r="AB18" s="24">
        <v>84.151680079467354</v>
      </c>
      <c r="AC18" s="24">
        <v>32</v>
      </c>
      <c r="AF18" t="s">
        <v>11</v>
      </c>
      <c r="AG18">
        <v>43</v>
      </c>
      <c r="AH18" s="84">
        <v>1689.9</v>
      </c>
      <c r="AI18" s="24">
        <v>0</v>
      </c>
      <c r="AJ18" s="24">
        <v>1</v>
      </c>
    </row>
    <row r="19" spans="1:36">
      <c r="A19" t="s">
        <v>39</v>
      </c>
      <c r="B19">
        <v>567888.88888888888</v>
      </c>
      <c r="C19" s="24">
        <v>37986.666666666672</v>
      </c>
      <c r="D19" s="24">
        <v>0</v>
      </c>
      <c r="E19" s="24">
        <v>493.77777777777777</v>
      </c>
      <c r="F19" s="24">
        <v>115.64444444444445</v>
      </c>
      <c r="G19" s="24">
        <v>145.78333333333333</v>
      </c>
      <c r="H19" s="24">
        <v>338.01666666666665</v>
      </c>
      <c r="I19" s="24">
        <v>108516.66666666666</v>
      </c>
      <c r="J19">
        <v>302.16666666666669</v>
      </c>
      <c r="K19">
        <v>5414.4444444444443</v>
      </c>
      <c r="L19">
        <v>4627.6082418081851</v>
      </c>
      <c r="M19" s="24">
        <v>89.644953435690908</v>
      </c>
      <c r="N19" s="24">
        <v>47</v>
      </c>
      <c r="P19" t="s">
        <v>87</v>
      </c>
      <c r="Q19">
        <v>74247.5</v>
      </c>
      <c r="R19" s="24">
        <v>63116.666666666664</v>
      </c>
      <c r="S19" s="24">
        <v>0</v>
      </c>
      <c r="T19" s="24">
        <v>502.4083333333333</v>
      </c>
      <c r="U19" s="24">
        <v>13.219777777777779</v>
      </c>
      <c r="V19" s="24">
        <v>87.466666666666669</v>
      </c>
      <c r="W19" s="24">
        <v>0</v>
      </c>
      <c r="X19" s="24">
        <v>2015.3333333333335</v>
      </c>
      <c r="Y19">
        <v>466.66666666666669</v>
      </c>
      <c r="Z19">
        <v>1806.6666666666667</v>
      </c>
      <c r="AA19">
        <v>10296.619441004364</v>
      </c>
      <c r="AB19" s="24">
        <v>107.34679487179488</v>
      </c>
      <c r="AC19" s="24">
        <v>32</v>
      </c>
      <c r="AF19" t="s">
        <v>11</v>
      </c>
      <c r="AG19">
        <v>65</v>
      </c>
      <c r="AH19" s="84">
        <v>13044.064444444442</v>
      </c>
      <c r="AI19" s="24">
        <v>0</v>
      </c>
      <c r="AJ19" s="24">
        <v>1</v>
      </c>
    </row>
    <row r="20" spans="1:36">
      <c r="A20" t="s">
        <v>69</v>
      </c>
      <c r="B20">
        <v>355444.44444444444</v>
      </c>
      <c r="C20" s="24">
        <v>101500</v>
      </c>
      <c r="D20" s="24">
        <v>29.711111111111109</v>
      </c>
      <c r="E20" s="24">
        <v>9247.5</v>
      </c>
      <c r="F20" s="24">
        <v>1800.1111111111111</v>
      </c>
      <c r="G20" s="24">
        <v>4977.6666666666661</v>
      </c>
      <c r="H20" s="24">
        <v>78.333333333333329</v>
      </c>
      <c r="I20" s="24">
        <v>472444.44444444444</v>
      </c>
      <c r="J20">
        <v>370.16666666666669</v>
      </c>
      <c r="K20">
        <v>3461.666666666667</v>
      </c>
      <c r="L20">
        <v>606.99112448763299</v>
      </c>
      <c r="M20" s="24">
        <v>100.77089743589744</v>
      </c>
      <c r="N20" s="24">
        <v>20</v>
      </c>
      <c r="P20" t="s">
        <v>67</v>
      </c>
      <c r="Q20">
        <v>42120</v>
      </c>
      <c r="R20" s="24">
        <v>425666.66666666669</v>
      </c>
      <c r="S20" s="24">
        <v>0</v>
      </c>
      <c r="T20" s="24">
        <v>4686.75</v>
      </c>
      <c r="U20" s="24">
        <v>414.40250000000003</v>
      </c>
      <c r="V20" s="24">
        <v>1348.5833333333333</v>
      </c>
      <c r="W20" s="24">
        <v>0</v>
      </c>
      <c r="X20" s="24">
        <v>98633.333333333328</v>
      </c>
      <c r="Y20">
        <v>0</v>
      </c>
      <c r="Z20">
        <v>525.66666666666663</v>
      </c>
      <c r="AA20">
        <v>9683.2077668474703</v>
      </c>
      <c r="AB20" s="24">
        <v>41.3</v>
      </c>
      <c r="AC20" s="24">
        <v>33</v>
      </c>
      <c r="AF20" t="s">
        <v>14</v>
      </c>
      <c r="AG20">
        <v>15.5</v>
      </c>
      <c r="AH20" s="84">
        <v>8978.8066666666673</v>
      </c>
      <c r="AI20" s="24">
        <v>353.91471685519855</v>
      </c>
      <c r="AJ20" s="24">
        <v>36</v>
      </c>
    </row>
    <row r="21" spans="1:36">
      <c r="A21" t="s">
        <v>87</v>
      </c>
      <c r="B21">
        <v>74247.5</v>
      </c>
      <c r="C21" s="24">
        <v>63116.666666666664</v>
      </c>
      <c r="D21" s="24">
        <v>0</v>
      </c>
      <c r="E21" s="24">
        <v>502.4083333333333</v>
      </c>
      <c r="F21" s="24">
        <v>13.219777777777779</v>
      </c>
      <c r="G21" s="24">
        <v>87.466666666666669</v>
      </c>
      <c r="H21" s="24">
        <v>0</v>
      </c>
      <c r="I21" s="24">
        <v>2015.3333333333335</v>
      </c>
      <c r="J21">
        <v>466.66666666666669</v>
      </c>
      <c r="K21">
        <v>1806.6666666666667</v>
      </c>
      <c r="L21">
        <v>10296.619441004364</v>
      </c>
      <c r="M21" s="24">
        <v>107.34679487179488</v>
      </c>
      <c r="N21" s="24">
        <v>32</v>
      </c>
      <c r="P21" t="s">
        <v>83</v>
      </c>
      <c r="Q21">
        <v>503575</v>
      </c>
      <c r="R21" s="24">
        <v>38261.111111111109</v>
      </c>
      <c r="S21" s="24">
        <v>0</v>
      </c>
      <c r="T21" s="24">
        <v>968.8416666666667</v>
      </c>
      <c r="U21" s="24">
        <v>62.649999999999991</v>
      </c>
      <c r="V21" s="24">
        <v>303.33333333333331</v>
      </c>
      <c r="W21" s="24">
        <v>433.4666666666667</v>
      </c>
      <c r="X21" s="24">
        <v>10038.666666666668</v>
      </c>
      <c r="Y21">
        <v>1337.1666666666667</v>
      </c>
      <c r="Z21">
        <v>15333.333333333334</v>
      </c>
      <c r="AA21">
        <v>12092.753769476491</v>
      </c>
      <c r="AB21" s="24">
        <v>430.99746049547178</v>
      </c>
      <c r="AC21" s="24">
        <v>33</v>
      </c>
      <c r="AF21" t="s">
        <v>14</v>
      </c>
      <c r="AG21">
        <v>19</v>
      </c>
      <c r="AH21" s="84">
        <v>28477.458333333336</v>
      </c>
      <c r="AI21" s="24">
        <v>430.99746049547178</v>
      </c>
      <c r="AJ21" s="24">
        <v>33</v>
      </c>
    </row>
    <row r="22" spans="1:36">
      <c r="A22" t="s">
        <v>91</v>
      </c>
      <c r="B22">
        <v>640333.33333333337</v>
      </c>
      <c r="C22">
        <v>189199.99999999997</v>
      </c>
      <c r="D22">
        <v>0</v>
      </c>
      <c r="E22">
        <v>875.24166666666679</v>
      </c>
      <c r="F22">
        <v>78.766666666666666</v>
      </c>
      <c r="G22">
        <v>280.05</v>
      </c>
      <c r="H22">
        <v>476.84444444444443</v>
      </c>
      <c r="I22">
        <v>30666.666666666664</v>
      </c>
      <c r="J22">
        <v>1226.6666666666667</v>
      </c>
      <c r="K22">
        <v>13900</v>
      </c>
      <c r="L22">
        <v>13644.107807809884</v>
      </c>
      <c r="M22" s="24">
        <v>290.29568404580948</v>
      </c>
      <c r="N22" s="24">
        <v>41</v>
      </c>
      <c r="P22" t="s">
        <v>81</v>
      </c>
      <c r="Q22">
        <v>149992.5</v>
      </c>
      <c r="R22" s="24">
        <v>16029096.666666666</v>
      </c>
      <c r="S22" s="24">
        <v>0</v>
      </c>
      <c r="T22" s="24">
        <v>515.08333333333337</v>
      </c>
      <c r="U22" s="24">
        <v>58.567777777777785</v>
      </c>
      <c r="V22" s="24">
        <v>201.09999999999997</v>
      </c>
      <c r="W22" s="24">
        <v>69.666666666666671</v>
      </c>
      <c r="X22" s="24">
        <v>3618.8888888888887</v>
      </c>
      <c r="Y22">
        <v>227.83333333333331</v>
      </c>
      <c r="Z22">
        <v>4287.666666666667</v>
      </c>
      <c r="AA22">
        <v>8878.3692042921448</v>
      </c>
      <c r="AB22" s="24">
        <v>353.91471685519855</v>
      </c>
      <c r="AC22" s="24">
        <v>36</v>
      </c>
      <c r="AF22" t="s">
        <v>14</v>
      </c>
      <c r="AG22">
        <v>26</v>
      </c>
      <c r="AH22" s="84">
        <v>4891.7614444444444</v>
      </c>
      <c r="AI22" s="24">
        <v>107.34679487179488</v>
      </c>
      <c r="AJ22" s="24">
        <v>32</v>
      </c>
    </row>
    <row r="23" spans="1:36">
      <c r="A23" t="s">
        <v>81</v>
      </c>
      <c r="B23">
        <v>149992.5</v>
      </c>
      <c r="C23" s="24">
        <v>16029096.666666666</v>
      </c>
      <c r="D23" s="24">
        <v>0</v>
      </c>
      <c r="E23" s="24">
        <v>515.08333333333337</v>
      </c>
      <c r="F23" s="24">
        <v>58.567777777777785</v>
      </c>
      <c r="G23" s="24">
        <v>201.09999999999997</v>
      </c>
      <c r="H23" s="24">
        <v>69.666666666666671</v>
      </c>
      <c r="I23" s="24">
        <v>3618.8888888888887</v>
      </c>
      <c r="J23">
        <v>227.83333333333331</v>
      </c>
      <c r="K23">
        <v>4287.666666666667</v>
      </c>
      <c r="L23">
        <v>8878.3692042921448</v>
      </c>
      <c r="M23" s="24">
        <v>353.91471685519855</v>
      </c>
      <c r="N23" s="24">
        <v>36</v>
      </c>
      <c r="P23" t="s">
        <v>56</v>
      </c>
      <c r="Q23">
        <v>195477.77777777778</v>
      </c>
      <c r="R23" s="24">
        <v>1237084.1666666667</v>
      </c>
      <c r="S23" s="24">
        <v>0</v>
      </c>
      <c r="T23" s="24">
        <v>2648.25</v>
      </c>
      <c r="U23" s="24">
        <v>714.49166666666667</v>
      </c>
      <c r="V23" s="24">
        <v>1670.0000000000002</v>
      </c>
      <c r="W23" s="24">
        <v>0</v>
      </c>
      <c r="X23" s="24">
        <v>4113.3333333333339</v>
      </c>
      <c r="Y23">
        <v>396.66666666666669</v>
      </c>
      <c r="Z23">
        <v>510</v>
      </c>
      <c r="AA23">
        <v>3363.7875359597292</v>
      </c>
      <c r="AB23" s="24">
        <v>599.93858545179967</v>
      </c>
      <c r="AC23" s="24">
        <v>36</v>
      </c>
      <c r="AF23" t="s">
        <v>14</v>
      </c>
      <c r="AG23">
        <v>39</v>
      </c>
      <c r="AH23" s="84">
        <v>257.01666666666665</v>
      </c>
      <c r="AI23" s="24">
        <v>84.151680079467354</v>
      </c>
      <c r="AJ23" s="24">
        <v>32</v>
      </c>
    </row>
    <row r="24" spans="1:36">
      <c r="A24" t="s">
        <v>83</v>
      </c>
      <c r="B24">
        <v>503575</v>
      </c>
      <c r="C24" s="24">
        <v>38261.111111111109</v>
      </c>
      <c r="D24" s="24">
        <v>0</v>
      </c>
      <c r="E24" s="24">
        <v>968.8416666666667</v>
      </c>
      <c r="F24" s="24">
        <v>62.649999999999991</v>
      </c>
      <c r="G24" s="24">
        <v>303.33333333333331</v>
      </c>
      <c r="H24" s="24">
        <v>433.4666666666667</v>
      </c>
      <c r="I24" s="24">
        <v>10038.666666666668</v>
      </c>
      <c r="J24">
        <v>1337.1666666666667</v>
      </c>
      <c r="K24">
        <v>15333.333333333334</v>
      </c>
      <c r="L24">
        <v>12092.753769476491</v>
      </c>
      <c r="M24" s="24">
        <v>430.99746049547178</v>
      </c>
      <c r="N24" s="24">
        <v>33</v>
      </c>
      <c r="P24" t="s">
        <v>91</v>
      </c>
      <c r="Q24">
        <v>640333.33333333337</v>
      </c>
      <c r="R24">
        <v>189199.99999999997</v>
      </c>
      <c r="S24">
        <v>0</v>
      </c>
      <c r="T24">
        <v>875.24166666666679</v>
      </c>
      <c r="U24">
        <v>78.766666666666666</v>
      </c>
      <c r="V24">
        <v>280.05</v>
      </c>
      <c r="W24">
        <v>476.84444444444443</v>
      </c>
      <c r="X24">
        <v>30666.666666666664</v>
      </c>
      <c r="Y24">
        <v>1226.6666666666667</v>
      </c>
      <c r="Z24">
        <v>13900</v>
      </c>
      <c r="AA24">
        <v>13644.107807809884</v>
      </c>
      <c r="AB24" s="24">
        <v>290.29568404580948</v>
      </c>
      <c r="AC24" s="24">
        <v>41</v>
      </c>
      <c r="AF24" t="s">
        <v>14</v>
      </c>
      <c r="AG24">
        <v>46</v>
      </c>
      <c r="AH24" s="84">
        <v>47504.236111111109</v>
      </c>
      <c r="AI24" s="24">
        <v>290.29568404580948</v>
      </c>
      <c r="AJ24" s="24">
        <v>41</v>
      </c>
    </row>
    <row r="25" spans="1:36">
      <c r="A25" t="s">
        <v>53</v>
      </c>
      <c r="B25">
        <v>50500</v>
      </c>
      <c r="C25" s="24">
        <v>8240.4444444444453</v>
      </c>
      <c r="D25" s="24">
        <v>0</v>
      </c>
      <c r="E25" s="24">
        <v>1122.25</v>
      </c>
      <c r="F25" s="24">
        <v>253.26666666666665</v>
      </c>
      <c r="G25" s="24">
        <v>668</v>
      </c>
      <c r="H25" s="24">
        <v>0</v>
      </c>
      <c r="I25" s="24">
        <v>9632.2222222222226</v>
      </c>
      <c r="J25">
        <v>0</v>
      </c>
      <c r="K25">
        <v>1066.6666666666667</v>
      </c>
      <c r="L25">
        <v>6072.2362002911341</v>
      </c>
      <c r="M25" s="24">
        <v>513.90820538635796</v>
      </c>
      <c r="N25" s="24">
        <v>41</v>
      </c>
      <c r="P25" t="s">
        <v>53</v>
      </c>
      <c r="Q25">
        <v>50500</v>
      </c>
      <c r="R25" s="24">
        <v>8240.4444444444453</v>
      </c>
      <c r="S25" s="24">
        <v>0</v>
      </c>
      <c r="T25" s="24">
        <v>1122.25</v>
      </c>
      <c r="U25" s="24">
        <v>253.26666666666665</v>
      </c>
      <c r="V25" s="24">
        <v>668</v>
      </c>
      <c r="W25" s="24">
        <v>0</v>
      </c>
      <c r="X25" s="24">
        <v>9632.2222222222226</v>
      </c>
      <c r="Y25">
        <v>0</v>
      </c>
      <c r="Z25">
        <v>1066.6666666666667</v>
      </c>
      <c r="AA25">
        <v>6072.2362002911341</v>
      </c>
      <c r="AB25" s="24">
        <v>513.90820538635796</v>
      </c>
      <c r="AC25" s="24">
        <v>41</v>
      </c>
      <c r="AF25" t="s">
        <v>72</v>
      </c>
      <c r="AG25" t="s">
        <v>93</v>
      </c>
      <c r="AH25" s="85">
        <v>5337.4641666666676</v>
      </c>
      <c r="AI25" s="24">
        <v>0</v>
      </c>
      <c r="AJ25" s="24">
        <v>1</v>
      </c>
    </row>
    <row r="26" spans="1:36">
      <c r="A26" t="s">
        <v>45</v>
      </c>
      <c r="B26">
        <v>261333.33333333334</v>
      </c>
      <c r="C26" s="24">
        <v>50777.5</v>
      </c>
      <c r="D26" s="24">
        <v>0</v>
      </c>
      <c r="E26" s="24">
        <v>380.71111111111105</v>
      </c>
      <c r="F26" s="24">
        <v>95.716666666666669</v>
      </c>
      <c r="G26" s="24">
        <v>201.54999999999998</v>
      </c>
      <c r="H26" s="24">
        <v>110.33333333333333</v>
      </c>
      <c r="I26" s="24">
        <v>10203.333333333334</v>
      </c>
      <c r="J26">
        <v>0</v>
      </c>
      <c r="K26">
        <v>0</v>
      </c>
      <c r="L26">
        <v>10445.299637632412</v>
      </c>
      <c r="M26" s="24">
        <v>588.82874955502746</v>
      </c>
      <c r="N26" s="24">
        <v>47</v>
      </c>
      <c r="P26" t="s">
        <v>51</v>
      </c>
      <c r="Q26">
        <v>507716.66666666669</v>
      </c>
      <c r="R26" s="24">
        <v>16618.333333333332</v>
      </c>
      <c r="S26" s="24">
        <v>0</v>
      </c>
      <c r="T26" s="24">
        <v>10659.166666666668</v>
      </c>
      <c r="U26" s="24">
        <v>2135.75</v>
      </c>
      <c r="V26" s="24">
        <v>8449.1666666666679</v>
      </c>
      <c r="W26" s="24">
        <v>186.63333333333333</v>
      </c>
      <c r="X26" s="24">
        <v>37466.666666666664</v>
      </c>
      <c r="Y26">
        <v>323.66666666666669</v>
      </c>
      <c r="Z26">
        <v>0</v>
      </c>
      <c r="AA26">
        <v>8517.7206461662863</v>
      </c>
      <c r="AB26" s="24">
        <v>674.15257991442229</v>
      </c>
      <c r="AC26" s="24">
        <v>43</v>
      </c>
      <c r="AF26">
        <v>60</v>
      </c>
      <c r="AG26" t="s">
        <v>97</v>
      </c>
      <c r="AH26" s="85">
        <v>4202.2408179379909</v>
      </c>
      <c r="AI26" s="24">
        <v>0</v>
      </c>
      <c r="AJ26" s="24">
        <v>2</v>
      </c>
    </row>
    <row r="27" spans="1:36">
      <c r="A27" t="s">
        <v>56</v>
      </c>
      <c r="B27">
        <v>195477.77777777778</v>
      </c>
      <c r="C27" s="24">
        <v>1237084.1666666667</v>
      </c>
      <c r="D27" s="24">
        <v>0</v>
      </c>
      <c r="E27" s="24">
        <v>2648.25</v>
      </c>
      <c r="F27" s="24">
        <v>714.49166666666667</v>
      </c>
      <c r="G27" s="24">
        <v>1670.0000000000002</v>
      </c>
      <c r="H27" s="24">
        <v>0</v>
      </c>
      <c r="I27" s="24">
        <v>4113.3333333333339</v>
      </c>
      <c r="J27">
        <v>396.66666666666669</v>
      </c>
      <c r="K27">
        <v>510</v>
      </c>
      <c r="L27">
        <v>3363.7875359597292</v>
      </c>
      <c r="M27" s="24">
        <v>599.93858545179967</v>
      </c>
      <c r="N27" s="24">
        <v>36</v>
      </c>
      <c r="P27" t="s">
        <v>39</v>
      </c>
      <c r="Q27">
        <v>567888.88888888888</v>
      </c>
      <c r="R27" s="24">
        <v>37986.666666666672</v>
      </c>
      <c r="S27" s="24">
        <v>0</v>
      </c>
      <c r="T27" s="24">
        <v>493.77777777777777</v>
      </c>
      <c r="U27" s="24">
        <v>115.64444444444445</v>
      </c>
      <c r="V27" s="24">
        <v>145.78333333333333</v>
      </c>
      <c r="W27" s="24">
        <v>338.01666666666665</v>
      </c>
      <c r="X27" s="24">
        <v>108516.66666666666</v>
      </c>
      <c r="Y27">
        <v>302.16666666666669</v>
      </c>
      <c r="Z27">
        <v>5414.4444444444443</v>
      </c>
      <c r="AA27">
        <v>4627.6082418081851</v>
      </c>
      <c r="AB27" s="24">
        <v>89.644953435690908</v>
      </c>
      <c r="AC27" s="24">
        <v>47</v>
      </c>
      <c r="AF27" t="s">
        <v>43</v>
      </c>
      <c r="AG27" t="s">
        <v>100</v>
      </c>
      <c r="AH27" s="85">
        <v>5186.4155123927812</v>
      </c>
      <c r="AI27" s="24">
        <v>0</v>
      </c>
      <c r="AJ27" s="24">
        <v>1</v>
      </c>
    </row>
    <row r="28" spans="1:36">
      <c r="A28" t="s">
        <v>51</v>
      </c>
      <c r="B28">
        <v>507716.66666666669</v>
      </c>
      <c r="C28" s="24">
        <v>16618.333333333332</v>
      </c>
      <c r="D28" s="24">
        <v>0</v>
      </c>
      <c r="E28" s="24">
        <v>10659.166666666668</v>
      </c>
      <c r="F28" s="24">
        <v>2135.75</v>
      </c>
      <c r="G28" s="24">
        <v>8449.1666666666679</v>
      </c>
      <c r="H28" s="24">
        <v>186.63333333333333</v>
      </c>
      <c r="I28" s="24">
        <v>37466.666666666664</v>
      </c>
      <c r="J28">
        <v>323.66666666666669</v>
      </c>
      <c r="K28">
        <v>0</v>
      </c>
      <c r="L28">
        <v>8517.7206461662863</v>
      </c>
      <c r="M28" s="24">
        <v>674.15257991442229</v>
      </c>
      <c r="N28" s="24">
        <v>43</v>
      </c>
      <c r="P28" t="s">
        <v>45</v>
      </c>
      <c r="Q28">
        <v>261333.33333333334</v>
      </c>
      <c r="R28" s="24">
        <v>50777.5</v>
      </c>
      <c r="S28" s="24">
        <v>0</v>
      </c>
      <c r="T28" s="24">
        <v>380.71111111111105</v>
      </c>
      <c r="U28" s="24">
        <v>95.716666666666669</v>
      </c>
      <c r="V28" s="24">
        <v>201.54999999999998</v>
      </c>
      <c r="W28" s="24">
        <v>110.33333333333333</v>
      </c>
      <c r="X28" s="24">
        <v>10203.333333333334</v>
      </c>
      <c r="Y28">
        <v>0</v>
      </c>
      <c r="Z28">
        <v>0</v>
      </c>
      <c r="AA28">
        <v>10445.299637632412</v>
      </c>
      <c r="AB28" s="24">
        <v>588.82874955502746</v>
      </c>
      <c r="AC28" s="24">
        <v>47</v>
      </c>
      <c r="AI28" s="24"/>
      <c r="AJ28" s="24"/>
    </row>
    <row r="29" spans="1:36">
      <c r="AI29" s="24"/>
      <c r="AJ29" s="24"/>
    </row>
    <row r="30" spans="1:36">
      <c r="AI30" s="24"/>
      <c r="AJ30" s="24"/>
    </row>
  </sheetData>
  <sortState xmlns:xlrd2="http://schemas.microsoft.com/office/spreadsheetml/2017/richdata2" ref="P3:AC28">
    <sortCondition ref="AC3:AC28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6D2B-09C7-42DC-917C-E635802338C9}">
  <sheetPr>
    <tabColor theme="9"/>
  </sheetPr>
  <dimension ref="A1:AE88"/>
  <sheetViews>
    <sheetView zoomScale="90" zoomScaleNormal="90" workbookViewId="0">
      <selection activeCell="V35" sqref="V35"/>
    </sheetView>
  </sheetViews>
  <sheetFormatPr defaultRowHeight="15"/>
  <cols>
    <col min="1" max="1" width="22.42578125" customWidth="1"/>
    <col min="2" max="6" width="12.140625" customWidth="1"/>
    <col min="8" max="10" width="8.85546875"/>
    <col min="12" max="12" width="10.140625" customWidth="1"/>
    <col min="13" max="22" width="11.140625" customWidth="1"/>
    <col min="23" max="23" width="11.5703125" customWidth="1"/>
    <col min="24" max="24" width="9.85546875" customWidth="1"/>
    <col min="25" max="30" width="10" customWidth="1"/>
    <col min="31" max="31" width="11.5703125" customWidth="1"/>
  </cols>
  <sheetData>
    <row r="1" spans="1:31" ht="15.75" thickBot="1">
      <c r="A1" s="21" t="s">
        <v>1120</v>
      </c>
      <c r="B1" t="s">
        <v>77</v>
      </c>
      <c r="C1" s="97" t="s">
        <v>50</v>
      </c>
      <c r="D1" s="97" t="s">
        <v>50</v>
      </c>
      <c r="E1" t="s">
        <v>77</v>
      </c>
      <c r="F1" s="159" t="s">
        <v>77</v>
      </c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139"/>
      <c r="AD1" s="139"/>
      <c r="AE1" s="139"/>
    </row>
    <row r="2" spans="1:31" ht="15.75">
      <c r="A2" s="185" t="s">
        <v>0</v>
      </c>
      <c r="B2" s="186" t="s">
        <v>14</v>
      </c>
      <c r="C2" s="186" t="s">
        <v>14</v>
      </c>
      <c r="D2" s="186" t="s">
        <v>14</v>
      </c>
      <c r="E2" s="186" t="s">
        <v>14</v>
      </c>
      <c r="F2" s="187" t="s">
        <v>14</v>
      </c>
      <c r="K2" s="335"/>
      <c r="L2" s="520" t="s">
        <v>0</v>
      </c>
      <c r="M2" s="624" t="s">
        <v>7</v>
      </c>
      <c r="N2" s="624"/>
      <c r="O2" s="624"/>
      <c r="P2" s="624"/>
      <c r="Q2" s="624"/>
      <c r="R2" s="625"/>
      <c r="S2" s="624" t="s">
        <v>11</v>
      </c>
      <c r="T2" s="624"/>
      <c r="U2" s="624"/>
      <c r="V2" s="625"/>
      <c r="X2" s="335"/>
      <c r="Y2" s="335"/>
      <c r="Z2" s="335"/>
      <c r="AA2" s="335"/>
      <c r="AB2" s="335"/>
      <c r="AC2" s="139"/>
      <c r="AD2" s="139"/>
      <c r="AE2" s="139"/>
    </row>
    <row r="3" spans="1:31" ht="16.5" thickBot="1">
      <c r="A3" s="188" t="s">
        <v>139</v>
      </c>
      <c r="B3" s="189">
        <v>15.5</v>
      </c>
      <c r="C3" s="189">
        <v>19</v>
      </c>
      <c r="D3" s="218">
        <v>26</v>
      </c>
      <c r="E3" s="218">
        <v>38.75</v>
      </c>
      <c r="F3" s="219">
        <v>45.75</v>
      </c>
      <c r="K3" s="335"/>
      <c r="L3" s="206" t="s">
        <v>139</v>
      </c>
      <c r="M3" s="242">
        <v>12</v>
      </c>
      <c r="N3" s="521">
        <v>15.5</v>
      </c>
      <c r="O3" s="530">
        <v>17</v>
      </c>
      <c r="P3" s="530">
        <v>19</v>
      </c>
      <c r="Q3" s="530">
        <v>20.5</v>
      </c>
      <c r="R3" s="243">
        <v>28</v>
      </c>
      <c r="S3" s="521">
        <v>7</v>
      </c>
      <c r="T3" s="242">
        <v>10.5</v>
      </c>
      <c r="U3" s="521">
        <v>14</v>
      </c>
      <c r="V3" s="244">
        <v>15.5</v>
      </c>
      <c r="X3" s="335"/>
      <c r="Y3" s="335"/>
      <c r="Z3" s="335"/>
      <c r="AA3" s="335"/>
      <c r="AB3" s="335"/>
      <c r="AC3" s="139"/>
      <c r="AD3" s="139"/>
      <c r="AE3" s="139"/>
    </row>
    <row r="4" spans="1:31" ht="15.75">
      <c r="A4" s="190" t="s">
        <v>1121</v>
      </c>
      <c r="B4" s="191"/>
      <c r="C4" s="191"/>
      <c r="D4" s="191"/>
      <c r="E4" s="191"/>
      <c r="F4" s="192"/>
      <c r="G4" t="s">
        <v>1122</v>
      </c>
      <c r="H4" s="21" t="s">
        <v>1123</v>
      </c>
      <c r="I4" s="21" t="s">
        <v>1124</v>
      </c>
      <c r="K4" s="335"/>
      <c r="L4" s="190" t="s">
        <v>1121</v>
      </c>
      <c r="M4" s="513"/>
      <c r="N4" s="513"/>
      <c r="O4" s="513"/>
      <c r="P4" s="513"/>
      <c r="Q4" s="513"/>
      <c r="R4" s="514"/>
      <c r="S4" s="513"/>
      <c r="T4" s="513"/>
      <c r="U4" s="513"/>
      <c r="V4" s="514"/>
      <c r="X4" s="335"/>
      <c r="Y4" s="335"/>
      <c r="Z4" s="335"/>
      <c r="AA4" s="335"/>
      <c r="AB4" s="335"/>
      <c r="AC4" s="336"/>
      <c r="AD4" s="336"/>
      <c r="AE4" s="336"/>
    </row>
    <row r="5" spans="1:31" ht="18">
      <c r="A5" s="193" t="s">
        <v>1125</v>
      </c>
      <c r="B5" s="215">
        <v>-99</v>
      </c>
      <c r="C5" s="194">
        <v>-67</v>
      </c>
      <c r="D5" s="194">
        <v>-93</v>
      </c>
      <c r="E5" s="194">
        <v>-72</v>
      </c>
      <c r="F5" s="195">
        <v>-91</v>
      </c>
      <c r="G5">
        <f>AVEDEV(B5:F5)</f>
        <v>11.919999999999998</v>
      </c>
      <c r="H5" s="22">
        <f>MAX(B5:F5)-MIN(B5:F5)</f>
        <v>32</v>
      </c>
      <c r="I5" s="22">
        <f t="shared" ref="I5:I11" si="0">MAX(B5:F5,B32:G32,B53:E53)-MIN(B5:F5,B32:G32,B53:E53)</f>
        <v>67</v>
      </c>
      <c r="K5" s="335"/>
      <c r="L5" s="226" t="s">
        <v>1126</v>
      </c>
      <c r="M5" s="341" t="s">
        <v>1127</v>
      </c>
      <c r="N5" s="341" t="s">
        <v>1128</v>
      </c>
      <c r="O5" s="498" t="s">
        <v>1129</v>
      </c>
      <c r="P5" s="341" t="s">
        <v>1130</v>
      </c>
      <c r="Q5" s="505" t="s">
        <v>1131</v>
      </c>
      <c r="R5" s="195" t="s">
        <v>1132</v>
      </c>
      <c r="S5" s="498" t="s">
        <v>1133</v>
      </c>
      <c r="T5" s="341" t="s">
        <v>1134</v>
      </c>
      <c r="U5" s="505" t="s">
        <v>1135</v>
      </c>
      <c r="V5" s="345" t="s">
        <v>1136</v>
      </c>
      <c r="X5" s="335"/>
      <c r="Y5" s="335"/>
      <c r="Z5" s="335"/>
      <c r="AA5" s="335"/>
      <c r="AB5" s="335"/>
      <c r="AC5" s="335"/>
      <c r="AD5" s="335"/>
      <c r="AE5" s="335"/>
    </row>
    <row r="6" spans="1:31" ht="18">
      <c r="A6" s="196" t="s">
        <v>1137</v>
      </c>
      <c r="B6" s="216">
        <v>170</v>
      </c>
      <c r="C6" s="197" t="s">
        <v>1132</v>
      </c>
      <c r="D6" s="197">
        <v>139</v>
      </c>
      <c r="E6" s="197">
        <v>-46</v>
      </c>
      <c r="F6" s="198">
        <v>13</v>
      </c>
      <c r="G6">
        <f t="shared" ref="G6:G20" si="1">AVEDEV(B6:F6)</f>
        <v>85.5</v>
      </c>
      <c r="H6" s="22">
        <f t="shared" ref="H6:H20" si="2">MAX(B6:F6)-MIN(B6:F6)</f>
        <v>216</v>
      </c>
      <c r="I6" s="22">
        <f t="shared" si="0"/>
        <v>216</v>
      </c>
      <c r="K6" s="335"/>
      <c r="L6" s="227" t="s">
        <v>1138</v>
      </c>
      <c r="M6" s="197" t="s">
        <v>1132</v>
      </c>
      <c r="N6" s="197" t="s">
        <v>1132</v>
      </c>
      <c r="O6" s="499" t="s">
        <v>1139</v>
      </c>
      <c r="P6" s="197" t="s">
        <v>1132</v>
      </c>
      <c r="Q6" s="197" t="s">
        <v>1132</v>
      </c>
      <c r="R6" s="198" t="s">
        <v>1132</v>
      </c>
      <c r="S6" s="197" t="s">
        <v>1132</v>
      </c>
      <c r="T6" s="197" t="s">
        <v>1132</v>
      </c>
      <c r="U6" s="499" t="s">
        <v>1140</v>
      </c>
      <c r="V6" s="198" t="s">
        <v>1132</v>
      </c>
      <c r="X6" s="335"/>
      <c r="Y6" s="335"/>
      <c r="Z6" s="335"/>
      <c r="AA6" s="335"/>
      <c r="AB6" s="335"/>
      <c r="AC6" s="139"/>
      <c r="AD6" s="139"/>
      <c r="AE6" s="139"/>
    </row>
    <row r="7" spans="1:31" ht="18">
      <c r="A7" s="196" t="s">
        <v>1141</v>
      </c>
      <c r="B7" s="216">
        <v>-165</v>
      </c>
      <c r="C7" s="197">
        <v>-167</v>
      </c>
      <c r="D7" s="197">
        <v>-155</v>
      </c>
      <c r="E7" s="197">
        <v>-155</v>
      </c>
      <c r="F7" s="198">
        <v>-163</v>
      </c>
      <c r="G7">
        <f t="shared" si="1"/>
        <v>4.8</v>
      </c>
      <c r="H7" s="22">
        <f t="shared" si="2"/>
        <v>12</v>
      </c>
      <c r="I7" s="22">
        <f t="shared" si="0"/>
        <v>259</v>
      </c>
      <c r="K7" s="335"/>
      <c r="L7" s="227" t="s">
        <v>1142</v>
      </c>
      <c r="M7" s="504" t="s">
        <v>1143</v>
      </c>
      <c r="N7" s="342" t="s">
        <v>1144</v>
      </c>
      <c r="O7" s="342" t="s">
        <v>1145</v>
      </c>
      <c r="P7" s="342" t="s">
        <v>1146</v>
      </c>
      <c r="Q7" s="499" t="s">
        <v>1147</v>
      </c>
      <c r="R7" s="343" t="s">
        <v>1148</v>
      </c>
      <c r="S7" s="499" t="s">
        <v>1149</v>
      </c>
      <c r="T7" s="342" t="s">
        <v>1150</v>
      </c>
      <c r="U7" s="342" t="s">
        <v>1151</v>
      </c>
      <c r="V7" s="506" t="s">
        <v>1152</v>
      </c>
      <c r="X7" s="335"/>
      <c r="Y7" s="335"/>
      <c r="Z7" s="335"/>
      <c r="AA7" s="335"/>
      <c r="AB7" s="335"/>
      <c r="AC7" s="335"/>
      <c r="AD7" s="335"/>
      <c r="AE7" s="335"/>
    </row>
    <row r="8" spans="1:31" ht="18">
      <c r="A8" s="196" t="s">
        <v>1153</v>
      </c>
      <c r="B8" s="216">
        <v>-131</v>
      </c>
      <c r="C8" s="197">
        <v>-122</v>
      </c>
      <c r="D8" s="197">
        <v>-134</v>
      </c>
      <c r="E8" s="197">
        <v>-127</v>
      </c>
      <c r="F8" s="198">
        <v>-138</v>
      </c>
      <c r="G8">
        <f t="shared" si="1"/>
        <v>4.7199999999999989</v>
      </c>
      <c r="H8" s="22">
        <f t="shared" si="2"/>
        <v>16</v>
      </c>
      <c r="I8" s="22">
        <f t="shared" si="0"/>
        <v>227</v>
      </c>
      <c r="K8" s="335"/>
      <c r="L8" s="227" t="s">
        <v>1154</v>
      </c>
      <c r="M8" s="504" t="s">
        <v>1155</v>
      </c>
      <c r="N8" s="342" t="s">
        <v>1156</v>
      </c>
      <c r="O8" s="499" t="s">
        <v>1157</v>
      </c>
      <c r="P8" s="342" t="s">
        <v>1158</v>
      </c>
      <c r="Q8" s="342" t="s">
        <v>1159</v>
      </c>
      <c r="R8" s="343" t="s">
        <v>1160</v>
      </c>
      <c r="S8" s="499" t="s">
        <v>1161</v>
      </c>
      <c r="T8" s="342" t="s">
        <v>1162</v>
      </c>
      <c r="U8" s="197" t="s">
        <v>1132</v>
      </c>
      <c r="V8" s="506" t="s">
        <v>1163</v>
      </c>
      <c r="X8" s="335"/>
      <c r="Y8" s="335"/>
      <c r="Z8" s="335"/>
      <c r="AA8" s="335"/>
      <c r="AB8" s="335"/>
      <c r="AC8" s="335"/>
      <c r="AD8" s="335"/>
      <c r="AE8" s="335"/>
    </row>
    <row r="9" spans="1:31" ht="18">
      <c r="A9" s="196" t="s">
        <v>1164</v>
      </c>
      <c r="B9" s="216">
        <v>-108</v>
      </c>
      <c r="C9" s="197">
        <v>-101</v>
      </c>
      <c r="D9" s="197">
        <v>-96</v>
      </c>
      <c r="E9" s="197">
        <v>-100</v>
      </c>
      <c r="F9" s="198">
        <v>-113</v>
      </c>
      <c r="G9">
        <f t="shared" si="1"/>
        <v>5.5199999999999987</v>
      </c>
      <c r="H9" s="22">
        <f t="shared" si="2"/>
        <v>17</v>
      </c>
      <c r="I9" s="22">
        <f>MAX(B9:F9,B36:G36,B57:E57)-MIN(B9:F9,B36:G36,B57:E57)</f>
        <v>208</v>
      </c>
      <c r="K9" s="335"/>
      <c r="L9" s="227" t="s">
        <v>1165</v>
      </c>
      <c r="M9" s="504" t="s">
        <v>1166</v>
      </c>
      <c r="N9" s="342" t="s">
        <v>1167</v>
      </c>
      <c r="O9" s="342" t="s">
        <v>1168</v>
      </c>
      <c r="P9" s="342" t="s">
        <v>1169</v>
      </c>
      <c r="Q9" s="342" t="s">
        <v>1170</v>
      </c>
      <c r="R9" s="515" t="s">
        <v>1171</v>
      </c>
      <c r="S9" s="499" t="s">
        <v>1172</v>
      </c>
      <c r="T9" s="197" t="s">
        <v>1132</v>
      </c>
      <c r="U9" s="342" t="s">
        <v>1173</v>
      </c>
      <c r="V9" s="506" t="s">
        <v>1174</v>
      </c>
      <c r="X9" s="335"/>
      <c r="Y9" s="335"/>
      <c r="Z9" s="335"/>
      <c r="AA9" s="335"/>
      <c r="AB9" s="335"/>
      <c r="AC9" s="335"/>
      <c r="AD9" s="335"/>
      <c r="AE9" s="335"/>
    </row>
    <row r="10" spans="1:31" ht="18">
      <c r="A10" s="196" t="s">
        <v>1175</v>
      </c>
      <c r="B10" s="216">
        <v>-153</v>
      </c>
      <c r="C10" s="197">
        <v>-155</v>
      </c>
      <c r="D10" s="197">
        <v>-147</v>
      </c>
      <c r="E10" s="197">
        <v>-109</v>
      </c>
      <c r="F10" s="198">
        <v>-159</v>
      </c>
      <c r="G10">
        <f t="shared" si="1"/>
        <v>14.240000000000004</v>
      </c>
      <c r="H10" s="22">
        <f t="shared" si="2"/>
        <v>50</v>
      </c>
      <c r="I10" s="22">
        <f>MAX(B10:F10,B37:G37,B58:E58)-MIN(B10:F10,B37:G37,B58:E58)</f>
        <v>78</v>
      </c>
      <c r="K10" s="335"/>
      <c r="L10" s="227" t="s">
        <v>1176</v>
      </c>
      <c r="M10" s="342" t="s">
        <v>1177</v>
      </c>
      <c r="N10" s="342" t="s">
        <v>1178</v>
      </c>
      <c r="O10" s="499" t="s">
        <v>1179</v>
      </c>
      <c r="P10" s="342" t="s">
        <v>1180</v>
      </c>
      <c r="Q10" s="504" t="s">
        <v>1181</v>
      </c>
      <c r="R10" s="198" t="s">
        <v>1132</v>
      </c>
      <c r="S10" s="342" t="s">
        <v>1182</v>
      </c>
      <c r="T10" s="499" t="s">
        <v>1183</v>
      </c>
      <c r="U10" s="342" t="s">
        <v>1127</v>
      </c>
      <c r="V10" s="506" t="s">
        <v>1184</v>
      </c>
      <c r="X10" s="335"/>
      <c r="Y10" s="335"/>
      <c r="Z10" s="335"/>
      <c r="AA10" s="335"/>
      <c r="AB10" s="335"/>
      <c r="AC10" s="335"/>
      <c r="AD10" s="335"/>
      <c r="AE10" s="335"/>
    </row>
    <row r="11" spans="1:31" ht="18.75" thickBot="1">
      <c r="A11" s="196" t="s">
        <v>1185</v>
      </c>
      <c r="B11" s="216">
        <v>-52</v>
      </c>
      <c r="C11" s="197">
        <v>-49</v>
      </c>
      <c r="D11" s="197">
        <v>-55</v>
      </c>
      <c r="E11" s="197">
        <v>-47</v>
      </c>
      <c r="F11" s="198">
        <v>-56</v>
      </c>
      <c r="G11">
        <f t="shared" si="1"/>
        <v>3.0400000000000005</v>
      </c>
      <c r="H11" s="22">
        <f t="shared" si="2"/>
        <v>9</v>
      </c>
      <c r="I11" s="22">
        <f t="shared" si="0"/>
        <v>33</v>
      </c>
      <c r="K11" s="335"/>
      <c r="L11" s="228" t="s">
        <v>1186</v>
      </c>
      <c r="M11" s="344" t="s">
        <v>1187</v>
      </c>
      <c r="N11" s="500" t="s">
        <v>1188</v>
      </c>
      <c r="O11" s="344" t="s">
        <v>1189</v>
      </c>
      <c r="P11" s="344" t="s">
        <v>1190</v>
      </c>
      <c r="Q11" s="344" t="s">
        <v>1191</v>
      </c>
      <c r="R11" s="516" t="s">
        <v>1192</v>
      </c>
      <c r="S11" s="344" t="s">
        <v>1193</v>
      </c>
      <c r="T11" s="500" t="s">
        <v>1194</v>
      </c>
      <c r="U11" s="507" t="s">
        <v>1195</v>
      </c>
      <c r="V11" s="501" t="s">
        <v>1196</v>
      </c>
      <c r="X11" s="335"/>
      <c r="Y11" s="335"/>
      <c r="Z11" s="335"/>
      <c r="AA11" s="335"/>
      <c r="AB11" s="335"/>
      <c r="AC11" s="335"/>
      <c r="AD11" s="335"/>
      <c r="AE11" s="335"/>
    </row>
    <row r="12" spans="1:31" ht="16.5" thickBot="1">
      <c r="A12" s="190" t="s">
        <v>1197</v>
      </c>
      <c r="B12" s="224"/>
      <c r="C12" s="224"/>
      <c r="D12" s="224"/>
      <c r="E12" s="224"/>
      <c r="F12" s="225"/>
      <c r="H12" s="22"/>
      <c r="I12" s="22"/>
      <c r="K12" s="335"/>
      <c r="L12" s="190" t="s">
        <v>1197</v>
      </c>
      <c r="M12" s="513"/>
      <c r="N12" s="513"/>
      <c r="O12" s="513"/>
      <c r="P12" s="513"/>
      <c r="Q12" s="513"/>
      <c r="R12" s="514"/>
      <c r="S12" s="513"/>
      <c r="T12" s="513"/>
      <c r="U12" s="513"/>
      <c r="V12" s="514"/>
      <c r="X12" s="335"/>
      <c r="Y12" s="335"/>
      <c r="Z12" s="335"/>
      <c r="AA12" s="335"/>
      <c r="AB12" s="335"/>
      <c r="AC12" s="335"/>
      <c r="AD12" s="335"/>
      <c r="AE12" s="335"/>
    </row>
    <row r="13" spans="1:31" ht="18">
      <c r="A13" s="202" t="s">
        <v>1198</v>
      </c>
      <c r="B13" s="215">
        <v>-26.7</v>
      </c>
      <c r="C13" s="194">
        <v>-25.8</v>
      </c>
      <c r="D13" s="194">
        <v>-26</v>
      </c>
      <c r="E13" s="194">
        <v>-26</v>
      </c>
      <c r="F13" s="195">
        <v>-25.5</v>
      </c>
      <c r="G13" s="22">
        <f t="shared" si="1"/>
        <v>0.27999999999999969</v>
      </c>
      <c r="H13" s="22">
        <f t="shared" si="2"/>
        <v>1.1999999999999993</v>
      </c>
      <c r="I13" s="603">
        <f t="shared" ref="I13:I20" si="3">MAX(B13:F13,B40:G40,B61:E61)-MIN(B13:F13,B40:G40,B61:E61)</f>
        <v>5.8000000000000007</v>
      </c>
      <c r="K13" s="335"/>
      <c r="L13" s="340" t="s">
        <v>1199</v>
      </c>
      <c r="M13" s="502" t="s">
        <v>1200</v>
      </c>
      <c r="N13" s="349" t="s">
        <v>1201</v>
      </c>
      <c r="O13" s="349" t="s">
        <v>1202</v>
      </c>
      <c r="P13" s="349" t="s">
        <v>1202</v>
      </c>
      <c r="Q13" s="349" t="s">
        <v>1203</v>
      </c>
      <c r="R13" s="517" t="s">
        <v>1204</v>
      </c>
      <c r="S13" s="502" t="s">
        <v>1205</v>
      </c>
      <c r="T13" s="349" t="s">
        <v>1206</v>
      </c>
      <c r="U13" s="509" t="s">
        <v>1207</v>
      </c>
      <c r="V13" s="350" t="s">
        <v>1208</v>
      </c>
      <c r="X13" s="335"/>
      <c r="Y13" s="335"/>
      <c r="Z13" s="335"/>
      <c r="AA13" s="335"/>
      <c r="AB13" s="335"/>
      <c r="AC13" s="139"/>
      <c r="AD13" s="139"/>
      <c r="AE13" s="139"/>
    </row>
    <row r="14" spans="1:31" ht="18">
      <c r="A14" s="203" t="s">
        <v>1209</v>
      </c>
      <c r="B14" s="216">
        <v>-18.8</v>
      </c>
      <c r="C14" s="197">
        <v>-16.899999999999999</v>
      </c>
      <c r="D14" s="197">
        <v>-21.6</v>
      </c>
      <c r="E14" s="197">
        <v>-25.3</v>
      </c>
      <c r="F14" s="198">
        <v>-24.9</v>
      </c>
      <c r="G14" s="22">
        <f t="shared" si="1"/>
        <v>2.9200000000000004</v>
      </c>
      <c r="H14" s="603">
        <f t="shared" si="2"/>
        <v>8.4000000000000021</v>
      </c>
      <c r="I14" s="603">
        <f t="shared" si="3"/>
        <v>8.4000000000000021</v>
      </c>
      <c r="K14" s="335"/>
      <c r="L14" s="338" t="s">
        <v>1210</v>
      </c>
      <c r="M14" s="342" t="s">
        <v>1211</v>
      </c>
      <c r="N14" s="504" t="s">
        <v>1212</v>
      </c>
      <c r="O14" s="342" t="s">
        <v>1213</v>
      </c>
      <c r="P14" s="342" t="s">
        <v>1214</v>
      </c>
      <c r="Q14" s="342" t="s">
        <v>1215</v>
      </c>
      <c r="R14" s="515" t="s">
        <v>1216</v>
      </c>
      <c r="S14" s="342" t="s">
        <v>1217</v>
      </c>
      <c r="T14" s="342" t="s">
        <v>1218</v>
      </c>
      <c r="U14" s="499" t="s">
        <v>1216</v>
      </c>
      <c r="V14" s="506" t="s">
        <v>1219</v>
      </c>
      <c r="X14" s="335"/>
      <c r="Y14" s="335"/>
      <c r="Z14" s="335"/>
      <c r="AA14" s="335"/>
      <c r="AB14" s="335"/>
      <c r="AC14" s="335"/>
      <c r="AD14" s="335"/>
      <c r="AE14" s="335"/>
    </row>
    <row r="15" spans="1:31" ht="18">
      <c r="A15" s="203" t="s">
        <v>1220</v>
      </c>
      <c r="B15" s="216">
        <v>-25.2</v>
      </c>
      <c r="C15" s="197">
        <v>-24.2</v>
      </c>
      <c r="D15" s="197">
        <v>-24.3</v>
      </c>
      <c r="E15" s="197">
        <v>-24.4</v>
      </c>
      <c r="F15" s="198">
        <v>-24.3</v>
      </c>
      <c r="G15" s="22">
        <f t="shared" si="1"/>
        <v>0.28799999999999815</v>
      </c>
      <c r="H15" s="22">
        <f>MAX(B15:F15)-MIN(B15:F15)</f>
        <v>1</v>
      </c>
      <c r="I15" s="22">
        <f>MAX(B15:F15,B42:G42,B63:E63)-MIN(B15:F15,B42:G42,B63:E63)</f>
        <v>3.6999999999999993</v>
      </c>
      <c r="K15" s="335"/>
      <c r="L15" s="338" t="s">
        <v>1221</v>
      </c>
      <c r="M15" s="504" t="s">
        <v>1222</v>
      </c>
      <c r="N15" s="342" t="s">
        <v>1223</v>
      </c>
      <c r="O15" s="342" t="s">
        <v>1224</v>
      </c>
      <c r="P15" s="499" t="s">
        <v>1225</v>
      </c>
      <c r="Q15" s="342" t="s">
        <v>1226</v>
      </c>
      <c r="R15" s="515" t="s">
        <v>1227</v>
      </c>
      <c r="S15" s="499" t="s">
        <v>1202</v>
      </c>
      <c r="T15" s="342" t="s">
        <v>1211</v>
      </c>
      <c r="U15" s="499" t="s">
        <v>1202</v>
      </c>
      <c r="V15" s="506" t="s">
        <v>1228</v>
      </c>
      <c r="X15" s="335"/>
      <c r="Y15" s="335"/>
      <c r="Z15" s="335"/>
      <c r="AA15" s="335"/>
      <c r="AB15" s="335"/>
      <c r="AC15" s="335"/>
      <c r="AD15" s="335"/>
      <c r="AE15" s="335"/>
    </row>
    <row r="16" spans="1:31" ht="20.85" customHeight="1">
      <c r="A16" s="203" t="s">
        <v>1229</v>
      </c>
      <c r="B16" s="216">
        <v>-26.2</v>
      </c>
      <c r="C16" s="197">
        <v>-24.7</v>
      </c>
      <c r="D16" s="197">
        <v>-25.7</v>
      </c>
      <c r="E16" s="197">
        <v>-25.5</v>
      </c>
      <c r="F16" s="198">
        <v>-25.4</v>
      </c>
      <c r="G16" s="22">
        <f t="shared" si="1"/>
        <v>0.36000000000000015</v>
      </c>
      <c r="H16" s="22">
        <f t="shared" si="2"/>
        <v>1.5</v>
      </c>
      <c r="I16" s="603">
        <f t="shared" si="3"/>
        <v>8.6999999999999993</v>
      </c>
      <c r="K16" s="335"/>
      <c r="L16" s="338" t="s">
        <v>1230</v>
      </c>
      <c r="M16" s="504" t="s">
        <v>1231</v>
      </c>
      <c r="N16" s="342" t="s">
        <v>1232</v>
      </c>
      <c r="O16" s="499" t="s">
        <v>1233</v>
      </c>
      <c r="P16" s="342" t="s">
        <v>1234</v>
      </c>
      <c r="Q16" s="342" t="s">
        <v>1235</v>
      </c>
      <c r="R16" s="343" t="s">
        <v>1217</v>
      </c>
      <c r="S16" s="499" t="s">
        <v>1236</v>
      </c>
      <c r="T16" s="504" t="s">
        <v>1226</v>
      </c>
      <c r="U16" s="342" t="s">
        <v>1237</v>
      </c>
      <c r="V16" s="343" t="s">
        <v>1238</v>
      </c>
      <c r="X16" s="335"/>
      <c r="Y16" s="335"/>
      <c r="Z16" s="335"/>
      <c r="AA16" s="335"/>
      <c r="AB16" s="335"/>
      <c r="AC16" s="335"/>
      <c r="AD16" s="335"/>
      <c r="AE16" s="335"/>
    </row>
    <row r="17" spans="1:31" ht="18">
      <c r="A17" s="203" t="s">
        <v>1239</v>
      </c>
      <c r="B17" s="216">
        <v>-25.6</v>
      </c>
      <c r="C17" s="197">
        <v>-24.6</v>
      </c>
      <c r="D17" s="197">
        <v>-24.6</v>
      </c>
      <c r="E17" s="197">
        <v>-24.7</v>
      </c>
      <c r="F17" s="198">
        <v>-25.2</v>
      </c>
      <c r="G17" s="22">
        <f t="shared" si="1"/>
        <v>0.36800000000000066</v>
      </c>
      <c r="H17" s="22">
        <f t="shared" si="2"/>
        <v>1</v>
      </c>
      <c r="I17" s="603">
        <f t="shared" si="3"/>
        <v>11.7</v>
      </c>
      <c r="K17" s="335"/>
      <c r="L17" s="338" t="s">
        <v>1240</v>
      </c>
      <c r="M17" s="504" t="s">
        <v>1241</v>
      </c>
      <c r="N17" s="342" t="s">
        <v>1242</v>
      </c>
      <c r="O17" s="342" t="s">
        <v>1213</v>
      </c>
      <c r="P17" s="342" t="s">
        <v>1243</v>
      </c>
      <c r="Q17" s="342" t="s">
        <v>1244</v>
      </c>
      <c r="R17" s="515" t="s">
        <v>1216</v>
      </c>
      <c r="S17" s="499" t="s">
        <v>1208</v>
      </c>
      <c r="T17" s="504" t="s">
        <v>1219</v>
      </c>
      <c r="U17" s="342" t="s">
        <v>1233</v>
      </c>
      <c r="V17" s="343" t="s">
        <v>1242</v>
      </c>
      <c r="X17" s="335"/>
      <c r="Y17" s="335"/>
      <c r="Z17" s="335"/>
      <c r="AA17" s="335"/>
      <c r="AB17" s="335"/>
      <c r="AC17" s="335"/>
      <c r="AD17" s="335"/>
      <c r="AE17" s="335"/>
    </row>
    <row r="18" spans="1:31" ht="18">
      <c r="A18" s="203" t="s">
        <v>1245</v>
      </c>
      <c r="B18" s="216">
        <v>-23.8</v>
      </c>
      <c r="C18" s="197">
        <v>-24.8</v>
      </c>
      <c r="D18" s="197">
        <v>-25.2</v>
      </c>
      <c r="E18" s="197">
        <v>-25.2</v>
      </c>
      <c r="F18" s="198">
        <v>-25.1</v>
      </c>
      <c r="G18" s="22">
        <f t="shared" si="1"/>
        <v>0.41599999999999965</v>
      </c>
      <c r="H18" s="22">
        <f t="shared" si="2"/>
        <v>1.3999999999999986</v>
      </c>
      <c r="I18" s="603">
        <f t="shared" si="3"/>
        <v>4.6000000000000014</v>
      </c>
      <c r="K18" s="335"/>
      <c r="L18" s="338" t="s">
        <v>1246</v>
      </c>
      <c r="M18" s="342" t="s">
        <v>1247</v>
      </c>
      <c r="N18" s="342" t="s">
        <v>1248</v>
      </c>
      <c r="O18" s="342" t="s">
        <v>1249</v>
      </c>
      <c r="P18" s="504" t="s">
        <v>1250</v>
      </c>
      <c r="Q18" s="342" t="s">
        <v>1251</v>
      </c>
      <c r="R18" s="515" t="s">
        <v>1252</v>
      </c>
      <c r="S18" s="499" t="s">
        <v>1253</v>
      </c>
      <c r="T18" s="342" t="s">
        <v>1252</v>
      </c>
      <c r="U18" s="342" t="s">
        <v>1254</v>
      </c>
      <c r="V18" s="506" t="s">
        <v>1255</v>
      </c>
      <c r="X18" s="335"/>
      <c r="Y18" s="335"/>
      <c r="Z18" s="335"/>
      <c r="AA18" s="335"/>
      <c r="AB18" s="335"/>
      <c r="AC18" s="335"/>
      <c r="AD18" s="335"/>
      <c r="AE18" s="335"/>
    </row>
    <row r="19" spans="1:31" ht="18">
      <c r="A19" s="203" t="s">
        <v>1256</v>
      </c>
      <c r="B19" s="216">
        <v>-27</v>
      </c>
      <c r="C19" s="197">
        <v>-26.6</v>
      </c>
      <c r="D19" s="197">
        <v>-26.7</v>
      </c>
      <c r="E19" s="197">
        <v>-26.8</v>
      </c>
      <c r="F19" s="198">
        <v>-26.8</v>
      </c>
      <c r="G19" s="22">
        <f t="shared" si="1"/>
        <v>0.10399999999999991</v>
      </c>
      <c r="H19" s="22">
        <f t="shared" si="2"/>
        <v>0.39999999999999858</v>
      </c>
      <c r="I19" s="22">
        <f>MAX(B19:F19,B46:G46,B67:E67)-MIN(B19:F19,B46:G46,B67:E67)</f>
        <v>0.89999999999999858</v>
      </c>
      <c r="K19" s="335"/>
      <c r="L19" s="338" t="s">
        <v>1257</v>
      </c>
      <c r="M19" s="504" t="s">
        <v>1258</v>
      </c>
      <c r="N19" s="499" t="s">
        <v>1259</v>
      </c>
      <c r="O19" s="342" t="s">
        <v>1260</v>
      </c>
      <c r="P19" s="342" t="s">
        <v>1260</v>
      </c>
      <c r="Q19" s="342" t="s">
        <v>1260</v>
      </c>
      <c r="R19" s="343" t="s">
        <v>1258</v>
      </c>
      <c r="S19" s="342" t="s">
        <v>1261</v>
      </c>
      <c r="T19" s="504" t="s">
        <v>1259</v>
      </c>
      <c r="U19" s="499" t="s">
        <v>1262</v>
      </c>
      <c r="V19" s="343" t="s">
        <v>1252</v>
      </c>
      <c r="X19" s="335"/>
      <c r="Y19" s="335"/>
      <c r="Z19" s="335"/>
      <c r="AA19" s="335"/>
      <c r="AB19" s="335"/>
      <c r="AC19" s="139"/>
      <c r="AD19" s="139"/>
      <c r="AE19" s="139"/>
    </row>
    <row r="20" spans="1:31" ht="18.75" thickBot="1">
      <c r="A20" s="204" t="s">
        <v>1263</v>
      </c>
      <c r="B20" s="217">
        <v>-21.1</v>
      </c>
      <c r="C20" s="200" t="s">
        <v>1132</v>
      </c>
      <c r="D20" s="200">
        <v>-24</v>
      </c>
      <c r="E20" s="200">
        <v>-25.9</v>
      </c>
      <c r="F20" s="201">
        <v>-26.3</v>
      </c>
      <c r="G20" s="22">
        <f t="shared" si="1"/>
        <v>1.7749999999999995</v>
      </c>
      <c r="H20" s="603">
        <f t="shared" si="2"/>
        <v>5.1999999999999993</v>
      </c>
      <c r="I20" s="603">
        <f t="shared" si="3"/>
        <v>5.1999999999999993</v>
      </c>
      <c r="K20" s="335"/>
      <c r="L20" s="339" t="s">
        <v>1264</v>
      </c>
      <c r="M20" s="347" t="s">
        <v>1265</v>
      </c>
      <c r="N20" s="346" t="s">
        <v>1132</v>
      </c>
      <c r="O20" s="346" t="s">
        <v>1132</v>
      </c>
      <c r="P20" s="346" t="s">
        <v>1132</v>
      </c>
      <c r="Q20" s="508" t="s">
        <v>1255</v>
      </c>
      <c r="R20" s="518" t="s">
        <v>1226</v>
      </c>
      <c r="S20" s="347" t="s">
        <v>1208</v>
      </c>
      <c r="T20" s="347" t="s">
        <v>1266</v>
      </c>
      <c r="U20" s="503" t="s">
        <v>1201</v>
      </c>
      <c r="V20" s="510" t="s">
        <v>1267</v>
      </c>
      <c r="X20" s="335"/>
      <c r="Y20" s="335"/>
      <c r="Z20" s="335"/>
      <c r="AA20" s="335"/>
      <c r="AB20" s="335"/>
      <c r="AC20" s="335"/>
      <c r="AD20" s="335"/>
      <c r="AE20" s="335"/>
    </row>
    <row r="21" spans="1:31" ht="15.75" thickBot="1">
      <c r="A21" s="132"/>
      <c r="H21" t="s">
        <v>455</v>
      </c>
      <c r="I21" s="28">
        <f>AVERAGE(I13:I20)</f>
        <v>6.125</v>
      </c>
      <c r="K21" s="335"/>
      <c r="N21" s="97"/>
      <c r="O21" s="97"/>
      <c r="X21" s="335"/>
      <c r="Y21" s="335"/>
      <c r="Z21" s="335"/>
      <c r="AA21" s="335"/>
      <c r="AB21" s="335"/>
      <c r="AC21" s="335"/>
      <c r="AD21" s="335"/>
      <c r="AE21" s="335"/>
    </row>
    <row r="22" spans="1:31" ht="15.75">
      <c r="A22" s="220" t="s">
        <v>1268</v>
      </c>
      <c r="K22" s="335"/>
      <c r="L22" s="520" t="s">
        <v>0</v>
      </c>
      <c r="M22" s="624" t="s">
        <v>14</v>
      </c>
      <c r="N22" s="624"/>
      <c r="O22" s="624"/>
      <c r="P22" s="624"/>
      <c r="Q22" s="624"/>
      <c r="R22" s="522" t="s">
        <v>1269</v>
      </c>
      <c r="X22" s="335"/>
      <c r="Y22" s="335"/>
      <c r="Z22" s="335"/>
      <c r="AA22" s="335"/>
      <c r="AB22" s="335"/>
      <c r="AC22" s="335"/>
      <c r="AD22" s="335"/>
      <c r="AE22" s="335"/>
    </row>
    <row r="23" spans="1:31" ht="16.5" thickBot="1">
      <c r="A23" s="221" t="s">
        <v>1270</v>
      </c>
      <c r="K23" s="335"/>
      <c r="L23" s="206" t="s">
        <v>139</v>
      </c>
      <c r="M23" s="242">
        <v>15.5</v>
      </c>
      <c r="N23" s="521">
        <v>19</v>
      </c>
      <c r="O23" s="521">
        <v>26</v>
      </c>
      <c r="P23" s="242" t="s">
        <v>28</v>
      </c>
      <c r="Q23" s="521" t="s">
        <v>47</v>
      </c>
      <c r="R23" s="523">
        <v>48</v>
      </c>
      <c r="X23" s="335"/>
      <c r="Y23" s="335"/>
      <c r="Z23" s="335"/>
      <c r="AA23" s="335"/>
      <c r="AB23" s="335"/>
      <c r="AC23" s="335"/>
      <c r="AD23" s="335"/>
      <c r="AE23" s="335"/>
    </row>
    <row r="24" spans="1:31" ht="15.75">
      <c r="A24" s="222" t="s">
        <v>1271</v>
      </c>
      <c r="K24" s="335"/>
      <c r="L24" s="190" t="s">
        <v>1121</v>
      </c>
      <c r="M24" s="513"/>
      <c r="N24" s="513"/>
      <c r="O24" s="513"/>
      <c r="P24" s="513"/>
      <c r="Q24" s="513"/>
      <c r="R24" s="524"/>
      <c r="T24" s="618" t="s">
        <v>1268</v>
      </c>
      <c r="U24" s="619"/>
      <c r="X24" s="335"/>
      <c r="Y24" s="335"/>
      <c r="Z24" s="335"/>
      <c r="AA24" s="335"/>
      <c r="AB24" s="335"/>
      <c r="AC24" s="335"/>
      <c r="AD24" s="335"/>
      <c r="AE24" s="335"/>
    </row>
    <row r="25" spans="1:31" ht="18.75" thickBot="1">
      <c r="A25" s="223" t="s">
        <v>1272</v>
      </c>
      <c r="K25" s="335"/>
      <c r="L25" s="226" t="s">
        <v>1126</v>
      </c>
      <c r="M25" s="498" t="s">
        <v>1273</v>
      </c>
      <c r="N25" s="505" t="s">
        <v>1274</v>
      </c>
      <c r="O25" s="341" t="s">
        <v>1275</v>
      </c>
      <c r="P25" s="341" t="s">
        <v>1276</v>
      </c>
      <c r="Q25" s="341" t="s">
        <v>1277</v>
      </c>
      <c r="R25" s="525" t="s">
        <v>1132</v>
      </c>
      <c r="T25" s="620" t="s">
        <v>1270</v>
      </c>
      <c r="U25" s="621"/>
      <c r="X25" s="335"/>
      <c r="Y25" s="335"/>
      <c r="Z25" s="335"/>
      <c r="AA25" s="335"/>
      <c r="AB25" s="335"/>
      <c r="AC25" s="335"/>
      <c r="AD25" s="335"/>
      <c r="AE25" s="335"/>
    </row>
    <row r="26" spans="1:31" ht="18">
      <c r="K26" s="335"/>
      <c r="L26" s="227" t="s">
        <v>1138</v>
      </c>
      <c r="M26" s="504" t="s">
        <v>1278</v>
      </c>
      <c r="N26" s="197" t="s">
        <v>1132</v>
      </c>
      <c r="O26" s="342" t="s">
        <v>1279</v>
      </c>
      <c r="P26" s="499" t="s">
        <v>1280</v>
      </c>
      <c r="Q26" s="342" t="s">
        <v>1281</v>
      </c>
      <c r="R26" s="526" t="s">
        <v>1132</v>
      </c>
      <c r="T26" s="512" t="s">
        <v>1271</v>
      </c>
      <c r="U26" s="511"/>
      <c r="X26" s="335"/>
      <c r="Y26" s="335"/>
      <c r="Z26" s="335"/>
      <c r="AA26" s="335"/>
      <c r="AB26" s="335"/>
      <c r="AC26" s="139"/>
      <c r="AD26" s="139"/>
      <c r="AE26" s="139"/>
    </row>
    <row r="27" spans="1:31" ht="18.75" thickBot="1">
      <c r="K27" s="335"/>
      <c r="L27" s="227" t="s">
        <v>1142</v>
      </c>
      <c r="M27" s="342" t="s">
        <v>1282</v>
      </c>
      <c r="N27" s="499" t="s">
        <v>1283</v>
      </c>
      <c r="O27" s="504" t="s">
        <v>1284</v>
      </c>
      <c r="P27" s="504" t="s">
        <v>1284</v>
      </c>
      <c r="Q27" s="342" t="s">
        <v>1285</v>
      </c>
      <c r="R27" s="527" t="s">
        <v>1286</v>
      </c>
      <c r="T27" s="622" t="s">
        <v>1287</v>
      </c>
      <c r="U27" s="623"/>
      <c r="X27" s="335"/>
      <c r="Y27" s="335"/>
      <c r="Z27" s="335"/>
      <c r="AA27" s="335"/>
      <c r="AB27" s="335"/>
      <c r="AC27" s="335"/>
      <c r="AD27" s="335"/>
      <c r="AE27" s="335"/>
    </row>
    <row r="28" spans="1:31" ht="18.75" thickBot="1">
      <c r="A28" s="21" t="s">
        <v>1288</v>
      </c>
      <c r="B28" s="97" t="s">
        <v>38</v>
      </c>
      <c r="C28" t="s">
        <v>44</v>
      </c>
      <c r="D28" s="97" t="s">
        <v>50</v>
      </c>
      <c r="E28" s="97" t="s">
        <v>38</v>
      </c>
      <c r="F28" t="s">
        <v>55</v>
      </c>
      <c r="G28" t="s">
        <v>32</v>
      </c>
      <c r="K28" s="335"/>
      <c r="L28" s="227" t="s">
        <v>1154</v>
      </c>
      <c r="M28" s="342" t="s">
        <v>1289</v>
      </c>
      <c r="N28" s="504" t="s">
        <v>1290</v>
      </c>
      <c r="O28" s="342" t="s">
        <v>1291</v>
      </c>
      <c r="P28" s="342" t="s">
        <v>1292</v>
      </c>
      <c r="Q28" s="499" t="s">
        <v>1293</v>
      </c>
      <c r="R28" s="528" t="s">
        <v>1294</v>
      </c>
      <c r="X28" s="335"/>
      <c r="Y28" s="335"/>
      <c r="Z28" s="335"/>
      <c r="AA28" s="335"/>
      <c r="AB28" s="335"/>
      <c r="AC28" s="335"/>
      <c r="AD28" s="335"/>
      <c r="AE28" s="335"/>
    </row>
    <row r="29" spans="1:31" ht="18">
      <c r="A29" s="185" t="s">
        <v>0</v>
      </c>
      <c r="B29" s="186" t="s">
        <v>7</v>
      </c>
      <c r="C29" s="186" t="s">
        <v>7</v>
      </c>
      <c r="D29" s="186" t="s">
        <v>7</v>
      </c>
      <c r="E29" s="186" t="s">
        <v>7</v>
      </c>
      <c r="F29" s="186" t="s">
        <v>7</v>
      </c>
      <c r="G29" s="187" t="s">
        <v>7</v>
      </c>
      <c r="H29" s="456"/>
      <c r="I29" s="456"/>
      <c r="J29" s="456"/>
      <c r="K29" s="335"/>
      <c r="L29" s="227" t="s">
        <v>1295</v>
      </c>
      <c r="M29" s="342" t="s">
        <v>1296</v>
      </c>
      <c r="N29" s="342" t="s">
        <v>1297</v>
      </c>
      <c r="O29" s="504" t="s">
        <v>1298</v>
      </c>
      <c r="P29" s="342" t="s">
        <v>1299</v>
      </c>
      <c r="Q29" s="499" t="s">
        <v>1300</v>
      </c>
      <c r="R29" s="528" t="s">
        <v>1301</v>
      </c>
      <c r="X29" s="335"/>
      <c r="Y29" s="335"/>
      <c r="Z29" s="335"/>
      <c r="AA29" s="335"/>
      <c r="AB29" s="335"/>
      <c r="AC29" s="335"/>
      <c r="AD29" s="335"/>
      <c r="AE29" s="335"/>
    </row>
    <row r="30" spans="1:31" ht="18.75" thickBot="1">
      <c r="A30" s="206" t="s">
        <v>139</v>
      </c>
      <c r="B30" s="242">
        <v>12</v>
      </c>
      <c r="C30" s="218">
        <v>15.5</v>
      </c>
      <c r="D30" s="218">
        <v>17</v>
      </c>
      <c r="E30" s="218">
        <v>19</v>
      </c>
      <c r="F30" s="218">
        <v>20.5</v>
      </c>
      <c r="G30" s="243">
        <v>28</v>
      </c>
      <c r="H30" s="457"/>
      <c r="I30" s="457"/>
      <c r="J30" s="457"/>
      <c r="K30" s="335"/>
      <c r="L30" s="227" t="s">
        <v>1176</v>
      </c>
      <c r="M30" s="342" t="s">
        <v>1302</v>
      </c>
      <c r="N30" s="342" t="s">
        <v>1303</v>
      </c>
      <c r="O30" s="342" t="s">
        <v>1304</v>
      </c>
      <c r="P30" s="504" t="s">
        <v>1305</v>
      </c>
      <c r="Q30" s="499" t="s">
        <v>1306</v>
      </c>
      <c r="R30" s="528" t="s">
        <v>1307</v>
      </c>
      <c r="X30" s="335"/>
      <c r="Y30" s="335"/>
      <c r="Z30" s="335"/>
      <c r="AA30" s="335"/>
      <c r="AB30" s="335"/>
      <c r="AC30" s="335"/>
      <c r="AD30" s="335"/>
      <c r="AE30" s="335"/>
    </row>
    <row r="31" spans="1:31" ht="18.75" thickBot="1">
      <c r="A31" s="190" t="s">
        <v>1121</v>
      </c>
      <c r="B31" s="166"/>
      <c r="C31" s="166"/>
      <c r="D31" s="166"/>
      <c r="E31" s="166"/>
      <c r="F31" s="166"/>
      <c r="G31" s="165"/>
      <c r="H31" t="s">
        <v>1122</v>
      </c>
      <c r="I31" s="21" t="s">
        <v>1123</v>
      </c>
      <c r="K31" s="335"/>
      <c r="L31" s="228" t="s">
        <v>1186</v>
      </c>
      <c r="M31" s="344" t="s">
        <v>1308</v>
      </c>
      <c r="N31" s="344" t="s">
        <v>1309</v>
      </c>
      <c r="O31" s="344" t="s">
        <v>1193</v>
      </c>
      <c r="P31" s="507" t="s">
        <v>1310</v>
      </c>
      <c r="Q31" s="500" t="s">
        <v>1311</v>
      </c>
      <c r="R31" s="529" t="s">
        <v>1312</v>
      </c>
      <c r="X31" s="335"/>
      <c r="Y31" s="335"/>
      <c r="Z31" s="335"/>
      <c r="AA31" s="335"/>
      <c r="AB31" s="335"/>
    </row>
    <row r="32" spans="1:31" ht="18">
      <c r="A32" s="226" t="s">
        <v>1125</v>
      </c>
      <c r="B32" s="215">
        <v>-106</v>
      </c>
      <c r="C32" s="194">
        <v>-110</v>
      </c>
      <c r="D32" s="194">
        <v>-118</v>
      </c>
      <c r="E32" s="194">
        <v>-117</v>
      </c>
      <c r="F32" s="194">
        <v>-90</v>
      </c>
      <c r="G32" s="195" t="s">
        <v>1132</v>
      </c>
      <c r="H32" s="24">
        <f>AVEDEV(B32:G32)</f>
        <v>8.16</v>
      </c>
      <c r="I32" s="22">
        <f>MAX(B32:G32)-MIN(B32:G32)</f>
        <v>28</v>
      </c>
      <c r="J32" s="24"/>
      <c r="K32" s="335"/>
      <c r="L32" s="190" t="s">
        <v>1197</v>
      </c>
      <c r="M32" s="513"/>
      <c r="N32" s="513"/>
      <c r="O32" s="513"/>
      <c r="P32" s="513"/>
      <c r="Q32" s="514"/>
      <c r="R32" s="514"/>
      <c r="X32" s="335"/>
      <c r="Y32" s="335"/>
      <c r="Z32" s="335"/>
      <c r="AA32" s="335"/>
      <c r="AB32" s="335"/>
    </row>
    <row r="33" spans="1:28" ht="18">
      <c r="A33" s="227" t="s">
        <v>1137</v>
      </c>
      <c r="B33" s="216" t="s">
        <v>1132</v>
      </c>
      <c r="C33" s="197" t="s">
        <v>1132</v>
      </c>
      <c r="D33" s="197">
        <v>78</v>
      </c>
      <c r="E33" s="197" t="s">
        <v>1132</v>
      </c>
      <c r="F33" s="197" t="s">
        <v>1132</v>
      </c>
      <c r="G33" s="198" t="s">
        <v>1132</v>
      </c>
      <c r="H33" s="24">
        <f t="shared" ref="H33:H38" si="4">AVEDEV(B33:G33)</f>
        <v>0</v>
      </c>
      <c r="I33" s="22">
        <f t="shared" ref="I33:I47" si="5">MAX(B33:G33)-MIN(B33:G33)</f>
        <v>0</v>
      </c>
      <c r="J33" s="24"/>
      <c r="K33" s="335"/>
      <c r="L33" s="337" t="s">
        <v>1199</v>
      </c>
      <c r="M33" s="498" t="s">
        <v>1260</v>
      </c>
      <c r="N33" s="341" t="s">
        <v>1201</v>
      </c>
      <c r="O33" s="341" t="s">
        <v>1237</v>
      </c>
      <c r="P33" s="341" t="s">
        <v>1237</v>
      </c>
      <c r="Q33" s="519" t="s">
        <v>1313</v>
      </c>
      <c r="R33" s="345" t="s">
        <v>1200</v>
      </c>
      <c r="X33" s="335"/>
      <c r="Y33" s="335"/>
      <c r="Z33" s="335"/>
      <c r="AA33" s="335"/>
      <c r="AB33" s="335"/>
    </row>
    <row r="34" spans="1:28" ht="18">
      <c r="A34" s="227" t="s">
        <v>1141</v>
      </c>
      <c r="B34" s="216">
        <v>80</v>
      </c>
      <c r="C34" s="197">
        <v>-154</v>
      </c>
      <c r="D34" s="197">
        <v>-169</v>
      </c>
      <c r="E34" s="197">
        <v>-170</v>
      </c>
      <c r="F34" s="197">
        <v>-173</v>
      </c>
      <c r="G34" s="198">
        <v>-162</v>
      </c>
      <c r="H34" s="24">
        <f t="shared" si="4"/>
        <v>68.222222222222214</v>
      </c>
      <c r="I34" s="22">
        <f t="shared" si="5"/>
        <v>253</v>
      </c>
      <c r="J34" s="24"/>
      <c r="K34" s="335"/>
      <c r="L34" s="338" t="s">
        <v>1210</v>
      </c>
      <c r="M34" s="342" t="s">
        <v>1314</v>
      </c>
      <c r="N34" s="504" t="s">
        <v>1315</v>
      </c>
      <c r="O34" s="342" t="s">
        <v>1316</v>
      </c>
      <c r="P34" s="499" t="s">
        <v>1203</v>
      </c>
      <c r="Q34" s="343" t="s">
        <v>1249</v>
      </c>
      <c r="R34" s="343" t="s">
        <v>1201</v>
      </c>
      <c r="X34" s="335"/>
      <c r="Y34" s="335"/>
      <c r="Z34" s="335"/>
      <c r="AA34" s="335"/>
      <c r="AB34" s="335"/>
    </row>
    <row r="35" spans="1:28" ht="18">
      <c r="A35" s="227" t="s">
        <v>1153</v>
      </c>
      <c r="B35" s="216">
        <v>62</v>
      </c>
      <c r="C35" s="197">
        <v>-99</v>
      </c>
      <c r="D35" s="197">
        <v>-115</v>
      </c>
      <c r="E35" s="197">
        <v>-49</v>
      </c>
      <c r="F35" s="197">
        <v>-65</v>
      </c>
      <c r="G35" s="198">
        <v>-58</v>
      </c>
      <c r="H35" s="24">
        <f t="shared" si="4"/>
        <v>40.333333333333336</v>
      </c>
      <c r="I35" s="22">
        <f t="shared" si="5"/>
        <v>177</v>
      </c>
      <c r="J35" s="24"/>
      <c r="K35" s="335"/>
      <c r="L35" s="338" t="s">
        <v>1221</v>
      </c>
      <c r="M35" s="499" t="s">
        <v>1207</v>
      </c>
      <c r="N35" s="504" t="s">
        <v>1227</v>
      </c>
      <c r="O35" s="342" t="s">
        <v>1317</v>
      </c>
      <c r="P35" s="342" t="s">
        <v>1318</v>
      </c>
      <c r="Q35" s="343" t="s">
        <v>1319</v>
      </c>
      <c r="R35" s="343" t="s">
        <v>1238</v>
      </c>
      <c r="X35" s="335"/>
      <c r="Y35" s="335"/>
      <c r="Z35" s="335"/>
      <c r="AA35" s="335"/>
      <c r="AB35" s="335"/>
    </row>
    <row r="36" spans="1:28" ht="18">
      <c r="A36" s="227" t="s">
        <v>1164</v>
      </c>
      <c r="B36" s="216">
        <v>70</v>
      </c>
      <c r="C36" s="197">
        <v>-43</v>
      </c>
      <c r="D36" s="197">
        <v>-64</v>
      </c>
      <c r="E36" s="197">
        <v>9</v>
      </c>
      <c r="F36" s="197">
        <v>-22</v>
      </c>
      <c r="G36" s="198">
        <v>-97</v>
      </c>
      <c r="H36" s="24">
        <f t="shared" si="4"/>
        <v>43.5</v>
      </c>
      <c r="I36" s="22">
        <f t="shared" si="5"/>
        <v>167</v>
      </c>
      <c r="J36" s="24"/>
      <c r="K36" s="335"/>
      <c r="L36" s="338" t="s">
        <v>1230</v>
      </c>
      <c r="M36" s="499" t="s">
        <v>1206</v>
      </c>
      <c r="N36" s="504" t="s">
        <v>1247</v>
      </c>
      <c r="O36" s="342" t="s">
        <v>1208</v>
      </c>
      <c r="P36" s="342" t="s">
        <v>1313</v>
      </c>
      <c r="Q36" s="343" t="s">
        <v>1320</v>
      </c>
      <c r="R36" s="343" t="s">
        <v>1251</v>
      </c>
      <c r="X36" s="335"/>
      <c r="Y36" s="335"/>
      <c r="Z36" s="335"/>
      <c r="AA36" s="335"/>
      <c r="AB36" s="335"/>
    </row>
    <row r="37" spans="1:28" ht="18">
      <c r="A37" s="227" t="s">
        <v>1175</v>
      </c>
      <c r="B37" s="216">
        <v>-142</v>
      </c>
      <c r="C37" s="197">
        <v>-145</v>
      </c>
      <c r="D37" s="197">
        <v>-159</v>
      </c>
      <c r="E37" s="197">
        <v>-140</v>
      </c>
      <c r="F37" s="197">
        <v>-136</v>
      </c>
      <c r="G37" s="198" t="s">
        <v>1132</v>
      </c>
      <c r="H37" s="24">
        <f t="shared" si="4"/>
        <v>6.080000000000001</v>
      </c>
      <c r="I37" s="22">
        <f t="shared" si="5"/>
        <v>23</v>
      </c>
      <c r="J37" s="24"/>
      <c r="K37" s="335"/>
      <c r="L37" s="338" t="s">
        <v>1240</v>
      </c>
      <c r="M37" s="499" t="s">
        <v>1254</v>
      </c>
      <c r="N37" s="504" t="s">
        <v>1251</v>
      </c>
      <c r="O37" s="504" t="s">
        <v>1251</v>
      </c>
      <c r="P37" s="342" t="s">
        <v>1247</v>
      </c>
      <c r="Q37" s="343" t="s">
        <v>1207</v>
      </c>
      <c r="R37" s="343" t="s">
        <v>1251</v>
      </c>
      <c r="X37" s="335"/>
      <c r="Y37" s="335"/>
      <c r="Z37" s="335"/>
      <c r="AA37" s="335"/>
      <c r="AB37" s="335"/>
    </row>
    <row r="38" spans="1:28" ht="18.75" thickBot="1">
      <c r="A38" s="228" t="s">
        <v>1185</v>
      </c>
      <c r="B38" s="217">
        <v>-43</v>
      </c>
      <c r="C38" s="200">
        <v>-54</v>
      </c>
      <c r="D38" s="200">
        <v>-39</v>
      </c>
      <c r="E38" s="200">
        <v>-42</v>
      </c>
      <c r="F38" s="200">
        <v>-34</v>
      </c>
      <c r="G38" s="201">
        <v>-28</v>
      </c>
      <c r="H38" s="24">
        <f t="shared" si="4"/>
        <v>6.333333333333333</v>
      </c>
      <c r="I38" s="22">
        <f t="shared" si="5"/>
        <v>26</v>
      </c>
      <c r="J38" s="24"/>
      <c r="K38" s="335"/>
      <c r="L38" s="338" t="s">
        <v>1246</v>
      </c>
      <c r="M38" s="504" t="s">
        <v>1216</v>
      </c>
      <c r="N38" s="342" t="s">
        <v>1321</v>
      </c>
      <c r="O38" s="499" t="s">
        <v>1207</v>
      </c>
      <c r="P38" s="499" t="s">
        <v>1207</v>
      </c>
      <c r="Q38" s="343" t="s">
        <v>1233</v>
      </c>
      <c r="R38" s="343" t="s">
        <v>1322</v>
      </c>
      <c r="X38" s="335"/>
      <c r="Y38" s="335"/>
      <c r="Z38" s="335"/>
      <c r="AA38" s="335"/>
      <c r="AB38" s="335"/>
    </row>
    <row r="39" spans="1:28" ht="18">
      <c r="A39" s="205" t="s">
        <v>1197</v>
      </c>
      <c r="G39" s="159"/>
      <c r="H39" s="24"/>
      <c r="I39" s="22"/>
      <c r="J39" s="24"/>
      <c r="K39" s="335"/>
      <c r="L39" s="338" t="s">
        <v>1257</v>
      </c>
      <c r="M39" s="499" t="s">
        <v>1261</v>
      </c>
      <c r="N39" s="504" t="s">
        <v>1323</v>
      </c>
      <c r="O39" s="342" t="s">
        <v>1260</v>
      </c>
      <c r="P39" s="342" t="s">
        <v>1259</v>
      </c>
      <c r="Q39" s="343" t="s">
        <v>1259</v>
      </c>
      <c r="R39" s="343" t="s">
        <v>1323</v>
      </c>
      <c r="X39" s="335"/>
      <c r="Y39" s="335"/>
      <c r="Z39" s="335"/>
      <c r="AA39" s="335"/>
      <c r="AB39" s="335"/>
    </row>
    <row r="40" spans="1:28" ht="18.75" thickBot="1">
      <c r="A40" s="202" t="s">
        <v>1198</v>
      </c>
      <c r="B40" s="215">
        <v>-26.1</v>
      </c>
      <c r="C40" s="194">
        <v>-25.8</v>
      </c>
      <c r="D40" s="194">
        <v>-24.1</v>
      </c>
      <c r="E40" s="194">
        <v>-24.1</v>
      </c>
      <c r="F40" s="194">
        <v>-25.3</v>
      </c>
      <c r="G40" s="195">
        <v>-20.9</v>
      </c>
      <c r="H40" s="24">
        <f t="shared" ref="H40:H47" si="6">AVEDEV(B40:G40)</f>
        <v>1.3500000000000003</v>
      </c>
      <c r="I40" s="603">
        <f t="shared" si="5"/>
        <v>5.2000000000000028</v>
      </c>
      <c r="J40" s="24"/>
      <c r="K40" s="335"/>
      <c r="L40" s="339" t="s">
        <v>1264</v>
      </c>
      <c r="M40" s="508" t="s">
        <v>1242</v>
      </c>
      <c r="N40" s="346" t="s">
        <v>1132</v>
      </c>
      <c r="O40" s="347" t="s">
        <v>1324</v>
      </c>
      <c r="P40" s="347" t="s">
        <v>1325</v>
      </c>
      <c r="Q40" s="518" t="s">
        <v>1258</v>
      </c>
      <c r="R40" s="348" t="s">
        <v>1326</v>
      </c>
      <c r="X40" s="335"/>
      <c r="Y40" s="335"/>
      <c r="Z40" s="335"/>
      <c r="AA40" s="335"/>
      <c r="AB40" s="335"/>
    </row>
    <row r="41" spans="1:28" ht="18">
      <c r="A41" s="203" t="s">
        <v>1209</v>
      </c>
      <c r="B41" s="216">
        <v>-22.8</v>
      </c>
      <c r="C41" s="197">
        <v>-17.8</v>
      </c>
      <c r="D41" s="197">
        <v>-22.1</v>
      </c>
      <c r="E41" s="197">
        <v>-20.2</v>
      </c>
      <c r="F41" s="197">
        <v>-18.7</v>
      </c>
      <c r="G41" s="198">
        <v>-23.8</v>
      </c>
      <c r="H41" s="24">
        <f t="shared" si="6"/>
        <v>2.0000000000000004</v>
      </c>
      <c r="I41" s="603">
        <f t="shared" si="5"/>
        <v>6</v>
      </c>
      <c r="J41" s="24"/>
      <c r="K41" s="335"/>
      <c r="X41" s="335"/>
      <c r="Y41" s="335"/>
      <c r="Z41" s="335"/>
      <c r="AA41" s="335"/>
      <c r="AB41" s="335"/>
    </row>
    <row r="42" spans="1:28" ht="18">
      <c r="A42" s="203" t="s">
        <v>1220</v>
      </c>
      <c r="B42" s="216">
        <v>-21.5</v>
      </c>
      <c r="C42" s="197">
        <v>-23.2</v>
      </c>
      <c r="D42" s="197">
        <v>-23.4</v>
      </c>
      <c r="E42" s="197">
        <v>-24.2</v>
      </c>
      <c r="F42" s="197">
        <v>-23.7</v>
      </c>
      <c r="G42" s="198">
        <v>-24.2</v>
      </c>
      <c r="H42" s="24">
        <f t="shared" si="6"/>
        <v>0.67777777777777837</v>
      </c>
      <c r="I42" s="22">
        <f t="shared" si="5"/>
        <v>2.6999999999999993</v>
      </c>
      <c r="J42" s="24"/>
      <c r="K42" s="335"/>
      <c r="X42" s="335"/>
      <c r="Y42" s="335"/>
      <c r="Z42" s="335"/>
      <c r="AA42" s="335"/>
      <c r="AB42" s="335"/>
    </row>
    <row r="43" spans="1:28" ht="18">
      <c r="A43" s="203" t="s">
        <v>1229</v>
      </c>
      <c r="B43" s="216">
        <v>-17.5</v>
      </c>
      <c r="C43" s="197">
        <v>-24.5</v>
      </c>
      <c r="D43" s="197">
        <v>-25.1</v>
      </c>
      <c r="E43" s="197">
        <v>-22</v>
      </c>
      <c r="F43" s="197">
        <v>-23.1</v>
      </c>
      <c r="G43" s="198">
        <v>-21</v>
      </c>
      <c r="H43" s="24">
        <f t="shared" si="6"/>
        <v>2.0333333333333337</v>
      </c>
      <c r="I43" s="603">
        <f t="shared" si="5"/>
        <v>7.6000000000000014</v>
      </c>
      <c r="J43" s="24"/>
      <c r="K43" s="335"/>
      <c r="X43" s="335"/>
      <c r="Y43" s="335"/>
      <c r="Z43" s="335"/>
      <c r="AA43" s="335"/>
      <c r="AB43" s="335"/>
    </row>
    <row r="44" spans="1:28" ht="18">
      <c r="A44" s="203" t="s">
        <v>1239</v>
      </c>
      <c r="B44" s="216">
        <v>-14</v>
      </c>
      <c r="C44" s="197">
        <v>-21.1</v>
      </c>
      <c r="D44" s="197">
        <v>-22.1</v>
      </c>
      <c r="E44" s="197">
        <v>-18</v>
      </c>
      <c r="F44" s="197">
        <v>-19.399999999999999</v>
      </c>
      <c r="G44" s="198">
        <v>-23.8</v>
      </c>
      <c r="H44" s="24">
        <f t="shared" si="6"/>
        <v>2.600000000000001</v>
      </c>
      <c r="I44" s="603">
        <f t="shared" si="5"/>
        <v>9.8000000000000007</v>
      </c>
      <c r="J44" s="24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</row>
    <row r="45" spans="1:28" ht="18">
      <c r="A45" s="203" t="s">
        <v>1245</v>
      </c>
      <c r="B45" s="216">
        <v>-24.7</v>
      </c>
      <c r="C45" s="197">
        <v>-24.7</v>
      </c>
      <c r="D45" s="197">
        <v>-24.9</v>
      </c>
      <c r="E45" s="197">
        <v>-24</v>
      </c>
      <c r="F45" s="197">
        <v>-24.6</v>
      </c>
      <c r="G45" s="198">
        <v>-26.9</v>
      </c>
      <c r="H45" s="24">
        <f t="shared" si="6"/>
        <v>0.64444444444444571</v>
      </c>
      <c r="I45" s="22">
        <f t="shared" si="5"/>
        <v>2.8999999999999986</v>
      </c>
      <c r="J45" s="24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</row>
    <row r="46" spans="1:28" ht="18">
      <c r="A46" s="203" t="s">
        <v>1256</v>
      </c>
      <c r="B46" s="216">
        <v>-26.3</v>
      </c>
      <c r="C46" s="197">
        <v>-26.8</v>
      </c>
      <c r="D46" s="197">
        <v>-26.7</v>
      </c>
      <c r="E46" s="197">
        <v>-26.7</v>
      </c>
      <c r="F46" s="197">
        <v>-26.7</v>
      </c>
      <c r="G46" s="198">
        <v>-26.3</v>
      </c>
      <c r="H46" s="24">
        <f t="shared" si="6"/>
        <v>0.1888888888888888</v>
      </c>
      <c r="I46" s="22">
        <f t="shared" si="5"/>
        <v>0.5</v>
      </c>
      <c r="J46" s="24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</row>
    <row r="47" spans="1:28" ht="18.75" thickBot="1">
      <c r="A47" s="204" t="s">
        <v>1263</v>
      </c>
      <c r="B47" s="217">
        <v>-23.2</v>
      </c>
      <c r="C47" s="200" t="s">
        <v>1132</v>
      </c>
      <c r="D47" s="200" t="s">
        <v>1132</v>
      </c>
      <c r="E47" s="200" t="s">
        <v>1132</v>
      </c>
      <c r="F47" s="200">
        <v>-23</v>
      </c>
      <c r="G47" s="201">
        <v>-23.7</v>
      </c>
      <c r="H47" s="24">
        <f t="shared" si="6"/>
        <v>0.26666666666666689</v>
      </c>
      <c r="I47" s="22">
        <f t="shared" si="5"/>
        <v>0.69999999999999929</v>
      </c>
      <c r="J47" s="24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</row>
    <row r="48" spans="1:28"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</row>
    <row r="49" spans="1:28" ht="15.75" thickBot="1">
      <c r="A49" t="s">
        <v>1327</v>
      </c>
      <c r="B49" s="159" t="s">
        <v>66</v>
      </c>
      <c r="C49" s="159" t="s">
        <v>32</v>
      </c>
      <c r="D49" s="183" t="s">
        <v>38</v>
      </c>
      <c r="E49" s="183" t="s">
        <v>38</v>
      </c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  <c r="AB49" s="335"/>
    </row>
    <row r="50" spans="1:28" ht="15.75">
      <c r="A50" s="185" t="s">
        <v>0</v>
      </c>
      <c r="B50" s="186" t="s">
        <v>11</v>
      </c>
      <c r="C50" s="186" t="s">
        <v>11</v>
      </c>
      <c r="D50" s="186" t="s">
        <v>11</v>
      </c>
      <c r="E50" s="187" t="s">
        <v>11</v>
      </c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  <c r="AB50" s="335"/>
    </row>
    <row r="51" spans="1:28" ht="16.5" thickBot="1">
      <c r="A51" s="206" t="s">
        <v>139</v>
      </c>
      <c r="B51" s="242">
        <v>7</v>
      </c>
      <c r="C51" s="218">
        <v>10.5</v>
      </c>
      <c r="D51" s="218">
        <v>14</v>
      </c>
      <c r="E51" s="244">
        <v>15.5</v>
      </c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</row>
    <row r="52" spans="1:28" ht="15.75">
      <c r="A52" s="190" t="s">
        <v>1121</v>
      </c>
      <c r="B52" s="166"/>
      <c r="C52" s="166"/>
      <c r="D52" s="166"/>
      <c r="E52" s="165"/>
      <c r="F52" t="s">
        <v>1122</v>
      </c>
      <c r="G52" s="21" t="s">
        <v>1123</v>
      </c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</row>
    <row r="53" spans="1:28" ht="18">
      <c r="A53" s="193" t="s">
        <v>1125</v>
      </c>
      <c r="B53" s="215">
        <v>-77</v>
      </c>
      <c r="C53" s="194">
        <v>-75</v>
      </c>
      <c r="D53" s="194">
        <v>-51</v>
      </c>
      <c r="E53" s="195">
        <v>-61</v>
      </c>
      <c r="F53">
        <f>AVEDEV(B53:E53)</f>
        <v>10</v>
      </c>
      <c r="G53" s="22">
        <f>MAX(B53:E53)-MIN(B53:E53)</f>
        <v>26</v>
      </c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</row>
    <row r="54" spans="1:28" ht="18">
      <c r="A54" s="196" t="s">
        <v>1137</v>
      </c>
      <c r="B54" s="216" t="s">
        <v>1132</v>
      </c>
      <c r="C54" s="197" t="s">
        <v>1132</v>
      </c>
      <c r="D54" s="197">
        <v>38</v>
      </c>
      <c r="E54" s="198" t="s">
        <v>1132</v>
      </c>
      <c r="F54">
        <f t="shared" ref="F54:F68" si="7">AVEDEV(B54:E54)</f>
        <v>0</v>
      </c>
      <c r="G54" s="22">
        <f t="shared" ref="G54:G68" si="8">MAX(B54:E54)-MIN(B54:E54)</f>
        <v>0</v>
      </c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</row>
    <row r="55" spans="1:28" ht="18">
      <c r="A55" s="196" t="s">
        <v>1141</v>
      </c>
      <c r="B55" s="216">
        <v>-179</v>
      </c>
      <c r="C55" s="197">
        <v>-161</v>
      </c>
      <c r="D55" s="197">
        <v>-164</v>
      </c>
      <c r="E55" s="198">
        <v>2</v>
      </c>
      <c r="F55" s="22">
        <f t="shared" si="7"/>
        <v>63.75</v>
      </c>
      <c r="G55" s="22">
        <f t="shared" si="8"/>
        <v>181</v>
      </c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</row>
    <row r="56" spans="1:28" ht="18">
      <c r="A56" s="196" t="s">
        <v>1153</v>
      </c>
      <c r="B56" s="216">
        <v>-165</v>
      </c>
      <c r="C56" s="197">
        <v>-136</v>
      </c>
      <c r="D56" s="197" t="s">
        <v>1132</v>
      </c>
      <c r="E56" s="198">
        <v>-121</v>
      </c>
      <c r="F56" s="22">
        <f t="shared" si="7"/>
        <v>16.222222222222218</v>
      </c>
      <c r="G56" s="22">
        <f t="shared" si="8"/>
        <v>44</v>
      </c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</row>
    <row r="57" spans="1:28" ht="18">
      <c r="A57" s="196" t="s">
        <v>1164</v>
      </c>
      <c r="B57" s="216">
        <v>-138</v>
      </c>
      <c r="C57" s="197" t="s">
        <v>1132</v>
      </c>
      <c r="D57" s="197">
        <v>-126</v>
      </c>
      <c r="E57" s="198">
        <v>-11</v>
      </c>
      <c r="F57" s="22">
        <f t="shared" si="7"/>
        <v>53.777777777777771</v>
      </c>
      <c r="G57" s="22">
        <f t="shared" si="8"/>
        <v>127</v>
      </c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</row>
    <row r="58" spans="1:28" ht="18">
      <c r="A58" s="196" t="s">
        <v>1175</v>
      </c>
      <c r="B58" s="216">
        <v>-132</v>
      </c>
      <c r="C58" s="197">
        <v>-150</v>
      </c>
      <c r="D58" s="197">
        <v>-106</v>
      </c>
      <c r="E58" s="198">
        <v>-81</v>
      </c>
      <c r="F58" s="22">
        <f t="shared" si="7"/>
        <v>23.75</v>
      </c>
      <c r="G58" s="22">
        <f t="shared" si="8"/>
        <v>69</v>
      </c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</row>
    <row r="59" spans="1:28" ht="18.75" thickBot="1">
      <c r="A59" s="199" t="s">
        <v>1185</v>
      </c>
      <c r="B59" s="217">
        <v>-55</v>
      </c>
      <c r="C59" s="200">
        <v>-60</v>
      </c>
      <c r="D59" s="200">
        <v>-27</v>
      </c>
      <c r="E59" s="201">
        <v>-60</v>
      </c>
      <c r="F59" s="22">
        <f t="shared" si="7"/>
        <v>11.75</v>
      </c>
      <c r="G59" s="22">
        <f t="shared" si="8"/>
        <v>33</v>
      </c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  <c r="AB59" s="335"/>
    </row>
    <row r="60" spans="1:28" ht="15.75">
      <c r="A60" s="205" t="s">
        <v>1197</v>
      </c>
      <c r="E60" s="159"/>
      <c r="G60" s="22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</row>
    <row r="61" spans="1:28" ht="18">
      <c r="A61" s="202" t="s">
        <v>1198</v>
      </c>
      <c r="B61" s="215">
        <v>-26.5</v>
      </c>
      <c r="C61" s="194">
        <v>-26.2</v>
      </c>
      <c r="D61" s="194">
        <v>-25.2</v>
      </c>
      <c r="E61" s="195">
        <v>-25.7</v>
      </c>
      <c r="F61" s="22">
        <f t="shared" si="7"/>
        <v>0.45000000000000018</v>
      </c>
      <c r="G61" s="22">
        <f t="shared" si="8"/>
        <v>1.3000000000000007</v>
      </c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</row>
    <row r="62" spans="1:28" ht="18">
      <c r="A62" s="203" t="s">
        <v>1209</v>
      </c>
      <c r="B62" s="216">
        <v>-21</v>
      </c>
      <c r="C62" s="197">
        <v>-20.6</v>
      </c>
      <c r="D62" s="197">
        <v>-23.8</v>
      </c>
      <c r="E62" s="198">
        <v>-18.100000000000001</v>
      </c>
      <c r="F62" s="22">
        <f t="shared" si="7"/>
        <v>1.5249999999999995</v>
      </c>
      <c r="G62" s="603">
        <f t="shared" si="8"/>
        <v>5.6999999999999993</v>
      </c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  <c r="AB62" s="335"/>
    </row>
    <row r="63" spans="1:28" ht="18">
      <c r="A63" s="203" t="s">
        <v>1220</v>
      </c>
      <c r="B63" s="216">
        <v>-24.1</v>
      </c>
      <c r="C63" s="197">
        <v>-22.8</v>
      </c>
      <c r="D63" s="197">
        <v>-24.1</v>
      </c>
      <c r="E63" s="198">
        <v>-22.5</v>
      </c>
      <c r="F63" s="22">
        <f t="shared" si="7"/>
        <v>0.72500000000000053</v>
      </c>
      <c r="G63" s="22">
        <f t="shared" si="8"/>
        <v>1.6000000000000014</v>
      </c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  <c r="AB63" s="335"/>
    </row>
    <row r="64" spans="1:28" ht="18">
      <c r="A64" s="203" t="s">
        <v>1229</v>
      </c>
      <c r="B64" s="216">
        <v>-26.2</v>
      </c>
      <c r="C64" s="197">
        <v>-23.7</v>
      </c>
      <c r="D64" s="197">
        <v>-26</v>
      </c>
      <c r="E64" s="198">
        <v>-25</v>
      </c>
      <c r="F64" s="22">
        <f t="shared" si="7"/>
        <v>0.875</v>
      </c>
      <c r="G64" s="22">
        <f t="shared" si="8"/>
        <v>2.5</v>
      </c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  <c r="AB64" s="335"/>
    </row>
    <row r="65" spans="1:28" ht="18">
      <c r="A65" s="203" t="s">
        <v>1239</v>
      </c>
      <c r="B65" s="216">
        <v>-25.7</v>
      </c>
      <c r="C65" s="197">
        <v>-18.100000000000001</v>
      </c>
      <c r="D65" s="197">
        <v>-25.1</v>
      </c>
      <c r="E65" s="198">
        <v>-21.1</v>
      </c>
      <c r="F65" s="22">
        <f t="shared" si="7"/>
        <v>2.8999999999999995</v>
      </c>
      <c r="G65" s="603">
        <f t="shared" si="8"/>
        <v>7.5999999999999979</v>
      </c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</row>
    <row r="66" spans="1:28" ht="18">
      <c r="A66" s="203" t="s">
        <v>1245</v>
      </c>
      <c r="B66" s="216">
        <v>-27.6</v>
      </c>
      <c r="C66" s="197">
        <v>-26.9</v>
      </c>
      <c r="D66" s="197">
        <v>-25.6</v>
      </c>
      <c r="E66" s="198">
        <v>-23</v>
      </c>
      <c r="F66" s="22">
        <f t="shared" si="7"/>
        <v>1.4749999999999996</v>
      </c>
      <c r="G66" s="603">
        <f t="shared" si="8"/>
        <v>4.6000000000000014</v>
      </c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  <c r="AB66" s="335"/>
    </row>
    <row r="67" spans="1:28" ht="18">
      <c r="A67" s="203" t="s">
        <v>1256</v>
      </c>
      <c r="B67" s="216">
        <v>-27</v>
      </c>
      <c r="C67" s="197">
        <v>-26.8</v>
      </c>
      <c r="D67" s="197">
        <v>-27.2</v>
      </c>
      <c r="E67" s="198">
        <v>-26.9</v>
      </c>
      <c r="F67" s="22">
        <f t="shared" si="7"/>
        <v>0.125</v>
      </c>
      <c r="G67" s="22">
        <f t="shared" si="8"/>
        <v>0.39999999999999858</v>
      </c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  <c r="AB67" s="335"/>
    </row>
    <row r="68" spans="1:28" ht="18.75" thickBot="1">
      <c r="A68" s="204" t="s">
        <v>1263</v>
      </c>
      <c r="B68" s="217">
        <v>-25.7</v>
      </c>
      <c r="C68" s="200">
        <v>-25.4</v>
      </c>
      <c r="D68" s="200">
        <v>-25.8</v>
      </c>
      <c r="E68" s="201">
        <v>-24.4</v>
      </c>
      <c r="F68" s="22">
        <f t="shared" si="7"/>
        <v>0.46250000000000213</v>
      </c>
      <c r="G68" s="22">
        <f t="shared" si="8"/>
        <v>1.4000000000000021</v>
      </c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  <c r="AB68" s="335"/>
    </row>
    <row r="69" spans="1:28"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5"/>
    </row>
    <row r="70" spans="1:28" ht="16.5" thickBot="1">
      <c r="A70" s="229"/>
      <c r="B70" s="229"/>
      <c r="C70" s="229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  <c r="AB70" s="335"/>
    </row>
    <row r="71" spans="1:28" ht="15.75">
      <c r="A71" s="185" t="s">
        <v>0</v>
      </c>
      <c r="B71" s="230" t="s">
        <v>1328</v>
      </c>
      <c r="C71" s="187" t="s">
        <v>1329</v>
      </c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  <c r="AB71" s="335"/>
    </row>
    <row r="72" spans="1:28" ht="16.5" thickBot="1">
      <c r="A72" s="205" t="s">
        <v>139</v>
      </c>
      <c r="B72" s="231"/>
      <c r="C72" s="232"/>
    </row>
    <row r="73" spans="1:28" ht="18">
      <c r="A73" s="233" t="s">
        <v>1330</v>
      </c>
      <c r="B73" s="236" t="s">
        <v>1132</v>
      </c>
      <c r="C73" s="225" t="s">
        <v>1132</v>
      </c>
    </row>
    <row r="74" spans="1:28" ht="18">
      <c r="A74" s="196" t="s">
        <v>1331</v>
      </c>
      <c r="B74" s="237" t="s">
        <v>1132</v>
      </c>
      <c r="C74" s="198" t="s">
        <v>1132</v>
      </c>
    </row>
    <row r="75" spans="1:28" ht="18">
      <c r="A75" s="196" t="s">
        <v>1332</v>
      </c>
      <c r="B75" s="237" t="s">
        <v>1132</v>
      </c>
      <c r="C75" s="198">
        <v>-147</v>
      </c>
    </row>
    <row r="76" spans="1:28" ht="18">
      <c r="A76" s="196" t="s">
        <v>1333</v>
      </c>
      <c r="B76" s="237" t="s">
        <v>1132</v>
      </c>
      <c r="C76" s="198">
        <v>-112</v>
      </c>
    </row>
    <row r="77" spans="1:28" ht="18">
      <c r="A77" s="196" t="s">
        <v>1334</v>
      </c>
      <c r="B77" s="237" t="s">
        <v>1132</v>
      </c>
      <c r="C77" s="198">
        <v>-129</v>
      </c>
    </row>
    <row r="78" spans="1:28" ht="18">
      <c r="A78" s="196" t="s">
        <v>1335</v>
      </c>
      <c r="B78" s="237" t="s">
        <v>1132</v>
      </c>
      <c r="C78" s="198">
        <v>-89</v>
      </c>
    </row>
    <row r="79" spans="1:28" ht="18.75" thickBot="1">
      <c r="A79" s="199" t="s">
        <v>1336</v>
      </c>
      <c r="B79" s="238" t="s">
        <v>1132</v>
      </c>
      <c r="C79" s="201">
        <v>-62</v>
      </c>
    </row>
    <row r="80" spans="1:28" ht="16.5" thickBot="1">
      <c r="A80" s="234"/>
      <c r="B80" s="234"/>
      <c r="C80" s="239"/>
    </row>
    <row r="81" spans="1:3" ht="18">
      <c r="A81" s="235" t="s">
        <v>1337</v>
      </c>
      <c r="B81" s="236" t="s">
        <v>1132</v>
      </c>
      <c r="C81" s="225">
        <v>-26.1</v>
      </c>
    </row>
    <row r="82" spans="1:3" ht="18">
      <c r="A82" s="203" t="s">
        <v>1338</v>
      </c>
      <c r="B82" s="237" t="s">
        <v>1132</v>
      </c>
      <c r="C82" s="198">
        <v>-25.8</v>
      </c>
    </row>
    <row r="83" spans="1:3" ht="18">
      <c r="A83" s="203" t="s">
        <v>1339</v>
      </c>
      <c r="B83" s="237" t="s">
        <v>1132</v>
      </c>
      <c r="C83" s="198">
        <v>-25</v>
      </c>
    </row>
    <row r="84" spans="1:3" ht="18">
      <c r="A84" s="203" t="s">
        <v>1340</v>
      </c>
      <c r="B84" s="237" t="s">
        <v>1132</v>
      </c>
      <c r="C84" s="198">
        <v>-24.6</v>
      </c>
    </row>
    <row r="85" spans="1:3" ht="18">
      <c r="A85" s="203" t="s">
        <v>1341</v>
      </c>
      <c r="B85" s="237" t="s">
        <v>1132</v>
      </c>
      <c r="C85" s="198">
        <v>-24.6</v>
      </c>
    </row>
    <row r="86" spans="1:3" ht="18">
      <c r="A86" s="203" t="s">
        <v>1342</v>
      </c>
      <c r="B86" s="237" t="s">
        <v>1132</v>
      </c>
      <c r="C86" s="198">
        <v>-25.2</v>
      </c>
    </row>
    <row r="87" spans="1:3" ht="18">
      <c r="A87" s="203" t="s">
        <v>1343</v>
      </c>
      <c r="B87" s="237">
        <v>-27.3</v>
      </c>
      <c r="C87" s="198">
        <v>-26.6</v>
      </c>
    </row>
    <row r="88" spans="1:3" ht="18.75" thickBot="1">
      <c r="A88" s="204" t="s">
        <v>1344</v>
      </c>
      <c r="B88" s="240" t="s">
        <v>1132</v>
      </c>
      <c r="C88" s="241">
        <v>-25.6</v>
      </c>
    </row>
  </sheetData>
  <mergeCells count="6">
    <mergeCell ref="T24:U24"/>
    <mergeCell ref="T25:U25"/>
    <mergeCell ref="T27:U27"/>
    <mergeCell ref="M2:R2"/>
    <mergeCell ref="S2:V2"/>
    <mergeCell ref="M22:Q22"/>
  </mergeCells>
  <conditionalFormatting sqref="B5:F5">
    <cfRule type="top10" dxfId="284" priority="189" bottom="1" rank="1"/>
    <cfRule type="top10" dxfId="283" priority="190" rank="1"/>
  </conditionalFormatting>
  <conditionalFormatting sqref="B6:F6">
    <cfRule type="top10" dxfId="282" priority="119" bottom="1" rank="1"/>
    <cfRule type="top10" dxfId="281" priority="120" rank="1"/>
  </conditionalFormatting>
  <conditionalFormatting sqref="B7:F7">
    <cfRule type="top10" dxfId="280" priority="117" bottom="1" rank="1"/>
    <cfRule type="top10" dxfId="279" priority="118" rank="1"/>
  </conditionalFormatting>
  <conditionalFormatting sqref="B8:F8">
    <cfRule type="top10" dxfId="278" priority="115" bottom="1" rank="1"/>
    <cfRule type="top10" dxfId="277" priority="116" rank="1"/>
  </conditionalFormatting>
  <conditionalFormatting sqref="B9:F9">
    <cfRule type="top10" dxfId="276" priority="113" bottom="1" rank="1"/>
    <cfRule type="top10" dxfId="275" priority="114" rank="1"/>
  </conditionalFormatting>
  <conditionalFormatting sqref="B10:F10">
    <cfRule type="top10" dxfId="274" priority="111" bottom="1" rank="1"/>
    <cfRule type="top10" dxfId="273" priority="112" rank="1"/>
  </conditionalFormatting>
  <conditionalFormatting sqref="B11:F11">
    <cfRule type="top10" dxfId="272" priority="109" bottom="1" rank="1"/>
    <cfRule type="top10" dxfId="271" priority="110" rank="1"/>
  </conditionalFormatting>
  <conditionalFormatting sqref="B13:F13">
    <cfRule type="top10" dxfId="270" priority="107" bottom="1" rank="1"/>
    <cfRule type="top10" dxfId="269" priority="108" rank="1"/>
  </conditionalFormatting>
  <conditionalFormatting sqref="B14:F14">
    <cfRule type="top10" dxfId="268" priority="105" bottom="1" rank="1"/>
    <cfRule type="top10" dxfId="267" priority="106" rank="1"/>
  </conditionalFormatting>
  <conditionalFormatting sqref="B15:F15">
    <cfRule type="top10" dxfId="266" priority="103" bottom="1" rank="1"/>
    <cfRule type="top10" dxfId="265" priority="104" rank="1"/>
  </conditionalFormatting>
  <conditionalFormatting sqref="B16:F16">
    <cfRule type="top10" dxfId="264" priority="101" bottom="1" rank="1"/>
    <cfRule type="top10" dxfId="263" priority="102" rank="1"/>
  </conditionalFormatting>
  <conditionalFormatting sqref="B17:F17">
    <cfRule type="top10" dxfId="262" priority="99" bottom="1" rank="1"/>
    <cfRule type="top10" dxfId="261" priority="100" rank="1"/>
  </conditionalFormatting>
  <conditionalFormatting sqref="B18:F18">
    <cfRule type="top10" dxfId="260" priority="97" bottom="1" rank="1"/>
    <cfRule type="top10" dxfId="259" priority="98" rank="1"/>
  </conditionalFormatting>
  <conditionalFormatting sqref="B19:F19">
    <cfRule type="top10" dxfId="258" priority="95" bottom="1" rank="1"/>
    <cfRule type="top10" dxfId="257" priority="96" rank="1"/>
  </conditionalFormatting>
  <conditionalFormatting sqref="B20:F20">
    <cfRule type="top10" dxfId="256" priority="93" bottom="1" rank="1"/>
    <cfRule type="top10" dxfId="255" priority="94" rank="1"/>
  </conditionalFormatting>
  <conditionalFormatting sqref="B32:G32">
    <cfRule type="top10" dxfId="254" priority="91" bottom="1" rank="1"/>
    <cfRule type="top10" dxfId="253" priority="92" rank="1"/>
  </conditionalFormatting>
  <conditionalFormatting sqref="B53:E53">
    <cfRule type="top10" dxfId="252" priority="89" bottom="1" rank="1"/>
    <cfRule type="top10" dxfId="251" priority="90" rank="1"/>
  </conditionalFormatting>
  <conditionalFormatting sqref="B33:G33">
    <cfRule type="top10" dxfId="250" priority="87" bottom="1" rank="1"/>
    <cfRule type="top10" dxfId="249" priority="88" rank="1"/>
  </conditionalFormatting>
  <conditionalFormatting sqref="B34:G34">
    <cfRule type="top10" dxfId="248" priority="85" bottom="1" rank="1"/>
    <cfRule type="top10" dxfId="247" priority="86" rank="1"/>
  </conditionalFormatting>
  <conditionalFormatting sqref="B35:G35">
    <cfRule type="top10" dxfId="246" priority="83" bottom="1" rank="1"/>
    <cfRule type="top10" dxfId="245" priority="84" rank="1"/>
  </conditionalFormatting>
  <conditionalFormatting sqref="B36:G36">
    <cfRule type="top10" dxfId="244" priority="81" bottom="1" rank="1"/>
    <cfRule type="top10" dxfId="243" priority="82" rank="1"/>
  </conditionalFormatting>
  <conditionalFormatting sqref="B37:G37">
    <cfRule type="top10" dxfId="242" priority="79" bottom="1" rank="1"/>
    <cfRule type="top10" dxfId="241" priority="80" rank="1"/>
  </conditionalFormatting>
  <conditionalFormatting sqref="B38:G38">
    <cfRule type="top10" dxfId="240" priority="77" bottom="1" rank="1"/>
    <cfRule type="top10" dxfId="239" priority="78" rank="1"/>
  </conditionalFormatting>
  <conditionalFormatting sqref="B40:G40">
    <cfRule type="top10" dxfId="238" priority="75" bottom="1" rank="1"/>
    <cfRule type="top10" dxfId="237" priority="76" rank="1"/>
  </conditionalFormatting>
  <conditionalFormatting sqref="B41:G41">
    <cfRule type="top10" dxfId="236" priority="73" bottom="1" rank="1"/>
    <cfRule type="top10" dxfId="235" priority="74" rank="1"/>
  </conditionalFormatting>
  <conditionalFormatting sqref="B42:G42">
    <cfRule type="top10" dxfId="234" priority="71" bottom="1" rank="1"/>
    <cfRule type="top10" dxfId="233" priority="72" rank="1"/>
  </conditionalFormatting>
  <conditionalFormatting sqref="B43:G43">
    <cfRule type="top10" dxfId="232" priority="69" bottom="1" rank="1"/>
    <cfRule type="top10" dxfId="231" priority="70" rank="1"/>
  </conditionalFormatting>
  <conditionalFormatting sqref="B44:G44">
    <cfRule type="top10" dxfId="230" priority="67" bottom="1" rank="1"/>
    <cfRule type="top10" dxfId="229" priority="68" rank="1"/>
  </conditionalFormatting>
  <conditionalFormatting sqref="B45:G45">
    <cfRule type="top10" dxfId="228" priority="65" bottom="1" rank="1"/>
    <cfRule type="top10" dxfId="227" priority="66" rank="1"/>
  </conditionalFormatting>
  <conditionalFormatting sqref="B46:G46">
    <cfRule type="top10" dxfId="226" priority="63" bottom="1" rank="1"/>
    <cfRule type="top10" dxfId="225" priority="64" rank="1"/>
  </conditionalFormatting>
  <conditionalFormatting sqref="B47:G47">
    <cfRule type="top10" dxfId="224" priority="61" bottom="1" rank="1"/>
    <cfRule type="top10" dxfId="223" priority="62" rank="1"/>
  </conditionalFormatting>
  <conditionalFormatting sqref="B54:E54">
    <cfRule type="top10" dxfId="222" priority="59" bottom="1" rank="1"/>
    <cfRule type="top10" dxfId="221" priority="60" rank="1"/>
  </conditionalFormatting>
  <conditionalFormatting sqref="B55:E55">
    <cfRule type="top10" dxfId="220" priority="57" bottom="1" rank="1"/>
    <cfRule type="top10" dxfId="219" priority="58" rank="1"/>
  </conditionalFormatting>
  <conditionalFormatting sqref="B56:E56">
    <cfRule type="top10" dxfId="218" priority="55" bottom="1" rank="1"/>
    <cfRule type="top10" dxfId="217" priority="56" rank="1"/>
  </conditionalFormatting>
  <conditionalFormatting sqref="B57:E57">
    <cfRule type="top10" dxfId="216" priority="53" bottom="1" rank="1"/>
    <cfRule type="top10" dxfId="215" priority="54" rank="1"/>
  </conditionalFormatting>
  <conditionalFormatting sqref="B58:E58">
    <cfRule type="top10" dxfId="214" priority="51" bottom="1" rank="1"/>
    <cfRule type="top10" dxfId="213" priority="52" rank="1"/>
  </conditionalFormatting>
  <conditionalFormatting sqref="B59:E59">
    <cfRule type="top10" dxfId="212" priority="49" bottom="1" rank="1"/>
    <cfRule type="top10" dxfId="211" priority="50" rank="1"/>
  </conditionalFormatting>
  <conditionalFormatting sqref="B61:E61">
    <cfRule type="top10" dxfId="210" priority="47" bottom="1" rank="1"/>
    <cfRule type="top10" dxfId="209" priority="48" rank="1"/>
  </conditionalFormatting>
  <conditionalFormatting sqref="B62:E62">
    <cfRule type="top10" dxfId="208" priority="45" bottom="1" rank="1"/>
    <cfRule type="top10" dxfId="207" priority="46" rank="1"/>
  </conditionalFormatting>
  <conditionalFormatting sqref="B63:E63">
    <cfRule type="top10" dxfId="206" priority="43" bottom="1" rank="1"/>
    <cfRule type="top10" dxfId="205" priority="44" rank="1"/>
  </conditionalFormatting>
  <conditionalFormatting sqref="B64:E64">
    <cfRule type="top10" dxfId="204" priority="41" bottom="1" rank="1"/>
    <cfRule type="top10" dxfId="203" priority="42" rank="1"/>
  </conditionalFormatting>
  <conditionalFormatting sqref="B65:E65">
    <cfRule type="top10" dxfId="202" priority="39" bottom="1" rank="1"/>
    <cfRule type="top10" dxfId="201" priority="40" rank="1"/>
  </conditionalFormatting>
  <conditionalFormatting sqref="B66:E66">
    <cfRule type="top10" dxfId="200" priority="37" bottom="1" rank="1"/>
    <cfRule type="top10" dxfId="199" priority="38" rank="1"/>
  </conditionalFormatting>
  <conditionalFormatting sqref="B68:E68">
    <cfRule type="top10" dxfId="198" priority="33" bottom="1" rank="1"/>
    <cfRule type="top10" dxfId="197" priority="34" rank="1"/>
  </conditionalFormatting>
  <conditionalFormatting sqref="B67:E67">
    <cfRule type="top10" dxfId="196" priority="31" bottom="1" rank="1"/>
    <cfRule type="top10" dxfId="195" priority="32" rank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C939-74E9-449C-8680-4D71CB881893}">
  <sheetPr>
    <tabColor theme="9" tint="0.59999389629810485"/>
  </sheetPr>
  <dimension ref="A1:BM74"/>
  <sheetViews>
    <sheetView topLeftCell="I1" zoomScale="80" zoomScaleNormal="80" workbookViewId="0">
      <selection activeCell="I5" sqref="I5:I10"/>
    </sheetView>
  </sheetViews>
  <sheetFormatPr defaultRowHeight="15"/>
  <cols>
    <col min="1" max="1" width="11.28515625" customWidth="1"/>
    <col min="5" max="6" width="22.85546875" customWidth="1"/>
    <col min="7" max="7" width="8.42578125" customWidth="1"/>
    <col min="8" max="8" width="20.28515625" customWidth="1"/>
    <col min="9" max="10" width="11.140625" customWidth="1"/>
  </cols>
  <sheetData>
    <row r="1" spans="1:65">
      <c r="L1" t="s">
        <v>1345</v>
      </c>
    </row>
    <row r="2" spans="1:65">
      <c r="A2" s="23" t="s">
        <v>1346</v>
      </c>
      <c r="B2" s="27" t="s">
        <v>355</v>
      </c>
      <c r="C2" s="27" t="s">
        <v>1347</v>
      </c>
      <c r="D2" s="27" t="s">
        <v>1348</v>
      </c>
      <c r="E2" s="27" t="s">
        <v>1349</v>
      </c>
      <c r="F2" s="57"/>
      <c r="I2" s="21" t="s">
        <v>1350</v>
      </c>
      <c r="S2" s="21" t="s">
        <v>1351</v>
      </c>
      <c r="AB2" s="21" t="s">
        <v>1352</v>
      </c>
      <c r="AK2" s="21" t="s">
        <v>1353</v>
      </c>
      <c r="AT2" s="21" t="s">
        <v>1354</v>
      </c>
      <c r="BC2" s="21" t="s">
        <v>161</v>
      </c>
      <c r="BL2" s="21" t="s">
        <v>1355</v>
      </c>
    </row>
    <row r="3" spans="1:65">
      <c r="A3" s="23" t="s">
        <v>150</v>
      </c>
      <c r="B3" s="27" t="s">
        <v>468</v>
      </c>
      <c r="C3" s="27">
        <v>-10</v>
      </c>
      <c r="D3" s="245">
        <v>0.13</v>
      </c>
      <c r="E3" s="27" t="s">
        <v>1356</v>
      </c>
      <c r="F3" s="57"/>
    </row>
    <row r="4" spans="1:65" ht="15.75" thickBot="1">
      <c r="A4" s="25"/>
      <c r="B4" t="s">
        <v>7</v>
      </c>
      <c r="C4">
        <v>-7</v>
      </c>
      <c r="D4" s="16">
        <v>0.3</v>
      </c>
      <c r="E4" t="s">
        <v>1356</v>
      </c>
      <c r="F4" s="40"/>
    </row>
    <row r="5" spans="1:65" ht="15.75" thickBot="1">
      <c r="A5" s="25"/>
      <c r="B5" s="247" t="s">
        <v>11</v>
      </c>
      <c r="C5">
        <v>21</v>
      </c>
      <c r="D5" s="16">
        <v>0.97</v>
      </c>
      <c r="E5" t="s">
        <v>1357</v>
      </c>
      <c r="F5" s="40" t="s">
        <v>1358</v>
      </c>
      <c r="I5" s="160" t="s">
        <v>1359</v>
      </c>
      <c r="J5" s="170"/>
      <c r="S5" t="s">
        <v>7</v>
      </c>
      <c r="AB5" t="s">
        <v>7</v>
      </c>
      <c r="AK5" t="s">
        <v>7</v>
      </c>
      <c r="AT5" t="s">
        <v>7</v>
      </c>
      <c r="BC5" t="s">
        <v>7</v>
      </c>
      <c r="BL5" t="s">
        <v>7</v>
      </c>
    </row>
    <row r="6" spans="1:65" ht="15.75" thickBot="1">
      <c r="A6" s="26"/>
      <c r="B6" s="30" t="s">
        <v>14</v>
      </c>
      <c r="C6" s="30">
        <v>13</v>
      </c>
      <c r="D6" s="246">
        <v>0.18</v>
      </c>
      <c r="E6" s="30" t="s">
        <v>1357</v>
      </c>
      <c r="F6" s="38"/>
      <c r="I6" s="171" t="s">
        <v>1360</v>
      </c>
      <c r="J6" s="172" t="s">
        <v>1361</v>
      </c>
      <c r="S6" s="1" t="s">
        <v>1362</v>
      </c>
      <c r="T6" s="1" t="s">
        <v>1363</v>
      </c>
      <c r="AB6" s="1" t="s">
        <v>1364</v>
      </c>
      <c r="AC6" t="s">
        <v>1365</v>
      </c>
      <c r="AK6" s="1" t="s">
        <v>1366</v>
      </c>
      <c r="AL6" s="1" t="s">
        <v>1367</v>
      </c>
      <c r="AT6" s="1" t="s">
        <v>1368</v>
      </c>
      <c r="AU6" s="1" t="s">
        <v>1369</v>
      </c>
      <c r="BC6" s="1" t="s">
        <v>1370</v>
      </c>
      <c r="BD6" s="1" t="s">
        <v>1371</v>
      </c>
      <c r="BL6" s="1" t="s">
        <v>1372</v>
      </c>
      <c r="BM6" s="1" t="s">
        <v>1373</v>
      </c>
    </row>
    <row r="7" spans="1:65">
      <c r="A7" s="25" t="s">
        <v>151</v>
      </c>
      <c r="B7" t="s">
        <v>468</v>
      </c>
      <c r="C7">
        <v>30</v>
      </c>
      <c r="D7" s="16">
        <v>0.67</v>
      </c>
      <c r="E7" t="s">
        <v>1374</v>
      </c>
      <c r="F7" s="40"/>
      <c r="I7" s="157">
        <v>-26.1</v>
      </c>
      <c r="J7" s="142">
        <v>-106</v>
      </c>
      <c r="S7">
        <v>-22.1</v>
      </c>
      <c r="T7">
        <v>78</v>
      </c>
      <c r="AB7" s="139">
        <v>-21.5</v>
      </c>
      <c r="AC7" s="139">
        <v>80</v>
      </c>
      <c r="AK7" s="139">
        <v>-17.5</v>
      </c>
      <c r="AL7" s="139">
        <v>62</v>
      </c>
      <c r="AT7" s="139">
        <v>-14</v>
      </c>
      <c r="AU7" s="139">
        <v>70</v>
      </c>
      <c r="BC7" s="139">
        <v>-24.7</v>
      </c>
      <c r="BD7" s="139">
        <v>-142</v>
      </c>
      <c r="BL7" s="139">
        <v>-26.3</v>
      </c>
      <c r="BM7" s="139">
        <v>-43</v>
      </c>
    </row>
    <row r="8" spans="1:65">
      <c r="A8" s="25"/>
      <c r="B8" t="s">
        <v>7</v>
      </c>
      <c r="C8" s="3" t="s">
        <v>547</v>
      </c>
      <c r="D8" s="3" t="s">
        <v>547</v>
      </c>
      <c r="E8" t="s">
        <v>547</v>
      </c>
      <c r="F8" s="40"/>
      <c r="I8" s="157">
        <v>-25.8</v>
      </c>
      <c r="J8" s="142">
        <v>-110</v>
      </c>
      <c r="AB8" s="139">
        <v>-23.2</v>
      </c>
      <c r="AC8" s="139">
        <v>-154</v>
      </c>
      <c r="AK8" s="139">
        <v>-24.5</v>
      </c>
      <c r="AL8" s="139">
        <v>-99</v>
      </c>
      <c r="AT8" s="139">
        <v>-21.1</v>
      </c>
      <c r="AU8" s="139">
        <v>-43</v>
      </c>
      <c r="BC8" s="139">
        <v>-24.7</v>
      </c>
      <c r="BD8" s="139">
        <v>-145</v>
      </c>
      <c r="BL8" s="139">
        <v>-26.8</v>
      </c>
      <c r="BM8" s="139">
        <v>-54</v>
      </c>
    </row>
    <row r="9" spans="1:65">
      <c r="A9" s="25"/>
      <c r="B9" t="s">
        <v>11</v>
      </c>
      <c r="C9">
        <v>28</v>
      </c>
      <c r="D9" s="16">
        <v>0.55000000000000004</v>
      </c>
      <c r="E9" t="s">
        <v>1374</v>
      </c>
      <c r="F9" s="40"/>
      <c r="I9" s="157">
        <v>-24.1</v>
      </c>
      <c r="J9" s="142">
        <v>-118</v>
      </c>
      <c r="AB9" s="139">
        <v>-23.4</v>
      </c>
      <c r="AC9" s="139">
        <v>-169</v>
      </c>
      <c r="AK9" s="139">
        <v>-25.1</v>
      </c>
      <c r="AL9" s="139">
        <v>-115</v>
      </c>
      <c r="AT9" s="139">
        <v>-22.1</v>
      </c>
      <c r="AU9" s="139">
        <v>-64</v>
      </c>
      <c r="BC9" s="139">
        <v>-24.9</v>
      </c>
      <c r="BD9" s="139">
        <v>-159</v>
      </c>
      <c r="BL9" s="139">
        <v>-26.7</v>
      </c>
      <c r="BM9" s="139">
        <v>-39</v>
      </c>
    </row>
    <row r="10" spans="1:65">
      <c r="A10" s="25"/>
      <c r="B10" s="247" t="s">
        <v>14</v>
      </c>
      <c r="C10">
        <v>32</v>
      </c>
      <c r="D10" s="16">
        <v>0.91</v>
      </c>
      <c r="E10" t="s">
        <v>1374</v>
      </c>
      <c r="F10" s="40" t="s">
        <v>1375</v>
      </c>
      <c r="I10" s="157">
        <v>-24.1</v>
      </c>
      <c r="J10" s="142">
        <v>-117</v>
      </c>
      <c r="AB10" s="139">
        <v>-24.2</v>
      </c>
      <c r="AC10" s="139">
        <v>-170</v>
      </c>
      <c r="AK10" s="139">
        <v>-22</v>
      </c>
      <c r="AL10" s="139">
        <v>-49</v>
      </c>
      <c r="AT10" s="139">
        <v>-18</v>
      </c>
      <c r="AU10" s="139">
        <v>9</v>
      </c>
      <c r="BC10" s="139">
        <v>-24</v>
      </c>
      <c r="BD10" s="139">
        <v>-140</v>
      </c>
      <c r="BL10" s="139">
        <v>-26.7</v>
      </c>
      <c r="BM10" s="139">
        <v>-42</v>
      </c>
    </row>
    <row r="11" spans="1:65" ht="15.75" thickBot="1">
      <c r="A11" s="23" t="s">
        <v>152</v>
      </c>
      <c r="B11" s="27" t="s">
        <v>468</v>
      </c>
      <c r="C11" s="27">
        <v>63</v>
      </c>
      <c r="D11" s="245">
        <v>0.63</v>
      </c>
      <c r="E11" s="27" t="s">
        <v>1356</v>
      </c>
      <c r="F11" s="57"/>
      <c r="I11" s="162">
        <v>-25.3</v>
      </c>
      <c r="J11" s="163">
        <v>-90</v>
      </c>
      <c r="AB11" s="139">
        <v>-23.7</v>
      </c>
      <c r="AC11" s="139">
        <v>-173</v>
      </c>
      <c r="AK11" s="139">
        <v>-23.1</v>
      </c>
      <c r="AL11" s="139">
        <v>-65</v>
      </c>
      <c r="AT11" s="139">
        <v>-19.399999999999999</v>
      </c>
      <c r="AU11" s="139">
        <v>-22</v>
      </c>
      <c r="BC11" s="139">
        <v>-24.6</v>
      </c>
      <c r="BD11" s="139">
        <v>-136</v>
      </c>
      <c r="BL11" s="139">
        <v>-26.7</v>
      </c>
      <c r="BM11" s="139">
        <v>-34</v>
      </c>
    </row>
    <row r="12" spans="1:65">
      <c r="A12" s="25"/>
      <c r="B12" s="247" t="s">
        <v>7</v>
      </c>
      <c r="C12">
        <v>92</v>
      </c>
      <c r="D12" s="16">
        <v>0.85</v>
      </c>
      <c r="E12" t="s">
        <v>1356</v>
      </c>
      <c r="F12" s="40"/>
      <c r="AB12" s="139">
        <v>-24.2</v>
      </c>
      <c r="AC12" s="139">
        <v>-162</v>
      </c>
      <c r="AK12" s="139">
        <v>-21</v>
      </c>
      <c r="AL12" s="139">
        <v>-58</v>
      </c>
      <c r="AT12" s="139">
        <v>-23.8</v>
      </c>
      <c r="AU12" s="139">
        <v>-97</v>
      </c>
      <c r="BL12" s="139">
        <v>-26.3</v>
      </c>
      <c r="BM12" s="139">
        <v>-28</v>
      </c>
    </row>
    <row r="13" spans="1:65">
      <c r="A13" s="25"/>
      <c r="B13" t="s">
        <v>11</v>
      </c>
      <c r="C13">
        <v>74</v>
      </c>
      <c r="D13" s="16">
        <v>0.53</v>
      </c>
      <c r="E13" t="s">
        <v>1356</v>
      </c>
      <c r="F13" s="40"/>
    </row>
    <row r="14" spans="1:65">
      <c r="A14" s="26"/>
      <c r="B14" s="30" t="s">
        <v>14</v>
      </c>
      <c r="C14" s="30">
        <v>4</v>
      </c>
      <c r="D14" s="246">
        <v>6.7000000000000004E-2</v>
      </c>
      <c r="E14" s="30" t="s">
        <v>1356</v>
      </c>
      <c r="F14" s="38"/>
    </row>
    <row r="15" spans="1:65">
      <c r="A15" s="25" t="s">
        <v>1376</v>
      </c>
      <c r="B15" s="247" t="s">
        <v>468</v>
      </c>
      <c r="C15">
        <v>23</v>
      </c>
      <c r="D15" s="16">
        <v>0.91</v>
      </c>
      <c r="E15" t="s">
        <v>1374</v>
      </c>
      <c r="F15" s="40" t="s">
        <v>1377</v>
      </c>
    </row>
    <row r="16" spans="1:65">
      <c r="A16" s="25"/>
      <c r="B16" s="247" t="s">
        <v>7</v>
      </c>
      <c r="C16">
        <v>22</v>
      </c>
      <c r="D16" s="16">
        <v>0.94</v>
      </c>
      <c r="E16" t="s">
        <v>1374</v>
      </c>
      <c r="F16" s="40" t="s">
        <v>1377</v>
      </c>
    </row>
    <row r="17" spans="1:65">
      <c r="A17" s="25"/>
      <c r="B17" t="s">
        <v>11</v>
      </c>
      <c r="C17">
        <v>11</v>
      </c>
      <c r="D17" s="16">
        <v>0.4</v>
      </c>
      <c r="E17" t="s">
        <v>1356</v>
      </c>
      <c r="F17" s="40"/>
    </row>
    <row r="18" spans="1:65">
      <c r="A18" s="25"/>
      <c r="B18" t="s">
        <v>14</v>
      </c>
      <c r="C18">
        <v>6</v>
      </c>
      <c r="D18" s="16">
        <v>0.28000000000000003</v>
      </c>
      <c r="E18" t="s">
        <v>1356</v>
      </c>
      <c r="F18" s="40"/>
    </row>
    <row r="19" spans="1:65">
      <c r="A19" s="23" t="s">
        <v>1378</v>
      </c>
      <c r="B19" s="248" t="s">
        <v>468</v>
      </c>
      <c r="C19" s="27">
        <v>17</v>
      </c>
      <c r="D19" s="245">
        <v>0.96</v>
      </c>
      <c r="E19" s="27" t="s">
        <v>1374</v>
      </c>
      <c r="F19" s="57" t="s">
        <v>1379</v>
      </c>
    </row>
    <row r="20" spans="1:65">
      <c r="A20" s="25"/>
      <c r="B20" s="247" t="s">
        <v>7</v>
      </c>
      <c r="C20">
        <v>17</v>
      </c>
      <c r="D20" s="16">
        <v>1</v>
      </c>
      <c r="E20" t="s">
        <v>1374</v>
      </c>
      <c r="F20" s="40" t="s">
        <v>1379</v>
      </c>
    </row>
    <row r="21" spans="1:65" ht="15.75" thickBot="1">
      <c r="A21" s="25"/>
      <c r="B21" s="247" t="s">
        <v>11</v>
      </c>
      <c r="C21">
        <v>28</v>
      </c>
      <c r="D21" s="16">
        <v>1</v>
      </c>
      <c r="E21" t="s">
        <v>1374</v>
      </c>
      <c r="F21" s="40" t="s">
        <v>1379</v>
      </c>
    </row>
    <row r="22" spans="1:65" ht="15.75" thickBot="1">
      <c r="A22" s="26"/>
      <c r="B22" s="30" t="s">
        <v>14</v>
      </c>
      <c r="C22" s="30">
        <v>12</v>
      </c>
      <c r="D22" s="246">
        <v>0.64</v>
      </c>
      <c r="E22" s="30" t="s">
        <v>1374</v>
      </c>
      <c r="F22" s="38"/>
      <c r="I22" s="160" t="s">
        <v>1327</v>
      </c>
      <c r="J22" s="170"/>
      <c r="S22" t="s">
        <v>11</v>
      </c>
      <c r="AB22" t="s">
        <v>11</v>
      </c>
      <c r="AK22" t="s">
        <v>11</v>
      </c>
      <c r="AT22" t="s">
        <v>11</v>
      </c>
      <c r="BC22" t="s">
        <v>11</v>
      </c>
      <c r="BL22" t="s">
        <v>11</v>
      </c>
    </row>
    <row r="23" spans="1:65" ht="15.75" thickBot="1">
      <c r="A23" s="25" t="s">
        <v>161</v>
      </c>
      <c r="B23" t="s">
        <v>468</v>
      </c>
      <c r="C23">
        <v>4</v>
      </c>
      <c r="D23" s="16">
        <v>4.2999999999999997E-2</v>
      </c>
      <c r="E23" t="s">
        <v>1356</v>
      </c>
      <c r="F23" s="40"/>
      <c r="I23" s="171" t="s">
        <v>1360</v>
      </c>
      <c r="J23" s="172" t="s">
        <v>1361</v>
      </c>
      <c r="S23" s="1" t="s">
        <v>1362</v>
      </c>
      <c r="T23" s="1" t="s">
        <v>1363</v>
      </c>
      <c r="AB23" s="1" t="s">
        <v>1364</v>
      </c>
      <c r="AC23" t="s">
        <v>1365</v>
      </c>
      <c r="AK23" s="1" t="s">
        <v>1366</v>
      </c>
      <c r="AL23" s="1" t="s">
        <v>1367</v>
      </c>
      <c r="AT23" s="1" t="s">
        <v>1368</v>
      </c>
      <c r="AU23" s="1" t="s">
        <v>1369</v>
      </c>
      <c r="BC23" s="1" t="s">
        <v>1370</v>
      </c>
      <c r="BD23" s="1" t="s">
        <v>1371</v>
      </c>
      <c r="BL23" s="1" t="s">
        <v>1372</v>
      </c>
      <c r="BM23" s="1" t="s">
        <v>1373</v>
      </c>
    </row>
    <row r="24" spans="1:65">
      <c r="A24" s="25"/>
      <c r="B24" t="s">
        <v>7</v>
      </c>
      <c r="C24">
        <v>15</v>
      </c>
      <c r="D24" s="16">
        <v>0.32</v>
      </c>
      <c r="E24" t="s">
        <v>1356</v>
      </c>
      <c r="F24" s="40"/>
      <c r="I24" s="160">
        <v>-26.5</v>
      </c>
      <c r="J24" s="161">
        <v>-77</v>
      </c>
      <c r="S24" s="139">
        <v>-23.8</v>
      </c>
      <c r="T24" s="139">
        <v>38</v>
      </c>
      <c r="AB24" s="139">
        <v>-24.1</v>
      </c>
      <c r="AC24" s="139">
        <v>-179</v>
      </c>
      <c r="AK24" s="139">
        <v>-26.2</v>
      </c>
      <c r="AL24" s="139">
        <v>-165</v>
      </c>
      <c r="AT24" s="139">
        <v>-25.7</v>
      </c>
      <c r="AU24" s="139">
        <v>-138</v>
      </c>
      <c r="BC24" s="139">
        <v>-27.6</v>
      </c>
      <c r="BD24" s="139">
        <v>-132</v>
      </c>
      <c r="BL24" s="139">
        <v>-27</v>
      </c>
      <c r="BM24" s="139">
        <v>-55</v>
      </c>
    </row>
    <row r="25" spans="1:65">
      <c r="A25" s="25"/>
      <c r="B25" s="247" t="s">
        <v>11</v>
      </c>
      <c r="C25">
        <v>13</v>
      </c>
      <c r="D25" s="16">
        <v>0.82</v>
      </c>
      <c r="E25" t="s">
        <v>1356</v>
      </c>
      <c r="F25" s="40"/>
      <c r="I25" s="157">
        <v>-26.2</v>
      </c>
      <c r="J25" s="142">
        <v>-75</v>
      </c>
      <c r="T25" s="139"/>
      <c r="AB25" s="139">
        <v>-22.8</v>
      </c>
      <c r="AC25" s="139">
        <v>-161</v>
      </c>
      <c r="AK25" s="139">
        <v>-23.7</v>
      </c>
      <c r="AL25" s="139">
        <v>-136</v>
      </c>
      <c r="AT25" s="139">
        <v>-25.1</v>
      </c>
      <c r="AU25" s="139">
        <v>-126</v>
      </c>
      <c r="BC25" s="139">
        <v>-26.9</v>
      </c>
      <c r="BD25" s="139">
        <v>-150</v>
      </c>
      <c r="BL25" s="139">
        <v>-26.8</v>
      </c>
      <c r="BM25" s="139">
        <v>-60</v>
      </c>
    </row>
    <row r="26" spans="1:65">
      <c r="A26" s="25"/>
      <c r="B26" t="s">
        <v>14</v>
      </c>
      <c r="C26">
        <v>-12</v>
      </c>
      <c r="D26" s="16">
        <v>0.13</v>
      </c>
      <c r="E26" t="s">
        <v>1356</v>
      </c>
      <c r="F26" s="40"/>
      <c r="I26" s="157">
        <v>-25.2</v>
      </c>
      <c r="J26" s="142">
        <v>-51</v>
      </c>
      <c r="T26" s="139"/>
      <c r="AB26" s="139">
        <v>-24.1</v>
      </c>
      <c r="AC26" s="139">
        <v>-164</v>
      </c>
      <c r="AK26" s="139">
        <v>-25</v>
      </c>
      <c r="AL26" s="139">
        <v>-121</v>
      </c>
      <c r="AT26" s="139">
        <v>-21.1</v>
      </c>
      <c r="AU26" s="139">
        <v>-11</v>
      </c>
      <c r="BC26" s="139">
        <v>-25.6</v>
      </c>
      <c r="BD26" s="139">
        <v>-106</v>
      </c>
      <c r="BL26" s="139">
        <v>-27.2</v>
      </c>
      <c r="BM26" s="139">
        <v>-27</v>
      </c>
    </row>
    <row r="27" spans="1:65" ht="15.75" thickBot="1">
      <c r="A27" s="23" t="s">
        <v>163</v>
      </c>
      <c r="B27" s="27" t="s">
        <v>468</v>
      </c>
      <c r="C27" s="27">
        <v>11</v>
      </c>
      <c r="D27" s="245">
        <v>5.6000000000000001E-2</v>
      </c>
      <c r="E27" s="27" t="s">
        <v>1356</v>
      </c>
      <c r="F27" s="57"/>
      <c r="I27" s="162">
        <v>-25.7</v>
      </c>
      <c r="J27" s="163">
        <v>-61</v>
      </c>
      <c r="S27" s="139"/>
      <c r="T27" s="139"/>
      <c r="AB27" s="139">
        <v>-22.5</v>
      </c>
      <c r="AC27" s="139">
        <v>2</v>
      </c>
      <c r="BC27" s="139">
        <v>-23</v>
      </c>
      <c r="BD27" s="139">
        <v>-81</v>
      </c>
      <c r="BL27" s="139">
        <v>-26.9</v>
      </c>
      <c r="BM27" s="139">
        <v>-60</v>
      </c>
    </row>
    <row r="28" spans="1:65">
      <c r="A28" s="25"/>
      <c r="B28" t="s">
        <v>7</v>
      </c>
      <c r="C28">
        <v>20</v>
      </c>
      <c r="D28" s="16">
        <v>0.26</v>
      </c>
      <c r="E28" t="s">
        <v>1356</v>
      </c>
      <c r="F28" s="40"/>
      <c r="I28" s="139" t="s">
        <v>1380</v>
      </c>
      <c r="J28" s="139"/>
      <c r="S28" s="139"/>
      <c r="T28" s="139"/>
    </row>
    <row r="29" spans="1:65">
      <c r="A29" s="25"/>
      <c r="B29" s="247" t="s">
        <v>11</v>
      </c>
      <c r="C29">
        <v>-86</v>
      </c>
      <c r="D29" s="16">
        <v>0.87</v>
      </c>
      <c r="E29" t="s">
        <v>1356</v>
      </c>
      <c r="F29" s="40"/>
      <c r="I29" s="139"/>
      <c r="J29" s="139"/>
      <c r="S29" s="139"/>
      <c r="T29" s="139"/>
    </row>
    <row r="30" spans="1:65">
      <c r="A30" s="26"/>
      <c r="B30" s="30" t="s">
        <v>14</v>
      </c>
      <c r="C30" s="30">
        <v>3</v>
      </c>
      <c r="D30" s="246">
        <v>1.4999999999999999E-2</v>
      </c>
      <c r="E30" s="30" t="s">
        <v>1356</v>
      </c>
      <c r="F30" s="38"/>
      <c r="I30" s="139"/>
      <c r="J30" s="139"/>
      <c r="S30" s="139"/>
      <c r="T30" s="139"/>
    </row>
    <row r="31" spans="1:65">
      <c r="E31" t="s">
        <v>1381</v>
      </c>
      <c r="I31" s="139"/>
      <c r="J31" s="139"/>
    </row>
    <row r="32" spans="1:65">
      <c r="I32" s="139"/>
      <c r="J32" s="139"/>
    </row>
    <row r="33" spans="5:65">
      <c r="I33" s="139"/>
      <c r="J33" s="139"/>
    </row>
    <row r="35" spans="5:65" ht="15.75" thickBot="1"/>
    <row r="36" spans="5:65" ht="16.5" thickBot="1">
      <c r="E36" s="215"/>
      <c r="F36" s="215"/>
      <c r="I36" s="160" t="s">
        <v>511</v>
      </c>
      <c r="J36" s="161"/>
      <c r="S36" t="s">
        <v>14</v>
      </c>
      <c r="AB36" t="s">
        <v>14</v>
      </c>
      <c r="AK36" t="s">
        <v>14</v>
      </c>
      <c r="AT36" t="s">
        <v>14</v>
      </c>
      <c r="BC36" t="s">
        <v>14</v>
      </c>
      <c r="BL36" t="s">
        <v>14</v>
      </c>
    </row>
    <row r="37" spans="5:65" ht="16.5" thickBot="1">
      <c r="E37" s="194"/>
      <c r="F37" s="194"/>
      <c r="I37" s="171" t="s">
        <v>1360</v>
      </c>
      <c r="J37" s="172" t="s">
        <v>1361</v>
      </c>
      <c r="S37" s="1" t="s">
        <v>1362</v>
      </c>
      <c r="T37" s="1" t="s">
        <v>1363</v>
      </c>
      <c r="AB37" s="1" t="s">
        <v>1364</v>
      </c>
      <c r="AC37" t="s">
        <v>1365</v>
      </c>
      <c r="AK37" s="1" t="s">
        <v>1366</v>
      </c>
      <c r="AL37" s="1" t="s">
        <v>1367</v>
      </c>
      <c r="AT37" s="1" t="s">
        <v>1368</v>
      </c>
      <c r="AU37" s="1" t="s">
        <v>1369</v>
      </c>
      <c r="BC37" s="1" t="s">
        <v>1370</v>
      </c>
      <c r="BD37" s="1" t="s">
        <v>1371</v>
      </c>
      <c r="BL37" s="1" t="s">
        <v>1372</v>
      </c>
      <c r="BM37" s="1" t="s">
        <v>1373</v>
      </c>
    </row>
    <row r="38" spans="5:65" ht="15.75">
      <c r="E38" s="194"/>
      <c r="F38" s="194"/>
      <c r="I38" s="157">
        <v>-26.7</v>
      </c>
      <c r="J38" s="142">
        <v>-99</v>
      </c>
      <c r="S38">
        <v>-18.8</v>
      </c>
      <c r="T38">
        <v>170</v>
      </c>
      <c r="AB38" s="139">
        <v>-25.2</v>
      </c>
      <c r="AC38" s="139">
        <v>-165</v>
      </c>
      <c r="AK38">
        <v>-26.2</v>
      </c>
      <c r="AL38">
        <v>-131</v>
      </c>
      <c r="AT38">
        <v>-25.6</v>
      </c>
      <c r="AU38">
        <v>-108</v>
      </c>
      <c r="BC38">
        <v>-23.8</v>
      </c>
      <c r="BD38">
        <v>-153</v>
      </c>
      <c r="BL38">
        <v>-27</v>
      </c>
      <c r="BM38">
        <v>-52</v>
      </c>
    </row>
    <row r="39" spans="5:65" ht="15.75">
      <c r="E39" s="194"/>
      <c r="F39" s="194"/>
      <c r="I39" s="157">
        <v>-25.8</v>
      </c>
      <c r="J39" s="142">
        <v>-67</v>
      </c>
      <c r="S39">
        <v>-21.6</v>
      </c>
      <c r="T39">
        <v>139</v>
      </c>
      <c r="AB39" s="139">
        <v>-24.2</v>
      </c>
      <c r="AC39" s="139">
        <v>-167</v>
      </c>
      <c r="AK39">
        <v>-24.7</v>
      </c>
      <c r="AL39">
        <v>-122</v>
      </c>
      <c r="AT39">
        <v>-24.6</v>
      </c>
      <c r="AU39">
        <v>-101</v>
      </c>
      <c r="BC39">
        <v>-24.8</v>
      </c>
      <c r="BD39">
        <v>-155</v>
      </c>
      <c r="BL39">
        <v>-26.6</v>
      </c>
      <c r="BM39">
        <v>-49</v>
      </c>
    </row>
    <row r="40" spans="5:65" ht="15.75">
      <c r="E40" s="195"/>
      <c r="F40" s="195"/>
      <c r="I40" s="157">
        <v>-26</v>
      </c>
      <c r="J40" s="142">
        <v>-93</v>
      </c>
      <c r="S40">
        <v>-25.3</v>
      </c>
      <c r="T40">
        <v>-46</v>
      </c>
      <c r="AB40" s="139">
        <v>-24.3</v>
      </c>
      <c r="AC40" s="139">
        <v>-155</v>
      </c>
      <c r="AK40">
        <v>-25.7</v>
      </c>
      <c r="AL40">
        <v>-134</v>
      </c>
      <c r="AT40">
        <v>-24.6</v>
      </c>
      <c r="AU40">
        <v>-96</v>
      </c>
      <c r="BC40">
        <v>-25.2</v>
      </c>
      <c r="BD40">
        <v>-147</v>
      </c>
      <c r="BL40">
        <v>-26.7</v>
      </c>
      <c r="BM40">
        <v>-55</v>
      </c>
    </row>
    <row r="41" spans="5:65">
      <c r="I41" s="157">
        <v>-26</v>
      </c>
      <c r="J41" s="142">
        <v>-72</v>
      </c>
      <c r="S41">
        <v>-24.9</v>
      </c>
      <c r="T41">
        <v>13</v>
      </c>
      <c r="AB41" s="139">
        <v>-24.4</v>
      </c>
      <c r="AC41" s="139">
        <v>-155</v>
      </c>
      <c r="AK41">
        <v>-25.5</v>
      </c>
      <c r="AL41">
        <v>-127</v>
      </c>
      <c r="AT41">
        <v>-24.7</v>
      </c>
      <c r="AU41">
        <v>-100</v>
      </c>
      <c r="BC41">
        <v>-25.2</v>
      </c>
      <c r="BD41">
        <v>-109</v>
      </c>
      <c r="BL41">
        <v>-26.8</v>
      </c>
      <c r="BM41">
        <v>-47</v>
      </c>
    </row>
    <row r="42" spans="5:65" ht="15.75" thickBot="1">
      <c r="I42" s="162">
        <v>-25.5</v>
      </c>
      <c r="J42" s="163">
        <v>-91</v>
      </c>
      <c r="AB42" s="139">
        <v>-24.3</v>
      </c>
      <c r="AC42" s="139">
        <v>-163</v>
      </c>
      <c r="AK42">
        <v>-25.4</v>
      </c>
      <c r="AL42">
        <v>-138</v>
      </c>
      <c r="AT42">
        <v>-25.2</v>
      </c>
      <c r="AU42">
        <v>-113</v>
      </c>
      <c r="BC42">
        <v>-25.1</v>
      </c>
      <c r="BD42">
        <v>-159</v>
      </c>
      <c r="BL42">
        <v>-26.8</v>
      </c>
      <c r="BM42">
        <v>-56</v>
      </c>
    </row>
    <row r="43" spans="5:65">
      <c r="I43" s="139"/>
      <c r="J43" s="139"/>
    </row>
    <row r="44" spans="5:65">
      <c r="I44" s="139"/>
      <c r="J44" s="139"/>
    </row>
    <row r="45" spans="5:65">
      <c r="I45" s="139"/>
      <c r="J45" s="139"/>
    </row>
    <row r="46" spans="5:65">
      <c r="I46" s="139"/>
      <c r="J46" s="139"/>
    </row>
    <row r="47" spans="5:65" ht="15.75" thickBot="1">
      <c r="I47" s="139" t="s">
        <v>1382</v>
      </c>
      <c r="J47" s="139"/>
      <c r="AB47" t="s">
        <v>468</v>
      </c>
      <c r="AK47" t="s">
        <v>468</v>
      </c>
      <c r="AT47" t="s">
        <v>468</v>
      </c>
      <c r="BC47" t="s">
        <v>468</v>
      </c>
      <c r="BL47" t="s">
        <v>468</v>
      </c>
    </row>
    <row r="48" spans="5:65" ht="15.75" thickBot="1">
      <c r="I48" s="171" t="s">
        <v>1360</v>
      </c>
      <c r="J48" s="172" t="s">
        <v>1361</v>
      </c>
      <c r="S48" s="1"/>
      <c r="T48" s="1"/>
      <c r="AB48" s="1" t="s">
        <v>1364</v>
      </c>
      <c r="AC48" t="s">
        <v>1365</v>
      </c>
      <c r="AK48" s="1" t="s">
        <v>1366</v>
      </c>
      <c r="AL48" s="1" t="s">
        <v>1367</v>
      </c>
      <c r="AT48" s="1" t="s">
        <v>1368</v>
      </c>
      <c r="AU48" s="1" t="s">
        <v>1369</v>
      </c>
      <c r="BC48" s="1" t="s">
        <v>1370</v>
      </c>
      <c r="BD48" s="1" t="s">
        <v>1371</v>
      </c>
      <c r="BL48" s="1" t="s">
        <v>1372</v>
      </c>
      <c r="BM48" s="1" t="s">
        <v>1373</v>
      </c>
    </row>
    <row r="49" spans="9:65">
      <c r="I49" s="157">
        <v>-26.1</v>
      </c>
      <c r="J49" s="142">
        <v>-106</v>
      </c>
      <c r="AB49" s="139">
        <v>-21.5</v>
      </c>
      <c r="AC49" s="139">
        <v>80</v>
      </c>
      <c r="AK49" s="139">
        <v>-17.5</v>
      </c>
      <c r="AL49" s="139">
        <v>62</v>
      </c>
      <c r="AT49" s="139">
        <v>-14</v>
      </c>
      <c r="AU49" s="139">
        <v>70</v>
      </c>
      <c r="BC49" s="139">
        <v>-24.7</v>
      </c>
      <c r="BD49" s="139">
        <v>-142</v>
      </c>
      <c r="BL49" s="139">
        <v>-26.3</v>
      </c>
      <c r="BM49" s="139">
        <v>-43</v>
      </c>
    </row>
    <row r="50" spans="9:65">
      <c r="I50" s="157">
        <v>-25.8</v>
      </c>
      <c r="J50" s="142">
        <v>-110</v>
      </c>
      <c r="S50" s="139"/>
      <c r="T50" s="139"/>
      <c r="AB50" s="139">
        <v>-23.2</v>
      </c>
      <c r="AC50" s="139">
        <v>-154</v>
      </c>
      <c r="AK50" s="139">
        <v>-24.5</v>
      </c>
      <c r="AL50" s="139">
        <v>-99</v>
      </c>
      <c r="AT50" s="139">
        <v>-21.1</v>
      </c>
      <c r="AU50" s="139">
        <v>-43</v>
      </c>
      <c r="BC50" s="139">
        <v>-24.7</v>
      </c>
      <c r="BD50" s="139">
        <v>-145</v>
      </c>
      <c r="BL50" s="139">
        <v>-26.8</v>
      </c>
      <c r="BM50" s="139">
        <v>-54</v>
      </c>
    </row>
    <row r="51" spans="9:65">
      <c r="I51" s="157">
        <v>-24.1</v>
      </c>
      <c r="J51" s="142">
        <v>-118</v>
      </c>
      <c r="S51" s="139"/>
      <c r="T51" s="139"/>
      <c r="AB51" s="139">
        <v>-23.4</v>
      </c>
      <c r="AC51" s="139">
        <v>-169</v>
      </c>
      <c r="AK51" s="139">
        <v>-25.1</v>
      </c>
      <c r="AL51" s="139">
        <v>-115</v>
      </c>
      <c r="AT51" s="139">
        <v>-22.1</v>
      </c>
      <c r="AU51" s="139">
        <v>-64</v>
      </c>
      <c r="BC51" s="139">
        <v>-24.9</v>
      </c>
      <c r="BD51" s="139">
        <v>-159</v>
      </c>
      <c r="BL51" s="139">
        <v>-26.7</v>
      </c>
      <c r="BM51" s="139">
        <v>-39</v>
      </c>
    </row>
    <row r="52" spans="9:65">
      <c r="I52" s="157">
        <v>-24.1</v>
      </c>
      <c r="J52" s="142">
        <v>-117</v>
      </c>
      <c r="S52" s="139"/>
      <c r="T52" s="139"/>
      <c r="AB52" s="139">
        <v>-24.2</v>
      </c>
      <c r="AC52" s="139">
        <v>-170</v>
      </c>
      <c r="AK52" s="139">
        <v>-22</v>
      </c>
      <c r="AL52" s="139">
        <v>-49</v>
      </c>
      <c r="AT52" s="139">
        <v>-18</v>
      </c>
      <c r="AU52" s="139">
        <v>9</v>
      </c>
      <c r="BC52" s="139">
        <v>-24</v>
      </c>
      <c r="BD52" s="139">
        <v>-140</v>
      </c>
      <c r="BL52" s="139">
        <v>-26.7</v>
      </c>
      <c r="BM52" s="139">
        <v>-42</v>
      </c>
    </row>
    <row r="53" spans="9:65">
      <c r="I53" s="157">
        <v>-25.3</v>
      </c>
      <c r="J53" s="142">
        <v>-90</v>
      </c>
      <c r="S53" s="139"/>
      <c r="T53" s="139"/>
      <c r="AB53" s="139">
        <v>-23.7</v>
      </c>
      <c r="AC53" s="139">
        <v>-173</v>
      </c>
      <c r="AK53" s="139">
        <v>-23.1</v>
      </c>
      <c r="AL53" s="139">
        <v>-65</v>
      </c>
      <c r="AT53" s="139">
        <v>-19.399999999999999</v>
      </c>
      <c r="AU53" s="139">
        <v>-22</v>
      </c>
      <c r="BC53" s="139">
        <v>-24.6</v>
      </c>
      <c r="BD53" s="139">
        <v>-136</v>
      </c>
      <c r="BL53" s="139">
        <v>-26.7</v>
      </c>
      <c r="BM53" s="139">
        <v>-34</v>
      </c>
    </row>
    <row r="54" spans="9:65">
      <c r="I54" s="157">
        <v>-26.5</v>
      </c>
      <c r="J54" s="142">
        <v>-77</v>
      </c>
      <c r="S54" s="139"/>
      <c r="T54" s="139"/>
      <c r="AB54" s="139">
        <v>-24.2</v>
      </c>
      <c r="AC54" s="139">
        <v>-162</v>
      </c>
      <c r="AK54" s="139">
        <v>-21</v>
      </c>
      <c r="AL54" s="139">
        <v>-58</v>
      </c>
      <c r="AT54" s="139">
        <v>-23.8</v>
      </c>
      <c r="AU54" s="139">
        <v>-97</v>
      </c>
      <c r="BC54" s="139">
        <v>-27.6</v>
      </c>
      <c r="BD54" s="139">
        <v>-132</v>
      </c>
      <c r="BL54" s="139">
        <v>-26.3</v>
      </c>
      <c r="BM54" s="139">
        <v>-28</v>
      </c>
    </row>
    <row r="55" spans="9:65">
      <c r="I55" s="157">
        <v>-26.2</v>
      </c>
      <c r="J55" s="142">
        <v>-75</v>
      </c>
      <c r="S55" s="139"/>
      <c r="T55" s="139"/>
      <c r="AB55" s="139">
        <v>-24.1</v>
      </c>
      <c r="AC55" s="139">
        <v>-179</v>
      </c>
      <c r="AK55" s="139">
        <v>-26.2</v>
      </c>
      <c r="AL55" s="139">
        <v>-165</v>
      </c>
      <c r="AT55" s="139">
        <v>-25.7</v>
      </c>
      <c r="AU55" s="139">
        <v>-138</v>
      </c>
      <c r="BC55" s="139">
        <v>-26.9</v>
      </c>
      <c r="BD55" s="139">
        <v>-150</v>
      </c>
      <c r="BL55" s="139">
        <v>-27</v>
      </c>
      <c r="BM55" s="139">
        <v>-55</v>
      </c>
    </row>
    <row r="56" spans="9:65">
      <c r="I56" s="157">
        <v>-25.2</v>
      </c>
      <c r="J56" s="142">
        <v>-51</v>
      </c>
      <c r="S56" s="139"/>
      <c r="T56" s="139"/>
      <c r="AB56" s="139">
        <v>-22.8</v>
      </c>
      <c r="AC56" s="139">
        <v>-161</v>
      </c>
      <c r="AK56" s="139">
        <v>-23.7</v>
      </c>
      <c r="AL56" s="139">
        <v>-136</v>
      </c>
      <c r="AT56" s="139">
        <v>-25.1</v>
      </c>
      <c r="AU56" s="139">
        <v>-126</v>
      </c>
      <c r="BC56" s="139">
        <v>-25.6</v>
      </c>
      <c r="BD56" s="139">
        <v>-106</v>
      </c>
      <c r="BL56" s="139">
        <v>-26.8</v>
      </c>
      <c r="BM56" s="139">
        <v>-60</v>
      </c>
    </row>
    <row r="57" spans="9:65">
      <c r="I57" s="157">
        <v>-25.7</v>
      </c>
      <c r="J57" s="142">
        <v>-61</v>
      </c>
      <c r="S57" s="139"/>
      <c r="T57" s="139"/>
      <c r="AB57" s="139">
        <v>-24.1</v>
      </c>
      <c r="AC57" s="139">
        <v>-164</v>
      </c>
      <c r="AK57" s="139">
        <v>-25</v>
      </c>
      <c r="AL57" s="139">
        <v>-121</v>
      </c>
      <c r="AT57" s="139">
        <v>-21.1</v>
      </c>
      <c r="AU57" s="139">
        <v>-11</v>
      </c>
      <c r="BC57" s="139">
        <v>-23</v>
      </c>
      <c r="BD57" s="139">
        <v>-81</v>
      </c>
      <c r="BL57" s="139">
        <v>-27.2</v>
      </c>
      <c r="BM57" s="139">
        <v>-27</v>
      </c>
    </row>
    <row r="58" spans="9:65">
      <c r="I58" s="157">
        <v>-26.7</v>
      </c>
      <c r="J58" s="142">
        <v>-99</v>
      </c>
      <c r="S58" s="139"/>
      <c r="T58" s="139"/>
      <c r="AB58" s="139">
        <v>-22.5</v>
      </c>
      <c r="AC58" s="139">
        <v>2</v>
      </c>
      <c r="AK58">
        <v>-26.2</v>
      </c>
      <c r="AL58">
        <v>-131</v>
      </c>
      <c r="AT58">
        <v>-25.6</v>
      </c>
      <c r="AU58">
        <v>-108</v>
      </c>
      <c r="BC58">
        <v>-23.8</v>
      </c>
      <c r="BD58">
        <v>-153</v>
      </c>
      <c r="BL58" s="139">
        <v>-26.9</v>
      </c>
      <c r="BM58" s="139">
        <v>-60</v>
      </c>
    </row>
    <row r="59" spans="9:65">
      <c r="I59" s="157">
        <v>-25.8</v>
      </c>
      <c r="J59" s="142">
        <v>-67</v>
      </c>
      <c r="S59" s="139"/>
      <c r="T59" s="139"/>
      <c r="AB59" s="139">
        <v>-25.2</v>
      </c>
      <c r="AC59" s="139">
        <v>-165</v>
      </c>
      <c r="AK59">
        <v>-24.7</v>
      </c>
      <c r="AL59">
        <v>-122</v>
      </c>
      <c r="AT59">
        <v>-24.6</v>
      </c>
      <c r="AU59">
        <v>-101</v>
      </c>
      <c r="BC59">
        <v>-24.8</v>
      </c>
      <c r="BD59">
        <v>-155</v>
      </c>
      <c r="BL59">
        <v>-27</v>
      </c>
      <c r="BM59">
        <v>-52</v>
      </c>
    </row>
    <row r="60" spans="9:65">
      <c r="I60" s="157">
        <v>-26</v>
      </c>
      <c r="J60" s="142">
        <v>-93</v>
      </c>
      <c r="S60" s="139"/>
      <c r="T60" s="139"/>
      <c r="AB60" s="139">
        <v>-24.2</v>
      </c>
      <c r="AC60" s="139">
        <v>-167</v>
      </c>
      <c r="AK60">
        <v>-25.7</v>
      </c>
      <c r="AL60">
        <v>-134</v>
      </c>
      <c r="AT60">
        <v>-24.6</v>
      </c>
      <c r="AU60">
        <v>-96</v>
      </c>
      <c r="BC60">
        <v>-25.2</v>
      </c>
      <c r="BD60">
        <v>-147</v>
      </c>
      <c r="BL60">
        <v>-26.6</v>
      </c>
      <c r="BM60">
        <v>-49</v>
      </c>
    </row>
    <row r="61" spans="9:65">
      <c r="I61" s="157">
        <v>-26</v>
      </c>
      <c r="J61" s="142">
        <v>-72</v>
      </c>
      <c r="AB61" s="139">
        <v>-24.3</v>
      </c>
      <c r="AC61" s="139">
        <v>-155</v>
      </c>
      <c r="AK61">
        <v>-25.5</v>
      </c>
      <c r="AL61">
        <v>-127</v>
      </c>
      <c r="AT61">
        <v>-24.7</v>
      </c>
      <c r="AU61">
        <v>-100</v>
      </c>
      <c r="BC61">
        <v>-25.2</v>
      </c>
      <c r="BD61">
        <v>-109</v>
      </c>
      <c r="BL61">
        <v>-26.7</v>
      </c>
      <c r="BM61">
        <v>-55</v>
      </c>
    </row>
    <row r="62" spans="9:65" ht="15.75" thickBot="1">
      <c r="I62" s="162">
        <v>-25.5</v>
      </c>
      <c r="J62" s="163">
        <v>-91</v>
      </c>
      <c r="AB62" s="139">
        <v>-24.4</v>
      </c>
      <c r="AC62" s="139">
        <v>-155</v>
      </c>
      <c r="AK62">
        <v>-25.4</v>
      </c>
      <c r="AL62">
        <v>-138</v>
      </c>
      <c r="AT62">
        <v>-25.2</v>
      </c>
      <c r="AU62">
        <v>-113</v>
      </c>
      <c r="BC62">
        <v>-25.1</v>
      </c>
      <c r="BD62">
        <v>-159</v>
      </c>
      <c r="BL62">
        <v>-26.8</v>
      </c>
      <c r="BM62">
        <v>-47</v>
      </c>
    </row>
    <row r="63" spans="9:65">
      <c r="I63" s="157"/>
      <c r="J63" s="142"/>
      <c r="AB63" s="139">
        <v>-24.3</v>
      </c>
      <c r="AC63" s="139">
        <v>-163</v>
      </c>
      <c r="BL63">
        <v>-26.8</v>
      </c>
      <c r="BM63">
        <v>-56</v>
      </c>
    </row>
    <row r="64" spans="9:65" ht="15.75" thickBot="1">
      <c r="I64" s="162"/>
      <c r="J64" s="163"/>
    </row>
    <row r="65" spans="9:33">
      <c r="I65" s="160"/>
      <c r="J65" s="161"/>
    </row>
    <row r="66" spans="9:33">
      <c r="I66" s="157"/>
      <c r="J66" s="142"/>
    </row>
    <row r="67" spans="9:33" ht="15.75">
      <c r="I67" s="157"/>
      <c r="J67" s="142"/>
      <c r="Z67" s="216"/>
      <c r="AA67" s="216"/>
      <c r="AC67" s="216"/>
      <c r="AD67" s="197"/>
      <c r="AE67" s="197"/>
      <c r="AF67" s="197"/>
      <c r="AG67" s="198"/>
    </row>
    <row r="68" spans="9:33" ht="16.5" thickBot="1">
      <c r="I68" s="162"/>
      <c r="J68" s="163"/>
      <c r="Z68" s="197"/>
      <c r="AA68" s="197"/>
      <c r="AC68" s="216"/>
      <c r="AD68" s="197"/>
      <c r="AE68" s="197"/>
      <c r="AF68" s="197"/>
      <c r="AG68" s="198"/>
    </row>
    <row r="69" spans="9:33" ht="15.75">
      <c r="I69" s="157"/>
      <c r="J69" s="142"/>
      <c r="Z69" s="197"/>
      <c r="AA69" s="197"/>
    </row>
    <row r="70" spans="9:33" ht="15.75">
      <c r="I70" s="157"/>
      <c r="J70" s="142"/>
      <c r="Z70" s="197"/>
      <c r="AA70" s="197"/>
    </row>
    <row r="71" spans="9:33" ht="15.75">
      <c r="I71" s="157"/>
      <c r="J71" s="142"/>
      <c r="Z71" s="198"/>
      <c r="AA71" s="198"/>
    </row>
    <row r="72" spans="9:33">
      <c r="I72" s="157"/>
      <c r="J72" s="142"/>
    </row>
    <row r="73" spans="9:33" ht="15.75" thickBot="1">
      <c r="I73" s="162"/>
      <c r="J73" s="163"/>
    </row>
    <row r="74" spans="9:33">
      <c r="W74" s="475" t="s">
        <v>1383</v>
      </c>
    </row>
  </sheetData>
  <phoneticPr fontId="13" type="noConversion"/>
  <conditionalFormatting sqref="D3:D7 D9:D30">
    <cfRule type="cellIs" dxfId="194" priority="13" operator="greaterThan">
      <formula>0.8</formula>
    </cfRule>
  </conditionalFormatting>
  <conditionalFormatting sqref="E36:E40">
    <cfRule type="top10" dxfId="193" priority="11" bottom="1" rank="1"/>
    <cfRule type="top10" dxfId="192" priority="12" rank="1"/>
  </conditionalFormatting>
  <conditionalFormatting sqref="F36:F40">
    <cfRule type="top10" dxfId="191" priority="9" bottom="1" rank="1"/>
    <cfRule type="top10" dxfId="190" priority="10" rank="1"/>
  </conditionalFormatting>
  <conditionalFormatting sqref="AC67:AG67">
    <cfRule type="top10" dxfId="189" priority="7" bottom="1" rank="1"/>
    <cfRule type="top10" dxfId="188" priority="8" rank="1"/>
  </conditionalFormatting>
  <conditionalFormatting sqref="AC68:AG68">
    <cfRule type="top10" dxfId="187" priority="5" bottom="1" rank="1"/>
    <cfRule type="top10" dxfId="186" priority="6" rank="1"/>
  </conditionalFormatting>
  <conditionalFormatting sqref="AA67:AA71">
    <cfRule type="top10" dxfId="185" priority="3" bottom="1" rank="1"/>
    <cfRule type="top10" dxfId="184" priority="4" rank="1"/>
  </conditionalFormatting>
  <conditionalFormatting sqref="Z67:Z71">
    <cfRule type="top10" dxfId="183" priority="1" bottom="1" rank="1"/>
    <cfRule type="top10" dxfId="182" priority="2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40E1-05EE-4D1C-B558-43F841078F73}">
  <sheetPr>
    <tabColor theme="5"/>
  </sheetPr>
  <dimension ref="A1:AE40"/>
  <sheetViews>
    <sheetView zoomScale="80" zoomScaleNormal="80" workbookViewId="0">
      <selection activeCell="I3" sqref="I3:I25"/>
    </sheetView>
  </sheetViews>
  <sheetFormatPr defaultRowHeight="15"/>
  <cols>
    <col min="1" max="1" width="9.5703125" customWidth="1"/>
    <col min="2" max="2" width="11.42578125" customWidth="1"/>
    <col min="3" max="3" width="19.42578125" customWidth="1"/>
    <col min="4" max="4" width="16.28515625" customWidth="1"/>
    <col min="5" max="5" width="12.28515625" customWidth="1"/>
    <col min="6" max="6" width="10.42578125" customWidth="1"/>
    <col min="7" max="8" width="8.85546875"/>
    <col min="10" max="10" width="7.85546875" customWidth="1"/>
    <col min="11" max="12" width="11.7109375" customWidth="1"/>
    <col min="13" max="13" width="13.42578125" customWidth="1"/>
    <col min="14" max="14" width="13" customWidth="1"/>
    <col min="15" max="18" width="11.7109375" customWidth="1"/>
    <col min="36" max="36" width="14.7109375" customWidth="1"/>
    <col min="37" max="37" width="14.140625" customWidth="1"/>
    <col min="38" max="39" width="13.28515625" customWidth="1"/>
  </cols>
  <sheetData>
    <row r="1" spans="1:31" ht="15.75" thickBot="1">
      <c r="K1" t="s">
        <v>113</v>
      </c>
      <c r="M1" t="s">
        <v>114</v>
      </c>
      <c r="O1" t="s">
        <v>113</v>
      </c>
      <c r="P1" t="s">
        <v>113</v>
      </c>
    </row>
    <row r="2" spans="1:31" ht="45">
      <c r="A2" s="36"/>
      <c r="B2" s="184" t="s">
        <v>115</v>
      </c>
      <c r="C2" s="166" t="s">
        <v>116</v>
      </c>
      <c r="D2" s="177" t="s">
        <v>117</v>
      </c>
      <c r="E2" s="166" t="s">
        <v>118</v>
      </c>
      <c r="F2" s="165" t="s">
        <v>119</v>
      </c>
      <c r="H2" s="181" t="s">
        <v>120</v>
      </c>
      <c r="I2" s="165" t="s">
        <v>116</v>
      </c>
      <c r="J2" s="184" t="s">
        <v>115</v>
      </c>
      <c r="K2" s="166" t="s">
        <v>119</v>
      </c>
      <c r="L2" s="166" t="s">
        <v>118</v>
      </c>
      <c r="M2" s="166" t="s">
        <v>121</v>
      </c>
      <c r="N2" s="166" t="s">
        <v>122</v>
      </c>
      <c r="O2" s="166" t="s">
        <v>123</v>
      </c>
      <c r="P2" s="166" t="s">
        <v>124</v>
      </c>
      <c r="Q2" s="166" t="s">
        <v>118</v>
      </c>
      <c r="R2" s="165" t="s">
        <v>125</v>
      </c>
      <c r="V2" s="181" t="s">
        <v>126</v>
      </c>
      <c r="W2" s="166" t="s">
        <v>120</v>
      </c>
      <c r="X2" s="166" t="s">
        <v>116</v>
      </c>
      <c r="Y2" s="166" t="s">
        <v>127</v>
      </c>
      <c r="Z2" s="166" t="s">
        <v>122</v>
      </c>
      <c r="AA2" s="166" t="s">
        <v>128</v>
      </c>
      <c r="AB2" s="166" t="s">
        <v>129</v>
      </c>
      <c r="AC2" s="166" t="s">
        <v>118</v>
      </c>
      <c r="AD2" s="166" t="s">
        <v>125</v>
      </c>
      <c r="AE2" s="165" t="s">
        <v>130</v>
      </c>
    </row>
    <row r="3" spans="1:31">
      <c r="B3" s="158" t="s">
        <v>51</v>
      </c>
      <c r="C3" s="97" t="s">
        <v>50</v>
      </c>
      <c r="D3" s="159">
        <v>8518</v>
      </c>
      <c r="E3">
        <v>507717</v>
      </c>
      <c r="F3" s="159">
        <f t="shared" ref="F3:F25" si="0">VLOOKUP(B3,J$3:K$25,2,FALSE)</f>
        <v>674</v>
      </c>
      <c r="H3" s="158">
        <v>52</v>
      </c>
      <c r="I3" s="159" t="s">
        <v>23</v>
      </c>
      <c r="J3" s="158" t="s">
        <v>24</v>
      </c>
      <c r="K3">
        <v>0</v>
      </c>
      <c r="L3">
        <v>1475833</v>
      </c>
      <c r="M3">
        <v>67</v>
      </c>
      <c r="N3" s="24">
        <v>203200</v>
      </c>
      <c r="O3" s="24">
        <v>106.86666666666666</v>
      </c>
      <c r="P3" s="24">
        <v>12100</v>
      </c>
      <c r="Q3">
        <v>1475833</v>
      </c>
      <c r="R3" s="159">
        <v>18439</v>
      </c>
      <c r="V3" s="158" t="s">
        <v>7</v>
      </c>
      <c r="W3">
        <v>64</v>
      </c>
      <c r="X3" s="97" t="s">
        <v>50</v>
      </c>
      <c r="Y3">
        <v>67</v>
      </c>
      <c r="Z3" s="24">
        <v>203200</v>
      </c>
      <c r="AA3" s="24">
        <v>106.86666666666666</v>
      </c>
      <c r="AB3" s="24">
        <v>12100</v>
      </c>
      <c r="AC3">
        <v>1475833</v>
      </c>
      <c r="AD3">
        <v>18439</v>
      </c>
      <c r="AE3" s="182">
        <v>0</v>
      </c>
    </row>
    <row r="4" spans="1:31">
      <c r="B4" s="158" t="s">
        <v>60</v>
      </c>
      <c r="C4" s="97" t="s">
        <v>50</v>
      </c>
      <c r="D4" s="159">
        <v>205</v>
      </c>
      <c r="E4">
        <v>23726</v>
      </c>
      <c r="F4" s="159">
        <f t="shared" si="0"/>
        <v>6</v>
      </c>
      <c r="H4" s="158">
        <v>65</v>
      </c>
      <c r="I4" s="159" t="s">
        <v>32</v>
      </c>
      <c r="J4" s="158" t="s">
        <v>33</v>
      </c>
      <c r="K4">
        <v>0</v>
      </c>
      <c r="L4">
        <v>5667500</v>
      </c>
      <c r="M4">
        <v>121</v>
      </c>
      <c r="N4" s="24">
        <v>166500</v>
      </c>
      <c r="O4" s="24">
        <v>284.97777777777782</v>
      </c>
      <c r="P4" s="24">
        <v>5500</v>
      </c>
      <c r="Q4">
        <v>5667500</v>
      </c>
      <c r="R4" s="159">
        <v>7470</v>
      </c>
      <c r="V4" s="158" t="s">
        <v>7</v>
      </c>
      <c r="W4">
        <v>31</v>
      </c>
      <c r="X4" s="97" t="s">
        <v>50</v>
      </c>
      <c r="Y4">
        <v>121</v>
      </c>
      <c r="Z4" s="24">
        <v>166500</v>
      </c>
      <c r="AA4" s="24">
        <v>284.97777777777782</v>
      </c>
      <c r="AB4" s="24">
        <v>5500</v>
      </c>
      <c r="AC4">
        <v>5667500</v>
      </c>
      <c r="AD4">
        <v>7470</v>
      </c>
      <c r="AE4" s="182">
        <v>0</v>
      </c>
    </row>
    <row r="5" spans="1:31">
      <c r="B5" s="158" t="s">
        <v>64</v>
      </c>
      <c r="C5" s="97" t="s">
        <v>50</v>
      </c>
      <c r="D5" s="159">
        <v>22</v>
      </c>
      <c r="E5">
        <v>366889</v>
      </c>
      <c r="F5" s="159">
        <f t="shared" si="0"/>
        <v>8</v>
      </c>
      <c r="H5" s="158">
        <v>12</v>
      </c>
      <c r="I5" s="183" t="s">
        <v>38</v>
      </c>
      <c r="J5" s="158" t="s">
        <v>39</v>
      </c>
      <c r="K5">
        <v>90</v>
      </c>
      <c r="L5">
        <v>567889</v>
      </c>
      <c r="M5">
        <v>4628</v>
      </c>
      <c r="N5" s="24">
        <v>23000</v>
      </c>
      <c r="O5" s="24">
        <v>89.055555555555557</v>
      </c>
      <c r="P5" s="24">
        <v>2964.1369233805599</v>
      </c>
      <c r="Q5">
        <v>567889</v>
      </c>
      <c r="R5" s="159">
        <v>37987</v>
      </c>
      <c r="V5" s="158" t="s">
        <v>7</v>
      </c>
      <c r="W5">
        <v>17</v>
      </c>
      <c r="X5" s="97" t="s">
        <v>50</v>
      </c>
      <c r="Y5">
        <v>8518</v>
      </c>
      <c r="Z5" s="24">
        <v>1000</v>
      </c>
      <c r="AA5" s="24">
        <v>302.78888888888889</v>
      </c>
      <c r="AB5" s="24">
        <v>1129.15831935543</v>
      </c>
      <c r="AC5">
        <v>507717</v>
      </c>
      <c r="AD5">
        <v>16618</v>
      </c>
      <c r="AE5" s="182">
        <v>674</v>
      </c>
    </row>
    <row r="6" spans="1:31">
      <c r="B6" s="158" t="s">
        <v>83</v>
      </c>
      <c r="C6" s="97" t="s">
        <v>50</v>
      </c>
      <c r="D6" s="159">
        <v>12093</v>
      </c>
      <c r="E6">
        <v>503575</v>
      </c>
      <c r="F6" s="159">
        <f t="shared" si="0"/>
        <v>431</v>
      </c>
      <c r="H6" s="158">
        <v>15.5</v>
      </c>
      <c r="I6" s="159" t="s">
        <v>44</v>
      </c>
      <c r="J6" s="158" t="s">
        <v>45</v>
      </c>
      <c r="K6">
        <v>589</v>
      </c>
      <c r="L6">
        <v>261333</v>
      </c>
      <c r="M6">
        <v>10445</v>
      </c>
      <c r="N6" s="24">
        <v>0</v>
      </c>
      <c r="O6" s="24">
        <v>35.622222222222227</v>
      </c>
      <c r="P6" s="24">
        <v>1126.2627950833</v>
      </c>
      <c r="Q6">
        <v>261333</v>
      </c>
      <c r="R6" s="159">
        <v>50778</v>
      </c>
      <c r="V6" s="158" t="s">
        <v>7</v>
      </c>
      <c r="W6">
        <v>19</v>
      </c>
      <c r="X6" s="97" t="s">
        <v>38</v>
      </c>
      <c r="Y6">
        <v>3364</v>
      </c>
      <c r="Z6" s="24">
        <v>5000</v>
      </c>
      <c r="AA6" s="24">
        <v>9475.5111111111109</v>
      </c>
      <c r="AB6" s="24">
        <v>40.728365462998504</v>
      </c>
      <c r="AC6">
        <v>195478</v>
      </c>
      <c r="AD6">
        <v>1237084</v>
      </c>
      <c r="AE6" s="182">
        <v>600</v>
      </c>
    </row>
    <row r="7" spans="1:31">
      <c r="B7" s="158" t="s">
        <v>87</v>
      </c>
      <c r="C7" s="97" t="s">
        <v>50</v>
      </c>
      <c r="D7" s="159">
        <v>10297</v>
      </c>
      <c r="E7">
        <v>74248</v>
      </c>
      <c r="F7" s="159">
        <f t="shared" si="0"/>
        <v>107</v>
      </c>
      <c r="H7" s="158">
        <v>17</v>
      </c>
      <c r="I7" s="183" t="s">
        <v>50</v>
      </c>
      <c r="J7" s="158" t="s">
        <v>51</v>
      </c>
      <c r="K7">
        <v>674</v>
      </c>
      <c r="L7">
        <v>507717</v>
      </c>
      <c r="M7">
        <v>8518</v>
      </c>
      <c r="N7" s="24">
        <v>1000</v>
      </c>
      <c r="O7" s="24">
        <v>302.78888888888889</v>
      </c>
      <c r="P7" s="24">
        <v>1129.15831935543</v>
      </c>
      <c r="Q7">
        <v>507717</v>
      </c>
      <c r="R7" s="159">
        <v>16618</v>
      </c>
      <c r="V7" s="158" t="s">
        <v>7</v>
      </c>
      <c r="W7">
        <v>12</v>
      </c>
      <c r="X7" s="97" t="s">
        <v>38</v>
      </c>
      <c r="Y7">
        <v>25</v>
      </c>
      <c r="Z7" s="24">
        <v>237000</v>
      </c>
      <c r="AA7" s="24">
        <v>53.43333333333333</v>
      </c>
      <c r="AB7" s="24">
        <v>9955.1880568739507</v>
      </c>
      <c r="AC7">
        <v>35761</v>
      </c>
      <c r="AD7">
        <v>33433</v>
      </c>
      <c r="AE7" s="182">
        <v>5</v>
      </c>
    </row>
    <row r="8" spans="1:31">
      <c r="B8" s="158" t="s">
        <v>39</v>
      </c>
      <c r="C8" s="97" t="s">
        <v>38</v>
      </c>
      <c r="D8" s="159">
        <v>4628</v>
      </c>
      <c r="E8">
        <v>567889</v>
      </c>
      <c r="F8" s="159">
        <f t="shared" si="0"/>
        <v>90</v>
      </c>
      <c r="H8" s="158">
        <v>19</v>
      </c>
      <c r="I8" s="183" t="s">
        <v>38</v>
      </c>
      <c r="J8" s="158" t="s">
        <v>53</v>
      </c>
      <c r="K8">
        <v>514</v>
      </c>
      <c r="L8">
        <v>50500</v>
      </c>
      <c r="M8">
        <v>6072</v>
      </c>
      <c r="N8" s="24">
        <v>9000</v>
      </c>
      <c r="O8" s="24">
        <v>6447.6222222222232</v>
      </c>
      <c r="P8" s="24">
        <v>156.01341000856701</v>
      </c>
      <c r="Q8">
        <v>50500</v>
      </c>
      <c r="R8" s="159">
        <v>8240</v>
      </c>
      <c r="V8" s="158" t="s">
        <v>7</v>
      </c>
      <c r="W8">
        <v>20.5</v>
      </c>
      <c r="X8" t="s">
        <v>55</v>
      </c>
      <c r="Y8">
        <v>22</v>
      </c>
      <c r="Z8" s="24">
        <v>39000</v>
      </c>
      <c r="AA8" s="24">
        <v>53.43333333333333</v>
      </c>
      <c r="AB8" s="24">
        <v>5563.5663777949603</v>
      </c>
      <c r="AC8">
        <v>366889</v>
      </c>
      <c r="AD8">
        <v>999</v>
      </c>
      <c r="AE8" s="182">
        <v>8</v>
      </c>
    </row>
    <row r="9" spans="1:31">
      <c r="B9" s="158" t="s">
        <v>53</v>
      </c>
      <c r="C9" s="97" t="s">
        <v>38</v>
      </c>
      <c r="D9" s="159">
        <v>6072</v>
      </c>
      <c r="E9">
        <v>50500</v>
      </c>
      <c r="F9" s="159">
        <f t="shared" si="0"/>
        <v>514</v>
      </c>
      <c r="H9" s="158">
        <v>20.5</v>
      </c>
      <c r="I9" s="159" t="s">
        <v>44</v>
      </c>
      <c r="J9" s="158" t="s">
        <v>56</v>
      </c>
      <c r="K9">
        <v>600</v>
      </c>
      <c r="L9">
        <v>195478</v>
      </c>
      <c r="M9">
        <v>3364</v>
      </c>
      <c r="N9" s="24">
        <v>5000</v>
      </c>
      <c r="O9" s="24">
        <v>9475.5111111111109</v>
      </c>
      <c r="P9" s="24">
        <v>40.728365462998504</v>
      </c>
      <c r="Q9">
        <v>195478</v>
      </c>
      <c r="R9" s="159">
        <v>1237084</v>
      </c>
      <c r="V9" s="158" t="s">
        <v>7</v>
      </c>
      <c r="W9">
        <v>45</v>
      </c>
      <c r="X9" t="s">
        <v>44</v>
      </c>
      <c r="Y9">
        <v>9683</v>
      </c>
      <c r="Z9" s="24">
        <v>176000</v>
      </c>
      <c r="AA9" s="24">
        <v>623.38888888888903</v>
      </c>
      <c r="AB9" s="24">
        <v>11100</v>
      </c>
      <c r="AC9">
        <v>42120</v>
      </c>
      <c r="AD9">
        <v>425667</v>
      </c>
      <c r="AE9" s="182">
        <v>41</v>
      </c>
    </row>
    <row r="10" spans="1:31">
      <c r="B10" s="158" t="s">
        <v>71</v>
      </c>
      <c r="C10" s="97" t="s">
        <v>38</v>
      </c>
      <c r="D10" s="159">
        <v>10123</v>
      </c>
      <c r="E10">
        <v>85956</v>
      </c>
      <c r="F10" s="159">
        <f t="shared" si="0"/>
        <v>16</v>
      </c>
      <c r="H10" s="158">
        <v>28</v>
      </c>
      <c r="I10" s="159" t="s">
        <v>32</v>
      </c>
      <c r="J10" s="158" t="s">
        <v>58</v>
      </c>
      <c r="K10">
        <v>15</v>
      </c>
      <c r="L10">
        <v>116456</v>
      </c>
      <c r="M10">
        <v>1977</v>
      </c>
      <c r="N10" s="24">
        <v>79000</v>
      </c>
      <c r="O10" s="24">
        <v>15477.855555555554</v>
      </c>
      <c r="P10" s="24">
        <v>113.612295106787</v>
      </c>
      <c r="Q10">
        <v>116456</v>
      </c>
      <c r="R10" s="159">
        <v>7342</v>
      </c>
      <c r="V10" s="158" t="s">
        <v>7</v>
      </c>
      <c r="W10">
        <v>15.5</v>
      </c>
      <c r="X10" t="s">
        <v>44</v>
      </c>
      <c r="Y10">
        <v>607</v>
      </c>
      <c r="Z10" s="24">
        <v>42000</v>
      </c>
      <c r="AA10" s="24">
        <v>231.54444444444442</v>
      </c>
      <c r="AB10" s="24">
        <v>6400</v>
      </c>
      <c r="AC10">
        <v>355444</v>
      </c>
      <c r="AD10">
        <v>101500</v>
      </c>
      <c r="AE10" s="182">
        <v>101</v>
      </c>
    </row>
    <row r="11" spans="1:31" ht="15.75" thickBot="1">
      <c r="B11" s="158" t="s">
        <v>73</v>
      </c>
      <c r="C11" s="97" t="s">
        <v>38</v>
      </c>
      <c r="D11" s="159">
        <v>707</v>
      </c>
      <c r="E11">
        <v>150267</v>
      </c>
      <c r="F11" s="159">
        <f t="shared" si="0"/>
        <v>7</v>
      </c>
      <c r="H11" s="158">
        <v>31</v>
      </c>
      <c r="I11" s="183" t="s">
        <v>50</v>
      </c>
      <c r="J11" s="158" t="s">
        <v>60</v>
      </c>
      <c r="K11">
        <v>6</v>
      </c>
      <c r="L11">
        <v>23726</v>
      </c>
      <c r="M11">
        <v>205</v>
      </c>
      <c r="N11" s="24">
        <v>127000</v>
      </c>
      <c r="O11" s="24">
        <v>4951.48888888889</v>
      </c>
      <c r="P11" s="24">
        <v>3186.30763349269</v>
      </c>
      <c r="Q11">
        <v>23726</v>
      </c>
      <c r="R11" s="159">
        <v>79302</v>
      </c>
      <c r="V11" s="174" t="s">
        <v>7</v>
      </c>
      <c r="W11" s="175">
        <v>28</v>
      </c>
      <c r="X11" s="175" t="s">
        <v>32</v>
      </c>
      <c r="Y11" s="175">
        <v>12093</v>
      </c>
      <c r="Z11" s="176">
        <v>0</v>
      </c>
      <c r="AA11" s="176">
        <v>409.65555555555557</v>
      </c>
      <c r="AB11" s="176">
        <v>613.39781005528505</v>
      </c>
      <c r="AC11" s="175">
        <v>503575</v>
      </c>
      <c r="AD11" s="175">
        <v>38261</v>
      </c>
      <c r="AE11" s="180">
        <v>431</v>
      </c>
    </row>
    <row r="12" spans="1:31">
      <c r="B12" s="158" t="s">
        <v>75</v>
      </c>
      <c r="C12" s="97" t="s">
        <v>38</v>
      </c>
      <c r="D12" s="159">
        <v>26</v>
      </c>
      <c r="E12">
        <v>1190175</v>
      </c>
      <c r="F12" s="159">
        <f t="shared" si="0"/>
        <v>0</v>
      </c>
      <c r="H12" s="158">
        <v>45</v>
      </c>
      <c r="I12" s="159" t="s">
        <v>44</v>
      </c>
      <c r="J12" s="158" t="s">
        <v>62</v>
      </c>
      <c r="K12">
        <v>5</v>
      </c>
      <c r="L12">
        <v>35761</v>
      </c>
      <c r="M12">
        <v>25</v>
      </c>
      <c r="N12" s="24">
        <v>237000</v>
      </c>
      <c r="O12" s="24">
        <v>53.43333333333333</v>
      </c>
      <c r="P12" s="24">
        <v>9955.1880568739507</v>
      </c>
      <c r="Q12">
        <v>35761</v>
      </c>
      <c r="R12" s="159">
        <v>33433</v>
      </c>
    </row>
    <row r="13" spans="1:31">
      <c r="B13" s="158" t="s">
        <v>45</v>
      </c>
      <c r="C13" t="s">
        <v>44</v>
      </c>
      <c r="D13" s="159">
        <v>10445</v>
      </c>
      <c r="E13">
        <v>261333</v>
      </c>
      <c r="F13" s="159">
        <f t="shared" si="0"/>
        <v>589</v>
      </c>
      <c r="H13" s="158">
        <v>64</v>
      </c>
      <c r="I13" s="183" t="s">
        <v>50</v>
      </c>
      <c r="J13" s="158" t="s">
        <v>64</v>
      </c>
      <c r="K13">
        <v>8</v>
      </c>
      <c r="L13">
        <v>366889</v>
      </c>
      <c r="M13">
        <v>22</v>
      </c>
      <c r="N13" s="24">
        <v>39000</v>
      </c>
      <c r="O13" s="24">
        <v>53.43333333333333</v>
      </c>
      <c r="P13" s="24">
        <v>5563.5663777949603</v>
      </c>
      <c r="Q13">
        <v>366889</v>
      </c>
      <c r="R13" s="159">
        <v>999</v>
      </c>
    </row>
    <row r="14" spans="1:31">
      <c r="B14" s="158" t="s">
        <v>56</v>
      </c>
      <c r="C14" t="s">
        <v>44</v>
      </c>
      <c r="D14" s="159">
        <v>3364</v>
      </c>
      <c r="E14">
        <v>195478</v>
      </c>
      <c r="F14" s="159">
        <f t="shared" si="0"/>
        <v>600</v>
      </c>
      <c r="H14" s="158">
        <v>7</v>
      </c>
      <c r="I14" s="159" t="s">
        <v>66</v>
      </c>
      <c r="J14" s="158" t="s">
        <v>67</v>
      </c>
      <c r="K14">
        <v>41</v>
      </c>
      <c r="L14">
        <v>42120</v>
      </c>
      <c r="M14">
        <v>9683</v>
      </c>
      <c r="N14" s="24">
        <v>176000</v>
      </c>
      <c r="O14" s="24">
        <v>623.38888888888903</v>
      </c>
      <c r="P14" s="24">
        <v>11100</v>
      </c>
      <c r="Q14">
        <v>42120</v>
      </c>
      <c r="R14" s="159">
        <v>425667</v>
      </c>
    </row>
    <row r="15" spans="1:31">
      <c r="B15" s="158" t="s">
        <v>62</v>
      </c>
      <c r="C15" t="s">
        <v>44</v>
      </c>
      <c r="D15" s="159">
        <v>25</v>
      </c>
      <c r="E15">
        <v>35761</v>
      </c>
      <c r="F15" s="159">
        <f t="shared" si="0"/>
        <v>5</v>
      </c>
      <c r="H15" s="158">
        <v>10.5</v>
      </c>
      <c r="I15" s="159" t="s">
        <v>32</v>
      </c>
      <c r="J15" s="158" t="s">
        <v>69</v>
      </c>
      <c r="K15">
        <v>101</v>
      </c>
      <c r="L15">
        <v>355444</v>
      </c>
      <c r="M15">
        <v>607</v>
      </c>
      <c r="N15" s="24">
        <v>42000</v>
      </c>
      <c r="O15" s="24">
        <v>231.54444444444442</v>
      </c>
      <c r="P15" s="24">
        <v>6400</v>
      </c>
      <c r="Q15">
        <v>355444</v>
      </c>
      <c r="R15" s="159">
        <v>101500</v>
      </c>
    </row>
    <row r="16" spans="1:31">
      <c r="B16" s="158" t="s">
        <v>78</v>
      </c>
      <c r="C16" t="s">
        <v>77</v>
      </c>
      <c r="D16" s="159">
        <v>121</v>
      </c>
      <c r="E16">
        <v>2149167</v>
      </c>
      <c r="F16" s="159">
        <f t="shared" si="0"/>
        <v>0</v>
      </c>
      <c r="H16" s="158">
        <v>14</v>
      </c>
      <c r="I16" s="183" t="s">
        <v>38</v>
      </c>
      <c r="J16" s="158" t="s">
        <v>71</v>
      </c>
      <c r="K16">
        <v>16</v>
      </c>
      <c r="L16">
        <v>85956</v>
      </c>
      <c r="M16">
        <v>10123</v>
      </c>
      <c r="N16" s="24">
        <v>88000</v>
      </c>
      <c r="O16" s="24">
        <v>1193.3444444444444</v>
      </c>
      <c r="P16" s="24">
        <v>1600</v>
      </c>
      <c r="Q16">
        <v>85956</v>
      </c>
      <c r="R16" s="159">
        <v>497</v>
      </c>
    </row>
    <row r="17" spans="2:31" ht="15.75" thickBot="1">
      <c r="B17" s="158" t="s">
        <v>81</v>
      </c>
      <c r="C17" t="s">
        <v>77</v>
      </c>
      <c r="D17" s="159">
        <v>8878</v>
      </c>
      <c r="E17">
        <v>149993</v>
      </c>
      <c r="F17" s="159">
        <f t="shared" si="0"/>
        <v>354</v>
      </c>
      <c r="H17" s="158">
        <v>15.5</v>
      </c>
      <c r="I17" s="183" t="s">
        <v>38</v>
      </c>
      <c r="J17" s="158" t="s">
        <v>73</v>
      </c>
      <c r="K17">
        <v>7</v>
      </c>
      <c r="L17">
        <v>150267</v>
      </c>
      <c r="M17">
        <v>707</v>
      </c>
      <c r="N17" s="24">
        <v>136000</v>
      </c>
      <c r="O17" s="24">
        <v>106.86666666666666</v>
      </c>
      <c r="P17" s="24">
        <v>2000</v>
      </c>
      <c r="Q17">
        <v>150267</v>
      </c>
      <c r="R17" s="159">
        <v>47525</v>
      </c>
    </row>
    <row r="18" spans="2:31">
      <c r="B18" s="158" t="s">
        <v>90</v>
      </c>
      <c r="C18" t="s">
        <v>77</v>
      </c>
      <c r="D18" s="159">
        <v>8523</v>
      </c>
      <c r="E18">
        <v>4446</v>
      </c>
      <c r="F18" s="159">
        <f t="shared" si="0"/>
        <v>84</v>
      </c>
      <c r="H18" s="158">
        <v>20</v>
      </c>
      <c r="I18" s="183" t="s">
        <v>38</v>
      </c>
      <c r="J18" s="158" t="s">
        <v>75</v>
      </c>
      <c r="K18">
        <v>0</v>
      </c>
      <c r="L18">
        <v>1190175</v>
      </c>
      <c r="M18">
        <v>26</v>
      </c>
      <c r="N18" s="24">
        <v>169000</v>
      </c>
      <c r="O18" s="24">
        <v>35.622222222222227</v>
      </c>
      <c r="P18" s="24">
        <v>14900</v>
      </c>
      <c r="Q18">
        <v>1190175</v>
      </c>
      <c r="R18" s="159">
        <v>48591</v>
      </c>
      <c r="V18" s="181" t="s">
        <v>126</v>
      </c>
      <c r="W18" s="166" t="s">
        <v>120</v>
      </c>
      <c r="X18" s="166" t="s">
        <v>116</v>
      </c>
      <c r="Y18" s="166" t="s">
        <v>127</v>
      </c>
      <c r="Z18" s="166" t="s">
        <v>122</v>
      </c>
      <c r="AA18" s="166" t="s">
        <v>128</v>
      </c>
      <c r="AB18" s="166" t="s">
        <v>129</v>
      </c>
      <c r="AC18" s="166" t="s">
        <v>118</v>
      </c>
      <c r="AD18" s="166" t="s">
        <v>125</v>
      </c>
      <c r="AE18" s="165" t="s">
        <v>130</v>
      </c>
    </row>
    <row r="19" spans="2:31">
      <c r="B19" s="158" t="s">
        <v>91</v>
      </c>
      <c r="C19" t="s">
        <v>77</v>
      </c>
      <c r="D19" s="159">
        <v>13644</v>
      </c>
      <c r="E19">
        <v>640333</v>
      </c>
      <c r="F19" s="159">
        <f t="shared" si="0"/>
        <v>290</v>
      </c>
      <c r="H19" s="158">
        <v>43</v>
      </c>
      <c r="I19" s="159" t="s">
        <v>32</v>
      </c>
      <c r="J19" s="158" t="s">
        <v>76</v>
      </c>
      <c r="K19">
        <v>0</v>
      </c>
      <c r="L19">
        <v>720167</v>
      </c>
      <c r="M19">
        <v>33</v>
      </c>
      <c r="N19" s="24">
        <v>141000</v>
      </c>
      <c r="O19" s="24">
        <v>89.055555555555557</v>
      </c>
      <c r="P19" s="24">
        <v>9100</v>
      </c>
      <c r="Q19">
        <v>720167</v>
      </c>
      <c r="R19" s="159">
        <v>30656</v>
      </c>
      <c r="V19" s="158" t="s">
        <v>11</v>
      </c>
      <c r="W19">
        <v>20</v>
      </c>
      <c r="X19" s="97" t="s">
        <v>38</v>
      </c>
      <c r="Y19">
        <v>6072</v>
      </c>
      <c r="Z19" s="24">
        <v>9000</v>
      </c>
      <c r="AA19" s="24">
        <v>6447.6222222222232</v>
      </c>
      <c r="AB19" s="24">
        <v>156.01341000856701</v>
      </c>
      <c r="AC19">
        <v>50500</v>
      </c>
      <c r="AD19">
        <v>8240</v>
      </c>
      <c r="AE19" s="182">
        <v>514</v>
      </c>
    </row>
    <row r="20" spans="2:31">
      <c r="B20" s="158" t="s">
        <v>33</v>
      </c>
      <c r="C20" t="s">
        <v>32</v>
      </c>
      <c r="D20" s="159">
        <v>121</v>
      </c>
      <c r="E20">
        <v>5667500</v>
      </c>
      <c r="F20" s="159">
        <f t="shared" si="0"/>
        <v>0</v>
      </c>
      <c r="H20" s="158">
        <v>65</v>
      </c>
      <c r="I20" s="159" t="s">
        <v>77</v>
      </c>
      <c r="J20" s="158" t="s">
        <v>78</v>
      </c>
      <c r="K20">
        <v>0</v>
      </c>
      <c r="L20">
        <v>2149167</v>
      </c>
      <c r="M20">
        <v>121</v>
      </c>
      <c r="N20" s="24">
        <v>209000</v>
      </c>
      <c r="O20" s="24">
        <v>35.622222222222227</v>
      </c>
      <c r="P20" s="24">
        <v>8500</v>
      </c>
      <c r="Q20">
        <v>2149167</v>
      </c>
      <c r="R20" s="159">
        <v>5632</v>
      </c>
      <c r="V20" s="158" t="s">
        <v>11</v>
      </c>
      <c r="W20">
        <v>15.5</v>
      </c>
      <c r="X20" s="97" t="s">
        <v>38</v>
      </c>
      <c r="Y20">
        <v>1977</v>
      </c>
      <c r="Z20" s="24">
        <v>79000</v>
      </c>
      <c r="AA20" s="24">
        <v>15477.855555555554</v>
      </c>
      <c r="AB20" s="24">
        <v>113.612295106787</v>
      </c>
      <c r="AC20">
        <v>116456</v>
      </c>
      <c r="AD20">
        <v>7342</v>
      </c>
      <c r="AE20" s="182">
        <v>15</v>
      </c>
    </row>
    <row r="21" spans="2:31">
      <c r="B21" s="158" t="s">
        <v>58</v>
      </c>
      <c r="C21" t="s">
        <v>32</v>
      </c>
      <c r="D21" s="159">
        <v>1977</v>
      </c>
      <c r="E21">
        <v>116456</v>
      </c>
      <c r="F21" s="159">
        <f t="shared" si="0"/>
        <v>15</v>
      </c>
      <c r="H21" s="158">
        <v>15.5</v>
      </c>
      <c r="I21" s="159" t="s">
        <v>77</v>
      </c>
      <c r="J21" s="158" t="s">
        <v>81</v>
      </c>
      <c r="K21">
        <v>354</v>
      </c>
      <c r="L21">
        <v>149993</v>
      </c>
      <c r="M21">
        <v>8878</v>
      </c>
      <c r="N21" s="24">
        <v>11000</v>
      </c>
      <c r="O21" s="24">
        <v>19253.811111111114</v>
      </c>
      <c r="P21" s="24">
        <v>27.283535104929602</v>
      </c>
      <c r="Q21">
        <v>149993</v>
      </c>
      <c r="R21" s="159">
        <v>16029097</v>
      </c>
      <c r="V21" s="158" t="s">
        <v>11</v>
      </c>
      <c r="W21">
        <v>14</v>
      </c>
      <c r="X21" s="97" t="s">
        <v>38</v>
      </c>
      <c r="Y21">
        <v>205</v>
      </c>
      <c r="Z21" s="24">
        <v>127000</v>
      </c>
      <c r="AA21" s="24">
        <v>4951.48888888889</v>
      </c>
      <c r="AB21" s="24">
        <v>3186.30763349269</v>
      </c>
      <c r="AC21">
        <v>23726</v>
      </c>
      <c r="AD21">
        <v>79302</v>
      </c>
      <c r="AE21" s="182">
        <v>6</v>
      </c>
    </row>
    <row r="22" spans="2:31">
      <c r="B22" s="158" t="s">
        <v>69</v>
      </c>
      <c r="C22" t="s">
        <v>32</v>
      </c>
      <c r="D22" s="159">
        <v>607</v>
      </c>
      <c r="E22">
        <v>355444</v>
      </c>
      <c r="F22" s="159">
        <f t="shared" si="0"/>
        <v>101</v>
      </c>
      <c r="H22" s="158">
        <v>19</v>
      </c>
      <c r="I22" s="183" t="s">
        <v>50</v>
      </c>
      <c r="J22" s="158" t="s">
        <v>83</v>
      </c>
      <c r="K22">
        <v>431</v>
      </c>
      <c r="L22">
        <v>503575</v>
      </c>
      <c r="M22">
        <v>12093</v>
      </c>
      <c r="N22" s="24">
        <v>0</v>
      </c>
      <c r="O22" s="24">
        <v>409.65555555555557</v>
      </c>
      <c r="P22" s="24">
        <v>613.39781005528505</v>
      </c>
      <c r="Q22">
        <v>503575</v>
      </c>
      <c r="R22" s="159">
        <v>38261</v>
      </c>
      <c r="V22" s="158" t="s">
        <v>11</v>
      </c>
      <c r="W22">
        <v>65</v>
      </c>
      <c r="X22" t="s">
        <v>77</v>
      </c>
      <c r="Y22">
        <v>10123</v>
      </c>
      <c r="Z22" s="24">
        <v>88000</v>
      </c>
      <c r="AA22" s="24">
        <v>1193.3444444444444</v>
      </c>
      <c r="AB22" s="24">
        <v>1600</v>
      </c>
      <c r="AC22">
        <v>85956</v>
      </c>
      <c r="AD22">
        <v>497</v>
      </c>
      <c r="AE22" s="182">
        <v>16</v>
      </c>
    </row>
    <row r="23" spans="2:31">
      <c r="B23" s="158" t="s">
        <v>76</v>
      </c>
      <c r="C23" t="s">
        <v>32</v>
      </c>
      <c r="D23" s="159">
        <v>33</v>
      </c>
      <c r="E23">
        <v>720167</v>
      </c>
      <c r="F23" s="159">
        <f t="shared" si="0"/>
        <v>0</v>
      </c>
      <c r="H23" s="158">
        <v>26</v>
      </c>
      <c r="I23" s="183" t="s">
        <v>50</v>
      </c>
      <c r="J23" s="158" t="s">
        <v>87</v>
      </c>
      <c r="K23">
        <v>107</v>
      </c>
      <c r="L23">
        <v>74248</v>
      </c>
      <c r="M23">
        <v>10297</v>
      </c>
      <c r="N23" s="24">
        <v>13700</v>
      </c>
      <c r="O23" s="24">
        <v>27660.655555555561</v>
      </c>
      <c r="P23" s="24">
        <v>20.818129596617897</v>
      </c>
      <c r="Q23">
        <v>74248</v>
      </c>
      <c r="R23" s="159">
        <v>63117</v>
      </c>
      <c r="V23" s="158" t="s">
        <v>11</v>
      </c>
      <c r="W23">
        <v>43</v>
      </c>
      <c r="X23" t="s">
        <v>32</v>
      </c>
      <c r="Y23">
        <v>8878</v>
      </c>
      <c r="Z23" s="24">
        <v>11000</v>
      </c>
      <c r="AA23" s="24">
        <v>19253.811111111114</v>
      </c>
      <c r="AB23" s="24">
        <v>27.283535104929602</v>
      </c>
      <c r="AC23">
        <v>149993</v>
      </c>
      <c r="AD23">
        <v>16029097</v>
      </c>
      <c r="AE23" s="182">
        <v>354</v>
      </c>
    </row>
    <row r="24" spans="2:31">
      <c r="B24" s="158" t="s">
        <v>67</v>
      </c>
      <c r="C24" t="s">
        <v>66</v>
      </c>
      <c r="D24" s="159">
        <v>9683</v>
      </c>
      <c r="E24">
        <v>42120</v>
      </c>
      <c r="F24" s="159">
        <f t="shared" si="0"/>
        <v>41</v>
      </c>
      <c r="H24" s="158">
        <v>39</v>
      </c>
      <c r="I24" s="159" t="s">
        <v>77</v>
      </c>
      <c r="J24" s="158" t="s">
        <v>90</v>
      </c>
      <c r="K24">
        <v>84</v>
      </c>
      <c r="L24">
        <v>4446</v>
      </c>
      <c r="M24">
        <v>8523</v>
      </c>
      <c r="N24" s="24">
        <v>10000</v>
      </c>
      <c r="O24" s="24">
        <v>302.78888888888889</v>
      </c>
      <c r="P24" s="24">
        <v>2240.1960591924999</v>
      </c>
      <c r="Q24">
        <v>4446</v>
      </c>
      <c r="R24" s="159">
        <v>0</v>
      </c>
      <c r="V24" s="158" t="s">
        <v>11</v>
      </c>
      <c r="W24">
        <v>10.5</v>
      </c>
      <c r="X24" t="s">
        <v>32</v>
      </c>
      <c r="Y24">
        <v>10297</v>
      </c>
      <c r="Z24" s="24">
        <v>13700</v>
      </c>
      <c r="AA24" s="24">
        <v>27660.655555555561</v>
      </c>
      <c r="AB24" s="24">
        <v>20.818129596617897</v>
      </c>
      <c r="AC24">
        <v>74248</v>
      </c>
      <c r="AD24">
        <v>63117</v>
      </c>
      <c r="AE24" s="182">
        <v>107</v>
      </c>
    </row>
    <row r="25" spans="2:31" ht="15.75" thickBot="1">
      <c r="B25" s="174" t="s">
        <v>24</v>
      </c>
      <c r="C25" s="175" t="s">
        <v>23</v>
      </c>
      <c r="D25" s="179">
        <v>67</v>
      </c>
      <c r="E25" s="175">
        <v>1475833</v>
      </c>
      <c r="F25" s="179">
        <f t="shared" si="0"/>
        <v>0</v>
      </c>
      <c r="H25" s="174">
        <v>46</v>
      </c>
      <c r="I25" s="179" t="s">
        <v>77</v>
      </c>
      <c r="J25" s="174" t="s">
        <v>91</v>
      </c>
      <c r="K25" s="175">
        <v>290</v>
      </c>
      <c r="L25" s="175">
        <v>640333</v>
      </c>
      <c r="M25" s="175">
        <v>13644</v>
      </c>
      <c r="N25" s="176">
        <v>28000</v>
      </c>
      <c r="O25" s="176">
        <v>71.244444444444454</v>
      </c>
      <c r="P25" s="176">
        <v>7566.8364032971404</v>
      </c>
      <c r="Q25" s="175">
        <v>640333</v>
      </c>
      <c r="R25" s="179">
        <v>189200</v>
      </c>
      <c r="V25" s="174" t="s">
        <v>11</v>
      </c>
      <c r="W25" s="175">
        <v>7</v>
      </c>
      <c r="X25" s="175" t="s">
        <v>66</v>
      </c>
      <c r="Y25" s="175">
        <v>8523</v>
      </c>
      <c r="Z25" s="176">
        <v>10000</v>
      </c>
      <c r="AA25" s="176">
        <v>302.78888888888889</v>
      </c>
      <c r="AB25" s="176">
        <v>2240.1960591924999</v>
      </c>
      <c r="AC25" s="175">
        <v>4446</v>
      </c>
      <c r="AD25" s="175">
        <v>0</v>
      </c>
      <c r="AE25" s="180">
        <v>84</v>
      </c>
    </row>
    <row r="27" spans="2:31">
      <c r="N27" s="24"/>
      <c r="O27" s="24"/>
      <c r="P27" s="24"/>
    </row>
    <row r="28" spans="2:31">
      <c r="N28" s="24"/>
      <c r="O28" s="24"/>
      <c r="P28" s="24"/>
    </row>
    <row r="30" spans="2:31" ht="15.75" thickBot="1"/>
    <row r="31" spans="2:31">
      <c r="V31" s="181" t="s">
        <v>126</v>
      </c>
      <c r="W31" s="166" t="s">
        <v>120</v>
      </c>
      <c r="X31" s="166" t="s">
        <v>116</v>
      </c>
      <c r="Y31" s="166" t="s">
        <v>127</v>
      </c>
      <c r="Z31" s="166" t="s">
        <v>122</v>
      </c>
      <c r="AA31" s="166" t="s">
        <v>128</v>
      </c>
      <c r="AB31" s="166" t="s">
        <v>129</v>
      </c>
      <c r="AC31" s="166" t="s">
        <v>118</v>
      </c>
      <c r="AD31" s="166" t="s">
        <v>125</v>
      </c>
      <c r="AE31" s="165" t="s">
        <v>130</v>
      </c>
    </row>
    <row r="32" spans="2:31">
      <c r="V32" s="158" t="s">
        <v>14</v>
      </c>
      <c r="W32">
        <v>26</v>
      </c>
      <c r="X32" s="97" t="s">
        <v>50</v>
      </c>
      <c r="Y32">
        <v>4628</v>
      </c>
      <c r="Z32" s="24">
        <v>23000</v>
      </c>
      <c r="AA32" s="24">
        <v>89.055555555555557</v>
      </c>
      <c r="AB32" s="24">
        <v>2964.1369233805599</v>
      </c>
      <c r="AC32">
        <v>567889</v>
      </c>
      <c r="AD32">
        <v>37987</v>
      </c>
      <c r="AE32" s="182">
        <v>90</v>
      </c>
    </row>
    <row r="33" spans="22:31">
      <c r="V33" s="158" t="s">
        <v>14</v>
      </c>
      <c r="W33">
        <v>19</v>
      </c>
      <c r="X33" s="97" t="s">
        <v>50</v>
      </c>
      <c r="Y33">
        <v>10445</v>
      </c>
      <c r="Z33" s="24">
        <v>0</v>
      </c>
      <c r="AA33" s="24">
        <v>35.622222222222227</v>
      </c>
      <c r="AB33" s="24">
        <v>1126.2627950833</v>
      </c>
      <c r="AC33">
        <v>261333</v>
      </c>
      <c r="AD33">
        <v>50778</v>
      </c>
      <c r="AE33" s="182">
        <v>589</v>
      </c>
    </row>
    <row r="34" spans="22:31">
      <c r="V34" s="158" t="s">
        <v>14</v>
      </c>
      <c r="W34">
        <v>46</v>
      </c>
      <c r="X34" t="s">
        <v>77</v>
      </c>
      <c r="Y34">
        <v>707</v>
      </c>
      <c r="Z34" s="24">
        <v>136000</v>
      </c>
      <c r="AA34" s="24">
        <v>106.86666666666666</v>
      </c>
      <c r="AB34" s="24">
        <v>2000</v>
      </c>
      <c r="AC34">
        <v>150267</v>
      </c>
      <c r="AD34">
        <v>47525</v>
      </c>
      <c r="AE34" s="182">
        <v>7</v>
      </c>
    </row>
    <row r="35" spans="22:31">
      <c r="V35" s="158" t="s">
        <v>14</v>
      </c>
      <c r="W35">
        <v>39</v>
      </c>
      <c r="X35" t="s">
        <v>77</v>
      </c>
      <c r="Y35">
        <v>26</v>
      </c>
      <c r="Z35" s="24">
        <v>169000</v>
      </c>
      <c r="AA35" s="24">
        <v>35.622222222222227</v>
      </c>
      <c r="AB35" s="24">
        <v>14900</v>
      </c>
      <c r="AC35">
        <v>1190175</v>
      </c>
      <c r="AD35">
        <v>48591</v>
      </c>
      <c r="AE35" s="182">
        <v>0</v>
      </c>
    </row>
    <row r="36" spans="22:31" ht="15.75" thickBot="1">
      <c r="V36" s="174" t="s">
        <v>14</v>
      </c>
      <c r="W36" s="175">
        <v>15.5</v>
      </c>
      <c r="X36" s="175" t="s">
        <v>77</v>
      </c>
      <c r="Y36" s="175">
        <v>33</v>
      </c>
      <c r="Z36" s="176">
        <v>141000</v>
      </c>
      <c r="AA36" s="176">
        <v>89.055555555555557</v>
      </c>
      <c r="AB36" s="176">
        <v>9100</v>
      </c>
      <c r="AC36" s="175">
        <v>720167</v>
      </c>
      <c r="AD36" s="175">
        <v>30656</v>
      </c>
      <c r="AE36" s="180">
        <v>0</v>
      </c>
    </row>
    <row r="38" spans="22:31" ht="15.75" thickBot="1"/>
    <row r="39" spans="22:31">
      <c r="V39" s="181" t="s">
        <v>6</v>
      </c>
      <c r="W39" s="166">
        <v>65</v>
      </c>
      <c r="X39" s="166" t="s">
        <v>32</v>
      </c>
      <c r="Y39" s="166">
        <v>121</v>
      </c>
      <c r="Z39" s="178">
        <v>209000</v>
      </c>
      <c r="AA39" s="178">
        <v>35.622222222222227</v>
      </c>
      <c r="AB39" s="178">
        <v>8500</v>
      </c>
      <c r="AC39" s="166">
        <v>2149167</v>
      </c>
      <c r="AD39" s="166">
        <v>5632</v>
      </c>
      <c r="AE39" s="177">
        <v>0</v>
      </c>
    </row>
    <row r="40" spans="22:31" ht="15.75" thickBot="1">
      <c r="V40" s="174" t="s">
        <v>6</v>
      </c>
      <c r="W40" s="175">
        <v>52</v>
      </c>
      <c r="X40" s="175" t="s">
        <v>23</v>
      </c>
      <c r="Y40" s="175">
        <v>13644</v>
      </c>
      <c r="Z40" s="176">
        <v>28000</v>
      </c>
      <c r="AA40" s="176">
        <v>71.244444444444454</v>
      </c>
      <c r="AB40" s="176">
        <v>7566.8364032971404</v>
      </c>
      <c r="AC40" s="175">
        <v>640333</v>
      </c>
      <c r="AD40" s="175">
        <v>189200</v>
      </c>
      <c r="AE40" s="180">
        <v>290</v>
      </c>
    </row>
  </sheetData>
  <sortState xmlns:xlrd2="http://schemas.microsoft.com/office/spreadsheetml/2017/richdata2" ref="B3:D25">
    <sortCondition ref="C3:C25"/>
  </sortState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1A15-AFB6-449C-8511-8BB1AC018848}">
  <sheetPr>
    <tabColor theme="9" tint="0.59999389629810485"/>
  </sheetPr>
  <dimension ref="B1:CU103"/>
  <sheetViews>
    <sheetView topLeftCell="A38" zoomScale="80" zoomScaleNormal="80" workbookViewId="0">
      <selection activeCell="N91" sqref="N91"/>
    </sheetView>
  </sheetViews>
  <sheetFormatPr defaultRowHeight="15"/>
  <cols>
    <col min="1" max="1" width="8.85546875"/>
    <col min="2" max="2" width="11.42578125" customWidth="1"/>
    <col min="3" max="4" width="11.140625" customWidth="1"/>
    <col min="5" max="12" width="10" customWidth="1"/>
    <col min="13" max="13" width="11.28515625" customWidth="1"/>
    <col min="14" max="14" width="9.85546875" customWidth="1"/>
    <col min="15" max="18" width="10.140625" customWidth="1"/>
    <col min="19" max="19" width="16.7109375" customWidth="1"/>
    <col min="20" max="21" width="8.42578125" customWidth="1"/>
    <col min="22" max="22" width="9" bestFit="1" customWidth="1"/>
    <col min="23" max="24" width="8.85546875"/>
    <col min="25" max="25" width="8.85546875" style="454"/>
    <col min="26" max="26" width="8.85546875"/>
    <col min="27" max="27" width="21.7109375" customWidth="1"/>
    <col min="28" max="29" width="13.5703125" customWidth="1"/>
    <col min="30" max="30" width="12" bestFit="1" customWidth="1"/>
    <col min="31" max="31" width="12.7109375" bestFit="1" customWidth="1"/>
    <col min="36" max="37" width="12.7109375" bestFit="1" customWidth="1"/>
    <col min="38" max="38" width="9.85546875" customWidth="1"/>
    <col min="39" max="39" width="11.42578125" customWidth="1"/>
    <col min="40" max="40" width="12" bestFit="1" customWidth="1"/>
    <col min="50" max="50" width="8.85546875" style="454"/>
    <col min="52" max="52" width="8.85546875"/>
    <col min="53" max="53" width="9.140625" customWidth="1"/>
    <col min="54" max="60" width="14.5703125" customWidth="1"/>
    <col min="61" max="61" width="12" customWidth="1"/>
    <col min="62" max="62" width="15.42578125" bestFit="1" customWidth="1"/>
    <col min="63" max="63" width="8.85546875"/>
    <col min="64" max="69" width="11.28515625" customWidth="1"/>
    <col min="70" max="70" width="13.140625" customWidth="1"/>
    <col min="71" max="72" width="8.85546875"/>
    <col min="73" max="73" width="11.42578125" customWidth="1"/>
    <col min="74" max="74" width="5.85546875" style="497" customWidth="1"/>
    <col min="77" max="77" width="11.5703125" customWidth="1"/>
    <col min="84" max="84" width="5.42578125" customWidth="1"/>
    <col min="85" max="85" width="6.28515625" customWidth="1"/>
    <col min="87" max="87" width="11.85546875" customWidth="1"/>
    <col min="88" max="88" width="7.28515625" customWidth="1"/>
    <col min="89" max="89" width="8.85546875"/>
    <col min="90" max="90" width="8.7109375" customWidth="1"/>
    <col min="91" max="93" width="8.85546875"/>
  </cols>
  <sheetData>
    <row r="1" spans="2:99" ht="84.75" customHeight="1" thickBot="1">
      <c r="K1" s="455" t="s">
        <v>1384</v>
      </c>
      <c r="AH1" s="455" t="s">
        <v>1327</v>
      </c>
      <c r="BH1" s="455" t="s">
        <v>511</v>
      </c>
      <c r="CA1" t="s">
        <v>1385</v>
      </c>
      <c r="CE1" s="581" t="s">
        <v>1386</v>
      </c>
      <c r="CJ1" t="s">
        <v>1387</v>
      </c>
      <c r="CQ1" t="s">
        <v>1388</v>
      </c>
    </row>
    <row r="2" spans="2:99" ht="16.5" thickBot="1">
      <c r="B2" s="185" t="s">
        <v>0</v>
      </c>
      <c r="C2" s="186" t="s">
        <v>7</v>
      </c>
      <c r="D2" s="186" t="s">
        <v>7</v>
      </c>
      <c r="E2" s="186" t="s">
        <v>7</v>
      </c>
      <c r="F2" s="186" t="s">
        <v>7</v>
      </c>
      <c r="G2" s="186" t="s">
        <v>7</v>
      </c>
      <c r="H2" s="187" t="s">
        <v>7</v>
      </c>
      <c r="I2" s="456"/>
      <c r="J2" s="456"/>
      <c r="K2" s="456"/>
      <c r="L2" s="456"/>
      <c r="M2" s="456"/>
      <c r="N2" s="456"/>
      <c r="O2" s="456"/>
      <c r="P2" s="456"/>
      <c r="Q2" s="456"/>
      <c r="R2" s="456"/>
      <c r="T2" s="197"/>
      <c r="U2" s="197"/>
      <c r="V2" s="456"/>
      <c r="W2" s="456"/>
      <c r="X2" s="456"/>
      <c r="AA2" s="156" t="s">
        <v>1389</v>
      </c>
      <c r="AB2" s="143" t="s">
        <v>11</v>
      </c>
      <c r="AC2" s="143" t="s">
        <v>11</v>
      </c>
      <c r="AD2" s="143" t="s">
        <v>11</v>
      </c>
      <c r="AE2" s="143" t="s">
        <v>11</v>
      </c>
      <c r="BA2" s="143" t="s">
        <v>14</v>
      </c>
      <c r="BB2" s="143" t="s">
        <v>14</v>
      </c>
      <c r="BC2" s="143" t="s">
        <v>14</v>
      </c>
      <c r="BD2" s="143" t="s">
        <v>14</v>
      </c>
      <c r="BF2" t="s">
        <v>1390</v>
      </c>
      <c r="BY2" s="531"/>
      <c r="BZ2" s="532"/>
      <c r="CA2" s="533" t="s">
        <v>1391</v>
      </c>
      <c r="CB2" s="534" t="s">
        <v>1392</v>
      </c>
      <c r="CC2" s="535" t="s">
        <v>1391</v>
      </c>
      <c r="CD2" s="534" t="s">
        <v>1392</v>
      </c>
      <c r="CI2" s="531" t="s">
        <v>1393</v>
      </c>
      <c r="CJ2" s="532"/>
      <c r="CK2" s="533" t="s">
        <v>1391</v>
      </c>
      <c r="CL2" s="534" t="s">
        <v>1392</v>
      </c>
      <c r="CM2" s="535" t="s">
        <v>1391</v>
      </c>
      <c r="CN2" s="534" t="s">
        <v>1392</v>
      </c>
      <c r="CP2" s="112"/>
      <c r="CQ2" s="486"/>
      <c r="CR2" s="494" t="s">
        <v>1391</v>
      </c>
      <c r="CS2" s="495" t="s">
        <v>1392</v>
      </c>
      <c r="CT2" s="496" t="s">
        <v>1391</v>
      </c>
      <c r="CU2" s="495" t="s">
        <v>1392</v>
      </c>
    </row>
    <row r="3" spans="2:99" ht="16.5" thickBot="1">
      <c r="B3" s="206" t="s">
        <v>139</v>
      </c>
      <c r="C3" s="242">
        <v>12</v>
      </c>
      <c r="D3" s="218">
        <v>15.5</v>
      </c>
      <c r="E3" s="218">
        <v>17</v>
      </c>
      <c r="F3" s="218">
        <v>19</v>
      </c>
      <c r="G3" s="218">
        <v>20.5</v>
      </c>
      <c r="H3" s="243">
        <v>28</v>
      </c>
      <c r="I3" s="457"/>
      <c r="J3" s="482" t="s">
        <v>1394</v>
      </c>
      <c r="K3" s="476"/>
      <c r="L3" s="457"/>
      <c r="M3" s="457"/>
      <c r="N3" s="457"/>
      <c r="O3" s="457"/>
      <c r="P3" s="457"/>
      <c r="Q3" s="457"/>
      <c r="R3" s="457"/>
      <c r="S3" s="564"/>
      <c r="T3" s="574" t="s">
        <v>1395</v>
      </c>
      <c r="U3" s="161" t="s">
        <v>1396</v>
      </c>
      <c r="V3" s="457"/>
      <c r="W3" s="457"/>
      <c r="X3" s="457"/>
      <c r="AA3" s="146" t="s">
        <v>1397</v>
      </c>
      <c r="AB3" s="151">
        <v>7</v>
      </c>
      <c r="AC3" s="151">
        <v>10.5</v>
      </c>
      <c r="AD3" s="151">
        <v>14</v>
      </c>
      <c r="AE3" s="151">
        <v>15.5</v>
      </c>
      <c r="BA3" s="155">
        <v>19</v>
      </c>
      <c r="BB3" s="154">
        <v>26</v>
      </c>
      <c r="BC3" s="153" t="s">
        <v>28</v>
      </c>
      <c r="BD3" s="152" t="s">
        <v>47</v>
      </c>
      <c r="BY3" s="536"/>
      <c r="BZ3" s="532"/>
      <c r="CA3" s="537" t="s">
        <v>1398</v>
      </c>
      <c r="CB3" s="532" t="s">
        <v>1398</v>
      </c>
      <c r="CC3" s="538" t="s">
        <v>1399</v>
      </c>
      <c r="CD3" s="532" t="s">
        <v>1399</v>
      </c>
      <c r="CI3" s="536" t="s">
        <v>1400</v>
      </c>
      <c r="CJ3" s="532"/>
      <c r="CK3" s="537" t="s">
        <v>1398</v>
      </c>
      <c r="CL3" s="532" t="s">
        <v>1398</v>
      </c>
      <c r="CM3" s="538" t="s">
        <v>1399</v>
      </c>
      <c r="CN3" s="532" t="s">
        <v>1399</v>
      </c>
      <c r="CP3" s="112"/>
      <c r="CQ3" s="486"/>
      <c r="CR3" s="490" t="s">
        <v>1398</v>
      </c>
      <c r="CS3" s="486" t="s">
        <v>1398</v>
      </c>
      <c r="CT3" s="118" t="s">
        <v>1399</v>
      </c>
      <c r="CU3" s="486" t="s">
        <v>1399</v>
      </c>
    </row>
    <row r="4" spans="2:99" ht="17.25">
      <c r="B4" s="190" t="s">
        <v>1121</v>
      </c>
      <c r="C4" s="166"/>
      <c r="D4" s="166"/>
      <c r="E4" s="166"/>
      <c r="F4" s="166"/>
      <c r="G4" s="166"/>
      <c r="H4" s="165"/>
      <c r="K4" s="483" t="s">
        <v>1395</v>
      </c>
      <c r="L4" s="483" t="s">
        <v>1396</v>
      </c>
      <c r="P4" s="483" t="s">
        <v>1395</v>
      </c>
      <c r="Q4" s="483" t="s">
        <v>1396</v>
      </c>
      <c r="S4" s="564" t="s">
        <v>1401</v>
      </c>
      <c r="T4" s="569">
        <v>-29</v>
      </c>
      <c r="U4" s="170">
        <v>-79</v>
      </c>
      <c r="AA4" s="150" t="s">
        <v>1402</v>
      </c>
      <c r="AB4" s="145">
        <v>7</v>
      </c>
      <c r="AC4" s="145">
        <v>10.5</v>
      </c>
      <c r="AD4" s="145">
        <v>14</v>
      </c>
      <c r="AE4" s="145">
        <v>15.5</v>
      </c>
      <c r="BA4" s="145">
        <v>19</v>
      </c>
      <c r="BB4" s="145">
        <v>26</v>
      </c>
      <c r="BC4" s="145">
        <v>38.75</v>
      </c>
      <c r="BD4" s="145">
        <v>45.75</v>
      </c>
      <c r="BY4" s="550" t="s">
        <v>150</v>
      </c>
      <c r="BZ4" s="334" t="s">
        <v>7</v>
      </c>
      <c r="CA4" s="553">
        <v>81.627756066021888</v>
      </c>
      <c r="CB4" s="554">
        <v>33.449242251064078</v>
      </c>
      <c r="CC4" s="555">
        <v>38.538212969544176</v>
      </c>
      <c r="CD4" s="554">
        <v>15.155040890694242</v>
      </c>
      <c r="CF4" s="132" t="s">
        <v>1403</v>
      </c>
      <c r="CG4" s="22">
        <v>1</v>
      </c>
      <c r="CI4" s="550" t="s">
        <v>1404</v>
      </c>
      <c r="CJ4" s="334" t="s">
        <v>7</v>
      </c>
      <c r="CK4" s="539">
        <f>-LN(1-CA4/100)/$CG$4/365</f>
        <v>4.6419976496613682E-3</v>
      </c>
      <c r="CL4" s="540">
        <f t="shared" ref="CL4:CN4" si="0">-LN(1-CB4/100)/$CG$4/365</f>
        <v>1.1156308357588326E-3</v>
      </c>
      <c r="CM4" s="541">
        <f t="shared" si="0"/>
        <v>1.3335741188801348E-3</v>
      </c>
      <c r="CN4" s="540">
        <f t="shared" si="0"/>
        <v>4.5025919317603159E-4</v>
      </c>
      <c r="CP4" s="491" t="s">
        <v>150</v>
      </c>
      <c r="CQ4" s="487" t="s">
        <v>7</v>
      </c>
      <c r="CR4" s="465">
        <f t="shared" ref="CR4:CU6" si="1">-$CG$7*$CG$4/LN(1-CA4/100)</f>
        <v>0.40909830523840179</v>
      </c>
      <c r="CS4" s="29">
        <f t="shared" si="1"/>
        <v>1.7022058825627753</v>
      </c>
      <c r="CT4" s="24">
        <f t="shared" si="1"/>
        <v>1.4240178663573781</v>
      </c>
      <c r="CU4" s="29">
        <f t="shared" si="1"/>
        <v>4.2176448591793028</v>
      </c>
    </row>
    <row r="5" spans="2:99" ht="18">
      <c r="B5" s="226" t="s">
        <v>1125</v>
      </c>
      <c r="C5" s="140">
        <v>-106</v>
      </c>
      <c r="D5" s="140">
        <v>-110</v>
      </c>
      <c r="E5" s="140">
        <v>-118</v>
      </c>
      <c r="F5" s="140">
        <v>-117</v>
      </c>
      <c r="G5" s="140">
        <v>-90</v>
      </c>
      <c r="H5" s="140" t="s">
        <v>1132</v>
      </c>
      <c r="I5" s="197"/>
      <c r="J5" t="s">
        <v>1401</v>
      </c>
      <c r="K5">
        <v>-29</v>
      </c>
      <c r="L5">
        <v>-79</v>
      </c>
      <c r="O5" t="s">
        <v>1405</v>
      </c>
      <c r="P5">
        <v>-0.6</v>
      </c>
      <c r="Q5">
        <v>-3.6</v>
      </c>
      <c r="R5" s="197"/>
      <c r="S5" s="565" t="s">
        <v>1406</v>
      </c>
      <c r="T5" s="1">
        <v>-17</v>
      </c>
      <c r="U5" s="570">
        <v>-126</v>
      </c>
      <c r="V5" s="197"/>
      <c r="W5" s="197"/>
      <c r="X5" s="197"/>
      <c r="AA5" s="144"/>
      <c r="AB5" s="169"/>
      <c r="AC5" s="169"/>
      <c r="AD5" s="169"/>
      <c r="AE5" s="169"/>
      <c r="BA5" s="168"/>
      <c r="BB5" s="168"/>
      <c r="BC5" s="168"/>
      <c r="BD5" s="168"/>
      <c r="BY5" s="550"/>
      <c r="BZ5" s="334" t="s">
        <v>11</v>
      </c>
      <c r="CA5" s="553">
        <v>67.97063016713355</v>
      </c>
      <c r="CB5" s="554">
        <v>37.845239167711277</v>
      </c>
      <c r="CC5" s="555">
        <v>19.859665196372326</v>
      </c>
      <c r="CD5" s="554">
        <v>17.300134953489064</v>
      </c>
      <c r="CF5" s="132" t="s">
        <v>1407</v>
      </c>
      <c r="CG5" s="22">
        <v>157</v>
      </c>
      <c r="CI5" s="550"/>
      <c r="CJ5" s="334" t="s">
        <v>11</v>
      </c>
      <c r="CK5" s="539">
        <f t="shared" ref="CK5:CK21" si="2">-LN(1-CA5/100)/$CG$4/365</f>
        <v>3.1192243749009678E-3</v>
      </c>
      <c r="CL5" s="540">
        <f t="shared" ref="CL5:CL21" si="3">-LN(1-CB5/100)/$CG$4/365</f>
        <v>1.3028569004814696E-3</v>
      </c>
      <c r="CM5" s="541">
        <f t="shared" ref="CM5:CM21" si="4">-LN(1-CC5/100)/$CG$4/365</f>
        <v>6.0655041932742096E-4</v>
      </c>
      <c r="CN5" s="540">
        <f t="shared" ref="CN5:CN21" si="5">-LN(1-CD5/100)/$CG$4/365</f>
        <v>5.2041702959906703E-4</v>
      </c>
      <c r="CP5" s="491"/>
      <c r="CQ5" s="487" t="s">
        <v>11</v>
      </c>
      <c r="CR5" s="465">
        <f t="shared" si="1"/>
        <v>0.60881589239870015</v>
      </c>
      <c r="CS5" s="29">
        <f t="shared" si="1"/>
        <v>1.4575916746461752</v>
      </c>
      <c r="CT5" s="24">
        <f t="shared" si="1"/>
        <v>3.1308747152509944</v>
      </c>
      <c r="CU5" s="29">
        <f t="shared" si="1"/>
        <v>3.6490607789298113</v>
      </c>
    </row>
    <row r="6" spans="2:99" ht="18">
      <c r="B6" s="227" t="s">
        <v>1137</v>
      </c>
      <c r="C6" s="139" t="s">
        <v>1132</v>
      </c>
      <c r="D6" s="139" t="s">
        <v>1132</v>
      </c>
      <c r="E6" s="139">
        <v>78</v>
      </c>
      <c r="F6" s="139" t="s">
        <v>1132</v>
      </c>
      <c r="G6" s="139" t="s">
        <v>1132</v>
      </c>
      <c r="H6" s="139" t="s">
        <v>1132</v>
      </c>
      <c r="I6" s="197"/>
      <c r="J6" t="s">
        <v>1406</v>
      </c>
      <c r="K6">
        <v>-17</v>
      </c>
      <c r="L6">
        <v>-126</v>
      </c>
      <c r="O6" t="s">
        <v>1408</v>
      </c>
      <c r="P6">
        <v>-0.7</v>
      </c>
      <c r="Q6">
        <v>-6.7</v>
      </c>
      <c r="R6" s="197"/>
      <c r="S6" s="565" t="s">
        <v>1409</v>
      </c>
      <c r="T6" s="1">
        <v>-78</v>
      </c>
      <c r="U6" s="570">
        <v>-189</v>
      </c>
      <c r="V6" s="197"/>
      <c r="W6" s="197"/>
      <c r="X6" s="197"/>
      <c r="AA6" s="146" t="s">
        <v>1410</v>
      </c>
      <c r="AB6" s="139"/>
      <c r="AC6" s="139"/>
      <c r="AD6" s="139"/>
      <c r="AE6" s="139"/>
      <c r="AG6" s="134" t="s">
        <v>1411</v>
      </c>
      <c r="BA6" s="139"/>
      <c r="BB6" s="139"/>
      <c r="BC6" s="139"/>
      <c r="BD6" s="139"/>
      <c r="BY6" s="550"/>
      <c r="BZ6" s="334" t="s">
        <v>14</v>
      </c>
      <c r="CA6" s="553">
        <v>76.349768132932113</v>
      </c>
      <c r="CB6" s="554">
        <v>45.147333051967827</v>
      </c>
      <c r="CC6" s="555">
        <v>21.95823848048466</v>
      </c>
      <c r="CD6" s="554">
        <v>21.385061131239567</v>
      </c>
      <c r="CF6" t="s">
        <v>1412</v>
      </c>
      <c r="CG6" s="22">
        <v>0.5</v>
      </c>
      <c r="CI6" s="550"/>
      <c r="CJ6" s="334" t="s">
        <v>14</v>
      </c>
      <c r="CK6" s="539">
        <f t="shared" si="2"/>
        <v>3.9501294986133122E-3</v>
      </c>
      <c r="CL6" s="540">
        <f t="shared" si="3"/>
        <v>1.6452585695278282E-3</v>
      </c>
      <c r="CM6" s="541">
        <f t="shared" si="4"/>
        <v>6.7924958487611958E-4</v>
      </c>
      <c r="CN6" s="540">
        <f t="shared" si="5"/>
        <v>6.5920121279149731E-4</v>
      </c>
      <c r="CP6" s="491"/>
      <c r="CQ6" s="487" t="s">
        <v>14</v>
      </c>
      <c r="CR6" s="465">
        <f t="shared" si="1"/>
        <v>0.48075218092565408</v>
      </c>
      <c r="CS6" s="29">
        <f t="shared" si="1"/>
        <v>1.154246151072845</v>
      </c>
      <c r="CT6" s="24">
        <f t="shared" si="1"/>
        <v>2.7957814236183198</v>
      </c>
      <c r="CU6" s="29">
        <f t="shared" si="1"/>
        <v>2.8808098870985646</v>
      </c>
    </row>
    <row r="7" spans="2:99" ht="18">
      <c r="B7" s="227" t="s">
        <v>1141</v>
      </c>
      <c r="C7" s="140">
        <v>80</v>
      </c>
      <c r="D7" s="140">
        <v>-154</v>
      </c>
      <c r="E7" s="139">
        <v>-169</v>
      </c>
      <c r="F7" s="139">
        <v>-170</v>
      </c>
      <c r="G7" s="139">
        <v>-173</v>
      </c>
      <c r="H7" s="140">
        <v>-162</v>
      </c>
      <c r="I7" s="197"/>
      <c r="J7" t="s">
        <v>1409</v>
      </c>
      <c r="K7">
        <v>-78</v>
      </c>
      <c r="L7">
        <v>-189</v>
      </c>
      <c r="O7" t="s">
        <v>1413</v>
      </c>
      <c r="P7">
        <v>-1.3</v>
      </c>
      <c r="Q7">
        <v>-4.0999999999999996</v>
      </c>
      <c r="R7" s="197"/>
      <c r="S7" s="565" t="s">
        <v>1414</v>
      </c>
      <c r="T7" s="1">
        <v>-19</v>
      </c>
      <c r="U7" s="570">
        <v>-50</v>
      </c>
      <c r="V7" s="197"/>
      <c r="W7" s="197"/>
      <c r="X7" s="197"/>
      <c r="AA7" s="149" t="s">
        <v>1415</v>
      </c>
      <c r="AB7" s="140">
        <v>-77</v>
      </c>
      <c r="AC7" s="140">
        <v>-75</v>
      </c>
      <c r="AD7" s="140">
        <v>-51</v>
      </c>
      <c r="AE7" s="140">
        <v>-61</v>
      </c>
      <c r="AG7" s="134" t="s">
        <v>1416</v>
      </c>
      <c r="BA7" s="140">
        <v>-67</v>
      </c>
      <c r="BB7" s="140">
        <v>-93</v>
      </c>
      <c r="BC7" s="140">
        <v>-72</v>
      </c>
      <c r="BD7" s="140">
        <v>-91</v>
      </c>
      <c r="BY7" s="551" t="s">
        <v>151</v>
      </c>
      <c r="BZ7" s="542" t="s">
        <v>7</v>
      </c>
      <c r="CA7" s="556">
        <v>93.5831749984917</v>
      </c>
      <c r="CB7" s="557"/>
      <c r="CC7" s="558">
        <v>38.659532628741331</v>
      </c>
      <c r="CD7" s="557"/>
      <c r="CF7" t="s">
        <v>1417</v>
      </c>
      <c r="CG7" s="173">
        <f>LN(2)</f>
        <v>0.69314718055994529</v>
      </c>
      <c r="CI7" s="551" t="s">
        <v>1418</v>
      </c>
      <c r="CJ7" s="542" t="s">
        <v>7</v>
      </c>
      <c r="CK7" s="543">
        <f t="shared" si="2"/>
        <v>7.523963667581123E-3</v>
      </c>
      <c r="CL7" s="544" t="s">
        <v>547</v>
      </c>
      <c r="CM7" s="545">
        <f t="shared" si="4"/>
        <v>1.3389874191113385E-3</v>
      </c>
      <c r="CN7" s="544" t="s">
        <v>547</v>
      </c>
      <c r="CP7" s="492" t="s">
        <v>151</v>
      </c>
      <c r="CQ7" s="488" t="s">
        <v>7</v>
      </c>
      <c r="CR7" s="485">
        <f t="shared" ref="CR7:CR21" si="6">-$CG$7*$CG$4/LN(1-CA7/100)</f>
        <v>0.25239799862133439</v>
      </c>
      <c r="CS7" s="58"/>
      <c r="CT7" s="44">
        <f t="shared" ref="CT7:CT21" si="7">-$CG$7*$CG$4/LN(1-CC7/100)</f>
        <v>1.4182608023736802</v>
      </c>
      <c r="CU7" s="58"/>
    </row>
    <row r="8" spans="2:99" ht="18">
      <c r="B8" s="227" t="s">
        <v>1153</v>
      </c>
      <c r="C8" s="140">
        <v>62</v>
      </c>
      <c r="D8" s="140">
        <v>-99</v>
      </c>
      <c r="E8" s="140">
        <v>-115</v>
      </c>
      <c r="F8" s="140">
        <v>-49</v>
      </c>
      <c r="G8" s="140">
        <v>-65</v>
      </c>
      <c r="H8" s="140">
        <v>-58</v>
      </c>
      <c r="I8" s="197"/>
      <c r="J8" t="s">
        <v>1414</v>
      </c>
      <c r="K8">
        <v>-19</v>
      </c>
      <c r="L8">
        <v>-50</v>
      </c>
      <c r="O8" t="s">
        <v>1419</v>
      </c>
      <c r="P8">
        <v>-0.7</v>
      </c>
      <c r="Q8">
        <v>-2.7</v>
      </c>
      <c r="R8" s="197"/>
      <c r="S8" s="566" t="s">
        <v>1420</v>
      </c>
      <c r="T8" s="1">
        <v>-19</v>
      </c>
      <c r="U8" s="570">
        <v>-50</v>
      </c>
      <c r="V8" s="197"/>
      <c r="W8" s="197"/>
      <c r="X8" s="197"/>
      <c r="AA8" s="149" t="s">
        <v>1421</v>
      </c>
      <c r="AB8" s="139" t="s">
        <v>1132</v>
      </c>
      <c r="AC8" s="139" t="s">
        <v>1132</v>
      </c>
      <c r="AD8" s="140">
        <v>38</v>
      </c>
      <c r="AE8" s="139" t="s">
        <v>1132</v>
      </c>
      <c r="AG8" s="132" t="s">
        <v>1422</v>
      </c>
      <c r="BA8" s="139" t="s">
        <v>1132</v>
      </c>
      <c r="BB8" s="140">
        <v>139</v>
      </c>
      <c r="BC8" s="140">
        <v>-46</v>
      </c>
      <c r="BD8" s="139">
        <v>13</v>
      </c>
      <c r="BY8" s="550"/>
      <c r="BZ8" s="334" t="s">
        <v>11</v>
      </c>
      <c r="CA8" s="553">
        <v>99.124023789816079</v>
      </c>
      <c r="CB8" s="554"/>
      <c r="CC8" s="555">
        <v>43.829682160011139</v>
      </c>
      <c r="CD8" s="554"/>
      <c r="CI8" s="550"/>
      <c r="CJ8" s="334" t="s">
        <v>11</v>
      </c>
      <c r="CK8" s="539">
        <f t="shared" si="2"/>
        <v>1.2979689128018872E-2</v>
      </c>
      <c r="CL8" s="540" t="s">
        <v>547</v>
      </c>
      <c r="CM8" s="541">
        <f t="shared" si="4"/>
        <v>1.5802238929407465E-3</v>
      </c>
      <c r="CN8" s="540" t="s">
        <v>547</v>
      </c>
      <c r="CP8" s="491"/>
      <c r="CQ8" s="487" t="s">
        <v>11</v>
      </c>
      <c r="CR8" s="465">
        <f t="shared" si="6"/>
        <v>0.14630807815710492</v>
      </c>
      <c r="CS8" s="29"/>
      <c r="CT8" s="24">
        <f t="shared" si="7"/>
        <v>1.2017495621225356</v>
      </c>
      <c r="CU8" s="29"/>
    </row>
    <row r="9" spans="2:99" ht="18">
      <c r="B9" s="227" t="s">
        <v>1164</v>
      </c>
      <c r="C9" s="140">
        <v>70</v>
      </c>
      <c r="D9" s="140">
        <v>-43</v>
      </c>
      <c r="E9" s="140">
        <v>-64</v>
      </c>
      <c r="F9" s="140">
        <v>9</v>
      </c>
      <c r="G9" s="140">
        <v>-22</v>
      </c>
      <c r="H9" s="140">
        <v>-97</v>
      </c>
      <c r="I9" s="197"/>
      <c r="J9" t="s">
        <v>1423</v>
      </c>
      <c r="K9">
        <v>-19</v>
      </c>
      <c r="L9">
        <v>-50</v>
      </c>
      <c r="O9" t="s">
        <v>1424</v>
      </c>
      <c r="P9">
        <v>-0.7</v>
      </c>
      <c r="Q9">
        <v>-2.7</v>
      </c>
      <c r="R9" s="197"/>
      <c r="S9" s="568" t="s">
        <v>1425</v>
      </c>
      <c r="T9" s="39">
        <v>-47</v>
      </c>
      <c r="U9" s="571">
        <v>-100</v>
      </c>
      <c r="V9" s="197"/>
      <c r="W9" s="197"/>
      <c r="X9" s="197"/>
      <c r="AA9" s="149" t="s">
        <v>1426</v>
      </c>
      <c r="AB9" s="141">
        <v>-179</v>
      </c>
      <c r="AC9" s="140">
        <v>-161</v>
      </c>
      <c r="AD9" s="140">
        <v>-164</v>
      </c>
      <c r="AE9" s="140">
        <v>2</v>
      </c>
      <c r="BA9" s="140">
        <v>-167</v>
      </c>
      <c r="BB9" s="140">
        <v>-155</v>
      </c>
      <c r="BC9" s="140">
        <v>-155</v>
      </c>
      <c r="BD9" s="140">
        <v>-163</v>
      </c>
      <c r="BY9" s="552"/>
      <c r="BZ9" s="546" t="s">
        <v>14</v>
      </c>
      <c r="CA9" s="559">
        <v>85.974737309599533</v>
      </c>
      <c r="CB9" s="560">
        <v>99.021852908812789</v>
      </c>
      <c r="CC9" s="561">
        <v>46.066898886369444</v>
      </c>
      <c r="CD9" s="560">
        <v>64.533401661112563</v>
      </c>
      <c r="CI9" s="552"/>
      <c r="CJ9" s="546" t="s">
        <v>14</v>
      </c>
      <c r="CK9" s="547">
        <f t="shared" si="2"/>
        <v>5.3816712454833084E-3</v>
      </c>
      <c r="CL9" s="548">
        <f t="shared" si="3"/>
        <v>1.2677439469198448E-2</v>
      </c>
      <c r="CM9" s="549">
        <f t="shared" si="4"/>
        <v>1.691577467730412E-3</v>
      </c>
      <c r="CN9" s="548">
        <f t="shared" si="5"/>
        <v>2.8399419843442232E-3</v>
      </c>
      <c r="CP9" s="493"/>
      <c r="CQ9" s="489" t="s">
        <v>14</v>
      </c>
      <c r="CR9" s="477">
        <f t="shared" si="6"/>
        <v>0.35287056469510614</v>
      </c>
      <c r="CS9" s="32">
        <f t="shared" ref="CS9:CS21" si="8">-$CG$7*$CG$4/LN(1-CB9/100)</f>
        <v>0.14979628780804424</v>
      </c>
      <c r="CT9" s="31">
        <f t="shared" si="7"/>
        <v>1.1226404983657305</v>
      </c>
      <c r="CU9" s="32">
        <f t="shared" ref="CU9:CU21" si="9">-$CG$7*$CG$4/LN(1-CD9/100)</f>
        <v>0.66868738230074087</v>
      </c>
    </row>
    <row r="10" spans="2:99" ht="18">
      <c r="B10" s="227" t="s">
        <v>1175</v>
      </c>
      <c r="C10" s="140">
        <v>-142</v>
      </c>
      <c r="D10" s="140">
        <v>-145</v>
      </c>
      <c r="E10" s="139">
        <v>-159</v>
      </c>
      <c r="F10" s="140">
        <v>-140</v>
      </c>
      <c r="G10" s="140">
        <v>-136</v>
      </c>
      <c r="H10" s="139" t="s">
        <v>1132</v>
      </c>
      <c r="I10" s="197"/>
      <c r="J10" t="s">
        <v>1427</v>
      </c>
      <c r="O10" t="s">
        <v>1428</v>
      </c>
      <c r="R10" s="197"/>
      <c r="S10" s="565" t="s">
        <v>1405</v>
      </c>
      <c r="T10" s="1">
        <v>-0.6</v>
      </c>
      <c r="U10" s="570">
        <v>-3.6</v>
      </c>
      <c r="V10" s="197"/>
      <c r="W10" s="197"/>
      <c r="X10" s="197"/>
      <c r="AA10" s="149" t="s">
        <v>1429</v>
      </c>
      <c r="AB10" s="141">
        <v>-165</v>
      </c>
      <c r="AC10" s="140">
        <v>-136</v>
      </c>
      <c r="AD10" s="139" t="s">
        <v>1132</v>
      </c>
      <c r="AE10" s="140">
        <v>-121</v>
      </c>
      <c r="BA10" s="140">
        <v>-122</v>
      </c>
      <c r="BB10" s="140">
        <v>-134</v>
      </c>
      <c r="BC10" s="140">
        <v>-127</v>
      </c>
      <c r="BD10" s="140">
        <v>-138</v>
      </c>
      <c r="BY10" s="550" t="s">
        <v>152</v>
      </c>
      <c r="BZ10" s="334" t="s">
        <v>7</v>
      </c>
      <c r="CA10" s="553">
        <v>55.478129686143198</v>
      </c>
      <c r="CB10" s="554">
        <v>29.623479973386416</v>
      </c>
      <c r="CC10" s="555">
        <v>25.249673351738046</v>
      </c>
      <c r="CD10" s="554">
        <v>19.627003612695013</v>
      </c>
      <c r="CI10" s="550" t="s">
        <v>1430</v>
      </c>
      <c r="CJ10" s="334" t="s">
        <v>7</v>
      </c>
      <c r="CK10" s="539">
        <f t="shared" si="2"/>
        <v>2.21695794471092E-3</v>
      </c>
      <c r="CL10" s="540">
        <f t="shared" si="3"/>
        <v>9.6249452275145751E-4</v>
      </c>
      <c r="CM10" s="541">
        <f t="shared" si="4"/>
        <v>7.9730576397377898E-4</v>
      </c>
      <c r="CN10" s="540">
        <f t="shared" si="5"/>
        <v>5.9860803300896106E-4</v>
      </c>
      <c r="CP10" s="491" t="s">
        <v>152</v>
      </c>
      <c r="CQ10" s="487" t="s">
        <v>7</v>
      </c>
      <c r="CR10" s="465">
        <f t="shared" si="6"/>
        <v>0.85659422449925393</v>
      </c>
      <c r="CS10" s="29">
        <f t="shared" si="8"/>
        <v>1.9730329124039003</v>
      </c>
      <c r="CT10" s="24">
        <f t="shared" si="7"/>
        <v>2.3818131728188083</v>
      </c>
      <c r="CU10" s="29">
        <f t="shared" si="9"/>
        <v>3.1724154483050215</v>
      </c>
    </row>
    <row r="11" spans="2:99" ht="18.75" thickBot="1">
      <c r="B11" s="228" t="s">
        <v>1185</v>
      </c>
      <c r="C11" s="139">
        <v>-43</v>
      </c>
      <c r="D11" s="139">
        <v>-54</v>
      </c>
      <c r="E11" s="140">
        <v>-39</v>
      </c>
      <c r="F11" s="140">
        <v>-42</v>
      </c>
      <c r="G11" s="140">
        <v>-34</v>
      </c>
      <c r="H11" s="140">
        <v>-28</v>
      </c>
      <c r="I11" s="197"/>
      <c r="J11" t="s">
        <v>1425</v>
      </c>
      <c r="K11">
        <v>-47</v>
      </c>
      <c r="L11">
        <v>-100</v>
      </c>
      <c r="O11" t="s">
        <v>1431</v>
      </c>
      <c r="P11">
        <v>-0.4</v>
      </c>
      <c r="Q11">
        <v>-5</v>
      </c>
      <c r="R11" s="197"/>
      <c r="S11" s="565" t="s">
        <v>1408</v>
      </c>
      <c r="T11" s="1">
        <v>-0.7</v>
      </c>
      <c r="U11" s="570">
        <v>-6.7</v>
      </c>
      <c r="V11" s="197"/>
      <c r="W11" s="197"/>
      <c r="X11" s="197"/>
      <c r="AA11" s="149" t="s">
        <v>1432</v>
      </c>
      <c r="AB11" s="141">
        <v>-138</v>
      </c>
      <c r="AC11" s="139" t="s">
        <v>1132</v>
      </c>
      <c r="AD11" s="139">
        <v>-126</v>
      </c>
      <c r="AE11" s="140">
        <v>-11</v>
      </c>
      <c r="BA11" s="140">
        <v>-101</v>
      </c>
      <c r="BB11" s="140">
        <v>-96</v>
      </c>
      <c r="BC11" s="140">
        <v>-100</v>
      </c>
      <c r="BD11" s="140">
        <v>-113</v>
      </c>
      <c r="BY11" s="550"/>
      <c r="BZ11" s="334" t="s">
        <v>11</v>
      </c>
      <c r="CA11" s="553">
        <v>67.861616100967439</v>
      </c>
      <c r="CB11" s="554">
        <v>45.737891289771902</v>
      </c>
      <c r="CC11" s="555">
        <v>30.331360144013729</v>
      </c>
      <c r="CD11" s="554">
        <v>28.375499000723185</v>
      </c>
      <c r="CI11" s="550"/>
      <c r="CJ11" s="334" t="s">
        <v>11</v>
      </c>
      <c r="CK11" s="539">
        <f t="shared" si="2"/>
        <v>3.1099153701625894E-3</v>
      </c>
      <c r="CL11" s="540">
        <f t="shared" si="3"/>
        <v>1.6749151135384539E-3</v>
      </c>
      <c r="CM11" s="541">
        <f t="shared" si="4"/>
        <v>9.9019150630361087E-4</v>
      </c>
      <c r="CN11" s="540">
        <f t="shared" si="5"/>
        <v>9.1433692555819136E-4</v>
      </c>
      <c r="CP11" s="491"/>
      <c r="CQ11" s="487" t="s">
        <v>11</v>
      </c>
      <c r="CR11" s="465">
        <f t="shared" si="6"/>
        <v>0.61063827961910966</v>
      </c>
      <c r="CS11" s="29">
        <f t="shared" si="8"/>
        <v>1.1338087262137007</v>
      </c>
      <c r="CT11" s="24">
        <f t="shared" si="7"/>
        <v>1.9178445374533761</v>
      </c>
      <c r="CU11" s="29">
        <f t="shared" si="9"/>
        <v>2.0769514150790465</v>
      </c>
    </row>
    <row r="12" spans="2:99" ht="17.25">
      <c r="B12" s="205" t="s">
        <v>1197</v>
      </c>
      <c r="C12" s="147"/>
      <c r="D12" s="147"/>
      <c r="E12" s="147"/>
      <c r="F12" s="147"/>
      <c r="G12" s="147"/>
      <c r="H12" s="147"/>
      <c r="O12" t="s">
        <v>1433</v>
      </c>
      <c r="S12" s="565" t="s">
        <v>1413</v>
      </c>
      <c r="T12" s="1">
        <v>-1.3</v>
      </c>
      <c r="U12" s="570">
        <v>-4.0999999999999996</v>
      </c>
      <c r="AA12" s="149" t="s">
        <v>1434</v>
      </c>
      <c r="AB12" s="140">
        <v>-132</v>
      </c>
      <c r="AC12" s="140">
        <v>-150</v>
      </c>
      <c r="AD12" s="140">
        <v>-106</v>
      </c>
      <c r="AE12" s="140">
        <v>-81</v>
      </c>
      <c r="AG12" t="s">
        <v>1435</v>
      </c>
      <c r="BA12" s="140">
        <v>-155</v>
      </c>
      <c r="BB12" s="140">
        <v>-147</v>
      </c>
      <c r="BC12" s="140">
        <v>-109</v>
      </c>
      <c r="BD12" s="140">
        <v>-159</v>
      </c>
      <c r="BY12" s="550"/>
      <c r="BZ12" s="334" t="s">
        <v>14</v>
      </c>
      <c r="CA12" s="553">
        <v>50.75299782370179</v>
      </c>
      <c r="CB12" s="554">
        <v>10.623178968705639</v>
      </c>
      <c r="CC12" s="555">
        <v>20.14248147827783</v>
      </c>
      <c r="CD12" s="554">
        <v>4.5851214518086598</v>
      </c>
      <c r="CI12" s="550"/>
      <c r="CJ12" s="334" t="s">
        <v>14</v>
      </c>
      <c r="CK12" s="539">
        <f t="shared" si="2"/>
        <v>1.940607369149056E-3</v>
      </c>
      <c r="CL12" s="540">
        <f t="shared" si="3"/>
        <v>3.0769536987991552E-4</v>
      </c>
      <c r="CM12" s="541">
        <f t="shared" si="4"/>
        <v>6.1623604847057015E-4</v>
      </c>
      <c r="CN12" s="540">
        <f t="shared" si="5"/>
        <v>1.2859084950586652E-4</v>
      </c>
      <c r="CP12" s="491"/>
      <c r="CQ12" s="487" t="s">
        <v>14</v>
      </c>
      <c r="CR12" s="465">
        <f t="shared" si="6"/>
        <v>0.97857681135665497</v>
      </c>
      <c r="CS12" s="29">
        <f t="shared" si="8"/>
        <v>6.1717970346393161</v>
      </c>
      <c r="CT12" s="24">
        <f t="shared" si="7"/>
        <v>3.0816655015724925</v>
      </c>
      <c r="CU12" s="29">
        <f t="shared" si="9"/>
        <v>14.768028819270485</v>
      </c>
    </row>
    <row r="13" spans="2:99" ht="18">
      <c r="B13" s="202" t="s">
        <v>1198</v>
      </c>
      <c r="C13" s="139">
        <v>-26.1</v>
      </c>
      <c r="D13" s="139">
        <v>-25.8</v>
      </c>
      <c r="E13" s="140">
        <v>-24.1</v>
      </c>
      <c r="F13" s="140">
        <v>-24.1</v>
      </c>
      <c r="G13" s="140">
        <v>-25.3</v>
      </c>
      <c r="H13" s="140">
        <v>-20.9</v>
      </c>
      <c r="I13" s="197"/>
      <c r="P13" s="197"/>
      <c r="Q13" s="197"/>
      <c r="R13" s="197"/>
      <c r="S13" s="565" t="s">
        <v>1419</v>
      </c>
      <c r="T13" s="1">
        <v>-0.7</v>
      </c>
      <c r="U13" s="570">
        <v>-2.7</v>
      </c>
      <c r="AA13" s="149" t="s">
        <v>1436</v>
      </c>
      <c r="AB13" s="139">
        <v>-55</v>
      </c>
      <c r="AC13" s="139">
        <v>-60</v>
      </c>
      <c r="AD13" s="140">
        <v>-27</v>
      </c>
      <c r="AE13" s="139">
        <v>-60</v>
      </c>
      <c r="AG13" t="s">
        <v>1437</v>
      </c>
      <c r="BA13" s="139">
        <v>-49</v>
      </c>
      <c r="BB13" s="139">
        <v>-55</v>
      </c>
      <c r="BC13" s="139">
        <v>-47</v>
      </c>
      <c r="BD13" s="139">
        <v>-56</v>
      </c>
      <c r="BY13" s="551" t="s">
        <v>303</v>
      </c>
      <c r="BZ13" s="542" t="s">
        <v>7</v>
      </c>
      <c r="CA13" s="556">
        <v>90.360583977551926</v>
      </c>
      <c r="CB13" s="557">
        <v>89.898456175780325</v>
      </c>
      <c r="CC13" s="558">
        <v>63.188302345146404</v>
      </c>
      <c r="CD13" s="557">
        <v>68.353805820094593</v>
      </c>
      <c r="CI13" s="551" t="s">
        <v>1438</v>
      </c>
      <c r="CJ13" s="542" t="s">
        <v>7</v>
      </c>
      <c r="CK13" s="543">
        <f t="shared" si="2"/>
        <v>6.4090675555748431E-3</v>
      </c>
      <c r="CL13" s="544">
        <f t="shared" si="3"/>
        <v>6.2807723833937157E-3</v>
      </c>
      <c r="CM13" s="545">
        <f t="shared" si="4"/>
        <v>2.737957589774527E-3</v>
      </c>
      <c r="CN13" s="544">
        <f t="shared" si="5"/>
        <v>3.1521980594755171E-3</v>
      </c>
      <c r="CP13" s="492" t="s">
        <v>303</v>
      </c>
      <c r="CQ13" s="488" t="s">
        <v>7</v>
      </c>
      <c r="CR13" s="485">
        <f t="shared" si="6"/>
        <v>0.29630415890143974</v>
      </c>
      <c r="CS13" s="58">
        <f t="shared" si="8"/>
        <v>0.30235666180454673</v>
      </c>
      <c r="CT13" s="44">
        <f t="shared" si="7"/>
        <v>0.69359488199870079</v>
      </c>
      <c r="CU13" s="58">
        <f t="shared" si="9"/>
        <v>0.60244735120263471</v>
      </c>
    </row>
    <row r="14" spans="2:99" ht="18">
      <c r="B14" s="203" t="s">
        <v>1209</v>
      </c>
      <c r="C14" s="140">
        <v>-22.8</v>
      </c>
      <c r="D14" s="140">
        <v>-17.8</v>
      </c>
      <c r="E14" s="140">
        <v>-22.1</v>
      </c>
      <c r="F14" s="140">
        <v>-20.2</v>
      </c>
      <c r="G14" s="140">
        <v>-18.7</v>
      </c>
      <c r="H14" s="140">
        <v>-23.8</v>
      </c>
      <c r="I14" s="197"/>
      <c r="R14" s="197"/>
      <c r="S14" s="565" t="s">
        <v>1424</v>
      </c>
      <c r="T14" s="1">
        <v>-0.7</v>
      </c>
      <c r="U14" s="570">
        <v>-2.7</v>
      </c>
      <c r="AA14" s="148"/>
      <c r="AB14" s="147"/>
      <c r="AC14" s="147"/>
      <c r="AD14" s="147"/>
      <c r="AE14" s="147"/>
      <c r="AG14" t="s">
        <v>1439</v>
      </c>
      <c r="BA14" s="147"/>
      <c r="BB14" s="147"/>
      <c r="BC14" s="147"/>
      <c r="BD14" s="147"/>
      <c r="BY14" s="550"/>
      <c r="BZ14" s="334" t="s">
        <v>11</v>
      </c>
      <c r="CA14" s="553">
        <v>68.547786297984302</v>
      </c>
      <c r="CB14" s="554">
        <v>88.3584852349953</v>
      </c>
      <c r="CC14" s="555">
        <v>35.087114205424683</v>
      </c>
      <c r="CD14" s="554">
        <v>56.837661568122314</v>
      </c>
      <c r="CI14" s="550"/>
      <c r="CJ14" s="334" t="s">
        <v>11</v>
      </c>
      <c r="CK14" s="539">
        <f t="shared" si="2"/>
        <v>3.1690433351707899E-3</v>
      </c>
      <c r="CL14" s="540">
        <f t="shared" si="3"/>
        <v>5.892034569043773E-3</v>
      </c>
      <c r="CM14" s="541">
        <f t="shared" si="4"/>
        <v>1.1839014617357757E-3</v>
      </c>
      <c r="CN14" s="540">
        <f t="shared" si="5"/>
        <v>2.3019229220032022E-3</v>
      </c>
      <c r="CP14" s="491"/>
      <c r="CQ14" s="487" t="s">
        <v>11</v>
      </c>
      <c r="CR14" s="465">
        <f t="shared" si="6"/>
        <v>0.59924499937289921</v>
      </c>
      <c r="CS14" s="29">
        <f t="shared" si="8"/>
        <v>0.32230519850892647</v>
      </c>
      <c r="CT14" s="24">
        <f t="shared" si="7"/>
        <v>1.6040468170491526</v>
      </c>
      <c r="CU14" s="29">
        <f t="shared" si="9"/>
        <v>0.82497695871785082</v>
      </c>
    </row>
    <row r="15" spans="2:99" ht="18.75" thickBot="1">
      <c r="B15" s="203" t="s">
        <v>1220</v>
      </c>
      <c r="C15" s="140">
        <v>-21.5</v>
      </c>
      <c r="D15" s="140">
        <v>-23.2</v>
      </c>
      <c r="E15" s="139">
        <v>-23.4</v>
      </c>
      <c r="F15" s="139">
        <v>-24.2</v>
      </c>
      <c r="G15" s="140">
        <v>-23.7</v>
      </c>
      <c r="H15" s="139">
        <v>-24.2</v>
      </c>
      <c r="I15" s="197"/>
      <c r="J15" s="484" t="s">
        <v>1440</v>
      </c>
      <c r="K15">
        <v>-78</v>
      </c>
      <c r="L15">
        <v>-189</v>
      </c>
      <c r="M15" t="s">
        <v>1441</v>
      </c>
      <c r="R15" s="197"/>
      <c r="S15" s="567" t="s">
        <v>1431</v>
      </c>
      <c r="T15" s="572">
        <v>-0.4</v>
      </c>
      <c r="U15" s="573">
        <v>-5</v>
      </c>
      <c r="AA15" s="146" t="s">
        <v>1442</v>
      </c>
      <c r="AB15" s="139"/>
      <c r="AC15" s="139"/>
      <c r="AD15" s="139"/>
      <c r="AE15" s="139"/>
      <c r="AG15" t="s">
        <v>1443</v>
      </c>
      <c r="BA15" s="139"/>
      <c r="BB15" s="139"/>
      <c r="BC15" s="139"/>
      <c r="BD15" s="139"/>
      <c r="BY15" s="552"/>
      <c r="BZ15" s="546" t="s">
        <v>14</v>
      </c>
      <c r="CA15" s="559">
        <v>68.527676194161103</v>
      </c>
      <c r="CB15" s="560">
        <v>41.750440030961173</v>
      </c>
      <c r="CC15" s="561">
        <v>27.589046959156015</v>
      </c>
      <c r="CD15" s="560">
        <v>19.238813046228664</v>
      </c>
      <c r="CI15" s="552"/>
      <c r="CJ15" s="546" t="s">
        <v>14</v>
      </c>
      <c r="CK15" s="547">
        <f t="shared" si="2"/>
        <v>3.1672921525982677E-3</v>
      </c>
      <c r="CL15" s="548">
        <f t="shared" si="3"/>
        <v>1.4806401308230285E-3</v>
      </c>
      <c r="CM15" s="549">
        <f t="shared" si="4"/>
        <v>8.8441811765568878E-4</v>
      </c>
      <c r="CN15" s="548">
        <f t="shared" si="5"/>
        <v>5.8540738453053797E-4</v>
      </c>
      <c r="CP15" s="493"/>
      <c r="CQ15" s="489" t="s">
        <v>14</v>
      </c>
      <c r="CR15" s="477">
        <f t="shared" si="6"/>
        <v>0.59957631942454392</v>
      </c>
      <c r="CS15" s="32">
        <f t="shared" si="8"/>
        <v>1.2825759155545202</v>
      </c>
      <c r="CT15" s="31">
        <f t="shared" si="7"/>
        <v>2.147212199169827</v>
      </c>
      <c r="CU15" s="32">
        <f t="shared" si="9"/>
        <v>3.2439518557150122</v>
      </c>
    </row>
    <row r="16" spans="2:99" ht="20.25">
      <c r="B16" s="203" t="s">
        <v>1229</v>
      </c>
      <c r="C16" s="140">
        <v>-17.5</v>
      </c>
      <c r="D16" s="140">
        <v>-24.5</v>
      </c>
      <c r="E16" s="139">
        <v>-25.1</v>
      </c>
      <c r="F16" s="140">
        <v>-22</v>
      </c>
      <c r="G16" s="140">
        <v>-23.1</v>
      </c>
      <c r="H16" s="140">
        <v>-21</v>
      </c>
      <c r="I16" s="197"/>
      <c r="J16" s="484" t="s">
        <v>1440</v>
      </c>
      <c r="K16">
        <v>-76</v>
      </c>
      <c r="L16">
        <v>-96</v>
      </c>
      <c r="M16" t="s">
        <v>1444</v>
      </c>
      <c r="N16" s="197"/>
      <c r="R16" s="197"/>
      <c r="S16" s="197"/>
      <c r="T16" s="197"/>
      <c r="U16" s="197"/>
      <c r="AA16" s="134" t="s">
        <v>1445</v>
      </c>
      <c r="AB16" s="139">
        <v>-26.5</v>
      </c>
      <c r="AC16" s="139">
        <v>-26.2</v>
      </c>
      <c r="AD16" s="140">
        <v>-25.2</v>
      </c>
      <c r="AE16" s="139">
        <v>-25.7</v>
      </c>
      <c r="AG16" t="s">
        <v>1446</v>
      </c>
      <c r="BA16" s="139">
        <v>-25.8</v>
      </c>
      <c r="BB16" s="139">
        <v>-26</v>
      </c>
      <c r="BC16" s="139">
        <v>-26</v>
      </c>
      <c r="BD16" s="140">
        <v>-25.5</v>
      </c>
      <c r="BY16" s="550" t="s">
        <v>326</v>
      </c>
      <c r="BZ16" s="334" t="s">
        <v>7</v>
      </c>
      <c r="CA16" s="553">
        <v>97.911109453892635</v>
      </c>
      <c r="CB16" s="554">
        <v>95.674331878409475</v>
      </c>
      <c r="CC16" s="555">
        <v>75.80455090945631</v>
      </c>
      <c r="CD16" s="554">
        <v>77.085222675027211</v>
      </c>
      <c r="CI16" s="550" t="s">
        <v>1447</v>
      </c>
      <c r="CJ16" s="334" t="s">
        <v>7</v>
      </c>
      <c r="CK16" s="539">
        <f t="shared" si="2"/>
        <v>1.0598731781203971E-2</v>
      </c>
      <c r="CL16" s="540">
        <f t="shared" si="3"/>
        <v>8.6043933659025497E-3</v>
      </c>
      <c r="CM16" s="541">
        <f t="shared" si="4"/>
        <v>3.8876866427934439E-3</v>
      </c>
      <c r="CN16" s="540">
        <f t="shared" si="5"/>
        <v>4.0366799602997291E-3</v>
      </c>
      <c r="CP16" s="491" t="s">
        <v>326</v>
      </c>
      <c r="CQ16" s="487" t="s">
        <v>7</v>
      </c>
      <c r="CR16" s="465">
        <f t="shared" si="6"/>
        <v>0.17917552878967075</v>
      </c>
      <c r="CS16" s="29">
        <f t="shared" si="8"/>
        <v>0.22070508525593344</v>
      </c>
      <c r="CT16" s="24">
        <f t="shared" si="7"/>
        <v>0.48847387813967075</v>
      </c>
      <c r="CU16" s="29">
        <f t="shared" si="9"/>
        <v>0.47044437262153044</v>
      </c>
    </row>
    <row r="17" spans="2:99" ht="20.25">
      <c r="B17" s="203" t="s">
        <v>1239</v>
      </c>
      <c r="C17" s="140">
        <v>-14</v>
      </c>
      <c r="D17" s="140">
        <v>-21.1</v>
      </c>
      <c r="E17" s="140">
        <v>-22.1</v>
      </c>
      <c r="F17" s="140">
        <v>-18</v>
      </c>
      <c r="G17" s="140">
        <v>-19.399999999999999</v>
      </c>
      <c r="H17" s="140">
        <v>-23.8</v>
      </c>
      <c r="I17" s="197"/>
      <c r="J17" s="197"/>
      <c r="K17" s="197"/>
      <c r="L17" s="197"/>
      <c r="M17" s="197"/>
      <c r="N17" s="197"/>
      <c r="R17" s="197"/>
      <c r="S17" s="197"/>
      <c r="T17" s="197"/>
      <c r="U17" s="197"/>
      <c r="AA17" s="134" t="s">
        <v>1448</v>
      </c>
      <c r="AB17" s="140">
        <v>-21</v>
      </c>
      <c r="AC17" s="140">
        <v>-20.6</v>
      </c>
      <c r="AD17" s="140">
        <v>-23.8</v>
      </c>
      <c r="AE17" s="140">
        <v>-18.100000000000001</v>
      </c>
      <c r="AG17" t="s">
        <v>1449</v>
      </c>
      <c r="BA17" s="140">
        <v>-16.899999999999999</v>
      </c>
      <c r="BB17" s="140">
        <v>-21.6</v>
      </c>
      <c r="BC17" s="139">
        <v>-25.3</v>
      </c>
      <c r="BD17" s="140">
        <v>-24.9</v>
      </c>
      <c r="BY17" s="550"/>
      <c r="BZ17" s="334" t="s">
        <v>11</v>
      </c>
      <c r="CA17" s="553">
        <v>86.126369987498052</v>
      </c>
      <c r="CB17" s="554">
        <v>75.811453547364309</v>
      </c>
      <c r="CC17" s="555">
        <v>65.763468512115935</v>
      </c>
      <c r="CD17" s="554">
        <v>58.878107534818014</v>
      </c>
      <c r="CI17" s="550"/>
      <c r="CJ17" s="334" t="s">
        <v>11</v>
      </c>
      <c r="CK17" s="539">
        <f t="shared" si="2"/>
        <v>5.4114527919676492E-3</v>
      </c>
      <c r="CL17" s="540">
        <f t="shared" si="3"/>
        <v>3.8884683614857597E-3</v>
      </c>
      <c r="CM17" s="541">
        <f t="shared" si="4"/>
        <v>2.9366491502715829E-3</v>
      </c>
      <c r="CN17" s="540">
        <f t="shared" si="5"/>
        <v>2.4346014874363385E-3</v>
      </c>
      <c r="CP17" s="491"/>
      <c r="CQ17" s="487" t="s">
        <v>11</v>
      </c>
      <c r="CR17" s="465">
        <f t="shared" si="6"/>
        <v>0.35092856657936511</v>
      </c>
      <c r="CS17" s="29">
        <f t="shared" si="8"/>
        <v>0.48837567773638807</v>
      </c>
      <c r="CT17" s="24">
        <f t="shared" si="7"/>
        <v>0.64666675323522627</v>
      </c>
      <c r="CU17" s="29">
        <f t="shared" si="9"/>
        <v>0.78001815952097064</v>
      </c>
    </row>
    <row r="18" spans="2:99" ht="20.25">
      <c r="B18" s="203" t="s">
        <v>1245</v>
      </c>
      <c r="C18" s="140">
        <v>-24.7</v>
      </c>
      <c r="D18" s="140">
        <v>-24.7</v>
      </c>
      <c r="E18" s="140">
        <v>-24.9</v>
      </c>
      <c r="F18" s="140">
        <v>-24</v>
      </c>
      <c r="G18" s="140">
        <v>-24.6</v>
      </c>
      <c r="H18" s="139">
        <v>-26.9</v>
      </c>
      <c r="I18" s="197"/>
      <c r="J18" s="197"/>
      <c r="K18" s="197"/>
      <c r="L18" s="197"/>
      <c r="M18" s="197"/>
      <c r="N18" s="197"/>
      <c r="R18" s="197"/>
      <c r="S18" s="197"/>
      <c r="T18" s="197"/>
      <c r="U18" s="197"/>
      <c r="AA18" s="134" t="s">
        <v>1450</v>
      </c>
      <c r="AB18" s="140">
        <v>-24.1</v>
      </c>
      <c r="AC18" s="140">
        <v>-22.8</v>
      </c>
      <c r="AD18" s="140">
        <v>-24.1</v>
      </c>
      <c r="AE18" s="140">
        <v>-22.5</v>
      </c>
      <c r="BA18" s="139">
        <v>-24.2</v>
      </c>
      <c r="BB18" s="139">
        <v>-24.3</v>
      </c>
      <c r="BC18" s="139">
        <v>-24.4</v>
      </c>
      <c r="BD18" s="139">
        <v>-24.3</v>
      </c>
      <c r="BY18" s="550"/>
      <c r="BZ18" s="334" t="s">
        <v>14</v>
      </c>
      <c r="CA18" s="553">
        <v>67.855069332497195</v>
      </c>
      <c r="CB18" s="554">
        <v>48.248916554503559</v>
      </c>
      <c r="CC18" s="555">
        <v>26.569311455180014</v>
      </c>
      <c r="CD18" s="554">
        <v>22.760347859270226</v>
      </c>
      <c r="CI18" s="550"/>
      <c r="CJ18" s="334" t="s">
        <v>14</v>
      </c>
      <c r="CK18" s="539">
        <f t="shared" si="2"/>
        <v>3.1093573294904112E-3</v>
      </c>
      <c r="CL18" s="540">
        <f t="shared" si="3"/>
        <v>1.8047255285394857E-3</v>
      </c>
      <c r="CM18" s="541">
        <f t="shared" si="4"/>
        <v>8.4610476077104607E-4</v>
      </c>
      <c r="CN18" s="540">
        <f t="shared" si="5"/>
        <v>7.0755406042064537E-4</v>
      </c>
      <c r="CP18" s="491"/>
      <c r="CQ18" s="487" t="s">
        <v>14</v>
      </c>
      <c r="CR18" s="465">
        <f t="shared" si="6"/>
        <v>0.61074787171802492</v>
      </c>
      <c r="CS18" s="29">
        <f t="shared" si="8"/>
        <v>1.0522560585342555</v>
      </c>
      <c r="CT18" s="24">
        <f t="shared" si="7"/>
        <v>2.2444423662934385</v>
      </c>
      <c r="CU18" s="29">
        <f t="shared" si="9"/>
        <v>2.6839410267367034</v>
      </c>
    </row>
    <row r="19" spans="2:99" ht="20.25">
      <c r="B19" s="203" t="s">
        <v>1256</v>
      </c>
      <c r="C19" s="139">
        <v>-26.3</v>
      </c>
      <c r="D19" s="139">
        <v>-26.8</v>
      </c>
      <c r="E19" s="139">
        <v>-26.7</v>
      </c>
      <c r="F19" s="139">
        <v>-26.7</v>
      </c>
      <c r="G19" s="139">
        <v>-26.7</v>
      </c>
      <c r="H19" s="139">
        <v>-26.3</v>
      </c>
      <c r="I19" s="197"/>
      <c r="J19" s="197"/>
      <c r="K19" s="197"/>
      <c r="L19" s="197"/>
      <c r="M19" s="197"/>
      <c r="N19" s="197"/>
      <c r="R19" s="197"/>
      <c r="S19" s="197"/>
      <c r="T19" s="197"/>
      <c r="U19" s="197"/>
      <c r="AA19" s="134" t="s">
        <v>1451</v>
      </c>
      <c r="AB19" s="141">
        <v>-26.2</v>
      </c>
      <c r="AC19" s="140">
        <v>-23.7</v>
      </c>
      <c r="AD19" s="139">
        <v>-26</v>
      </c>
      <c r="AE19" s="139">
        <v>-25</v>
      </c>
      <c r="BA19" s="140">
        <v>-24.7</v>
      </c>
      <c r="BB19" s="139">
        <v>-25.7</v>
      </c>
      <c r="BC19" s="139">
        <v>-25.5</v>
      </c>
      <c r="BD19" s="139">
        <v>-25.4</v>
      </c>
      <c r="BY19" s="551" t="s">
        <v>163</v>
      </c>
      <c r="BZ19" s="542" t="s">
        <v>7</v>
      </c>
      <c r="CA19" s="556">
        <v>42.515866964480701</v>
      </c>
      <c r="CB19" s="557">
        <v>30.707470478036111</v>
      </c>
      <c r="CC19" s="558">
        <v>5.12548337283995</v>
      </c>
      <c r="CD19" s="557">
        <v>15.988733478833598</v>
      </c>
      <c r="CI19" s="551" t="s">
        <v>1452</v>
      </c>
      <c r="CJ19" s="542" t="s">
        <v>7</v>
      </c>
      <c r="CK19" s="543">
        <f t="shared" si="2"/>
        <v>1.516880064311187E-3</v>
      </c>
      <c r="CL19" s="544">
        <f t="shared" si="3"/>
        <v>1.0050221498872193E-3</v>
      </c>
      <c r="CM19" s="545">
        <f t="shared" si="4"/>
        <v>1.441508085593666E-4</v>
      </c>
      <c r="CN19" s="544">
        <f t="shared" si="5"/>
        <v>4.7731307092269625E-4</v>
      </c>
      <c r="CP19" s="492" t="s">
        <v>163</v>
      </c>
      <c r="CQ19" s="488" t="s">
        <v>7</v>
      </c>
      <c r="CR19" s="485">
        <f t="shared" si="6"/>
        <v>1.2519337659430962</v>
      </c>
      <c r="CS19" s="58">
        <f t="shared" si="8"/>
        <v>1.8895437992189668</v>
      </c>
      <c r="CT19" s="44">
        <f t="shared" si="7"/>
        <v>13.173934925346039</v>
      </c>
      <c r="CU19" s="58">
        <f t="shared" si="9"/>
        <v>3.9785907553842588</v>
      </c>
    </row>
    <row r="20" spans="2:99" ht="18.75" thickBot="1">
      <c r="B20" s="204" t="s">
        <v>1263</v>
      </c>
      <c r="C20" s="136">
        <v>-23.2</v>
      </c>
      <c r="D20" s="135" t="s">
        <v>1132</v>
      </c>
      <c r="E20" s="135" t="s">
        <v>1132</v>
      </c>
      <c r="F20" s="135" t="s">
        <v>1132</v>
      </c>
      <c r="G20" s="136">
        <v>-23</v>
      </c>
      <c r="H20" s="136">
        <v>-23.7</v>
      </c>
      <c r="I20" s="197"/>
      <c r="J20" s="197"/>
      <c r="K20" s="197"/>
      <c r="L20" s="197"/>
      <c r="M20" s="197"/>
      <c r="N20" s="197"/>
      <c r="R20" s="197"/>
      <c r="S20" s="197"/>
      <c r="T20" s="197"/>
      <c r="U20" s="197"/>
      <c r="AA20" s="134" t="s">
        <v>1453</v>
      </c>
      <c r="AB20" s="140">
        <v>-25.7</v>
      </c>
      <c r="AC20" s="140">
        <v>-18.100000000000001</v>
      </c>
      <c r="AD20" s="140">
        <v>-25.1</v>
      </c>
      <c r="AE20" s="140">
        <v>-21.1</v>
      </c>
      <c r="BA20" s="140">
        <v>-24.6</v>
      </c>
      <c r="BB20" s="140">
        <v>-24.6</v>
      </c>
      <c r="BC20" s="140">
        <v>-24.7</v>
      </c>
      <c r="BD20" s="140">
        <v>-25.2</v>
      </c>
      <c r="BY20" s="491"/>
      <c r="BZ20" s="334" t="s">
        <v>11</v>
      </c>
      <c r="CA20" s="553">
        <v>52.714261345290545</v>
      </c>
      <c r="CB20" s="554">
        <v>31.34072427328848</v>
      </c>
      <c r="CC20" s="555">
        <v>5.9672083515067103</v>
      </c>
      <c r="CD20" s="554">
        <v>17.173867041349332</v>
      </c>
      <c r="CI20" s="491"/>
      <c r="CJ20" s="334" t="s">
        <v>11</v>
      </c>
      <c r="CK20" s="539">
        <f t="shared" si="2"/>
        <v>2.0519491624933733E-3</v>
      </c>
      <c r="CL20" s="540">
        <f t="shared" si="3"/>
        <v>1.0301751964591176E-3</v>
      </c>
      <c r="CM20" s="541">
        <f t="shared" si="4"/>
        <v>1.6856607459389439E-4</v>
      </c>
      <c r="CN20" s="540">
        <f t="shared" si="5"/>
        <v>5.1623714780907651E-4</v>
      </c>
      <c r="CP20" s="491"/>
      <c r="CQ20" s="487" t="s">
        <v>11</v>
      </c>
      <c r="CR20" s="465">
        <f t="shared" si="6"/>
        <v>0.92547778770968614</v>
      </c>
      <c r="CS20" s="29">
        <f t="shared" si="8"/>
        <v>1.8434081677800067</v>
      </c>
      <c r="CT20" s="24">
        <f t="shared" si="7"/>
        <v>11.265810015284623</v>
      </c>
      <c r="CU20" s="29">
        <f t="shared" si="9"/>
        <v>3.6786065850872141</v>
      </c>
    </row>
    <row r="21" spans="2:99" ht="17.25">
      <c r="AA21" s="134" t="s">
        <v>1454</v>
      </c>
      <c r="AB21" s="141">
        <v>-27.6</v>
      </c>
      <c r="AC21" s="139">
        <v>-26.9</v>
      </c>
      <c r="AD21" s="140">
        <v>-25.6</v>
      </c>
      <c r="AE21" s="140">
        <v>-23</v>
      </c>
      <c r="BA21" s="140">
        <v>-24.8</v>
      </c>
      <c r="BB21" s="140">
        <v>-25.2</v>
      </c>
      <c r="BC21" s="140">
        <v>-25.2</v>
      </c>
      <c r="BD21" s="140">
        <v>-25.1</v>
      </c>
      <c r="BY21" s="26"/>
      <c r="BZ21" s="546" t="s">
        <v>14</v>
      </c>
      <c r="CA21" s="559">
        <v>49.575270008552877</v>
      </c>
      <c r="CB21" s="560">
        <v>10.914568723511302</v>
      </c>
      <c r="CC21" s="561">
        <v>5.4813255733683617</v>
      </c>
      <c r="CD21" s="560">
        <v>5.341854691979286</v>
      </c>
      <c r="CI21" s="26"/>
      <c r="CJ21" s="546" t="s">
        <v>14</v>
      </c>
      <c r="CK21" s="547">
        <f t="shared" si="2"/>
        <v>1.8758587858044651E-3</v>
      </c>
      <c r="CL21" s="548">
        <f t="shared" si="3"/>
        <v>3.1664212242255154E-4</v>
      </c>
      <c r="CM21" s="549">
        <f t="shared" si="4"/>
        <v>1.5444591241380357E-4</v>
      </c>
      <c r="CN21" s="548">
        <f t="shared" si="5"/>
        <v>1.5040617780390082E-4</v>
      </c>
      <c r="CP21" s="26"/>
      <c r="CQ21" s="489" t="s">
        <v>14</v>
      </c>
      <c r="CR21" s="477">
        <f t="shared" si="6"/>
        <v>1.0123541205596172</v>
      </c>
      <c r="CS21" s="32">
        <f t="shared" si="8"/>
        <v>5.9974123368933663</v>
      </c>
      <c r="CT21" s="31">
        <f t="shared" si="7"/>
        <v>12.295782657614605</v>
      </c>
      <c r="CU21" s="32">
        <f t="shared" si="9"/>
        <v>12.626033046814509</v>
      </c>
    </row>
    <row r="22" spans="2:99" ht="17.25">
      <c r="AA22" s="134" t="s">
        <v>1455</v>
      </c>
      <c r="AB22" s="139">
        <v>-27</v>
      </c>
      <c r="AC22" s="139">
        <v>-26.8</v>
      </c>
      <c r="AD22" s="139">
        <v>-27.2</v>
      </c>
      <c r="AE22" s="139">
        <v>-26.9</v>
      </c>
      <c r="BA22" s="139">
        <v>-26.6</v>
      </c>
      <c r="BB22" s="139">
        <v>-26.7</v>
      </c>
      <c r="BC22" s="139">
        <v>-26.8</v>
      </c>
      <c r="BD22" s="139">
        <v>-26.8</v>
      </c>
    </row>
    <row r="23" spans="2:99" ht="21" thickBot="1">
      <c r="B23" t="s">
        <v>1456</v>
      </c>
      <c r="C23" s="30"/>
      <c r="D23" s="38" t="s">
        <v>1457</v>
      </c>
      <c r="E23" s="30" t="s">
        <v>1445</v>
      </c>
      <c r="F23" s="30" t="s">
        <v>1448</v>
      </c>
      <c r="G23" s="30" t="s">
        <v>1450</v>
      </c>
      <c r="H23" s="30" t="s">
        <v>1451</v>
      </c>
      <c r="I23" s="30" t="s">
        <v>1453</v>
      </c>
      <c r="J23" s="30" t="s">
        <v>1454</v>
      </c>
      <c r="K23" s="30" t="s">
        <v>1455</v>
      </c>
      <c r="L23" s="30" t="s">
        <v>1458</v>
      </c>
      <c r="M23" s="25"/>
      <c r="N23" s="38" t="s">
        <v>1457</v>
      </c>
      <c r="O23" s="30" t="s">
        <v>1415</v>
      </c>
      <c r="P23" s="30" t="s">
        <v>1421</v>
      </c>
      <c r="Q23" s="30" t="s">
        <v>1426</v>
      </c>
      <c r="R23" s="30" t="s">
        <v>1429</v>
      </c>
      <c r="S23" s="30" t="s">
        <v>1432</v>
      </c>
      <c r="T23" s="30" t="s">
        <v>1434</v>
      </c>
      <c r="U23" s="30" t="s">
        <v>1436</v>
      </c>
      <c r="V23" t="s">
        <v>334</v>
      </c>
      <c r="W23" t="s">
        <v>1456</v>
      </c>
      <c r="AA23" s="138" t="s">
        <v>1458</v>
      </c>
      <c r="AB23" s="135">
        <v>-25.7</v>
      </c>
      <c r="AC23" s="135">
        <v>-25.4</v>
      </c>
      <c r="AD23" s="135">
        <v>-25.8</v>
      </c>
      <c r="AE23" s="135">
        <v>-24.4</v>
      </c>
      <c r="BA23" s="135" t="s">
        <v>1132</v>
      </c>
      <c r="BB23" s="136">
        <v>-24</v>
      </c>
      <c r="BC23" s="135">
        <v>-25.9</v>
      </c>
      <c r="BD23" s="137">
        <v>-26.3</v>
      </c>
    </row>
    <row r="24" spans="2:99">
      <c r="B24" s="22">
        <v>4.6276082418081854</v>
      </c>
      <c r="C24" s="21" t="s">
        <v>1459</v>
      </c>
      <c r="D24" s="40">
        <v>12</v>
      </c>
      <c r="E24" s="375">
        <v>-26.1</v>
      </c>
      <c r="F24" s="27">
        <v>-22.8</v>
      </c>
      <c r="G24" s="27">
        <v>-21.5</v>
      </c>
      <c r="H24" s="27">
        <v>-17.5</v>
      </c>
      <c r="I24" s="27">
        <v>-14</v>
      </c>
      <c r="J24" s="27">
        <v>-24.7</v>
      </c>
      <c r="K24" s="27">
        <v>-26.3</v>
      </c>
      <c r="L24" s="27">
        <v>-23.2</v>
      </c>
      <c r="M24" s="25"/>
      <c r="N24" s="40">
        <v>12</v>
      </c>
      <c r="O24" s="27">
        <v>-106</v>
      </c>
      <c r="P24" s="27" t="s">
        <v>1132</v>
      </c>
      <c r="Q24" s="27">
        <v>80</v>
      </c>
      <c r="R24" s="27">
        <v>62</v>
      </c>
      <c r="S24" s="27">
        <v>70</v>
      </c>
      <c r="T24" s="27">
        <v>-142</v>
      </c>
      <c r="U24" s="27">
        <v>-43</v>
      </c>
      <c r="V24" s="465">
        <f>AVERAGE(O24:U24)</f>
        <v>-13.166666666666666</v>
      </c>
      <c r="W24" s="22">
        <v>4.6276082418081854</v>
      </c>
      <c r="AA24" s="132"/>
    </row>
    <row r="25" spans="2:99">
      <c r="B25" s="22">
        <v>10.445299637632411</v>
      </c>
      <c r="C25" s="21"/>
      <c r="D25" s="40">
        <v>15.5</v>
      </c>
      <c r="E25">
        <v>-25.8</v>
      </c>
      <c r="F25">
        <v>-17.8</v>
      </c>
      <c r="G25">
        <v>-23.2</v>
      </c>
      <c r="H25">
        <v>-24.5</v>
      </c>
      <c r="I25">
        <v>-21.1</v>
      </c>
      <c r="J25">
        <v>-24.7</v>
      </c>
      <c r="K25" s="21">
        <v>-26.8</v>
      </c>
      <c r="L25" t="s">
        <v>1132</v>
      </c>
      <c r="M25" s="25"/>
      <c r="N25" s="40">
        <v>15.5</v>
      </c>
      <c r="O25">
        <v>-110</v>
      </c>
      <c r="P25" t="s">
        <v>1132</v>
      </c>
      <c r="Q25">
        <v>-154</v>
      </c>
      <c r="R25">
        <v>-99</v>
      </c>
      <c r="S25">
        <v>-43</v>
      </c>
      <c r="T25">
        <v>-145</v>
      </c>
      <c r="U25" s="21">
        <v>-54</v>
      </c>
      <c r="V25" s="465">
        <f t="shared" ref="V25:V29" si="10">AVERAGE(O25:U25)</f>
        <v>-100.83333333333333</v>
      </c>
      <c r="W25" s="22">
        <v>10.445299637632411</v>
      </c>
    </row>
    <row r="26" spans="2:99" ht="20.25">
      <c r="B26" s="22">
        <v>8.5177206461662855</v>
      </c>
      <c r="C26" s="21"/>
      <c r="D26" s="40">
        <v>17</v>
      </c>
      <c r="E26">
        <v>-24.1</v>
      </c>
      <c r="F26">
        <v>-22.1</v>
      </c>
      <c r="G26">
        <v>-23.4</v>
      </c>
      <c r="H26" s="21">
        <v>-25.1</v>
      </c>
      <c r="I26">
        <v>-22.1</v>
      </c>
      <c r="J26">
        <v>-24.9</v>
      </c>
      <c r="K26">
        <v>-26.7</v>
      </c>
      <c r="L26" t="s">
        <v>1132</v>
      </c>
      <c r="M26" s="25"/>
      <c r="N26" s="40">
        <v>17</v>
      </c>
      <c r="O26" s="21">
        <v>-118</v>
      </c>
      <c r="P26">
        <v>78</v>
      </c>
      <c r="Q26">
        <v>-169</v>
      </c>
      <c r="R26" s="21">
        <v>-115</v>
      </c>
      <c r="S26">
        <v>-64</v>
      </c>
      <c r="T26" s="21">
        <v>-159</v>
      </c>
      <c r="U26">
        <v>-39</v>
      </c>
      <c r="V26" s="465">
        <f t="shared" si="10"/>
        <v>-83.714285714285708</v>
      </c>
      <c r="W26" s="22">
        <v>8.5177206461662855</v>
      </c>
      <c r="AA26" s="453" t="s">
        <v>1456</v>
      </c>
      <c r="AB26" s="30"/>
      <c r="AC26" s="38" t="s">
        <v>1457</v>
      </c>
      <c r="AD26" s="30" t="s">
        <v>1445</v>
      </c>
      <c r="AE26" s="30" t="s">
        <v>1448</v>
      </c>
      <c r="AF26" s="30" t="s">
        <v>1450</v>
      </c>
      <c r="AG26" s="30" t="s">
        <v>1451</v>
      </c>
      <c r="AH26" s="30" t="s">
        <v>1453</v>
      </c>
      <c r="AI26" s="30" t="s">
        <v>1454</v>
      </c>
      <c r="AJ26" s="30" t="s">
        <v>1455</v>
      </c>
      <c r="AK26" s="30" t="s">
        <v>1458</v>
      </c>
      <c r="AL26" s="25"/>
      <c r="AM26" s="38" t="s">
        <v>1457</v>
      </c>
      <c r="AN26" s="30" t="s">
        <v>1415</v>
      </c>
      <c r="AO26" s="30" t="s">
        <v>1421</v>
      </c>
      <c r="AP26" s="30" t="s">
        <v>1426</v>
      </c>
      <c r="AQ26" s="30" t="s">
        <v>1429</v>
      </c>
      <c r="AR26" s="30" t="s">
        <v>1432</v>
      </c>
      <c r="AS26" s="30" t="s">
        <v>1434</v>
      </c>
      <c r="AT26" s="30" t="s">
        <v>1436</v>
      </c>
    </row>
    <row r="27" spans="2:99" ht="20.25">
      <c r="B27" s="22">
        <v>6.0722362002911341</v>
      </c>
      <c r="C27" s="21"/>
      <c r="D27" s="40">
        <v>19</v>
      </c>
      <c r="E27">
        <v>-24.1</v>
      </c>
      <c r="F27">
        <v>-20.2</v>
      </c>
      <c r="G27" s="21">
        <v>-24.2</v>
      </c>
      <c r="H27">
        <v>-22</v>
      </c>
      <c r="I27">
        <v>-18</v>
      </c>
      <c r="J27">
        <v>-24</v>
      </c>
      <c r="K27">
        <v>-26.7</v>
      </c>
      <c r="L27" t="s">
        <v>1132</v>
      </c>
      <c r="M27" s="25"/>
      <c r="N27" s="40">
        <v>19</v>
      </c>
      <c r="O27">
        <v>-117</v>
      </c>
      <c r="P27" t="s">
        <v>1132</v>
      </c>
      <c r="Q27">
        <v>-170</v>
      </c>
      <c r="R27">
        <v>-49</v>
      </c>
      <c r="S27">
        <v>9</v>
      </c>
      <c r="T27">
        <v>-140</v>
      </c>
      <c r="U27">
        <v>-42</v>
      </c>
      <c r="V27" s="465">
        <f t="shared" si="10"/>
        <v>-84.833333333333329</v>
      </c>
      <c r="W27" s="22">
        <v>6.0722362002911341</v>
      </c>
      <c r="AA27" s="18">
        <v>9.6832077668474703</v>
      </c>
      <c r="AB27" s="21" t="s">
        <v>1459</v>
      </c>
      <c r="AC27" s="167">
        <v>7</v>
      </c>
      <c r="AD27" s="21">
        <v>-26.5</v>
      </c>
      <c r="AE27">
        <v>-21</v>
      </c>
      <c r="AF27">
        <v>-24.1</v>
      </c>
      <c r="AG27" s="21">
        <v>-26.2</v>
      </c>
      <c r="AH27" s="21">
        <v>-25.7</v>
      </c>
      <c r="AI27" s="21">
        <v>-27.6</v>
      </c>
      <c r="AJ27">
        <v>-27</v>
      </c>
      <c r="AK27">
        <v>-25.7</v>
      </c>
      <c r="AL27" s="25"/>
      <c r="AM27" s="167">
        <v>7</v>
      </c>
      <c r="AN27" s="21">
        <v>-77</v>
      </c>
      <c r="AO27" t="s">
        <v>1132</v>
      </c>
      <c r="AP27" s="21">
        <v>-179</v>
      </c>
      <c r="AQ27" s="21">
        <v>-165</v>
      </c>
      <c r="AR27" s="21">
        <v>-138</v>
      </c>
      <c r="AS27">
        <v>-132</v>
      </c>
      <c r="AT27">
        <v>-55</v>
      </c>
      <c r="AU27" s="25">
        <f>AVERAGE(AN27:AT27)</f>
        <v>-124.33333333333333</v>
      </c>
      <c r="BA27" s="38" t="s">
        <v>1457</v>
      </c>
      <c r="BB27" s="30" t="s">
        <v>1445</v>
      </c>
      <c r="BC27" s="30" t="s">
        <v>1448</v>
      </c>
      <c r="BD27" s="30" t="s">
        <v>1450</v>
      </c>
      <c r="BE27" s="30" t="s">
        <v>1451</v>
      </c>
      <c r="BF27" s="30" t="s">
        <v>1453</v>
      </c>
      <c r="BG27" s="30" t="s">
        <v>1454</v>
      </c>
      <c r="BH27" s="30" t="s">
        <v>1455</v>
      </c>
      <c r="BI27" s="30" t="s">
        <v>1458</v>
      </c>
      <c r="BK27" s="38" t="s">
        <v>1457</v>
      </c>
      <c r="BL27" s="30" t="s">
        <v>1415</v>
      </c>
      <c r="BM27" s="30" t="s">
        <v>1421</v>
      </c>
      <c r="BN27" s="30" t="s">
        <v>1426</v>
      </c>
      <c r="BO27" s="30" t="s">
        <v>1429</v>
      </c>
      <c r="BP27" s="30" t="s">
        <v>1432</v>
      </c>
      <c r="BQ27" s="30" t="s">
        <v>1434</v>
      </c>
      <c r="BR27" s="30" t="s">
        <v>1436</v>
      </c>
    </row>
    <row r="28" spans="2:99">
      <c r="B28" s="22">
        <v>3.3637875359597293</v>
      </c>
      <c r="D28" s="40">
        <v>20.5</v>
      </c>
      <c r="E28">
        <v>-25.3</v>
      </c>
      <c r="F28">
        <v>-18.7</v>
      </c>
      <c r="G28">
        <v>-23.7</v>
      </c>
      <c r="H28">
        <v>-23.1</v>
      </c>
      <c r="I28">
        <v>-19.399999999999999</v>
      </c>
      <c r="J28">
        <v>-24.6</v>
      </c>
      <c r="K28">
        <v>-26.7</v>
      </c>
      <c r="L28">
        <v>-23</v>
      </c>
      <c r="M28" s="25"/>
      <c r="N28" s="40">
        <v>20.5</v>
      </c>
      <c r="O28">
        <v>-90</v>
      </c>
      <c r="P28" t="s">
        <v>1132</v>
      </c>
      <c r="Q28" s="21">
        <v>-173</v>
      </c>
      <c r="R28">
        <v>-65</v>
      </c>
      <c r="S28">
        <v>-22</v>
      </c>
      <c r="T28">
        <v>-136</v>
      </c>
      <c r="U28">
        <v>-34</v>
      </c>
      <c r="V28" s="465">
        <f t="shared" si="10"/>
        <v>-86.666666666666671</v>
      </c>
      <c r="W28" s="22">
        <v>3.3637875359597293</v>
      </c>
      <c r="AA28" s="18">
        <v>0.60699112448763304</v>
      </c>
      <c r="AB28" s="21"/>
      <c r="AC28" s="40">
        <v>10.5</v>
      </c>
      <c r="AD28">
        <v>-26.2</v>
      </c>
      <c r="AE28">
        <v>-20.6</v>
      </c>
      <c r="AF28">
        <v>-22.8</v>
      </c>
      <c r="AG28">
        <v>-23.7</v>
      </c>
      <c r="AH28">
        <v>-18.100000000000001</v>
      </c>
      <c r="AI28">
        <v>-26.9</v>
      </c>
      <c r="AJ28">
        <v>-26.8</v>
      </c>
      <c r="AK28">
        <v>-25.4</v>
      </c>
      <c r="AL28" s="25"/>
      <c r="AM28" s="40">
        <v>10.5</v>
      </c>
      <c r="AN28">
        <v>-75</v>
      </c>
      <c r="AO28" t="s">
        <v>1132</v>
      </c>
      <c r="AP28">
        <v>-161</v>
      </c>
      <c r="AQ28">
        <v>-136</v>
      </c>
      <c r="AR28" t="s">
        <v>1132</v>
      </c>
      <c r="AS28" s="21">
        <v>-150</v>
      </c>
      <c r="AT28" s="21">
        <v>-60</v>
      </c>
      <c r="AU28" s="25">
        <f t="shared" ref="AU28:AU30" si="11">AVERAGE(AN28:AT28)</f>
        <v>-116.4</v>
      </c>
      <c r="BA28" s="167">
        <v>15.5</v>
      </c>
      <c r="BB28" s="400">
        <v>-26.7</v>
      </c>
      <c r="BC28" s="16">
        <v>-18.8</v>
      </c>
      <c r="BD28" s="400">
        <v>-25.2</v>
      </c>
      <c r="BE28" s="400">
        <v>-26.2</v>
      </c>
      <c r="BF28" s="400">
        <v>-25.6</v>
      </c>
      <c r="BG28" s="16">
        <v>-23.8</v>
      </c>
      <c r="BH28" s="400">
        <v>-27</v>
      </c>
      <c r="BI28" s="16">
        <v>-21.1</v>
      </c>
      <c r="BJ28" s="16"/>
      <c r="BK28" s="167">
        <v>15.5</v>
      </c>
      <c r="BL28" s="400">
        <v>-99</v>
      </c>
      <c r="BM28" s="16">
        <v>170</v>
      </c>
      <c r="BN28" s="16">
        <v>-165</v>
      </c>
      <c r="BO28" s="16">
        <v>-131</v>
      </c>
      <c r="BP28" s="16">
        <v>-108</v>
      </c>
      <c r="BQ28" s="16">
        <v>-153</v>
      </c>
      <c r="BR28" s="16">
        <v>-52</v>
      </c>
    </row>
    <row r="29" spans="2:99">
      <c r="B29" s="22">
        <v>1.9769096035899396</v>
      </c>
      <c r="D29" s="40">
        <v>28</v>
      </c>
      <c r="E29" s="30">
        <v>-20.9</v>
      </c>
      <c r="F29" s="376">
        <v>-23.8</v>
      </c>
      <c r="G29" s="376">
        <v>-24.2</v>
      </c>
      <c r="H29" s="30">
        <v>-21</v>
      </c>
      <c r="I29" s="376">
        <v>-23.8</v>
      </c>
      <c r="J29" s="376">
        <v>-26.9</v>
      </c>
      <c r="K29" s="30">
        <v>-26.3</v>
      </c>
      <c r="L29" s="30">
        <v>-23.7</v>
      </c>
      <c r="M29" s="25"/>
      <c r="N29" s="40">
        <v>28</v>
      </c>
      <c r="O29" s="30" t="s">
        <v>1132</v>
      </c>
      <c r="P29" s="30" t="s">
        <v>1132</v>
      </c>
      <c r="Q29" s="30">
        <v>-162</v>
      </c>
      <c r="R29" s="30">
        <v>-58</v>
      </c>
      <c r="S29" s="376">
        <v>-97</v>
      </c>
      <c r="T29" s="30" t="s">
        <v>1132</v>
      </c>
      <c r="U29" s="30">
        <v>-28</v>
      </c>
      <c r="V29" s="465">
        <f t="shared" si="10"/>
        <v>-86.25</v>
      </c>
      <c r="W29" s="22">
        <v>1.9769096035899396</v>
      </c>
      <c r="AA29" s="18">
        <v>10.123158243273032</v>
      </c>
      <c r="AB29" s="21"/>
      <c r="AC29" s="40">
        <v>14</v>
      </c>
      <c r="AD29">
        <v>-25.2</v>
      </c>
      <c r="AE29" s="21">
        <v>-23.8</v>
      </c>
      <c r="AF29" s="21">
        <v>-24.1</v>
      </c>
      <c r="AG29">
        <v>-26</v>
      </c>
      <c r="AH29">
        <v>-25.1</v>
      </c>
      <c r="AI29">
        <v>-25.6</v>
      </c>
      <c r="AJ29" s="21">
        <v>-27.2</v>
      </c>
      <c r="AK29" s="21">
        <v>-25.8</v>
      </c>
      <c r="AL29" s="25"/>
      <c r="AM29" s="40">
        <v>14</v>
      </c>
      <c r="AN29">
        <v>-51</v>
      </c>
      <c r="AO29">
        <v>38</v>
      </c>
      <c r="AP29">
        <v>-164</v>
      </c>
      <c r="AQ29" t="s">
        <v>1132</v>
      </c>
      <c r="AR29">
        <v>-126</v>
      </c>
      <c r="AS29">
        <v>-106</v>
      </c>
      <c r="AT29">
        <v>-27</v>
      </c>
      <c r="AU29" s="25">
        <f t="shared" si="11"/>
        <v>-72.666666666666671</v>
      </c>
      <c r="BA29" s="40">
        <v>19</v>
      </c>
      <c r="BB29">
        <v>-25.8</v>
      </c>
      <c r="BC29">
        <v>-16.899999999999999</v>
      </c>
      <c r="BD29">
        <v>-24.2</v>
      </c>
      <c r="BE29">
        <v>-24.7</v>
      </c>
      <c r="BF29">
        <v>-24.6</v>
      </c>
      <c r="BG29">
        <v>-24.8</v>
      </c>
      <c r="BH29">
        <v>-26.6</v>
      </c>
      <c r="BI29" t="s">
        <v>1132</v>
      </c>
      <c r="BK29" s="40">
        <v>19</v>
      </c>
      <c r="BL29">
        <v>-67</v>
      </c>
      <c r="BM29" t="s">
        <v>1132</v>
      </c>
      <c r="BN29" s="21">
        <v>-167</v>
      </c>
      <c r="BO29">
        <v>-122</v>
      </c>
      <c r="BP29">
        <v>-101</v>
      </c>
      <c r="BQ29">
        <v>-155</v>
      </c>
      <c r="BR29">
        <v>-49</v>
      </c>
    </row>
    <row r="30" spans="2:99">
      <c r="C30" s="21"/>
      <c r="D30" s="57" t="s">
        <v>1460</v>
      </c>
      <c r="E30">
        <f>SMALL(E24:E29,1)</f>
        <v>-26.1</v>
      </c>
      <c r="F30">
        <f t="shared" ref="F30:L30" si="12">SMALL(F24:F29,1)</f>
        <v>-23.8</v>
      </c>
      <c r="G30">
        <f t="shared" si="12"/>
        <v>-24.2</v>
      </c>
      <c r="H30">
        <f t="shared" si="12"/>
        <v>-25.1</v>
      </c>
      <c r="I30">
        <f t="shared" si="12"/>
        <v>-23.8</v>
      </c>
      <c r="J30">
        <f t="shared" si="12"/>
        <v>-26.9</v>
      </c>
      <c r="K30">
        <f t="shared" si="12"/>
        <v>-26.8</v>
      </c>
      <c r="L30">
        <f t="shared" si="12"/>
        <v>-23.7</v>
      </c>
      <c r="M30" s="25"/>
      <c r="N30" s="57" t="s">
        <v>1460</v>
      </c>
      <c r="O30">
        <f>SMALL(O24:O29,1)</f>
        <v>-118</v>
      </c>
      <c r="P30">
        <f t="shared" ref="P30" si="13">SMALL(P24:P29,1)</f>
        <v>78</v>
      </c>
      <c r="Q30">
        <f t="shared" ref="Q30" si="14">SMALL(Q24:Q29,1)</f>
        <v>-173</v>
      </c>
      <c r="R30">
        <f t="shared" ref="R30" si="15">SMALL(R24:R29,1)</f>
        <v>-115</v>
      </c>
      <c r="S30">
        <f t="shared" ref="S30" si="16">SMALL(S24:S29,1)</f>
        <v>-97</v>
      </c>
      <c r="T30">
        <f t="shared" ref="T30" si="17">SMALL(T24:T29,1)</f>
        <v>-159</v>
      </c>
      <c r="U30">
        <f t="shared" ref="U30" si="18">SMALL(U24:U29,1)</f>
        <v>-54</v>
      </c>
      <c r="V30" s="25"/>
      <c r="AA30" s="19">
        <v>0.70726364243081408</v>
      </c>
      <c r="AB30" s="21"/>
      <c r="AC30" s="38">
        <v>15.5</v>
      </c>
      <c r="AD30" s="26">
        <v>-25.7</v>
      </c>
      <c r="AE30" s="30">
        <v>-18.100000000000001</v>
      </c>
      <c r="AF30" s="30">
        <v>-22.5</v>
      </c>
      <c r="AG30" s="30">
        <v>-25</v>
      </c>
      <c r="AH30" s="30">
        <v>-21.1</v>
      </c>
      <c r="AI30" s="30">
        <v>-23</v>
      </c>
      <c r="AJ30" s="30">
        <v>-26.9</v>
      </c>
      <c r="AK30" s="30">
        <v>-24.4</v>
      </c>
      <c r="AL30" s="25"/>
      <c r="AM30" s="38">
        <v>15.5</v>
      </c>
      <c r="AN30" s="26">
        <v>-61</v>
      </c>
      <c r="AO30" s="30" t="s">
        <v>1132</v>
      </c>
      <c r="AP30" s="30">
        <v>2</v>
      </c>
      <c r="AQ30" s="30">
        <v>-121</v>
      </c>
      <c r="AR30" s="30">
        <v>-11</v>
      </c>
      <c r="AS30" s="30">
        <v>-81</v>
      </c>
      <c r="AT30" s="30">
        <v>-60</v>
      </c>
      <c r="AU30" s="25">
        <f t="shared" si="11"/>
        <v>-55.333333333333336</v>
      </c>
      <c r="BA30" s="40">
        <v>26</v>
      </c>
      <c r="BB30">
        <v>-26</v>
      </c>
      <c r="BC30">
        <v>-21.6</v>
      </c>
      <c r="BD30">
        <v>-24.3</v>
      </c>
      <c r="BE30">
        <v>-25.7</v>
      </c>
      <c r="BF30">
        <v>-24.6</v>
      </c>
      <c r="BG30" s="21">
        <v>-25.2</v>
      </c>
      <c r="BH30">
        <v>-26.7</v>
      </c>
      <c r="BI30">
        <v>-24</v>
      </c>
      <c r="BK30" s="40">
        <v>26</v>
      </c>
      <c r="BL30">
        <v>-93</v>
      </c>
      <c r="BM30">
        <v>139</v>
      </c>
      <c r="BN30">
        <v>-155</v>
      </c>
      <c r="BO30">
        <v>-134</v>
      </c>
      <c r="BP30">
        <v>-96</v>
      </c>
      <c r="BQ30">
        <v>-147</v>
      </c>
      <c r="BR30">
        <v>-55</v>
      </c>
    </row>
    <row r="31" spans="2:99">
      <c r="C31" s="375" t="s">
        <v>1461</v>
      </c>
      <c r="D31" s="57" t="s">
        <v>1462</v>
      </c>
      <c r="E31" s="27">
        <v>-0.6</v>
      </c>
      <c r="F31" s="27">
        <v>-0.7</v>
      </c>
      <c r="G31" s="27">
        <v>-1.3</v>
      </c>
      <c r="H31" s="27">
        <v>-0.7</v>
      </c>
      <c r="I31" s="27">
        <v>-0.7</v>
      </c>
      <c r="J31" s="27"/>
      <c r="K31" s="27">
        <v>-0.4</v>
      </c>
      <c r="L31" s="27"/>
      <c r="M31" s="63" t="s">
        <v>1463</v>
      </c>
      <c r="N31" s="57" t="s">
        <v>1462</v>
      </c>
      <c r="O31" s="27">
        <v>-29</v>
      </c>
      <c r="P31" s="27">
        <v>-17</v>
      </c>
      <c r="Q31" s="27">
        <v>-78</v>
      </c>
      <c r="R31" s="27">
        <v>-19</v>
      </c>
      <c r="S31" s="27">
        <v>-19</v>
      </c>
      <c r="T31" s="27"/>
      <c r="U31" s="27">
        <v>-47</v>
      </c>
      <c r="V31" s="25"/>
      <c r="AB31" s="21"/>
      <c r="AC31" s="57" t="s">
        <v>1460</v>
      </c>
      <c r="AD31">
        <f>SMALL(AD27:AD30,1)</f>
        <v>-26.5</v>
      </c>
      <c r="AE31">
        <f t="shared" ref="AE31:AK31" si="19">SMALL(AE27:AE30,1)</f>
        <v>-23.8</v>
      </c>
      <c r="AF31">
        <f t="shared" si="19"/>
        <v>-24.1</v>
      </c>
      <c r="AG31">
        <f t="shared" si="19"/>
        <v>-26.2</v>
      </c>
      <c r="AH31">
        <f t="shared" si="19"/>
        <v>-25.7</v>
      </c>
      <c r="AI31">
        <f t="shared" si="19"/>
        <v>-27.6</v>
      </c>
      <c r="AJ31">
        <f t="shared" si="19"/>
        <v>-27.2</v>
      </c>
      <c r="AK31">
        <f t="shared" si="19"/>
        <v>-25.8</v>
      </c>
      <c r="AL31" s="25"/>
      <c r="AM31" s="57" t="s">
        <v>1460</v>
      </c>
      <c r="AN31">
        <f>SMALL(AN27:AN30,1)</f>
        <v>-77</v>
      </c>
      <c r="AO31">
        <f t="shared" ref="AO31" si="20">SMALL(AO27:AO30,1)</f>
        <v>38</v>
      </c>
      <c r="AP31">
        <f t="shared" ref="AP31" si="21">SMALL(AP27:AP30,1)</f>
        <v>-179</v>
      </c>
      <c r="AQ31">
        <f t="shared" ref="AQ31" si="22">SMALL(AQ27:AQ30,1)</f>
        <v>-165</v>
      </c>
      <c r="AR31">
        <f t="shared" ref="AR31" si="23">SMALL(AR27:AR30,1)</f>
        <v>-138</v>
      </c>
      <c r="AS31">
        <f t="shared" ref="AS31" si="24">SMALL(AS27:AS30,1)</f>
        <v>-150</v>
      </c>
      <c r="AT31">
        <f t="shared" ref="AT31" si="25">SMALL(AT27:AT30,1)</f>
        <v>-60</v>
      </c>
      <c r="AU31" s="25"/>
      <c r="BA31" s="40">
        <v>38.5</v>
      </c>
      <c r="BB31">
        <v>-26</v>
      </c>
      <c r="BC31" s="21">
        <v>-25.3</v>
      </c>
      <c r="BD31">
        <v>-24.4</v>
      </c>
      <c r="BE31">
        <v>-25.5</v>
      </c>
      <c r="BF31">
        <v>-24.7</v>
      </c>
      <c r="BG31" s="21">
        <v>-25.2</v>
      </c>
      <c r="BH31">
        <v>-26.8</v>
      </c>
      <c r="BI31">
        <v>-25.9</v>
      </c>
      <c r="BK31" s="40">
        <v>38.5</v>
      </c>
      <c r="BL31">
        <v>-72</v>
      </c>
      <c r="BM31" s="21">
        <v>-46</v>
      </c>
      <c r="BN31">
        <v>-155</v>
      </c>
      <c r="BO31">
        <v>-127</v>
      </c>
      <c r="BP31">
        <v>-100</v>
      </c>
      <c r="BQ31">
        <v>-109</v>
      </c>
      <c r="BR31">
        <v>-47</v>
      </c>
    </row>
    <row r="32" spans="2:99">
      <c r="C32" s="376" t="s">
        <v>1464</v>
      </c>
      <c r="D32" s="38" t="s">
        <v>1462</v>
      </c>
      <c r="E32" s="26">
        <v>-3.6</v>
      </c>
      <c r="F32" s="30">
        <v>-6.7</v>
      </c>
      <c r="G32" s="30">
        <v>-4.0999999999999996</v>
      </c>
      <c r="H32" s="30">
        <v>-2.7</v>
      </c>
      <c r="I32" s="30">
        <v>-2.7</v>
      </c>
      <c r="J32" s="30"/>
      <c r="K32" s="30">
        <v>-5</v>
      </c>
      <c r="L32" s="38"/>
      <c r="M32" s="378" t="s">
        <v>1465</v>
      </c>
      <c r="N32" s="38" t="s">
        <v>1462</v>
      </c>
      <c r="O32" s="26">
        <v>-79</v>
      </c>
      <c r="P32" s="30">
        <v>-126</v>
      </c>
      <c r="Q32" s="30">
        <v>-189</v>
      </c>
      <c r="R32" s="30">
        <v>-50</v>
      </c>
      <c r="S32" s="30">
        <v>-50</v>
      </c>
      <c r="T32" s="30"/>
      <c r="U32" s="38">
        <v>-100</v>
      </c>
      <c r="V32" s="25"/>
      <c r="AB32" s="63" t="s">
        <v>1463</v>
      </c>
      <c r="AC32" s="57" t="s">
        <v>1462</v>
      </c>
      <c r="AD32" s="27">
        <v>-0.6</v>
      </c>
      <c r="AE32" s="27">
        <v>-0.7</v>
      </c>
      <c r="AF32" s="27">
        <v>-1.3</v>
      </c>
      <c r="AG32" s="27">
        <v>-0.7</v>
      </c>
      <c r="AH32" s="27">
        <v>-0.7</v>
      </c>
      <c r="AI32" s="27"/>
      <c r="AJ32" s="27">
        <v>-0.4</v>
      </c>
      <c r="AK32" s="27"/>
      <c r="AL32" s="63" t="s">
        <v>1463</v>
      </c>
      <c r="AM32" s="57" t="s">
        <v>1462</v>
      </c>
      <c r="AN32" s="27">
        <v>-29</v>
      </c>
      <c r="AO32" s="27">
        <v>-17</v>
      </c>
      <c r="AP32" s="27">
        <v>-78</v>
      </c>
      <c r="AQ32" s="27">
        <v>-19</v>
      </c>
      <c r="AR32" s="27">
        <v>-19</v>
      </c>
      <c r="AS32" s="27"/>
      <c r="AT32" s="27">
        <v>-47</v>
      </c>
      <c r="AU32" s="25"/>
      <c r="BA32" s="38">
        <v>45.5</v>
      </c>
      <c r="BB32" s="30">
        <v>-25.5</v>
      </c>
      <c r="BC32" s="30">
        <v>-24.9</v>
      </c>
      <c r="BD32" s="30">
        <v>-24.3</v>
      </c>
      <c r="BE32" s="30">
        <v>-25.4</v>
      </c>
      <c r="BF32" s="30">
        <v>-25.2</v>
      </c>
      <c r="BG32" s="30">
        <v>-25.1</v>
      </c>
      <c r="BH32" s="30">
        <v>-26.8</v>
      </c>
      <c r="BI32" s="376">
        <v>-26.3</v>
      </c>
      <c r="BK32" s="38">
        <v>45.5</v>
      </c>
      <c r="BL32" s="30">
        <v>-91</v>
      </c>
      <c r="BM32" s="30">
        <v>13</v>
      </c>
      <c r="BN32" s="30">
        <v>-163</v>
      </c>
      <c r="BO32" s="376">
        <v>-138</v>
      </c>
      <c r="BP32" s="376">
        <v>-113</v>
      </c>
      <c r="BQ32" s="376">
        <v>-159</v>
      </c>
      <c r="BR32" s="376">
        <v>-56</v>
      </c>
    </row>
    <row r="33" spans="2:74">
      <c r="B33" s="375"/>
      <c r="C33" s="375" t="s">
        <v>1466</v>
      </c>
      <c r="D33" s="40">
        <v>12</v>
      </c>
      <c r="E33" s="22">
        <f>EXP(1000*LN((0.001*E24+1)/(0.001*E$30+1))/E$31)</f>
        <v>1</v>
      </c>
      <c r="F33" s="22">
        <f t="shared" ref="F33:K33" si="26">EXP(1000*LN((0.001*F24+1)/(0.001*F$30+1))/F$31)</f>
        <v>0.23162135541768597</v>
      </c>
      <c r="G33" s="22">
        <f t="shared" si="26"/>
        <v>0.1193742350696317</v>
      </c>
      <c r="H33" s="22">
        <f t="shared" si="26"/>
        <v>1.5211045353920603E-5</v>
      </c>
      <c r="I33" s="22">
        <f t="shared" si="26"/>
        <v>6.3488882762764027E-7</v>
      </c>
      <c r="J33" s="22"/>
      <c r="K33" s="22">
        <f t="shared" si="26"/>
        <v>0.2769017058331808</v>
      </c>
      <c r="L33" s="22"/>
      <c r="M33" s="63" t="s">
        <v>1466</v>
      </c>
      <c r="N33" s="40">
        <v>12</v>
      </c>
      <c r="O33" s="22">
        <f>EXP(1000*LN((0.001*O24+1)/(0.001*O$30+1))/O$31)</f>
        <v>0.62751336079838516</v>
      </c>
      <c r="P33" s="22"/>
      <c r="Q33" s="22">
        <f t="shared" ref="Q33:U33" si="27">EXP(1000*LN((0.001*Q24+1)/(0.001*Q$30+1))/Q$31)</f>
        <v>3.2648906628277151E-2</v>
      </c>
      <c r="R33" s="22">
        <f t="shared" si="27"/>
        <v>6.8008938682890995E-5</v>
      </c>
      <c r="S33" s="22">
        <f t="shared" si="27"/>
        <v>1.3220921216599508E-4</v>
      </c>
      <c r="T33" s="22"/>
      <c r="U33" s="22">
        <f t="shared" si="27"/>
        <v>0.78194181646390615</v>
      </c>
      <c r="V33" s="25"/>
      <c r="AB33" s="378" t="s">
        <v>1465</v>
      </c>
      <c r="AC33" s="38" t="s">
        <v>1462</v>
      </c>
      <c r="AD33" s="26">
        <v>-3.6</v>
      </c>
      <c r="AE33" s="30">
        <v>-6.7</v>
      </c>
      <c r="AF33" s="30">
        <v>-4.0999999999999996</v>
      </c>
      <c r="AG33" s="30">
        <v>-2.7</v>
      </c>
      <c r="AH33" s="30">
        <v>-2.7</v>
      </c>
      <c r="AI33" s="30"/>
      <c r="AJ33" s="30">
        <v>-5</v>
      </c>
      <c r="AK33" s="30"/>
      <c r="AL33" s="378" t="s">
        <v>1465</v>
      </c>
      <c r="AM33" s="38" t="s">
        <v>1462</v>
      </c>
      <c r="AN33" s="30">
        <v>-79</v>
      </c>
      <c r="AO33" s="30">
        <v>-126</v>
      </c>
      <c r="AP33" s="30">
        <v>-189</v>
      </c>
      <c r="AQ33" s="30">
        <v>-50</v>
      </c>
      <c r="AR33" s="30">
        <v>-50</v>
      </c>
      <c r="AS33" s="30"/>
      <c r="AT33" s="38">
        <v>-100</v>
      </c>
      <c r="AU33" s="25"/>
      <c r="BA33" s="57" t="s">
        <v>1460</v>
      </c>
      <c r="BB33">
        <f t="shared" ref="BB33:BI33" si="28">SMALL(BB28:BB32,1)</f>
        <v>-26.7</v>
      </c>
      <c r="BC33">
        <f t="shared" si="28"/>
        <v>-25.3</v>
      </c>
      <c r="BD33">
        <f t="shared" si="28"/>
        <v>-25.2</v>
      </c>
      <c r="BE33">
        <f t="shared" si="28"/>
        <v>-26.2</v>
      </c>
      <c r="BF33">
        <f t="shared" si="28"/>
        <v>-25.6</v>
      </c>
      <c r="BG33">
        <f t="shared" si="28"/>
        <v>-25.2</v>
      </c>
      <c r="BH33">
        <f t="shared" si="28"/>
        <v>-27</v>
      </c>
      <c r="BI33">
        <f t="shared" si="28"/>
        <v>-26.3</v>
      </c>
      <c r="BK33" s="57" t="s">
        <v>1460</v>
      </c>
      <c r="BL33">
        <f t="shared" ref="BL33:BR33" si="29">SMALL(BL28:BL32,1)</f>
        <v>-99</v>
      </c>
      <c r="BM33">
        <f t="shared" si="29"/>
        <v>-46</v>
      </c>
      <c r="BN33">
        <f t="shared" si="29"/>
        <v>-167</v>
      </c>
      <c r="BO33">
        <f t="shared" si="29"/>
        <v>-138</v>
      </c>
      <c r="BP33">
        <f t="shared" si="29"/>
        <v>-113</v>
      </c>
      <c r="BQ33">
        <f t="shared" si="29"/>
        <v>-159</v>
      </c>
      <c r="BR33">
        <f t="shared" si="29"/>
        <v>-56</v>
      </c>
    </row>
    <row r="34" spans="2:74">
      <c r="C34" s="379" t="s">
        <v>1467</v>
      </c>
      <c r="D34" s="40">
        <v>15.5</v>
      </c>
      <c r="E34" s="22">
        <f t="shared" ref="E34:K38" si="30">EXP(1000*LN((0.001*E25+1)/(0.001*E$30+1))/E$31)</f>
        <v>0.59850483500360219</v>
      </c>
      <c r="F34" s="22">
        <f t="shared" si="30"/>
        <v>1.5790313402912984E-4</v>
      </c>
      <c r="G34" s="22">
        <f t="shared" si="30"/>
        <v>0.45479697645742073</v>
      </c>
      <c r="H34" s="22">
        <f t="shared" si="30"/>
        <v>0.41522256083185766</v>
      </c>
      <c r="I34" s="22">
        <f t="shared" si="30"/>
        <v>1.9337155514358564E-2</v>
      </c>
      <c r="J34" s="22"/>
      <c r="K34" s="22">
        <f t="shared" si="30"/>
        <v>1</v>
      </c>
      <c r="L34" s="22"/>
      <c r="M34" s="379" t="s">
        <v>1467</v>
      </c>
      <c r="N34" s="40">
        <v>15.5</v>
      </c>
      <c r="O34" s="22">
        <f t="shared" ref="O34:U38" si="31">EXP(1000*LN((0.001*O25+1)/(0.001*O$30+1))/O$31)</f>
        <v>0.73245098691365085</v>
      </c>
      <c r="P34" s="22"/>
      <c r="Q34" s="22">
        <f t="shared" si="31"/>
        <v>0.74735598947845761</v>
      </c>
      <c r="R34" s="22">
        <f t="shared" si="31"/>
        <v>0.38944515117884021</v>
      </c>
      <c r="S34" s="22">
        <f t="shared" si="31"/>
        <v>4.7033921083038624E-2</v>
      </c>
      <c r="T34" s="22"/>
      <c r="U34" s="22">
        <f t="shared" si="31"/>
        <v>1</v>
      </c>
      <c r="V34" s="25"/>
      <c r="AB34" s="375" t="s">
        <v>1468</v>
      </c>
      <c r="AC34" s="375" t="s">
        <v>1466</v>
      </c>
      <c r="AD34" s="128">
        <f>EXP(1000*LN((0.001*AD27+1)/(0.001*AD$31+1))/AD$32)</f>
        <v>1</v>
      </c>
      <c r="AE34" s="128">
        <f t="shared" ref="AE34:AJ34" si="32">EXP(1000*LN((0.001*AE27+1)/(0.001*AE$31+1))/AE$32)</f>
        <v>1.6711539252841034E-2</v>
      </c>
      <c r="AF34" s="128">
        <f t="shared" si="32"/>
        <v>1</v>
      </c>
      <c r="AG34" s="128">
        <f t="shared" si="32"/>
        <v>1</v>
      </c>
      <c r="AH34" s="128">
        <f t="shared" si="32"/>
        <v>1</v>
      </c>
      <c r="AI34" s="128"/>
      <c r="AJ34" s="128">
        <f t="shared" si="32"/>
        <v>0.59814179649434285</v>
      </c>
      <c r="AK34" s="128"/>
      <c r="AL34" s="22"/>
      <c r="AM34" s="379" t="s">
        <v>1466</v>
      </c>
      <c r="AN34" s="128">
        <f>EXP(1000*LN((0.001*AN27+1)/(0.001*AN$31+1))/AN$32)</f>
        <v>1</v>
      </c>
      <c r="AO34" s="128"/>
      <c r="AP34" s="128">
        <f t="shared" ref="AP34:AT34" si="33">EXP(1000*LN((0.001*AP27+1)/(0.001*AP$31+1))/AP$32)</f>
        <v>1</v>
      </c>
      <c r="AQ34" s="128">
        <f t="shared" si="33"/>
        <v>1</v>
      </c>
      <c r="AR34" s="128">
        <f t="shared" si="33"/>
        <v>1</v>
      </c>
      <c r="AS34" s="128"/>
      <c r="AT34" s="128">
        <f t="shared" si="33"/>
        <v>0.89326369396959926</v>
      </c>
      <c r="AU34" s="22" t="e">
        <f>EXP(#REF!/AT$32)</f>
        <v>#REF!</v>
      </c>
      <c r="AV34" s="25"/>
      <c r="AZ34" s="63" t="s">
        <v>1463</v>
      </c>
      <c r="BA34" s="57" t="s">
        <v>1462</v>
      </c>
      <c r="BB34" s="27">
        <v>-0.6</v>
      </c>
      <c r="BC34" s="27">
        <v>-0.7</v>
      </c>
      <c r="BD34" s="27">
        <v>-1.3</v>
      </c>
      <c r="BE34" s="27">
        <v>-0.7</v>
      </c>
      <c r="BF34" s="27">
        <v>-0.7</v>
      </c>
      <c r="BG34" s="27"/>
      <c r="BH34" s="27">
        <v>-0.4</v>
      </c>
      <c r="BI34" s="27"/>
      <c r="BJ34" s="63" t="s">
        <v>1463</v>
      </c>
      <c r="BK34" s="57" t="s">
        <v>1462</v>
      </c>
      <c r="BL34" s="27">
        <v>-29</v>
      </c>
      <c r="BM34" s="27">
        <v>-17</v>
      </c>
      <c r="BN34" s="27">
        <v>-78</v>
      </c>
      <c r="BO34" s="27">
        <v>-19</v>
      </c>
      <c r="BP34" s="27">
        <v>-19</v>
      </c>
      <c r="BQ34" s="27"/>
      <c r="BR34" s="27">
        <v>-47</v>
      </c>
    </row>
    <row r="35" spans="2:74">
      <c r="C35" s="21"/>
      <c r="D35" s="40">
        <v>17</v>
      </c>
      <c r="E35" s="22">
        <f t="shared" si="30"/>
        <v>3.2740078792260638E-2</v>
      </c>
      <c r="F35" s="22">
        <f t="shared" si="30"/>
        <v>8.3274162644254829E-2</v>
      </c>
      <c r="G35" s="22">
        <f t="shared" si="30"/>
        <v>0.53238525861175789</v>
      </c>
      <c r="H35" s="22">
        <f t="shared" si="30"/>
        <v>1</v>
      </c>
      <c r="I35" s="22">
        <f t="shared" si="30"/>
        <v>8.3274162644254829E-2</v>
      </c>
      <c r="J35" s="22"/>
      <c r="K35" s="22">
        <f t="shared" si="30"/>
        <v>0.77346774670320106</v>
      </c>
      <c r="L35" s="22"/>
      <c r="M35" s="379"/>
      <c r="N35" s="40">
        <v>17</v>
      </c>
      <c r="O35" s="22">
        <f t="shared" si="31"/>
        <v>1</v>
      </c>
      <c r="P35" s="22"/>
      <c r="Q35" s="22">
        <f t="shared" si="31"/>
        <v>0.94001424060477479</v>
      </c>
      <c r="R35" s="22">
        <f t="shared" si="31"/>
        <v>1</v>
      </c>
      <c r="S35" s="22">
        <f t="shared" si="31"/>
        <v>0.15120765114348847</v>
      </c>
      <c r="T35" s="22"/>
      <c r="U35" s="22">
        <f t="shared" si="31"/>
        <v>0.71553841030268805</v>
      </c>
      <c r="V35" s="25"/>
      <c r="AB35" s="379" t="s">
        <v>1467</v>
      </c>
      <c r="AC35" s="40">
        <v>10.5</v>
      </c>
      <c r="AD35" s="128">
        <f t="shared" ref="AD35:AJ37" si="34">EXP(1000*LN((0.001*AD28+1)/(0.001*AD$31+1))/AD$32)</f>
        <v>0.59837863256180157</v>
      </c>
      <c r="AE35" s="128">
        <f t="shared" si="34"/>
        <v>9.3234495711895862E-3</v>
      </c>
      <c r="AF35" s="128">
        <f t="shared" si="34"/>
        <v>0.35915067946545182</v>
      </c>
      <c r="AG35" s="128">
        <f t="shared" si="34"/>
        <v>2.5660104870106407E-2</v>
      </c>
      <c r="AH35" s="128">
        <f t="shared" si="34"/>
        <v>1.5107882659441235E-5</v>
      </c>
      <c r="AI35" s="128"/>
      <c r="AJ35" s="128">
        <f t="shared" si="34"/>
        <v>0.35781140120851351</v>
      </c>
      <c r="AK35" s="128"/>
      <c r="AL35" s="379" t="s">
        <v>1467</v>
      </c>
      <c r="AM35" s="40">
        <v>10.5</v>
      </c>
      <c r="AN35" s="128">
        <f t="shared" ref="AN35:AT37" si="35">EXP(1000*LN((0.001*AN28+1)/(0.001*AN$31+1))/AN$32)</f>
        <v>0.92807935795644736</v>
      </c>
      <c r="AO35" s="128"/>
      <c r="AP35" s="128">
        <f t="shared" si="35"/>
        <v>0.75726189914190312</v>
      </c>
      <c r="AQ35" s="128">
        <f t="shared" si="35"/>
        <v>0.16581259897612213</v>
      </c>
      <c r="AR35" s="128" t="e">
        <f t="shared" si="35"/>
        <v>#VALUE!</v>
      </c>
      <c r="AS35" s="128"/>
      <c r="AT35" s="128">
        <f t="shared" si="35"/>
        <v>1</v>
      </c>
      <c r="AU35" s="25"/>
      <c r="AZ35" s="378" t="s">
        <v>1465</v>
      </c>
      <c r="BA35" s="38" t="s">
        <v>1462</v>
      </c>
      <c r="BB35" s="26">
        <v>-3.6</v>
      </c>
      <c r="BC35" s="30">
        <v>-6.7</v>
      </c>
      <c r="BD35" s="30">
        <v>-4.0999999999999996</v>
      </c>
      <c r="BE35" s="30">
        <v>-2.7</v>
      </c>
      <c r="BF35" s="30">
        <v>-2.7</v>
      </c>
      <c r="BG35" s="30"/>
      <c r="BH35" s="30">
        <v>-5</v>
      </c>
      <c r="BI35" s="30"/>
      <c r="BJ35" s="378" t="s">
        <v>1465</v>
      </c>
      <c r="BK35" s="38" t="s">
        <v>1462</v>
      </c>
      <c r="BL35" s="30">
        <v>-79</v>
      </c>
      <c r="BM35" s="30">
        <v>-126</v>
      </c>
      <c r="BN35" s="30">
        <v>-189</v>
      </c>
      <c r="BO35" s="30">
        <v>-50</v>
      </c>
      <c r="BP35" s="30">
        <v>-50</v>
      </c>
      <c r="BQ35" s="30"/>
      <c r="BR35" s="30">
        <v>-100</v>
      </c>
      <c r="BV35" s="454"/>
    </row>
    <row r="36" spans="2:74">
      <c r="C36" s="21"/>
      <c r="D36" s="40">
        <v>19</v>
      </c>
      <c r="E36" s="22">
        <f t="shared" si="30"/>
        <v>3.2740078792260638E-2</v>
      </c>
      <c r="F36" s="22">
        <f t="shared" si="30"/>
        <v>5.2028377896715583E-3</v>
      </c>
      <c r="G36" s="22">
        <f t="shared" si="30"/>
        <v>1</v>
      </c>
      <c r="H36" s="22">
        <f t="shared" si="30"/>
        <v>1.0722795018478276E-2</v>
      </c>
      <c r="I36" s="22">
        <f t="shared" si="30"/>
        <v>2.1122069948136012E-4</v>
      </c>
      <c r="J36" s="22"/>
      <c r="K36" s="22">
        <f t="shared" si="30"/>
        <v>0.77346774670320106</v>
      </c>
      <c r="L36" s="22"/>
      <c r="M36" s="379"/>
      <c r="N36" s="40">
        <v>19</v>
      </c>
      <c r="O36" s="22">
        <f t="shared" si="31"/>
        <v>0.96167958874689907</v>
      </c>
      <c r="P36" s="22"/>
      <c r="Q36" s="22">
        <f t="shared" si="31"/>
        <v>0.95463792085588806</v>
      </c>
      <c r="R36" s="22">
        <f t="shared" si="31"/>
        <v>2.269522059759459E-2</v>
      </c>
      <c r="S36" s="22">
        <f t="shared" si="31"/>
        <v>2.9038762802754046E-3</v>
      </c>
      <c r="T36" s="22"/>
      <c r="U36" s="22">
        <f t="shared" si="31"/>
        <v>0.76475792400176745</v>
      </c>
      <c r="V36" s="25"/>
      <c r="AB36" s="21"/>
      <c r="AC36" s="40">
        <v>14</v>
      </c>
      <c r="AD36" s="128">
        <f t="shared" si="34"/>
        <v>0.10815806417246683</v>
      </c>
      <c r="AE36" s="128">
        <f t="shared" si="34"/>
        <v>1</v>
      </c>
      <c r="AF36" s="128">
        <f t="shared" si="34"/>
        <v>1</v>
      </c>
      <c r="AG36" s="128">
        <f t="shared" si="34"/>
        <v>0.74574521121003268</v>
      </c>
      <c r="AH36" s="128">
        <f t="shared" si="34"/>
        <v>0.41499794112831478</v>
      </c>
      <c r="AI36" s="128"/>
      <c r="AJ36" s="128">
        <f t="shared" si="34"/>
        <v>1</v>
      </c>
      <c r="AK36" s="128"/>
      <c r="AL36" s="379"/>
      <c r="AM36" s="40">
        <v>14</v>
      </c>
      <c r="AN36" s="128">
        <f t="shared" si="35"/>
        <v>0.38369166537330635</v>
      </c>
      <c r="AO36" s="128"/>
      <c r="AP36" s="128">
        <f t="shared" si="35"/>
        <v>0.79284951549518812</v>
      </c>
      <c r="AQ36" s="128" t="e">
        <f t="shared" si="35"/>
        <v>#VALUE!</v>
      </c>
      <c r="AR36" s="128">
        <f t="shared" si="35"/>
        <v>0.48304903688853323</v>
      </c>
      <c r="AS36" s="128"/>
      <c r="AT36" s="128">
        <f t="shared" si="35"/>
        <v>0.47992182056463112</v>
      </c>
      <c r="AU36" s="25"/>
      <c r="AZ36" s="63" t="s">
        <v>1466</v>
      </c>
      <c r="BA36" s="167">
        <v>15.5</v>
      </c>
      <c r="BB36" s="22">
        <f>EXP(1000*LN((0.001*BB28+1)/(0.001*BB$33+1))/BB$34)</f>
        <v>1</v>
      </c>
      <c r="BC36" s="22">
        <f>EXP(1000*LN((0.001*BC28+1)/(0.001*BC$33+1))/BC$34)</f>
        <v>7.521831748449705E-5</v>
      </c>
      <c r="BD36" s="22">
        <f t="shared" ref="BD36:BH36" si="36">EXP(1000*LN((0.001*BD28+1)/(0.001*BD$33+1))/BD$34)</f>
        <v>1</v>
      </c>
      <c r="BE36" s="22">
        <f t="shared" si="36"/>
        <v>1</v>
      </c>
      <c r="BF36" s="22">
        <f t="shared" si="36"/>
        <v>1</v>
      </c>
      <c r="BG36" s="22"/>
      <c r="BH36" s="22">
        <f t="shared" si="36"/>
        <v>1</v>
      </c>
      <c r="BI36" s="22"/>
      <c r="BJ36" s="379" t="s">
        <v>1466</v>
      </c>
      <c r="BK36" s="167">
        <v>15.5</v>
      </c>
      <c r="BL36" s="22">
        <f>EXP(1000*LN((0.001*BL28+1)/(0.001*BL$33+1))/BL$34)</f>
        <v>1</v>
      </c>
      <c r="BM36" s="22">
        <f>EXP(1000*LN((0.001*BM28+1)/(0.001*BM$33+1))/BM$34)</f>
        <v>6.1098447352845951E-6</v>
      </c>
      <c r="BN36" s="22">
        <f t="shared" ref="BN36:BR36" si="37">EXP(1000*LN((0.001*BN28+1)/(0.001*BN$33+1))/BN$34)</f>
        <v>0.9697231604717188</v>
      </c>
      <c r="BO36" s="22">
        <f t="shared" si="37"/>
        <v>0.65332762155343471</v>
      </c>
      <c r="BP36" s="22">
        <f t="shared" si="37"/>
        <v>0.74389899391438119</v>
      </c>
      <c r="BQ36" s="22"/>
      <c r="BR36" s="22">
        <f t="shared" si="37"/>
        <v>0.91396354076730013</v>
      </c>
      <c r="BV36" s="454"/>
    </row>
    <row r="37" spans="2:74" ht="15.75" thickBot="1">
      <c r="C37" s="21"/>
      <c r="D37" s="40">
        <v>20.5</v>
      </c>
      <c r="E37" s="22">
        <f t="shared" si="30"/>
        <v>0.25448739822880001</v>
      </c>
      <c r="F37" s="22">
        <f t="shared" si="30"/>
        <v>5.8499108977558268E-4</v>
      </c>
      <c r="G37" s="22">
        <f t="shared" si="30"/>
        <v>0.67431834241546174</v>
      </c>
      <c r="H37" s="22">
        <f t="shared" si="30"/>
        <v>5.3519914409538932E-2</v>
      </c>
      <c r="I37" s="22">
        <f t="shared" si="30"/>
        <v>1.6213535584456726E-3</v>
      </c>
      <c r="J37" s="22"/>
      <c r="K37" s="22">
        <f t="shared" si="30"/>
        <v>0.77346774670320106</v>
      </c>
      <c r="L37" s="22"/>
      <c r="M37" s="379"/>
      <c r="N37" s="40">
        <v>20.5</v>
      </c>
      <c r="O37" s="22">
        <f t="shared" si="31"/>
        <v>0.3403863734985017</v>
      </c>
      <c r="P37" s="22"/>
      <c r="Q37" s="22">
        <f t="shared" si="31"/>
        <v>1</v>
      </c>
      <c r="R37" s="22">
        <f t="shared" si="31"/>
        <v>5.5433406758678194E-2</v>
      </c>
      <c r="S37" s="22">
        <f t="shared" si="31"/>
        <v>1.5005748360557902E-2</v>
      </c>
      <c r="T37" s="22"/>
      <c r="U37" s="22">
        <f t="shared" si="31"/>
        <v>0.64073885902275285</v>
      </c>
      <c r="V37" s="25"/>
      <c r="AB37" s="21"/>
      <c r="AC37" s="40">
        <v>15.5</v>
      </c>
      <c r="AD37" s="128">
        <f t="shared" si="34"/>
        <v>0.254344398251725</v>
      </c>
      <c r="AE37" s="128">
        <f t="shared" si="34"/>
        <v>2.4429748148691261E-4</v>
      </c>
      <c r="AF37" s="128">
        <f t="shared" si="34"/>
        <v>0.2836169985151995</v>
      </c>
      <c r="AG37" s="128">
        <f t="shared" si="34"/>
        <v>0.17216109498033155</v>
      </c>
      <c r="AH37" s="128">
        <f t="shared" si="34"/>
        <v>1.1958513640838719E-3</v>
      </c>
      <c r="AI37" s="128"/>
      <c r="AJ37" s="128">
        <f t="shared" si="34"/>
        <v>0.46261896193842716</v>
      </c>
      <c r="AK37" s="128"/>
      <c r="AL37" s="379"/>
      <c r="AM37" s="40">
        <v>15.5</v>
      </c>
      <c r="AN37" s="128">
        <f t="shared" si="35"/>
        <v>0.55287180163890803</v>
      </c>
      <c r="AO37" s="128"/>
      <c r="AP37" s="128">
        <f t="shared" si="35"/>
        <v>7.7751846669751656E-2</v>
      </c>
      <c r="AQ37" s="128">
        <f t="shared" si="35"/>
        <v>6.7017696323971823E-2</v>
      </c>
      <c r="AR37" s="128">
        <f t="shared" si="35"/>
        <v>7.2189216418069033E-4</v>
      </c>
      <c r="AS37" s="128"/>
      <c r="AT37" s="128">
        <f t="shared" si="35"/>
        <v>1</v>
      </c>
      <c r="AU37" s="452" t="s">
        <v>334</v>
      </c>
      <c r="AZ37" s="379" t="s">
        <v>1467</v>
      </c>
      <c r="BA37" s="40">
        <v>19</v>
      </c>
      <c r="BB37" s="22">
        <f t="shared" ref="BB37:BH40" si="38">EXP(1000*LN((0.001*BB29+1)/(0.001*BB$33+1))/BB$34)</f>
        <v>0.2142875302126718</v>
      </c>
      <c r="BC37" s="22">
        <f t="shared" si="38"/>
        <v>4.7435113774015585E-6</v>
      </c>
      <c r="BD37" s="22">
        <f t="shared" si="38"/>
        <v>0.45442971326542086</v>
      </c>
      <c r="BE37" s="22">
        <f t="shared" si="38"/>
        <v>0.11093426386558569</v>
      </c>
      <c r="BF37" s="22">
        <f t="shared" si="38"/>
        <v>0.23099669263250103</v>
      </c>
      <c r="BG37" s="22"/>
      <c r="BH37" s="22">
        <f t="shared" si="38"/>
        <v>0.35788698263989299</v>
      </c>
      <c r="BI37" s="22"/>
      <c r="BJ37" s="379" t="s">
        <v>1467</v>
      </c>
      <c r="BK37" s="40">
        <v>19</v>
      </c>
      <c r="BL37" s="22">
        <f t="shared" ref="BL37:BR40" si="39">EXP(1000*LN((0.001*BL29+1)/(0.001*BL$33+1))/BL$34)</f>
        <v>0.30015798730724069</v>
      </c>
      <c r="BM37" s="22" t="e">
        <f>EXP(1000*LN((0.001*BM29+1)/(0.001*BM$33+1))/BM$34)</f>
        <v>#VALUE!</v>
      </c>
      <c r="BN37" s="22">
        <f t="shared" si="39"/>
        <v>1</v>
      </c>
      <c r="BO37" s="22">
        <f t="shared" si="39"/>
        <v>0.37985549803270319</v>
      </c>
      <c r="BP37" s="22">
        <f t="shared" si="39"/>
        <v>0.49299023952197285</v>
      </c>
      <c r="BQ37" s="22"/>
      <c r="BR37" s="22">
        <f t="shared" si="39"/>
        <v>0.85454229138156046</v>
      </c>
      <c r="BV37" s="454"/>
    </row>
    <row r="38" spans="2:74" ht="15.75" thickBot="1">
      <c r="C38" s="21"/>
      <c r="D38" s="40">
        <v>28</v>
      </c>
      <c r="E38" s="22">
        <f t="shared" si="30"/>
        <v>1.398058819819311E-4</v>
      </c>
      <c r="F38" s="22">
        <f t="shared" si="30"/>
        <v>1</v>
      </c>
      <c r="G38" s="22">
        <f t="shared" si="30"/>
        <v>1</v>
      </c>
      <c r="H38" s="22">
        <f t="shared" si="30"/>
        <v>2.4903198171749535E-3</v>
      </c>
      <c r="I38" s="22">
        <f t="shared" si="30"/>
        <v>1</v>
      </c>
      <c r="J38" s="22"/>
      <c r="K38" s="22">
        <f t="shared" si="30"/>
        <v>0.2769017058331808</v>
      </c>
      <c r="L38" s="22"/>
      <c r="M38" s="379"/>
      <c r="N38" s="40">
        <v>28</v>
      </c>
      <c r="O38" s="22" t="e">
        <f t="shared" si="31"/>
        <v>#VALUE!</v>
      </c>
      <c r="P38" s="22"/>
      <c r="Q38" s="22">
        <f t="shared" si="31"/>
        <v>0.84416894376328178</v>
      </c>
      <c r="R38" s="22">
        <f t="shared" si="31"/>
        <v>3.7435403737187962E-2</v>
      </c>
      <c r="S38" s="22">
        <f t="shared" si="31"/>
        <v>1</v>
      </c>
      <c r="T38" s="22"/>
      <c r="U38" s="22">
        <f t="shared" si="31"/>
        <v>0.5616494663070799</v>
      </c>
      <c r="V38" s="452" t="s">
        <v>334</v>
      </c>
      <c r="AB38" s="380" t="s">
        <v>1469</v>
      </c>
      <c r="AC38" s="381">
        <v>7</v>
      </c>
      <c r="AD38" s="392">
        <f>(1-AD34)*100</f>
        <v>0</v>
      </c>
      <c r="AE38" s="392">
        <f t="shared" ref="AE38:AJ38" si="40">(1-AE34)*100</f>
        <v>98.328846074715898</v>
      </c>
      <c r="AF38" s="392">
        <f t="shared" si="40"/>
        <v>0</v>
      </c>
      <c r="AG38" s="392">
        <f t="shared" si="40"/>
        <v>0</v>
      </c>
      <c r="AH38" s="392">
        <f t="shared" si="40"/>
        <v>0</v>
      </c>
      <c r="AI38" s="392"/>
      <c r="AJ38" s="392">
        <f t="shared" si="40"/>
        <v>40.185820350565713</v>
      </c>
      <c r="AK38" s="382"/>
      <c r="AL38" s="380" t="s">
        <v>1469</v>
      </c>
      <c r="AM38" s="381">
        <v>7</v>
      </c>
      <c r="AN38" s="392">
        <f>(1-AN34)*100</f>
        <v>0</v>
      </c>
      <c r="AO38" s="392"/>
      <c r="AP38" s="392">
        <f t="shared" ref="AP38:AT38" si="41">(1-AP34)*100</f>
        <v>0</v>
      </c>
      <c r="AQ38" s="392">
        <f t="shared" si="41"/>
        <v>0</v>
      </c>
      <c r="AR38" s="392">
        <f t="shared" si="41"/>
        <v>0</v>
      </c>
      <c r="AS38" s="392"/>
      <c r="AT38" s="392">
        <f t="shared" si="41"/>
        <v>10.673630603040074</v>
      </c>
      <c r="AU38" s="377">
        <f t="shared" ref="AU38" si="42">AVERAGE(AN38:AT38)</f>
        <v>2.1347261206080148</v>
      </c>
      <c r="AZ38" s="379"/>
      <c r="BA38" s="40">
        <v>26</v>
      </c>
      <c r="BB38" s="22">
        <f t="shared" si="38"/>
        <v>0.30172467484106769</v>
      </c>
      <c r="BC38" s="22">
        <f>EXP(1000*LN((0.001*BC30+1)/(0.001*BC$33+1))/BC$34)</f>
        <v>4.4598186044458909E-3</v>
      </c>
      <c r="BD38" s="22">
        <f t="shared" si="38"/>
        <v>0.49170457399636502</v>
      </c>
      <c r="BE38" s="22">
        <f t="shared" si="38"/>
        <v>0.4803139814091909</v>
      </c>
      <c r="BF38" s="22">
        <f t="shared" si="38"/>
        <v>0.23099669263250103</v>
      </c>
      <c r="BG38" s="22"/>
      <c r="BH38" s="22">
        <f t="shared" si="38"/>
        <v>0.46269225768798389</v>
      </c>
      <c r="BI38" s="22"/>
      <c r="BJ38" s="379"/>
      <c r="BK38" s="40">
        <v>26</v>
      </c>
      <c r="BL38" s="22">
        <f t="shared" si="39"/>
        <v>0.7954329613252259</v>
      </c>
      <c r="BM38" s="22">
        <f>EXP(1000*LN((0.001*BM30+1)/(0.001*BM$33+1))/BM$34)</f>
        <v>2.9650926758290598E-5</v>
      </c>
      <c r="BN38" s="22">
        <f t="shared" si="39"/>
        <v>0.8324587524145135</v>
      </c>
      <c r="BO38" s="22">
        <f t="shared" si="39"/>
        <v>0.78375002701558039</v>
      </c>
      <c r="BP38" s="22">
        <f t="shared" si="39"/>
        <v>0.36818203830270713</v>
      </c>
      <c r="BQ38" s="22"/>
      <c r="BR38" s="22">
        <f t="shared" si="39"/>
        <v>0.97772499744322028</v>
      </c>
      <c r="BV38" s="454"/>
    </row>
    <row r="39" spans="2:74">
      <c r="C39" s="380" t="s">
        <v>1469</v>
      </c>
      <c r="D39" s="166">
        <v>12</v>
      </c>
      <c r="E39" s="469">
        <f>(1-E33)*100</f>
        <v>0</v>
      </c>
      <c r="F39" s="459">
        <f t="shared" ref="F39:K39" si="43">(1-F33)*100</f>
        <v>76.837864458231394</v>
      </c>
      <c r="G39" s="459">
        <f t="shared" si="43"/>
        <v>88.062576493036829</v>
      </c>
      <c r="H39" s="459">
        <f t="shared" si="43"/>
        <v>99.998478895464601</v>
      </c>
      <c r="I39" s="459">
        <f t="shared" si="43"/>
        <v>99.999936511117241</v>
      </c>
      <c r="J39" s="459"/>
      <c r="K39" s="459">
        <f t="shared" si="43"/>
        <v>72.309829416681907</v>
      </c>
      <c r="L39" s="382"/>
      <c r="M39" s="181" t="s">
        <v>1470</v>
      </c>
      <c r="N39" s="381">
        <v>12</v>
      </c>
      <c r="O39" s="459">
        <f>(1-O33)*100</f>
        <v>37.248663920161484</v>
      </c>
      <c r="P39" s="459"/>
      <c r="Q39" s="459">
        <f t="shared" ref="Q39:S39" si="44">(1-Q33)*100</f>
        <v>96.73510933717229</v>
      </c>
      <c r="R39" s="459">
        <f t="shared" si="44"/>
        <v>99.993199106131712</v>
      </c>
      <c r="S39" s="459">
        <f t="shared" si="44"/>
        <v>99.9867790787834</v>
      </c>
      <c r="T39" s="459"/>
      <c r="U39" s="459">
        <f t="shared" ref="U39" si="45">(1-U33)*100</f>
        <v>21.805818353609386</v>
      </c>
      <c r="V39" s="458">
        <f>AVERAGE(O39:U39)</f>
        <v>71.153913959171661</v>
      </c>
      <c r="AB39" s="383"/>
      <c r="AC39" s="40">
        <v>10.5</v>
      </c>
      <c r="AD39" s="377">
        <f>(1-AD35)*100</f>
        <v>40.162136743819843</v>
      </c>
      <c r="AE39" s="377">
        <f t="shared" ref="AD39:AH41" si="46">(1-AE35)*100</f>
        <v>99.067655042881043</v>
      </c>
      <c r="AF39" s="377">
        <f t="shared" si="46"/>
        <v>64.084932053454821</v>
      </c>
      <c r="AG39" s="377">
        <f t="shared" si="46"/>
        <v>97.433989512989356</v>
      </c>
      <c r="AH39" s="377">
        <f t="shared" si="46"/>
        <v>99.998489211734054</v>
      </c>
      <c r="AI39" s="22"/>
      <c r="AJ39" s="377">
        <f>(1-AJ35)*100</f>
        <v>64.218859879148653</v>
      </c>
      <c r="AK39" s="384"/>
      <c r="AL39" s="383"/>
      <c r="AM39" s="40">
        <v>10.5</v>
      </c>
      <c r="AN39" s="377">
        <f>(1-AN35)*100</f>
        <v>7.1920642043552636</v>
      </c>
      <c r="AO39" s="377"/>
      <c r="AP39" s="377">
        <f>(1-AP35)*100</f>
        <v>24.273810085809689</v>
      </c>
      <c r="AQ39" s="377">
        <f>(1-AQ35)*100</f>
        <v>83.418740102387787</v>
      </c>
      <c r="AR39" s="377"/>
      <c r="AS39" s="22"/>
      <c r="AT39" s="393">
        <f>(1-AT35)*100</f>
        <v>0</v>
      </c>
      <c r="AU39" s="377">
        <f>AVERAGE(AN39:AT39)</f>
        <v>28.721153598138187</v>
      </c>
      <c r="AZ39" s="379"/>
      <c r="BA39" s="40">
        <v>38.5</v>
      </c>
      <c r="BB39" s="22">
        <f t="shared" si="38"/>
        <v>0.30172467484106769</v>
      </c>
      <c r="BC39" s="22">
        <f t="shared" si="38"/>
        <v>1</v>
      </c>
      <c r="BD39" s="22">
        <f t="shared" si="38"/>
        <v>0.53204122579377744</v>
      </c>
      <c r="BE39" s="22">
        <f t="shared" si="38"/>
        <v>0.35824577757604154</v>
      </c>
      <c r="BF39" s="22">
        <f t="shared" si="38"/>
        <v>0.26743350643406699</v>
      </c>
      <c r="BG39" s="22"/>
      <c r="BH39" s="22">
        <f t="shared" si="38"/>
        <v>0.59820497966500397</v>
      </c>
      <c r="BI39" s="22"/>
      <c r="BJ39" s="379"/>
      <c r="BK39" s="40">
        <v>38.5</v>
      </c>
      <c r="BL39" s="22">
        <f t="shared" si="39"/>
        <v>0.36126109888223307</v>
      </c>
      <c r="BM39" s="22">
        <f t="shared" si="39"/>
        <v>1</v>
      </c>
      <c r="BN39" s="22">
        <f t="shared" si="39"/>
        <v>0.8324587524145135</v>
      </c>
      <c r="BO39" s="22">
        <f t="shared" si="39"/>
        <v>0.51304925215983488</v>
      </c>
      <c r="BP39" s="22">
        <f t="shared" si="39"/>
        <v>0.46497206608079644</v>
      </c>
      <c r="BQ39" s="22"/>
      <c r="BR39" s="22">
        <f t="shared" si="39"/>
        <v>0.81718642146746712</v>
      </c>
    </row>
    <row r="40" spans="2:74" ht="15.75" thickBot="1">
      <c r="C40" s="383"/>
      <c r="D40">
        <v>15.5</v>
      </c>
      <c r="E40" s="317">
        <f t="shared" ref="E40:K44" si="47">(1-E34)*100</f>
        <v>40.14951649963978</v>
      </c>
      <c r="F40" s="317">
        <f t="shared" si="47"/>
        <v>99.984209686597097</v>
      </c>
      <c r="G40" s="317">
        <f t="shared" si="47"/>
        <v>54.520302354257936</v>
      </c>
      <c r="H40" s="317">
        <f t="shared" si="47"/>
        <v>58.477743916814241</v>
      </c>
      <c r="I40" s="317">
        <f t="shared" si="47"/>
        <v>98.066284448564147</v>
      </c>
      <c r="J40" s="317"/>
      <c r="K40" s="472">
        <f t="shared" si="47"/>
        <v>0</v>
      </c>
      <c r="L40" s="384"/>
      <c r="M40" s="158"/>
      <c r="N40" s="40">
        <v>15.5</v>
      </c>
      <c r="O40" s="317">
        <f t="shared" ref="O40:S40" si="48">(1-O34)*100</f>
        <v>26.754901308634913</v>
      </c>
      <c r="P40" s="317"/>
      <c r="Q40" s="317">
        <f t="shared" si="48"/>
        <v>25.264401052154241</v>
      </c>
      <c r="R40" s="317">
        <f t="shared" si="48"/>
        <v>61.055484882115984</v>
      </c>
      <c r="S40" s="317">
        <f t="shared" si="48"/>
        <v>95.296607891696141</v>
      </c>
      <c r="T40" s="317"/>
      <c r="U40" s="472">
        <f t="shared" ref="U40" si="49">(1-U34)*100</f>
        <v>0</v>
      </c>
      <c r="V40" s="441">
        <f t="shared" ref="V40:V44" si="50">AVERAGE(O40:U40)</f>
        <v>41.674279026920253</v>
      </c>
      <c r="AB40" s="383"/>
      <c r="AC40" s="40">
        <v>14</v>
      </c>
      <c r="AD40" s="377">
        <f t="shared" si="46"/>
        <v>89.184193582753309</v>
      </c>
      <c r="AE40" s="393">
        <f t="shared" si="46"/>
        <v>0</v>
      </c>
      <c r="AF40" s="393">
        <f t="shared" si="46"/>
        <v>0</v>
      </c>
      <c r="AG40" s="377">
        <f t="shared" si="46"/>
        <v>25.425478878996731</v>
      </c>
      <c r="AH40" s="377">
        <f t="shared" si="46"/>
        <v>58.500205887168519</v>
      </c>
      <c r="AI40" s="22"/>
      <c r="AJ40" s="393">
        <f>(1-AJ36)*100</f>
        <v>0</v>
      </c>
      <c r="AK40" s="384"/>
      <c r="AL40" s="383"/>
      <c r="AM40" s="40">
        <v>14</v>
      </c>
      <c r="AN40" s="377">
        <f>(1-AN36)*100</f>
        <v>61.630833462669365</v>
      </c>
      <c r="AO40" s="377"/>
      <c r="AP40" s="377">
        <f>(1-AP36)*100</f>
        <v>20.715048450481188</v>
      </c>
      <c r="AQ40" s="377"/>
      <c r="AR40" s="377">
        <f>(1-AR36)*100</f>
        <v>51.695096311146685</v>
      </c>
      <c r="AS40" s="22"/>
      <c r="AT40" s="377">
        <f>(1-AT36)*100</f>
        <v>52.007817943536885</v>
      </c>
      <c r="AU40" s="377">
        <f>AVERAGE(AN40:AT40)</f>
        <v>46.512199041958532</v>
      </c>
      <c r="AZ40" s="379"/>
      <c r="BA40" s="40">
        <v>45.5</v>
      </c>
      <c r="BB40" s="22">
        <f t="shared" si="38"/>
        <v>0.12827239478790825</v>
      </c>
      <c r="BC40" s="22">
        <f t="shared" si="38"/>
        <v>0.55647072718271107</v>
      </c>
      <c r="BD40" s="22">
        <f t="shared" si="38"/>
        <v>0.49170457399636502</v>
      </c>
      <c r="BE40" s="22">
        <f t="shared" si="38"/>
        <v>0.30939892938273766</v>
      </c>
      <c r="BF40" s="22">
        <f t="shared" si="38"/>
        <v>0.55637033500104316</v>
      </c>
      <c r="BG40" s="22"/>
      <c r="BH40" s="22">
        <f t="shared" si="38"/>
        <v>0.59820497966500397</v>
      </c>
      <c r="BI40" s="22"/>
      <c r="BJ40" s="379"/>
      <c r="BK40" s="40">
        <v>45.5</v>
      </c>
      <c r="BL40" s="22">
        <f t="shared" si="39"/>
        <v>0.73725463040658745</v>
      </c>
      <c r="BM40" s="22">
        <f>EXP(1000*LN((0.001*BM32+1)/(0.001*BM$33+1))/BM$34)</f>
        <v>2.9308651964122204E-2</v>
      </c>
      <c r="BN40" s="22">
        <f t="shared" si="39"/>
        <v>0.94043217595102857</v>
      </c>
      <c r="BO40" s="22">
        <f t="shared" si="39"/>
        <v>1</v>
      </c>
      <c r="BP40" s="22">
        <f t="shared" si="39"/>
        <v>1</v>
      </c>
      <c r="BQ40" s="22"/>
      <c r="BR40" s="22">
        <f t="shared" si="39"/>
        <v>1</v>
      </c>
      <c r="BS40" s="420" t="s">
        <v>334</v>
      </c>
    </row>
    <row r="41" spans="2:74" ht="15.75" thickBot="1">
      <c r="C41" s="383"/>
      <c r="D41">
        <v>17</v>
      </c>
      <c r="E41" s="461">
        <f t="shared" si="47"/>
        <v>96.725992120773938</v>
      </c>
      <c r="F41" s="461">
        <f t="shared" si="47"/>
        <v>91.67258373557452</v>
      </c>
      <c r="G41" s="461">
        <f t="shared" si="47"/>
        <v>46.761474138824212</v>
      </c>
      <c r="H41" s="471">
        <f t="shared" si="47"/>
        <v>0</v>
      </c>
      <c r="I41" s="461">
        <f t="shared" si="47"/>
        <v>91.67258373557452</v>
      </c>
      <c r="J41" s="461"/>
      <c r="K41" s="461">
        <f t="shared" si="47"/>
        <v>22.653225329679895</v>
      </c>
      <c r="L41" s="384"/>
      <c r="M41" s="158"/>
      <c r="N41" s="40">
        <v>17</v>
      </c>
      <c r="O41" s="471">
        <f t="shared" ref="O41:S41" si="51">(1-O35)*100</f>
        <v>0</v>
      </c>
      <c r="P41" s="461"/>
      <c r="Q41" s="461">
        <f>(1-Q35)*100</f>
        <v>5.9985759395225209</v>
      </c>
      <c r="R41" s="471">
        <f t="shared" si="51"/>
        <v>0</v>
      </c>
      <c r="S41" s="461">
        <f t="shared" si="51"/>
        <v>84.879234885651158</v>
      </c>
      <c r="T41" s="461"/>
      <c r="U41" s="461">
        <f t="shared" ref="U41" si="52">(1-U35)*100</f>
        <v>28.446158969731194</v>
      </c>
      <c r="V41" s="14">
        <f t="shared" si="50"/>
        <v>23.864793958980975</v>
      </c>
      <c r="AB41" s="385"/>
      <c r="AC41" s="386">
        <v>15.5</v>
      </c>
      <c r="AD41" s="387">
        <f t="shared" si="46"/>
        <v>74.565560174827496</v>
      </c>
      <c r="AE41" s="387">
        <f t="shared" si="46"/>
        <v>99.975570251851309</v>
      </c>
      <c r="AF41" s="387">
        <f t="shared" si="46"/>
        <v>71.638300148480056</v>
      </c>
      <c r="AG41" s="387">
        <f t="shared" si="46"/>
        <v>82.783890501966837</v>
      </c>
      <c r="AH41" s="387">
        <f t="shared" si="46"/>
        <v>99.880414863591611</v>
      </c>
      <c r="AI41" s="388"/>
      <c r="AJ41" s="387">
        <f>(1-AJ37)*100</f>
        <v>53.738103806157291</v>
      </c>
      <c r="AK41" s="389"/>
      <c r="AL41" s="385"/>
      <c r="AM41" s="386">
        <v>15.5</v>
      </c>
      <c r="AN41" s="387">
        <f>(1-AN37)*100</f>
        <v>44.712819836109198</v>
      </c>
      <c r="AO41" s="387"/>
      <c r="AP41" s="387">
        <f>(1-AP37)*100</f>
        <v>92.224815333024836</v>
      </c>
      <c r="AQ41" s="387">
        <f>(1-AQ37)*100</f>
        <v>93.298230367602812</v>
      </c>
      <c r="AR41" s="387">
        <f>(1-AR37)*100</f>
        <v>99.927810783581933</v>
      </c>
      <c r="AS41" s="388"/>
      <c r="AT41" s="387">
        <f>(1-AT37)*100</f>
        <v>0</v>
      </c>
      <c r="AU41" s="377">
        <f>AVERAGE(AN41:AT41)</f>
        <v>66.03273526406376</v>
      </c>
      <c r="AZ41" s="380" t="s">
        <v>1469</v>
      </c>
      <c r="BA41" s="390">
        <v>15.5</v>
      </c>
      <c r="BB41" s="397">
        <f t="shared" ref="BB41:BF45" si="53">(1-BB36)*100</f>
        <v>0</v>
      </c>
      <c r="BC41" s="398">
        <f>(1-BC36)*100</f>
        <v>99.992478168251552</v>
      </c>
      <c r="BD41" s="397">
        <f t="shared" si="53"/>
        <v>0</v>
      </c>
      <c r="BE41" s="397">
        <f t="shared" si="53"/>
        <v>0</v>
      </c>
      <c r="BF41" s="397">
        <f t="shared" si="53"/>
        <v>0</v>
      </c>
      <c r="BG41" s="398"/>
      <c r="BH41" s="397">
        <f>(1-BH36)*100</f>
        <v>0</v>
      </c>
      <c r="BI41" s="382"/>
      <c r="BJ41" s="380" t="s">
        <v>1469</v>
      </c>
      <c r="BK41" s="391">
        <v>15.5</v>
      </c>
      <c r="BL41" s="397">
        <f>(1-BL36)*100</f>
        <v>0</v>
      </c>
      <c r="BM41" s="398">
        <f>(1-BM36)*100</f>
        <v>99.999389015526475</v>
      </c>
      <c r="BN41" s="398">
        <f>(1-BN36)*100</f>
        <v>3.0276839528281196</v>
      </c>
      <c r="BO41" s="398">
        <f>(1-BO36)*100</f>
        <v>34.667237844656526</v>
      </c>
      <c r="BP41" s="398">
        <f>(1-BP36)*100</f>
        <v>25.610100608561879</v>
      </c>
      <c r="BQ41" s="398"/>
      <c r="BR41" s="398">
        <f>(1-BR36)*100</f>
        <v>8.6036459232699869</v>
      </c>
      <c r="BS41" s="421">
        <f>AVERAGE(BL41:BR41)</f>
        <v>28.651342890807161</v>
      </c>
      <c r="BT41" s="22"/>
    </row>
    <row r="42" spans="2:74">
      <c r="C42" s="383"/>
      <c r="D42">
        <v>19</v>
      </c>
      <c r="E42" s="461">
        <f t="shared" si="47"/>
        <v>96.725992120773938</v>
      </c>
      <c r="F42" s="461">
        <f t="shared" si="47"/>
        <v>99.479716221032845</v>
      </c>
      <c r="G42" s="471">
        <f t="shared" si="47"/>
        <v>0</v>
      </c>
      <c r="H42" s="461">
        <f t="shared" si="47"/>
        <v>98.927720498152169</v>
      </c>
      <c r="I42" s="461">
        <f t="shared" si="47"/>
        <v>99.978877930051866</v>
      </c>
      <c r="J42" s="461"/>
      <c r="K42" s="461">
        <f t="shared" si="47"/>
        <v>22.653225329679895</v>
      </c>
      <c r="L42" s="384"/>
      <c r="M42" s="158"/>
      <c r="N42" s="40">
        <v>19</v>
      </c>
      <c r="O42" s="461">
        <f t="shared" ref="O42:S42" si="54">(1-O36)*100</f>
        <v>3.8320411253100928</v>
      </c>
      <c r="P42" s="461"/>
      <c r="Q42" s="461">
        <f t="shared" si="54"/>
        <v>4.5362079144111949</v>
      </c>
      <c r="R42" s="461">
        <f t="shared" si="54"/>
        <v>97.730477940240547</v>
      </c>
      <c r="S42" s="461">
        <f t="shared" si="54"/>
        <v>99.709612371972455</v>
      </c>
      <c r="T42" s="461"/>
      <c r="U42" s="461">
        <f t="shared" ref="U42" si="55">(1-U36)*100</f>
        <v>23.524207599823256</v>
      </c>
      <c r="V42" s="14">
        <f t="shared" si="50"/>
        <v>45.86650939035151</v>
      </c>
      <c r="AA42" s="375" t="s">
        <v>1471</v>
      </c>
      <c r="AB42" s="379" t="s">
        <v>1472</v>
      </c>
      <c r="AC42" s="40">
        <v>7</v>
      </c>
      <c r="AD42" s="22">
        <f>EXP(1000*LN((0.001*AD27+1)/(0.001*AD$31+1))/AD$33)</f>
        <v>1</v>
      </c>
      <c r="AE42" s="22">
        <f t="shared" ref="AE42:AJ42" si="56">EXP(1000*LN((0.001*AE27+1)/(0.001*AE$31+1))/AE$33)</f>
        <v>0.65214625190497888</v>
      </c>
      <c r="AF42" s="22">
        <f t="shared" si="56"/>
        <v>1</v>
      </c>
      <c r="AG42" s="22">
        <f t="shared" si="56"/>
        <v>1</v>
      </c>
      <c r="AH42" s="22">
        <f t="shared" si="56"/>
        <v>1</v>
      </c>
      <c r="AI42" s="22"/>
      <c r="AJ42" s="22">
        <f t="shared" si="56"/>
        <v>0.95971952869068078</v>
      </c>
      <c r="AK42" s="22"/>
      <c r="AL42" s="379" t="s">
        <v>1472</v>
      </c>
      <c r="AM42" s="40">
        <v>7</v>
      </c>
      <c r="AN42" s="22">
        <f>EXP(1000*LN((0.001*AN27+1)/(0.001*AN$31+1))/AN$33)</f>
        <v>1</v>
      </c>
      <c r="AO42" s="22"/>
      <c r="AP42" s="22">
        <f t="shared" ref="AP42:AT42" si="57">EXP(1000*LN((0.001*AP27+1)/(0.001*AP$31+1))/AP$33)</f>
        <v>1</v>
      </c>
      <c r="AQ42" s="22">
        <f t="shared" si="57"/>
        <v>1</v>
      </c>
      <c r="AR42" s="22">
        <f t="shared" si="57"/>
        <v>1</v>
      </c>
      <c r="AS42" s="22"/>
      <c r="AT42" s="22">
        <f t="shared" si="57"/>
        <v>0.94833209935605489</v>
      </c>
      <c r="AU42" s="377"/>
      <c r="AZ42" s="383"/>
      <c r="BA42">
        <v>19</v>
      </c>
      <c r="BB42" s="22">
        <f t="shared" si="53"/>
        <v>78.571246978732816</v>
      </c>
      <c r="BC42" s="22">
        <f t="shared" si="53"/>
        <v>99.99952564886226</v>
      </c>
      <c r="BD42" s="22">
        <f t="shared" si="53"/>
        <v>54.557028673457907</v>
      </c>
      <c r="BE42" s="22">
        <f t="shared" si="53"/>
        <v>88.906573613441424</v>
      </c>
      <c r="BF42" s="22">
        <f t="shared" si="53"/>
        <v>76.900330736749893</v>
      </c>
      <c r="BG42" s="22"/>
      <c r="BH42" s="22">
        <f>(1-BH37)*100</f>
        <v>64.211301736010711</v>
      </c>
      <c r="BI42" s="384"/>
      <c r="BJ42" s="383"/>
      <c r="BK42" s="40">
        <v>19</v>
      </c>
      <c r="BL42" s="22">
        <f>(1-BL37)*100</f>
        <v>69.984201269275943</v>
      </c>
      <c r="BM42" s="22"/>
      <c r="BN42" s="395">
        <f t="shared" ref="BN42:BP45" si="58">(1-BN37)*100</f>
        <v>0</v>
      </c>
      <c r="BO42" s="22">
        <f t="shared" si="58"/>
        <v>62.014450196729683</v>
      </c>
      <c r="BP42" s="22">
        <f t="shared" si="58"/>
        <v>50.700976047802712</v>
      </c>
      <c r="BQ42" s="22"/>
      <c r="BR42" s="22">
        <f>(1-BR37)*100</f>
        <v>14.545770861843954</v>
      </c>
      <c r="BS42" s="22">
        <f>AVERAGE(BL42:BR42)</f>
        <v>39.449079675130463</v>
      </c>
      <c r="BT42" s="22"/>
    </row>
    <row r="43" spans="2:74">
      <c r="C43" s="383"/>
      <c r="D43">
        <v>20.5</v>
      </c>
      <c r="E43" s="421">
        <f t="shared" si="47"/>
        <v>74.55126017712</v>
      </c>
      <c r="F43" s="421">
        <f t="shared" si="47"/>
        <v>99.941500891022443</v>
      </c>
      <c r="G43" s="421">
        <f>(1-G37)*100</f>
        <v>32.56816575845383</v>
      </c>
      <c r="H43" s="421">
        <f t="shared" si="47"/>
        <v>94.648008559046104</v>
      </c>
      <c r="I43" s="421">
        <f t="shared" si="47"/>
        <v>99.837864644155431</v>
      </c>
      <c r="J43" s="421"/>
      <c r="K43" s="421">
        <f t="shared" si="47"/>
        <v>22.653225329679895</v>
      </c>
      <c r="L43" s="384"/>
      <c r="M43" s="158"/>
      <c r="N43" s="40">
        <v>20.5</v>
      </c>
      <c r="O43" s="421">
        <f t="shared" ref="O43" si="59">(1-O37)*100</f>
        <v>65.961362650149823</v>
      </c>
      <c r="P43" s="421"/>
      <c r="Q43" s="473">
        <f>(1-Q37)*100</f>
        <v>0</v>
      </c>
      <c r="R43" s="421">
        <f t="shared" ref="R43:S43" si="60">(1-R37)*100</f>
        <v>94.45665932413219</v>
      </c>
      <c r="S43" s="421">
        <f t="shared" si="60"/>
        <v>98.49942516394421</v>
      </c>
      <c r="T43" s="421"/>
      <c r="U43" s="421">
        <f t="shared" ref="U43" si="61">(1-U37)*100</f>
        <v>35.926114097724714</v>
      </c>
      <c r="V43" s="427">
        <f t="shared" si="50"/>
        <v>58.968712247190183</v>
      </c>
      <c r="AB43" s="21"/>
      <c r="AC43" s="40">
        <v>10.5</v>
      </c>
      <c r="AD43" s="22">
        <f t="shared" ref="AD43:AJ45" si="62">EXP(1000*LN((0.001*AD28+1)/(0.001*AD$31+1))/AD$33)</f>
        <v>0.91797181318049592</v>
      </c>
      <c r="AE43" s="22">
        <f t="shared" si="62"/>
        <v>0.61357296360798308</v>
      </c>
      <c r="AF43" s="22">
        <f t="shared" si="62"/>
        <v>0.72275344558336285</v>
      </c>
      <c r="AG43" s="22">
        <f t="shared" si="62"/>
        <v>0.38688823033984787</v>
      </c>
      <c r="AH43" s="22">
        <f t="shared" si="62"/>
        <v>5.6255358554687565E-2</v>
      </c>
      <c r="AI43" s="22"/>
      <c r="AJ43" s="22">
        <f t="shared" si="62"/>
        <v>0.92106935688972413</v>
      </c>
      <c r="AK43" s="22"/>
      <c r="AL43" s="379"/>
      <c r="AM43" s="40">
        <v>10.5</v>
      </c>
      <c r="AN43" s="22">
        <f t="shared" ref="AN43:AT45" si="63">EXP(1000*LN((0.001*AN28+1)/(0.001*AN$31+1))/AN$33)</f>
        <v>0.97297316943086753</v>
      </c>
      <c r="AO43" s="22"/>
      <c r="AP43" s="22">
        <f t="shared" si="63"/>
        <v>0.89158973499343408</v>
      </c>
      <c r="AQ43" s="22">
        <f t="shared" si="63"/>
        <v>0.50518990087094018</v>
      </c>
      <c r="AR43" s="22" t="e">
        <f t="shared" si="63"/>
        <v>#VALUE!</v>
      </c>
      <c r="AS43" s="22"/>
      <c r="AT43" s="22">
        <f t="shared" si="63"/>
        <v>1</v>
      </c>
      <c r="AU43" s="377"/>
      <c r="AZ43" s="383"/>
      <c r="BA43">
        <v>26</v>
      </c>
      <c r="BB43" s="22">
        <f t="shared" si="53"/>
        <v>69.827532515893225</v>
      </c>
      <c r="BC43" s="22">
        <f t="shared" si="53"/>
        <v>99.55401813955541</v>
      </c>
      <c r="BD43" s="22">
        <f t="shared" si="53"/>
        <v>50.829542600363496</v>
      </c>
      <c r="BE43" s="22">
        <f t="shared" si="53"/>
        <v>51.968601859080913</v>
      </c>
      <c r="BF43" s="22">
        <f t="shared" si="53"/>
        <v>76.900330736749893</v>
      </c>
      <c r="BG43" s="22"/>
      <c r="BH43" s="22">
        <f>(1-BH38)*100</f>
        <v>53.730774231201607</v>
      </c>
      <c r="BI43" s="384"/>
      <c r="BJ43" s="383"/>
      <c r="BK43" s="40">
        <v>26</v>
      </c>
      <c r="BL43" s="22">
        <f>(1-BL38)*100</f>
        <v>20.456703867477412</v>
      </c>
      <c r="BM43" s="22">
        <f>(1-BM38)*100</f>
        <v>99.997034907324164</v>
      </c>
      <c r="BN43" s="22">
        <f t="shared" si="58"/>
        <v>16.754124758548649</v>
      </c>
      <c r="BO43" s="22">
        <f t="shared" si="58"/>
        <v>21.624997298441961</v>
      </c>
      <c r="BP43" s="22">
        <f t="shared" si="58"/>
        <v>63.181796169729289</v>
      </c>
      <c r="BQ43" s="22"/>
      <c r="BR43" s="22">
        <f>(1-BR38)*100</f>
        <v>2.2275002556779722</v>
      </c>
      <c r="BS43" s="22">
        <f t="shared" ref="BS43:BS44" si="64">AVERAGE(BL43:BR43)</f>
        <v>37.373692876199911</v>
      </c>
      <c r="BT43" s="22"/>
    </row>
    <row r="44" spans="2:74" ht="15.75" thickBot="1">
      <c r="B44" s="30"/>
      <c r="C44" s="385"/>
      <c r="D44" s="175">
        <v>28</v>
      </c>
      <c r="E44" s="435">
        <f t="shared" si="47"/>
        <v>99.986019411801806</v>
      </c>
      <c r="F44" s="470">
        <f t="shared" si="47"/>
        <v>0</v>
      </c>
      <c r="G44" s="470">
        <f t="shared" si="47"/>
        <v>0</v>
      </c>
      <c r="H44" s="435">
        <f t="shared" si="47"/>
        <v>99.750968018282506</v>
      </c>
      <c r="I44" s="470">
        <f t="shared" si="47"/>
        <v>0</v>
      </c>
      <c r="J44" s="470"/>
      <c r="K44" s="435">
        <f t="shared" si="47"/>
        <v>72.309829416681907</v>
      </c>
      <c r="L44" s="389"/>
      <c r="M44" s="174"/>
      <c r="N44" s="386">
        <v>28</v>
      </c>
      <c r="O44" s="435"/>
      <c r="P44" s="435"/>
      <c r="Q44" s="435">
        <f t="shared" ref="Q44:S44" si="65">(1-Q38)*100</f>
        <v>15.583105623671823</v>
      </c>
      <c r="R44" s="435">
        <f t="shared" si="65"/>
        <v>96.256459626281199</v>
      </c>
      <c r="S44" s="470">
        <f t="shared" si="65"/>
        <v>0</v>
      </c>
      <c r="T44" s="435"/>
      <c r="U44" s="435">
        <f t="shared" ref="U44" si="66">(1-U38)*100</f>
        <v>43.835053369292012</v>
      </c>
      <c r="V44" s="434">
        <f t="shared" si="50"/>
        <v>38.918654654811263</v>
      </c>
      <c r="AB44" s="21"/>
      <c r="AC44" s="40">
        <v>14</v>
      </c>
      <c r="AD44" s="22">
        <f t="shared" si="62"/>
        <v>0.69025540748223024</v>
      </c>
      <c r="AE44" s="22">
        <f t="shared" si="62"/>
        <v>1</v>
      </c>
      <c r="AF44" s="22">
        <f t="shared" si="62"/>
        <v>1</v>
      </c>
      <c r="AG44" s="22">
        <f t="shared" si="62"/>
        <v>0.92676132215123974</v>
      </c>
      <c r="AH44" s="22">
        <f t="shared" si="62"/>
        <v>0.79611328992902441</v>
      </c>
      <c r="AI44" s="22"/>
      <c r="AJ44" s="22">
        <f t="shared" si="62"/>
        <v>1</v>
      </c>
      <c r="AK44" s="22"/>
      <c r="AL44" s="379"/>
      <c r="AM44" s="40">
        <v>14</v>
      </c>
      <c r="AN44" s="22">
        <f t="shared" si="63"/>
        <v>0.70353331182277201</v>
      </c>
      <c r="AO44" s="22"/>
      <c r="AP44" s="22">
        <f t="shared" si="63"/>
        <v>0.9086490749404269</v>
      </c>
      <c r="AQ44" s="22" t="e">
        <f t="shared" si="63"/>
        <v>#VALUE!</v>
      </c>
      <c r="AR44" s="22">
        <f t="shared" si="63"/>
        <v>0.75843202654648334</v>
      </c>
      <c r="AS44" s="22"/>
      <c r="AT44" s="22">
        <f t="shared" si="63"/>
        <v>0.70819055981695844</v>
      </c>
      <c r="AU44" s="377"/>
      <c r="AZ44" s="383"/>
      <c r="BA44">
        <v>38.5</v>
      </c>
      <c r="BB44" s="22">
        <f t="shared" si="53"/>
        <v>69.827532515893225</v>
      </c>
      <c r="BC44" s="395">
        <f t="shared" si="53"/>
        <v>0</v>
      </c>
      <c r="BD44" s="22">
        <f t="shared" si="53"/>
        <v>46.795877420622254</v>
      </c>
      <c r="BE44" s="22">
        <f t="shared" si="53"/>
        <v>64.175422242395854</v>
      </c>
      <c r="BF44" s="22">
        <f t="shared" si="53"/>
        <v>73.2566493565933</v>
      </c>
      <c r="BG44" s="22"/>
      <c r="BH44" s="22">
        <f>(1-BH39)*100</f>
        <v>40.179502033499602</v>
      </c>
      <c r="BI44" s="384"/>
      <c r="BJ44" s="383"/>
      <c r="BK44" s="40">
        <v>38.5</v>
      </c>
      <c r="BL44" s="22">
        <f>(1-BL39)*100</f>
        <v>63.873890111776689</v>
      </c>
      <c r="BM44" s="395">
        <f>(1-BM39)*100</f>
        <v>0</v>
      </c>
      <c r="BN44" s="22">
        <f t="shared" si="58"/>
        <v>16.754124758548649</v>
      </c>
      <c r="BO44" s="22">
        <f t="shared" si="58"/>
        <v>48.695074784016512</v>
      </c>
      <c r="BP44" s="22">
        <f t="shared" si="58"/>
        <v>53.502793391920356</v>
      </c>
      <c r="BQ44" s="22"/>
      <c r="BR44" s="22">
        <f>(1-BR39)*100</f>
        <v>18.28135785325329</v>
      </c>
      <c r="BS44" s="421">
        <f t="shared" si="64"/>
        <v>33.517873483252586</v>
      </c>
      <c r="BT44" s="22"/>
    </row>
    <row r="45" spans="2:74" ht="15.75" thickBot="1">
      <c r="B45" s="375"/>
      <c r="C45" s="379" t="s">
        <v>1472</v>
      </c>
      <c r="D45" s="40">
        <v>12</v>
      </c>
      <c r="E45" s="22">
        <f>EXP(1000*LN((0.001*E24+1)/(0.001*E$30+1))/E$32)</f>
        <v>1</v>
      </c>
      <c r="F45" s="22">
        <f t="shared" ref="F45:K45" si="67">EXP(1000*LN((0.001*F24+1)/(0.001*F$30+1))/F$32)</f>
        <v>0.85828907585643577</v>
      </c>
      <c r="G45" s="22">
        <f t="shared" si="67"/>
        <v>0.50969822081620375</v>
      </c>
      <c r="H45" s="22">
        <f t="shared" si="67"/>
        <v>5.6354698027497277E-2</v>
      </c>
      <c r="I45" s="22">
        <f t="shared" si="67"/>
        <v>2.4733865358546259E-2</v>
      </c>
      <c r="J45" s="22"/>
      <c r="K45" s="22">
        <f t="shared" si="67"/>
        <v>0.90237291321889501</v>
      </c>
      <c r="L45" s="22"/>
      <c r="M45" s="379" t="s">
        <v>1472</v>
      </c>
      <c r="N45" s="40">
        <v>12</v>
      </c>
      <c r="O45" s="22">
        <f>EXP(1000*LN((0.001*O24+1)/(0.001*O$30+1))/O$32)</f>
        <v>0.84277122794342785</v>
      </c>
      <c r="P45" s="22"/>
      <c r="Q45" s="22">
        <f t="shared" ref="Q45:U45" si="68">EXP(1000*LN((0.001*Q24+1)/(0.001*Q$30+1))/Q$32)</f>
        <v>0.24359925033194194</v>
      </c>
      <c r="R45" s="22">
        <f t="shared" si="68"/>
        <v>2.6084053304588847E-2</v>
      </c>
      <c r="S45" s="22">
        <f t="shared" si="68"/>
        <v>3.3579904181400257E-2</v>
      </c>
      <c r="T45" s="22"/>
      <c r="U45" s="22">
        <f t="shared" si="68"/>
        <v>0.89082415845671914</v>
      </c>
      <c r="V45" s="377"/>
      <c r="AA45" s="394" t="s">
        <v>1456</v>
      </c>
      <c r="AB45" s="21"/>
      <c r="AC45" s="40">
        <v>15.5</v>
      </c>
      <c r="AD45" s="22">
        <f t="shared" si="62"/>
        <v>0.79598282344610405</v>
      </c>
      <c r="AE45" s="22">
        <f t="shared" si="62"/>
        <v>0.41939031968670387</v>
      </c>
      <c r="AF45" s="22">
        <f t="shared" si="62"/>
        <v>0.67061935153636254</v>
      </c>
      <c r="AG45" s="22">
        <f t="shared" si="62"/>
        <v>0.63373702134617182</v>
      </c>
      <c r="AH45" s="22">
        <f t="shared" si="62"/>
        <v>0.17472729615280991</v>
      </c>
      <c r="AI45" s="22"/>
      <c r="AJ45" s="22">
        <f t="shared" si="62"/>
        <v>0.94019486387439377</v>
      </c>
      <c r="AK45" s="22"/>
      <c r="AL45" s="379"/>
      <c r="AM45" s="40">
        <v>15.5</v>
      </c>
      <c r="AN45" s="22">
        <f t="shared" si="63"/>
        <v>0.80448947014168848</v>
      </c>
      <c r="AO45" s="22"/>
      <c r="AP45" s="22">
        <f t="shared" si="63"/>
        <v>0.34849622004444342</v>
      </c>
      <c r="AQ45" s="22">
        <f t="shared" si="63"/>
        <v>0.35805686776661361</v>
      </c>
      <c r="AR45" s="22">
        <f t="shared" si="63"/>
        <v>6.4005822757156397E-2</v>
      </c>
      <c r="AS45" s="22"/>
      <c r="AT45" s="22">
        <f t="shared" si="63"/>
        <v>1</v>
      </c>
      <c r="AU45" s="377"/>
      <c r="AV45" s="394" t="s">
        <v>1456</v>
      </c>
      <c r="AZ45" s="385"/>
      <c r="BA45" s="175">
        <v>45.5</v>
      </c>
      <c r="BB45" s="388">
        <f t="shared" si="53"/>
        <v>87.17276052120917</v>
      </c>
      <c r="BC45" s="388">
        <f t="shared" si="53"/>
        <v>44.352927281728896</v>
      </c>
      <c r="BD45" s="388">
        <f t="shared" si="53"/>
        <v>50.829542600363496</v>
      </c>
      <c r="BE45" s="388">
        <f t="shared" si="53"/>
        <v>69.060107061726228</v>
      </c>
      <c r="BF45" s="388">
        <f t="shared" si="53"/>
        <v>44.362966499895684</v>
      </c>
      <c r="BG45" s="388"/>
      <c r="BH45" s="388">
        <f>(1-BH40)*100</f>
        <v>40.179502033499602</v>
      </c>
      <c r="BI45" s="384"/>
      <c r="BJ45" s="385"/>
      <c r="BK45" s="386">
        <v>45.5</v>
      </c>
      <c r="BL45" s="388">
        <f>(1-BL40)*100</f>
        <v>26.274536959341255</v>
      </c>
      <c r="BM45" s="388">
        <f>(1-BM40)*100</f>
        <v>97.069134803587772</v>
      </c>
      <c r="BN45" s="388">
        <f t="shared" si="58"/>
        <v>5.9567824048971429</v>
      </c>
      <c r="BO45" s="399">
        <f t="shared" si="58"/>
        <v>0</v>
      </c>
      <c r="BP45" s="399">
        <f t="shared" si="58"/>
        <v>0</v>
      </c>
      <c r="BQ45" s="388"/>
      <c r="BR45" s="399">
        <f>(1-BR40)*100</f>
        <v>0</v>
      </c>
      <c r="BS45" s="317">
        <f>AVERAGE(BL45:BR45)</f>
        <v>21.550075694637698</v>
      </c>
      <c r="BT45" s="22"/>
    </row>
    <row r="46" spans="2:74">
      <c r="C46" s="21"/>
      <c r="D46" s="40">
        <v>15.5</v>
      </c>
      <c r="E46" s="22">
        <f t="shared" ref="E46:K50" si="69">EXP(1000*LN((0.001*E25+1)/(0.001*E$30+1))/E$32)</f>
        <v>0.91800407817644725</v>
      </c>
      <c r="F46" s="22">
        <f t="shared" si="69"/>
        <v>0.40069778711830306</v>
      </c>
      <c r="G46" s="22">
        <f t="shared" si="69"/>
        <v>0.77893843122290796</v>
      </c>
      <c r="H46" s="22">
        <f t="shared" si="69"/>
        <v>0.79622498242989492</v>
      </c>
      <c r="I46" s="22">
        <f t="shared" si="69"/>
        <v>0.35952691831447953</v>
      </c>
      <c r="J46" s="22"/>
      <c r="K46" s="22">
        <f t="shared" si="69"/>
        <v>1</v>
      </c>
      <c r="L46" s="22"/>
      <c r="M46" s="379"/>
      <c r="N46" s="40">
        <v>15.5</v>
      </c>
      <c r="O46" s="22">
        <f t="shared" ref="O46:U50" si="70">EXP(1000*LN((0.001*O25+1)/(0.001*O$30+1))/O$32)</f>
        <v>0.8919936300855994</v>
      </c>
      <c r="P46" s="22"/>
      <c r="Q46" s="22">
        <f t="shared" si="70"/>
        <v>0.88675778112246184</v>
      </c>
      <c r="R46" s="22">
        <f t="shared" si="70"/>
        <v>0.6988268684779162</v>
      </c>
      <c r="S46" s="22">
        <f t="shared" si="70"/>
        <v>0.31297975823172397</v>
      </c>
      <c r="T46" s="22"/>
      <c r="U46" s="22">
        <f t="shared" si="70"/>
        <v>1</v>
      </c>
      <c r="V46" s="377"/>
      <c r="AA46" s="438">
        <v>9.6832077668474703</v>
      </c>
      <c r="AB46" s="445" t="s">
        <v>1469</v>
      </c>
      <c r="AC46" s="446">
        <v>7</v>
      </c>
      <c r="AD46" s="447">
        <f t="shared" ref="AD46:AH49" si="71">(1-AD42)*100</f>
        <v>0</v>
      </c>
      <c r="AE46" s="448">
        <f t="shared" si="71"/>
        <v>34.785374809502109</v>
      </c>
      <c r="AF46" s="448">
        <f t="shared" si="71"/>
        <v>0</v>
      </c>
      <c r="AG46" s="447">
        <f t="shared" si="71"/>
        <v>0</v>
      </c>
      <c r="AH46" s="447">
        <f t="shared" si="71"/>
        <v>0</v>
      </c>
      <c r="AI46" s="449"/>
      <c r="AJ46" s="448">
        <f>(1-AJ42)*100</f>
        <v>4.0280471309319221</v>
      </c>
      <c r="AK46" s="450"/>
      <c r="AL46" s="451" t="s">
        <v>1469</v>
      </c>
      <c r="AM46" s="446">
        <v>7</v>
      </c>
      <c r="AN46" s="447">
        <f>(1-AN42)*100</f>
        <v>0</v>
      </c>
      <c r="AO46" s="447"/>
      <c r="AP46" s="447">
        <f>(1-AP42)*100</f>
        <v>0</v>
      </c>
      <c r="AQ46" s="447">
        <f>(1-AQ42)*100</f>
        <v>0</v>
      </c>
      <c r="AR46" s="447">
        <f>(1-AR42)*100</f>
        <v>0</v>
      </c>
      <c r="AS46" s="449"/>
      <c r="AT46" s="448">
        <f>(1-AT42)*100</f>
        <v>5.1667900643945108</v>
      </c>
      <c r="AU46" s="448">
        <f>AVERAGE(AN46:AT46)</f>
        <v>1.0333580128789022</v>
      </c>
      <c r="AV46" s="438">
        <v>9.6832077668474703</v>
      </c>
      <c r="AZ46" s="379" t="s">
        <v>1472</v>
      </c>
      <c r="BA46" s="167">
        <v>15.5</v>
      </c>
      <c r="BB46" s="22">
        <f>EXP(1000*LN((0.001*BB28+1)/(0.001*BB$33+1))/BB$35)</f>
        <v>1</v>
      </c>
      <c r="BC46" s="22">
        <f t="shared" ref="BC46:BH46" si="72">EXP(1000*LN((0.001*BC28+1)/(0.001*BC$33+1))/BC$35)</f>
        <v>0.37082426009448449</v>
      </c>
      <c r="BD46" s="22">
        <f t="shared" si="72"/>
        <v>1</v>
      </c>
      <c r="BE46" s="22">
        <f t="shared" si="72"/>
        <v>1</v>
      </c>
      <c r="BF46" s="22">
        <f t="shared" si="72"/>
        <v>1</v>
      </c>
      <c r="BG46" s="22"/>
      <c r="BH46" s="22">
        <f t="shared" si="72"/>
        <v>1</v>
      </c>
      <c r="BI46" s="22"/>
      <c r="BJ46" s="379" t="s">
        <v>1472</v>
      </c>
      <c r="BK46" s="167">
        <v>15.5</v>
      </c>
      <c r="BL46" s="22">
        <f>EXP(1000*LN((0.001*BL28+1)/(0.001*BL$33+1))/BL$35)</f>
        <v>1</v>
      </c>
      <c r="BM46" s="22">
        <f t="shared" ref="BM46:BR46" si="73">EXP(1000*LN((0.001*BM28+1)/(0.001*BM$33+1))/BM$35)</f>
        <v>0.19793740880201113</v>
      </c>
      <c r="BN46" s="22">
        <f t="shared" si="73"/>
        <v>0.98739188853046367</v>
      </c>
      <c r="BO46" s="22">
        <f t="shared" si="73"/>
        <v>0.85064780857531619</v>
      </c>
      <c r="BP46" s="22">
        <f t="shared" si="73"/>
        <v>0.89366615191989918</v>
      </c>
      <c r="BQ46" s="22"/>
      <c r="BR46" s="22">
        <f t="shared" si="73"/>
        <v>0.9585981126731713</v>
      </c>
      <c r="BS46" s="22"/>
    </row>
    <row r="47" spans="2:74">
      <c r="C47" s="21"/>
      <c r="D47" s="40">
        <v>17</v>
      </c>
      <c r="E47" s="22">
        <f t="shared" si="69"/>
        <v>0.56560506081932538</v>
      </c>
      <c r="F47" s="22">
        <f t="shared" si="69"/>
        <v>0.771289628306563</v>
      </c>
      <c r="G47" s="22">
        <f t="shared" si="69"/>
        <v>0.81882975642693234</v>
      </c>
      <c r="H47" s="22">
        <f t="shared" si="69"/>
        <v>1</v>
      </c>
      <c r="I47" s="22">
        <f t="shared" si="69"/>
        <v>0.52496734972375581</v>
      </c>
      <c r="J47" s="22"/>
      <c r="K47" s="22">
        <f t="shared" si="69"/>
        <v>0.97966000164007083</v>
      </c>
      <c r="L47" s="22"/>
      <c r="M47" s="379"/>
      <c r="N47" s="40">
        <v>17</v>
      </c>
      <c r="O47" s="22">
        <f t="shared" si="70"/>
        <v>1</v>
      </c>
      <c r="P47" s="22"/>
      <c r="Q47" s="22">
        <f t="shared" si="70"/>
        <v>0.97479349663533599</v>
      </c>
      <c r="R47" s="22">
        <f t="shared" si="70"/>
        <v>1</v>
      </c>
      <c r="S47" s="22">
        <f t="shared" si="70"/>
        <v>0.4877957717621626</v>
      </c>
      <c r="T47" s="22"/>
      <c r="U47" s="22">
        <f t="shared" si="70"/>
        <v>0.85443196506218755</v>
      </c>
      <c r="V47" s="377"/>
      <c r="AA47" s="424">
        <v>0.60699112448763304</v>
      </c>
      <c r="AB47" s="425"/>
      <c r="AC47" s="426">
        <v>10.5</v>
      </c>
      <c r="AD47" s="427">
        <f t="shared" si="71"/>
        <v>8.2028186819504079</v>
      </c>
      <c r="AE47" s="427">
        <f t="shared" si="71"/>
        <v>38.642703639201692</v>
      </c>
      <c r="AF47" s="427">
        <f t="shared" si="71"/>
        <v>27.724655441663714</v>
      </c>
      <c r="AG47" s="427">
        <f t="shared" si="71"/>
        <v>61.311176966015211</v>
      </c>
      <c r="AH47" s="427">
        <f t="shared" si="71"/>
        <v>94.374464144531245</v>
      </c>
      <c r="AI47" s="421"/>
      <c r="AJ47" s="427">
        <f>(1-AJ43)*100</f>
        <v>7.8930643110275867</v>
      </c>
      <c r="AK47" s="428"/>
      <c r="AL47" s="429"/>
      <c r="AM47" s="426">
        <v>10.5</v>
      </c>
      <c r="AN47" s="427">
        <f>(1-AN43)*100</f>
        <v>2.7026830569132465</v>
      </c>
      <c r="AO47" s="427"/>
      <c r="AP47" s="427">
        <f>(1-AP43)*100</f>
        <v>10.841026500656593</v>
      </c>
      <c r="AQ47" s="427">
        <f>(1-AQ43)*100</f>
        <v>49.481009912905982</v>
      </c>
      <c r="AR47" s="427"/>
      <c r="AS47" s="421"/>
      <c r="AT47" s="430">
        <f>(1-AT43)*100</f>
        <v>0</v>
      </c>
      <c r="AU47" s="427">
        <f t="shared" ref="AU47:AU49" si="74">AVERAGE(AN47:AT47)</f>
        <v>15.756179867618956</v>
      </c>
      <c r="AV47" s="424">
        <v>0.60699112448763304</v>
      </c>
      <c r="AZ47" s="379"/>
      <c r="BA47" s="40">
        <v>19</v>
      </c>
      <c r="BB47" s="22">
        <f t="shared" ref="BB47:BH50" si="75">EXP(1000*LN((0.001*BB29+1)/(0.001*BB$33+1))/BB$35)</f>
        <v>0.77356975829803243</v>
      </c>
      <c r="BC47" s="22">
        <f t="shared" si="75"/>
        <v>0.27782520035276853</v>
      </c>
      <c r="BD47" s="22">
        <f t="shared" si="75"/>
        <v>0.77873893151960261</v>
      </c>
      <c r="BE47" s="22">
        <f t="shared" si="75"/>
        <v>0.56548936574289055</v>
      </c>
      <c r="BF47" s="22">
        <f t="shared" si="75"/>
        <v>0.68392566472852645</v>
      </c>
      <c r="BG47" s="22"/>
      <c r="BH47" s="22">
        <f t="shared" si="75"/>
        <v>0.92108492016729904</v>
      </c>
      <c r="BI47" s="22"/>
      <c r="BJ47" s="379"/>
      <c r="BK47" s="40">
        <v>19</v>
      </c>
      <c r="BL47" s="22">
        <f t="shared" ref="BL47:BR50" si="76">EXP(1000*LN((0.001*BL29+1)/(0.001*BL$33+1))/BL$35)</f>
        <v>0.64289656334181988</v>
      </c>
      <c r="BM47" s="22" t="e">
        <f t="shared" si="76"/>
        <v>#VALUE!</v>
      </c>
      <c r="BN47" s="22">
        <f t="shared" si="76"/>
        <v>1</v>
      </c>
      <c r="BO47" s="22">
        <f t="shared" si="76"/>
        <v>0.69223730252262172</v>
      </c>
      <c r="BP47" s="22">
        <f t="shared" si="76"/>
        <v>0.76432587466227597</v>
      </c>
      <c r="BQ47" s="22"/>
      <c r="BR47" s="22">
        <f t="shared" si="76"/>
        <v>0.92878410335211037</v>
      </c>
      <c r="BS47" s="22"/>
    </row>
    <row r="48" spans="2:74">
      <c r="C48" s="21"/>
      <c r="D48" s="40">
        <v>19</v>
      </c>
      <c r="E48" s="22">
        <f t="shared" si="69"/>
        <v>0.56560506081932538</v>
      </c>
      <c r="F48" s="22">
        <f t="shared" si="69"/>
        <v>0.57729558857501695</v>
      </c>
      <c r="G48" s="22">
        <f t="shared" si="69"/>
        <v>1</v>
      </c>
      <c r="H48" s="22">
        <f t="shared" si="69"/>
        <v>0.30855963500006406</v>
      </c>
      <c r="I48" s="22">
        <f t="shared" si="69"/>
        <v>0.11146894770954288</v>
      </c>
      <c r="J48" s="22"/>
      <c r="K48" s="22">
        <f t="shared" si="69"/>
        <v>0.97966000164007083</v>
      </c>
      <c r="L48" s="22"/>
      <c r="M48" s="379"/>
      <c r="N48" s="40">
        <v>19</v>
      </c>
      <c r="O48" s="22">
        <f t="shared" si="70"/>
        <v>0.9857587768895355</v>
      </c>
      <c r="P48" s="22"/>
      <c r="Q48" s="22">
        <f t="shared" si="70"/>
        <v>0.98102360191282711</v>
      </c>
      <c r="R48" s="22">
        <f t="shared" si="70"/>
        <v>0.23727668992990644</v>
      </c>
      <c r="S48" s="22">
        <f t="shared" si="70"/>
        <v>0.10862547324366993</v>
      </c>
      <c r="T48" s="22"/>
      <c r="U48" s="22">
        <f t="shared" si="70"/>
        <v>0.88156892537632692</v>
      </c>
      <c r="V48" s="377"/>
      <c r="AA48" s="438">
        <v>10.123158243273032</v>
      </c>
      <c r="AB48" s="439"/>
      <c r="AC48" s="440">
        <v>14</v>
      </c>
      <c r="AD48" s="441">
        <f t="shared" si="71"/>
        <v>30.974459251776977</v>
      </c>
      <c r="AE48" s="442">
        <f t="shared" si="71"/>
        <v>0</v>
      </c>
      <c r="AF48" s="442">
        <f t="shared" si="71"/>
        <v>0</v>
      </c>
      <c r="AG48" s="441">
        <f t="shared" si="71"/>
        <v>7.3238677848760254</v>
      </c>
      <c r="AH48" s="441">
        <f t="shared" si="71"/>
        <v>20.388671007097557</v>
      </c>
      <c r="AI48" s="317"/>
      <c r="AJ48" s="442">
        <f>(1-AJ44)*100</f>
        <v>0</v>
      </c>
      <c r="AK48" s="443"/>
      <c r="AL48" s="444"/>
      <c r="AM48" s="440">
        <v>14</v>
      </c>
      <c r="AN48" s="441">
        <f>(1-AN44)*100</f>
        <v>29.646668817722798</v>
      </c>
      <c r="AO48" s="441"/>
      <c r="AP48" s="441">
        <f>(1-AP44)*100</f>
        <v>9.13509250595731</v>
      </c>
      <c r="AQ48" s="441"/>
      <c r="AR48" s="441">
        <f>(1-AR44)*100</f>
        <v>24.156797345351666</v>
      </c>
      <c r="AS48" s="317"/>
      <c r="AT48" s="441">
        <f>(1-AT44)*100</f>
        <v>29.180944018304157</v>
      </c>
      <c r="AU48" s="441">
        <f t="shared" si="74"/>
        <v>23.029875671833985</v>
      </c>
      <c r="AV48" s="438">
        <v>10.123158243273032</v>
      </c>
      <c r="AZ48" s="379"/>
      <c r="BA48" s="40">
        <v>26</v>
      </c>
      <c r="BB48" s="22">
        <f t="shared" si="75"/>
        <v>0.81897090153281127</v>
      </c>
      <c r="BC48" s="22">
        <f t="shared" si="75"/>
        <v>0.5680757808284691</v>
      </c>
      <c r="BD48" s="22">
        <f t="shared" si="75"/>
        <v>0.79844993242336681</v>
      </c>
      <c r="BE48" s="22">
        <f t="shared" si="75"/>
        <v>0.82686092070790007</v>
      </c>
      <c r="BF48" s="22">
        <f t="shared" si="75"/>
        <v>0.68392566472852645</v>
      </c>
      <c r="BG48" s="22"/>
      <c r="BH48" s="22">
        <f t="shared" si="75"/>
        <v>0.94020677990396839</v>
      </c>
      <c r="BI48" s="22"/>
      <c r="BJ48" s="379"/>
      <c r="BK48" s="40">
        <v>26</v>
      </c>
      <c r="BL48" s="22">
        <f t="shared" si="76"/>
        <v>0.91941737736412932</v>
      </c>
      <c r="BM48" s="22">
        <f t="shared" si="76"/>
        <v>0.24495399608895532</v>
      </c>
      <c r="BN48" s="22">
        <f t="shared" si="76"/>
        <v>0.92711545864062195</v>
      </c>
      <c r="BO48" s="22">
        <f t="shared" si="76"/>
        <v>0.91156465215170135</v>
      </c>
      <c r="BP48" s="22">
        <f t="shared" si="76"/>
        <v>0.68407510712332431</v>
      </c>
      <c r="BQ48" s="22"/>
      <c r="BR48" s="22">
        <f t="shared" si="76"/>
        <v>0.98946823801207129</v>
      </c>
      <c r="BS48" s="22"/>
    </row>
    <row r="49" spans="2:72" ht="15.75" thickBot="1">
      <c r="C49" s="21"/>
      <c r="D49" s="40">
        <v>20.5</v>
      </c>
      <c r="E49" s="22">
        <f t="shared" si="69"/>
        <v>0.79605739351094962</v>
      </c>
      <c r="F49" s="22">
        <f t="shared" si="69"/>
        <v>0.45945128870661456</v>
      </c>
      <c r="G49" s="22">
        <f t="shared" si="69"/>
        <v>0.88254665746443395</v>
      </c>
      <c r="H49" s="22">
        <f t="shared" si="69"/>
        <v>0.46811854564928501</v>
      </c>
      <c r="I49" s="22">
        <f t="shared" si="69"/>
        <v>0.18907537342085942</v>
      </c>
      <c r="J49" s="22"/>
      <c r="K49" s="22">
        <f t="shared" si="69"/>
        <v>0.97966000164007083</v>
      </c>
      <c r="L49" s="22"/>
      <c r="M49" s="379"/>
      <c r="N49" s="40">
        <v>20.5</v>
      </c>
      <c r="O49" s="22">
        <f t="shared" si="70"/>
        <v>0.67327472945366762</v>
      </c>
      <c r="P49" s="22"/>
      <c r="Q49" s="22">
        <f t="shared" si="70"/>
        <v>1</v>
      </c>
      <c r="R49" s="22">
        <f t="shared" si="70"/>
        <v>0.33314492095323062</v>
      </c>
      <c r="S49" s="22">
        <f t="shared" si="70"/>
        <v>0.20275795882968325</v>
      </c>
      <c r="T49" s="22"/>
      <c r="U49" s="22">
        <f t="shared" si="70"/>
        <v>0.81122270948776087</v>
      </c>
      <c r="V49" s="377"/>
      <c r="AA49" s="431">
        <v>0.70726364243081408</v>
      </c>
      <c r="AB49" s="432"/>
      <c r="AC49" s="433">
        <v>15.5</v>
      </c>
      <c r="AD49" s="434">
        <f t="shared" si="71"/>
        <v>20.401717655389596</v>
      </c>
      <c r="AE49" s="434">
        <f t="shared" si="71"/>
        <v>58.060968031329608</v>
      </c>
      <c r="AF49" s="434">
        <f t="shared" si="71"/>
        <v>32.938064846363744</v>
      </c>
      <c r="AG49" s="434">
        <f t="shared" si="71"/>
        <v>36.626297865382817</v>
      </c>
      <c r="AH49" s="434">
        <f t="shared" si="71"/>
        <v>82.527270384719003</v>
      </c>
      <c r="AI49" s="435"/>
      <c r="AJ49" s="434">
        <f>(1-AJ45)*100</f>
        <v>5.9805136125606229</v>
      </c>
      <c r="AK49" s="436"/>
      <c r="AL49" s="437"/>
      <c r="AM49" s="433">
        <v>15.5</v>
      </c>
      <c r="AN49" s="434">
        <f>(1-AN45)*100</f>
        <v>19.551052985831152</v>
      </c>
      <c r="AO49" s="434"/>
      <c r="AP49" s="434">
        <f>(1-AP45)*100</f>
        <v>65.150377995555658</v>
      </c>
      <c r="AQ49" s="434">
        <f>(1-AQ45)*100</f>
        <v>64.194313223338639</v>
      </c>
      <c r="AR49" s="434">
        <f>(1-AR45)*100</f>
        <v>93.599417724284365</v>
      </c>
      <c r="AS49" s="435"/>
      <c r="AT49" s="434">
        <f>(1-AT45)*100</f>
        <v>0</v>
      </c>
      <c r="AU49" s="434">
        <f t="shared" si="74"/>
        <v>48.499032385801961</v>
      </c>
      <c r="AV49" s="431">
        <v>0.70726364243081408</v>
      </c>
      <c r="AZ49" s="379"/>
      <c r="BA49" s="40">
        <v>38.5</v>
      </c>
      <c r="BB49" s="22">
        <f t="shared" si="75"/>
        <v>0.81897090153281127</v>
      </c>
      <c r="BC49" s="22">
        <f t="shared" si="75"/>
        <v>1</v>
      </c>
      <c r="BD49" s="22">
        <f t="shared" si="75"/>
        <v>0.81866194450255048</v>
      </c>
      <c r="BE49" s="22">
        <f t="shared" si="75"/>
        <v>0.76633262852836448</v>
      </c>
      <c r="BF49" s="22">
        <f t="shared" si="75"/>
        <v>0.71039582006723767</v>
      </c>
      <c r="BG49" s="22"/>
      <c r="BH49" s="22">
        <f t="shared" si="75"/>
        <v>0.95972763849699905</v>
      </c>
      <c r="BI49" s="22"/>
      <c r="BJ49" s="379"/>
      <c r="BK49" s="40">
        <v>38.5</v>
      </c>
      <c r="BL49" s="22">
        <f t="shared" si="76"/>
        <v>0.68814696609365511</v>
      </c>
      <c r="BM49" s="22">
        <f t="shared" si="76"/>
        <v>1</v>
      </c>
      <c r="BN49" s="22">
        <f t="shared" si="76"/>
        <v>0.92711545864062195</v>
      </c>
      <c r="BO49" s="22">
        <f t="shared" si="76"/>
        <v>0.77599771490121416</v>
      </c>
      <c r="BP49" s="22">
        <f t="shared" si="76"/>
        <v>0.74751895192369155</v>
      </c>
      <c r="BQ49" s="22"/>
      <c r="BR49" s="22">
        <f t="shared" si="76"/>
        <v>0.90947535828347559</v>
      </c>
      <c r="BS49" s="22"/>
    </row>
    <row r="50" spans="2:72" ht="21" thickBot="1">
      <c r="B50" t="s">
        <v>1456</v>
      </c>
      <c r="C50" s="21"/>
      <c r="D50" s="40">
        <v>28</v>
      </c>
      <c r="E50" s="22">
        <f t="shared" si="69"/>
        <v>0.22781775819674344</v>
      </c>
      <c r="F50" s="22">
        <f t="shared" si="69"/>
        <v>1</v>
      </c>
      <c r="G50" s="22">
        <f t="shared" si="69"/>
        <v>1</v>
      </c>
      <c r="H50" s="22">
        <f t="shared" si="69"/>
        <v>0.21132702163593839</v>
      </c>
      <c r="I50" s="22">
        <f t="shared" si="69"/>
        <v>1</v>
      </c>
      <c r="J50" s="22"/>
      <c r="K50" s="22">
        <f t="shared" si="69"/>
        <v>0.90237291321889501</v>
      </c>
      <c r="L50" s="22"/>
      <c r="M50" s="379"/>
      <c r="N50" s="40">
        <v>28</v>
      </c>
      <c r="O50" s="22" t="e">
        <f t="shared" si="70"/>
        <v>#VALUE!</v>
      </c>
      <c r="P50" s="22"/>
      <c r="Q50" s="22">
        <f t="shared" si="70"/>
        <v>0.93247568936268233</v>
      </c>
      <c r="R50" s="22">
        <f t="shared" si="70"/>
        <v>0.28697717632962838</v>
      </c>
      <c r="S50" s="22">
        <f t="shared" si="70"/>
        <v>1</v>
      </c>
      <c r="T50" s="22"/>
      <c r="U50" s="22">
        <f t="shared" si="70"/>
        <v>0.76251556767532569</v>
      </c>
      <c r="V50" s="377"/>
      <c r="W50" t="s">
        <v>1456</v>
      </c>
      <c r="AD50" s="30" t="s">
        <v>1445</v>
      </c>
      <c r="AE50" s="30" t="s">
        <v>1448</v>
      </c>
      <c r="AF50" s="30" t="s">
        <v>1450</v>
      </c>
      <c r="AG50" s="30" t="s">
        <v>1451</v>
      </c>
      <c r="AH50" s="30" t="s">
        <v>1453</v>
      </c>
      <c r="AI50" s="30"/>
      <c r="AJ50" s="30" t="s">
        <v>1455</v>
      </c>
      <c r="AK50" s="30"/>
      <c r="AN50" s="30" t="s">
        <v>1415</v>
      </c>
      <c r="AO50" s="30" t="s">
        <v>1421</v>
      </c>
      <c r="AP50" s="30" t="s">
        <v>1426</v>
      </c>
      <c r="AQ50" s="30" t="s">
        <v>1429</v>
      </c>
      <c r="AR50" s="30" t="s">
        <v>1432</v>
      </c>
      <c r="AS50" s="30"/>
      <c r="AT50" s="30" t="s">
        <v>1436</v>
      </c>
      <c r="AZ50" s="379"/>
      <c r="BA50" s="40">
        <v>45.5</v>
      </c>
      <c r="BB50" s="22">
        <f t="shared" si="75"/>
        <v>0.71015889941695853</v>
      </c>
      <c r="BC50" s="22">
        <f t="shared" si="75"/>
        <v>0.94059880326950041</v>
      </c>
      <c r="BD50" s="22">
        <f t="shared" si="75"/>
        <v>0.79844993242336681</v>
      </c>
      <c r="BE50" s="22">
        <f t="shared" si="75"/>
        <v>0.73775520665460415</v>
      </c>
      <c r="BF50" s="22">
        <f t="shared" si="75"/>
        <v>0.85898039226850886</v>
      </c>
      <c r="BG50" s="22"/>
      <c r="BH50" s="22">
        <f t="shared" si="75"/>
        <v>0.95972763849699905</v>
      </c>
      <c r="BI50" s="22"/>
      <c r="BJ50" s="379"/>
      <c r="BK50" s="40">
        <v>45.5</v>
      </c>
      <c r="BL50" s="22">
        <f t="shared" si="76"/>
        <v>0.89413664795081305</v>
      </c>
      <c r="BM50" s="22">
        <f t="shared" si="76"/>
        <v>0.62110654527565667</v>
      </c>
      <c r="BN50" s="22">
        <f t="shared" si="76"/>
        <v>0.97497233611594603</v>
      </c>
      <c r="BO50" s="22">
        <f t="shared" si="76"/>
        <v>1</v>
      </c>
      <c r="BP50" s="22">
        <f t="shared" si="76"/>
        <v>1</v>
      </c>
      <c r="BQ50" s="22"/>
      <c r="BR50" s="22">
        <f t="shared" si="76"/>
        <v>1</v>
      </c>
      <c r="BS50" s="22"/>
      <c r="BT50" s="394" t="s">
        <v>1456</v>
      </c>
    </row>
    <row r="51" spans="2:72">
      <c r="B51" s="22">
        <v>4.6276082418081854</v>
      </c>
      <c r="C51" s="463" t="s">
        <v>1469</v>
      </c>
      <c r="D51" s="391">
        <v>12</v>
      </c>
      <c r="E51" s="469">
        <f>(1-E45)*100</f>
        <v>0</v>
      </c>
      <c r="F51" s="459">
        <f t="shared" ref="F51:K51" si="77">(1-F45)*100</f>
        <v>14.171092414356423</v>
      </c>
      <c r="G51" s="459">
        <f t="shared" si="77"/>
        <v>49.030177918379621</v>
      </c>
      <c r="H51" s="459">
        <f t="shared" si="77"/>
        <v>94.364530197250275</v>
      </c>
      <c r="I51" s="459">
        <f t="shared" si="77"/>
        <v>97.52661346414537</v>
      </c>
      <c r="J51" s="459"/>
      <c r="K51" s="459">
        <f t="shared" si="77"/>
        <v>9.7627086781104992</v>
      </c>
      <c r="L51" s="460"/>
      <c r="M51" s="463" t="s">
        <v>1473</v>
      </c>
      <c r="N51" s="391">
        <v>12</v>
      </c>
      <c r="O51" s="459">
        <f>(1-O45)*100</f>
        <v>15.722877205657216</v>
      </c>
      <c r="P51" s="459"/>
      <c r="Q51" s="459">
        <f t="shared" ref="Q51:S51" si="78">(1-Q45)*100</f>
        <v>75.640074966805798</v>
      </c>
      <c r="R51" s="459">
        <f t="shared" si="78"/>
        <v>97.391594669541121</v>
      </c>
      <c r="S51" s="459">
        <f t="shared" si="78"/>
        <v>96.64200958185998</v>
      </c>
      <c r="T51" s="459"/>
      <c r="U51" s="459">
        <f t="shared" ref="U51" si="79">(1-U45)*100</f>
        <v>10.917584154328086</v>
      </c>
      <c r="V51" s="458">
        <f>AVERAGE(O51:U51)</f>
        <v>59.262828115638442</v>
      </c>
      <c r="W51" s="22">
        <v>4.6276082418081854</v>
      </c>
      <c r="AB51" t="s">
        <v>1474</v>
      </c>
      <c r="AC51" t="s">
        <v>1475</v>
      </c>
      <c r="AD51" s="22">
        <f>SMALL((AD38:AD41,AD46:AD49),3)</f>
        <v>8.2028186819504079</v>
      </c>
      <c r="AE51" s="22">
        <f>SMALL((AE38:AE41,AE46:AE49),3)</f>
        <v>34.785374809502109</v>
      </c>
      <c r="AF51" s="22">
        <f>SMALL((AF38:AF41,AF46:AF49),3)</f>
        <v>0</v>
      </c>
      <c r="AG51" s="22">
        <f>SMALL((AG38:AG41,AG46:AG49),3)</f>
        <v>7.3238677848760254</v>
      </c>
      <c r="AH51" s="22">
        <f>SMALL((AH38:AH41,AH46:AH49),3)</f>
        <v>20.388671007097557</v>
      </c>
      <c r="AI51" s="22"/>
      <c r="AJ51" s="22">
        <f>SMALL((AJ38:AJ41,AJ46:AJ49),3)</f>
        <v>4.0280471309319221</v>
      </c>
      <c r="AL51" t="s">
        <v>1474</v>
      </c>
      <c r="AM51" t="s">
        <v>1475</v>
      </c>
      <c r="AN51" s="22">
        <f>SMALL((AN38:AN41,AN46:AN49),3)</f>
        <v>2.7026830569132465</v>
      </c>
      <c r="AO51" s="22"/>
      <c r="AP51" s="22">
        <f>SMALL((AP38:AP41,AP46:AP49),3)</f>
        <v>9.13509250595731</v>
      </c>
      <c r="AQ51" s="22">
        <f>SMALL((AQ38:AQ41,AQ46:AQ49),3)</f>
        <v>49.481009912905982</v>
      </c>
      <c r="AR51" s="22">
        <f>SMALL((AR38:AR41,AR46:AR49),3)</f>
        <v>24.156797345351666</v>
      </c>
      <c r="AS51" s="22"/>
      <c r="AT51" s="22">
        <f>SMALL((AT38:AT41,AT46:AT49),3)</f>
        <v>0</v>
      </c>
      <c r="AZ51" s="422" t="s">
        <v>1469</v>
      </c>
      <c r="BA51" s="415">
        <v>15.5</v>
      </c>
      <c r="BB51" s="416">
        <f>(1-BB46)*100</f>
        <v>0</v>
      </c>
      <c r="BC51" s="417">
        <f t="shared" ref="BC51:BH51" si="80">(1-BC46)*100</f>
        <v>62.91757399055156</v>
      </c>
      <c r="BD51" s="416">
        <f t="shared" si="80"/>
        <v>0</v>
      </c>
      <c r="BE51" s="416">
        <f t="shared" si="80"/>
        <v>0</v>
      </c>
      <c r="BF51" s="416">
        <f t="shared" si="80"/>
        <v>0</v>
      </c>
      <c r="BG51" s="417"/>
      <c r="BH51" s="416">
        <f t="shared" si="80"/>
        <v>0</v>
      </c>
      <c r="BI51" s="418"/>
      <c r="BJ51" s="422" t="s">
        <v>1469</v>
      </c>
      <c r="BK51" s="419">
        <v>15.5</v>
      </c>
      <c r="BL51" s="416">
        <f>(1-BL46)*100</f>
        <v>0</v>
      </c>
      <c r="BM51" s="417">
        <f t="shared" ref="BM51:BR51" si="81">(1-BM46)*100</f>
        <v>80.206259119798887</v>
      </c>
      <c r="BN51" s="417">
        <f t="shared" si="81"/>
        <v>1.2608111469536332</v>
      </c>
      <c r="BO51" s="417">
        <f t="shared" si="81"/>
        <v>14.93521914246838</v>
      </c>
      <c r="BP51" s="417">
        <f>(1-BP46)*100</f>
        <v>10.633384808010081</v>
      </c>
      <c r="BQ51" s="417"/>
      <c r="BR51" s="417">
        <f t="shared" si="81"/>
        <v>4.1401887326828701</v>
      </c>
      <c r="BS51" s="417">
        <f>AVERAGE(BL51:BR51)</f>
        <v>18.529310491652307</v>
      </c>
      <c r="BT51" s="408">
        <v>8.8783692042921452</v>
      </c>
    </row>
    <row r="52" spans="2:72">
      <c r="B52" s="317">
        <v>10.445299637632411</v>
      </c>
      <c r="C52" s="468"/>
      <c r="D52" s="440">
        <v>15.5</v>
      </c>
      <c r="E52" s="317">
        <f t="shared" ref="E52:K56" si="82">(1-E46)*100</f>
        <v>8.1995921823552749</v>
      </c>
      <c r="F52" s="317">
        <f t="shared" si="82"/>
        <v>59.93022128816969</v>
      </c>
      <c r="G52" s="317">
        <f t="shared" si="82"/>
        <v>22.106156877709203</v>
      </c>
      <c r="H52" s="317">
        <f t="shared" si="82"/>
        <v>20.377501757010506</v>
      </c>
      <c r="I52" s="317">
        <f t="shared" si="82"/>
        <v>64.047308168552036</v>
      </c>
      <c r="J52" s="317"/>
      <c r="K52" s="472">
        <f t="shared" si="82"/>
        <v>0</v>
      </c>
      <c r="L52" s="443"/>
      <c r="M52" s="468"/>
      <c r="N52" s="440">
        <v>15.5</v>
      </c>
      <c r="O52" s="317">
        <f t="shared" ref="O52:S52" si="83">(1-O46)*100</f>
        <v>10.80063699144006</v>
      </c>
      <c r="P52" s="317"/>
      <c r="Q52" s="317">
        <f t="shared" si="83"/>
        <v>11.324221887753815</v>
      </c>
      <c r="R52" s="317">
        <f t="shared" si="83"/>
        <v>30.117313152208382</v>
      </c>
      <c r="S52" s="317">
        <f t="shared" si="83"/>
        <v>68.702024176827607</v>
      </c>
      <c r="T52" s="317"/>
      <c r="U52" s="472">
        <f t="shared" ref="U52" si="84">(1-U46)*100</f>
        <v>0</v>
      </c>
      <c r="V52" s="441">
        <f t="shared" ref="V52:V56" si="85">AVERAGE(O52:U52)</f>
        <v>24.188839241645972</v>
      </c>
      <c r="W52" s="317">
        <v>10.445299637632411</v>
      </c>
      <c r="AC52" t="s">
        <v>1465</v>
      </c>
      <c r="AD52" s="22">
        <f>LARGE((AD38:AD41,AD46:AD49),1)</f>
        <v>89.184193582753309</v>
      </c>
      <c r="AE52" s="22">
        <f>LARGE((AE38:AE41,AE46:AE49),1)</f>
        <v>99.975570251851309</v>
      </c>
      <c r="AF52" s="22">
        <f>LARGE((AF38:AF41,AF46:AF49),1)</f>
        <v>71.638300148480056</v>
      </c>
      <c r="AG52" s="22">
        <f>LARGE((AG38:AG41,AG46:AG49),1)</f>
        <v>97.433989512989356</v>
      </c>
      <c r="AH52" s="22">
        <f>LARGE((AH38:AH41,AH46:AH49),1)</f>
        <v>99.998489211734054</v>
      </c>
      <c r="AI52" s="22"/>
      <c r="AJ52" s="22">
        <f>LARGE((AJ38:AJ41,AJ46:AJ49),1)</f>
        <v>64.218859879148653</v>
      </c>
      <c r="AM52" t="s">
        <v>1465</v>
      </c>
      <c r="AN52" s="22">
        <f>LARGE((AN38:AN41,AN46:AN49),1)</f>
        <v>61.630833462669365</v>
      </c>
      <c r="AO52" s="22"/>
      <c r="AP52" s="22">
        <f>LARGE((AP38:AP41,AP46:AP49),1)</f>
        <v>92.224815333024836</v>
      </c>
      <c r="AQ52" s="22">
        <f>LARGE((AQ38:AQ41,AQ46:AQ49),1)</f>
        <v>93.298230367602812</v>
      </c>
      <c r="AR52" s="22">
        <f>LARGE((AR38:AR41,AR46:AR49),1)</f>
        <v>99.927810783581933</v>
      </c>
      <c r="AS52" s="22"/>
      <c r="AT52" s="22">
        <f>LARGE((AT38:AT41,AT46:AT49),1)</f>
        <v>52.007817943536885</v>
      </c>
      <c r="AV52" s="423" t="s">
        <v>1476</v>
      </c>
      <c r="AZ52" s="383"/>
      <c r="BA52">
        <v>19</v>
      </c>
      <c r="BB52" s="22">
        <f t="shared" ref="BB52:BH55" si="86">(1-BB47)*100</f>
        <v>22.643024170196757</v>
      </c>
      <c r="BC52" s="22">
        <f t="shared" si="86"/>
        <v>72.21747996472314</v>
      </c>
      <c r="BD52" s="22">
        <f t="shared" si="86"/>
        <v>22.12610684803974</v>
      </c>
      <c r="BE52" s="22">
        <f t="shared" si="86"/>
        <v>43.451063425710942</v>
      </c>
      <c r="BF52" s="22">
        <f t="shared" si="86"/>
        <v>31.607433527147354</v>
      </c>
      <c r="BG52" s="22"/>
      <c r="BH52" s="22">
        <f t="shared" si="86"/>
        <v>7.8915079832700963</v>
      </c>
      <c r="BI52" s="384"/>
      <c r="BJ52" s="383"/>
      <c r="BK52" s="40">
        <v>19</v>
      </c>
      <c r="BL52" s="22">
        <f>(1-BL47)*100</f>
        <v>35.710343665818009</v>
      </c>
      <c r="BM52" s="22"/>
      <c r="BN52" s="395">
        <f t="shared" ref="BL52:BR55" si="87">(1-BN47)*100</f>
        <v>0</v>
      </c>
      <c r="BO52" s="22">
        <f t="shared" si="87"/>
        <v>30.776269747737828</v>
      </c>
      <c r="BP52" s="22">
        <f t="shared" si="87"/>
        <v>23.567412533772401</v>
      </c>
      <c r="BQ52" s="22"/>
      <c r="BR52" s="22">
        <f t="shared" si="87"/>
        <v>7.1215896647889636</v>
      </c>
      <c r="BS52" s="22">
        <f>AVERAGE(BL52:BR52)</f>
        <v>19.435123122423438</v>
      </c>
      <c r="BT52" s="377">
        <v>12.09275376947649</v>
      </c>
    </row>
    <row r="53" spans="2:72">
      <c r="B53" s="22">
        <v>8.5177206461662855</v>
      </c>
      <c r="C53" s="464"/>
      <c r="D53" s="167">
        <v>17</v>
      </c>
      <c r="E53" s="461">
        <f t="shared" si="82"/>
        <v>43.439493918067463</v>
      </c>
      <c r="F53" s="461">
        <f t="shared" si="82"/>
        <v>22.871037169343701</v>
      </c>
      <c r="G53" s="461">
        <f t="shared" si="82"/>
        <v>18.117024357306764</v>
      </c>
      <c r="H53" s="471">
        <f t="shared" si="82"/>
        <v>0</v>
      </c>
      <c r="I53" s="461">
        <f t="shared" si="82"/>
        <v>47.503265027624423</v>
      </c>
      <c r="J53" s="461"/>
      <c r="K53" s="461">
        <f t="shared" si="82"/>
        <v>2.0339998359929168</v>
      </c>
      <c r="L53" s="462"/>
      <c r="M53" s="464"/>
      <c r="N53" s="167">
        <v>17</v>
      </c>
      <c r="O53" s="471">
        <f t="shared" ref="O53:R53" si="88">(1-O47)*100</f>
        <v>0</v>
      </c>
      <c r="P53" s="461"/>
      <c r="Q53" s="461">
        <f t="shared" si="88"/>
        <v>2.5206503364664012</v>
      </c>
      <c r="R53" s="471">
        <f t="shared" si="88"/>
        <v>0</v>
      </c>
      <c r="S53" s="461">
        <f>(1-S47)*100</f>
        <v>51.220422823783743</v>
      </c>
      <c r="T53" s="461"/>
      <c r="U53" s="461">
        <f t="shared" ref="U53" si="89">(1-U47)*100</f>
        <v>14.556803493781246</v>
      </c>
      <c r="V53" s="14">
        <f t="shared" si="85"/>
        <v>13.65957533080628</v>
      </c>
      <c r="W53" s="22">
        <v>8.5177206461662855</v>
      </c>
      <c r="AV53" s="97" t="s">
        <v>1477</v>
      </c>
      <c r="AZ53" s="383"/>
      <c r="BA53">
        <v>26</v>
      </c>
      <c r="BB53" s="22">
        <f t="shared" si="86"/>
        <v>18.102909846718873</v>
      </c>
      <c r="BC53" s="22">
        <f t="shared" si="86"/>
        <v>43.192421917153091</v>
      </c>
      <c r="BD53" s="22">
        <f t="shared" si="86"/>
        <v>20.155006757663319</v>
      </c>
      <c r="BE53" s="22">
        <f t="shared" si="86"/>
        <v>17.313907929209993</v>
      </c>
      <c r="BF53" s="22">
        <f t="shared" si="86"/>
        <v>31.607433527147354</v>
      </c>
      <c r="BG53" s="22"/>
      <c r="BH53" s="22">
        <f t="shared" si="86"/>
        <v>5.9793220096031607</v>
      </c>
      <c r="BI53" s="384"/>
      <c r="BJ53" s="383"/>
      <c r="BK53" s="40">
        <v>26</v>
      </c>
      <c r="BL53" s="22">
        <f t="shared" si="87"/>
        <v>8.0582622635870678</v>
      </c>
      <c r="BM53" s="22">
        <f t="shared" si="87"/>
        <v>75.504600391104475</v>
      </c>
      <c r="BN53" s="22">
        <f t="shared" si="87"/>
        <v>7.2884541359378048</v>
      </c>
      <c r="BO53" s="22">
        <f t="shared" si="87"/>
        <v>8.8435347848298651</v>
      </c>
      <c r="BP53" s="22">
        <f t="shared" si="87"/>
        <v>31.592489287667568</v>
      </c>
      <c r="BQ53" s="22"/>
      <c r="BR53" s="22">
        <f t="shared" si="87"/>
        <v>1.0531761987928712</v>
      </c>
      <c r="BS53" s="22">
        <f>AVERAGE(BL53:BR53)</f>
        <v>22.056752843653275</v>
      </c>
      <c r="BT53" s="377">
        <v>10.296619441004365</v>
      </c>
    </row>
    <row r="54" spans="2:72">
      <c r="B54" s="22">
        <v>6.0722362002911341</v>
      </c>
      <c r="C54" s="464"/>
      <c r="D54" s="167">
        <v>19</v>
      </c>
      <c r="E54" s="461">
        <f t="shared" si="82"/>
        <v>43.439493918067463</v>
      </c>
      <c r="F54" s="461">
        <f t="shared" si="82"/>
        <v>42.270441142498306</v>
      </c>
      <c r="G54" s="471">
        <f t="shared" si="82"/>
        <v>0</v>
      </c>
      <c r="H54" s="461">
        <f t="shared" si="82"/>
        <v>69.144036499993589</v>
      </c>
      <c r="I54" s="461">
        <f t="shared" si="82"/>
        <v>88.85310522904571</v>
      </c>
      <c r="J54" s="461"/>
      <c r="K54" s="461">
        <f t="shared" si="82"/>
        <v>2.0339998359929168</v>
      </c>
      <c r="L54" s="462"/>
      <c r="M54" s="464"/>
      <c r="N54" s="167">
        <v>19</v>
      </c>
      <c r="O54" s="461">
        <f t="shared" ref="O54:S54" si="90">(1-O48)*100</f>
        <v>1.4241223110464496</v>
      </c>
      <c r="P54" s="461"/>
      <c r="Q54" s="461">
        <f t="shared" si="90"/>
        <v>1.8976398087172885</v>
      </c>
      <c r="R54" s="461">
        <f t="shared" si="90"/>
        <v>76.272331007009356</v>
      </c>
      <c r="S54" s="461">
        <f t="shared" si="90"/>
        <v>89.137452675633014</v>
      </c>
      <c r="T54" s="461"/>
      <c r="U54" s="461">
        <f t="shared" ref="U54" si="91">(1-U48)*100</f>
        <v>11.843107462367309</v>
      </c>
      <c r="V54" s="14">
        <f t="shared" si="85"/>
        <v>36.114930652954683</v>
      </c>
      <c r="W54" s="22">
        <v>6.0722362002911341</v>
      </c>
      <c r="AB54" t="s">
        <v>334</v>
      </c>
      <c r="AC54" t="s">
        <v>1478</v>
      </c>
      <c r="AD54" s="22">
        <f>AVERAGE(AD39:AD41)</f>
        <v>67.97063016713355</v>
      </c>
      <c r="AE54" s="22">
        <f>AVERAGE(AE38:AE39,AE41)</f>
        <v>99.124023789816079</v>
      </c>
      <c r="AF54" s="22">
        <f>AVERAGE(AF39,AF41)</f>
        <v>67.861616100967439</v>
      </c>
      <c r="AG54" s="22">
        <f>AVERAGE(AG39:AG41)</f>
        <v>68.547786297984302</v>
      </c>
      <c r="AH54" s="22">
        <f>AVERAGE(AH39:AH41)</f>
        <v>86.126369987498052</v>
      </c>
      <c r="AJ54" s="22">
        <f>AVERAGE(AJ38:AJ39,AJ41)</f>
        <v>52.714261345290545</v>
      </c>
      <c r="AL54" t="s">
        <v>334</v>
      </c>
      <c r="AM54" t="s">
        <v>1478</v>
      </c>
      <c r="AN54" s="22">
        <f>AVERAGE(AN39:AN41)</f>
        <v>37.845239167711277</v>
      </c>
      <c r="AO54" s="22"/>
      <c r="AP54" s="22">
        <f t="shared" ref="AP54:AR54" si="92">AVERAGE(AP39:AP41)</f>
        <v>45.737891289771902</v>
      </c>
      <c r="AQ54" s="22">
        <f t="shared" si="92"/>
        <v>88.3584852349953</v>
      </c>
      <c r="AR54" s="22">
        <f t="shared" si="92"/>
        <v>75.811453547364309</v>
      </c>
      <c r="AS54" s="22"/>
      <c r="AT54" s="22">
        <f>AVERAGE(AT38,AT40)</f>
        <v>31.34072427328848</v>
      </c>
      <c r="AV54" s="315" t="s">
        <v>1479</v>
      </c>
      <c r="AZ54" s="409"/>
      <c r="BA54" s="410">
        <v>38.5</v>
      </c>
      <c r="BB54" s="411">
        <f t="shared" si="86"/>
        <v>18.102909846718873</v>
      </c>
      <c r="BC54" s="412">
        <f t="shared" si="86"/>
        <v>0</v>
      </c>
      <c r="BD54" s="411">
        <f t="shared" si="86"/>
        <v>18.133805549744952</v>
      </c>
      <c r="BE54" s="411">
        <f t="shared" si="86"/>
        <v>23.366737147163551</v>
      </c>
      <c r="BF54" s="411">
        <f t="shared" si="86"/>
        <v>28.960417993276234</v>
      </c>
      <c r="BG54" s="411"/>
      <c r="BH54" s="411">
        <f t="shared" si="86"/>
        <v>4.0272361503000953</v>
      </c>
      <c r="BI54" s="413"/>
      <c r="BJ54" s="409"/>
      <c r="BK54" s="414">
        <v>38.5</v>
      </c>
      <c r="BL54" s="411">
        <f t="shared" si="87"/>
        <v>31.185303390634488</v>
      </c>
      <c r="BM54" s="412">
        <f>(1-BM49)*100</f>
        <v>0</v>
      </c>
      <c r="BN54" s="411">
        <f t="shared" si="87"/>
        <v>7.2884541359378048</v>
      </c>
      <c r="BO54" s="411">
        <f t="shared" si="87"/>
        <v>22.400228509878584</v>
      </c>
      <c r="BP54" s="411">
        <f t="shared" si="87"/>
        <v>25.248104807630845</v>
      </c>
      <c r="BQ54" s="411"/>
      <c r="BR54" s="411">
        <f t="shared" si="87"/>
        <v>9.0524641716524421</v>
      </c>
      <c r="BS54" s="411">
        <f>AVERAGE(BL54:BR54)</f>
        <v>15.862425835955696</v>
      </c>
      <c r="BT54" s="408">
        <v>8.5234388136869406</v>
      </c>
    </row>
    <row r="55" spans="2:72" ht="15.75" thickBot="1">
      <c r="B55" s="421">
        <v>3.3637875359597293</v>
      </c>
      <c r="C55" s="466"/>
      <c r="D55" s="426">
        <v>20.5</v>
      </c>
      <c r="E55" s="421">
        <f t="shared" si="82"/>
        <v>20.394260648905039</v>
      </c>
      <c r="F55" s="421">
        <f t="shared" si="82"/>
        <v>54.054871129338544</v>
      </c>
      <c r="G55" s="421">
        <f t="shared" si="82"/>
        <v>11.745334253556605</v>
      </c>
      <c r="H55" s="421">
        <f t="shared" si="82"/>
        <v>53.188145435071498</v>
      </c>
      <c r="I55" s="421">
        <f t="shared" si="82"/>
        <v>81.092462657914055</v>
      </c>
      <c r="J55" s="421"/>
      <c r="K55" s="421">
        <f>(1-K49)*100</f>
        <v>2.0339998359929168</v>
      </c>
      <c r="L55" s="428"/>
      <c r="M55" s="423" t="s">
        <v>1476</v>
      </c>
      <c r="N55" s="426">
        <v>20.5</v>
      </c>
      <c r="O55" s="421">
        <f t="shared" ref="O55:S55" si="93">(1-O49)*100</f>
        <v>32.672527054633235</v>
      </c>
      <c r="P55" s="421"/>
      <c r="Q55" s="473">
        <f t="shared" si="93"/>
        <v>0</v>
      </c>
      <c r="R55" s="421">
        <f t="shared" si="93"/>
        <v>66.685507904676939</v>
      </c>
      <c r="S55" s="421">
        <f t="shared" si="93"/>
        <v>79.724204117031675</v>
      </c>
      <c r="T55" s="421"/>
      <c r="U55" s="421">
        <f>(1-U49)*100</f>
        <v>18.877729051223913</v>
      </c>
      <c r="V55" s="427">
        <f t="shared" si="85"/>
        <v>39.591993625513155</v>
      </c>
      <c r="W55" s="421">
        <v>3.3637875359597293</v>
      </c>
      <c r="AC55" t="s">
        <v>1480</v>
      </c>
      <c r="AD55" s="22">
        <f>AVERAGE(AD47:AD49)</f>
        <v>19.859665196372326</v>
      </c>
      <c r="AE55" s="22">
        <f>AVERAGE(AE46:AE47,AE49)</f>
        <v>43.829682160011139</v>
      </c>
      <c r="AF55" s="22">
        <f>AVERAGE(AF47,AF49)</f>
        <v>30.331360144013729</v>
      </c>
      <c r="AG55" s="22">
        <f>AVERAGE(AG47:AG49)</f>
        <v>35.087114205424683</v>
      </c>
      <c r="AH55" s="22">
        <f>AVERAGE(AH47:AH49)</f>
        <v>65.763468512115935</v>
      </c>
      <c r="AJ55" s="22">
        <f>AVERAGE(AJ46:AJ47,AJ49)</f>
        <v>5.9672083515067103</v>
      </c>
      <c r="AM55" t="s">
        <v>1480</v>
      </c>
      <c r="AN55" s="22">
        <f>AVERAGE(AN47:AN49)</f>
        <v>17.300134953489064</v>
      </c>
      <c r="AO55" s="22"/>
      <c r="AP55" s="22">
        <f t="shared" ref="AP55:AR55" si="94">AVERAGE(AP47:AP49)</f>
        <v>28.375499000723185</v>
      </c>
      <c r="AQ55" s="22">
        <f t="shared" si="94"/>
        <v>56.837661568122314</v>
      </c>
      <c r="AR55" s="22">
        <f t="shared" si="94"/>
        <v>58.878107534818014</v>
      </c>
      <c r="AS55" s="22"/>
      <c r="AT55" s="22">
        <f>AVERAGE(AT46,AT48)</f>
        <v>17.173867041349332</v>
      </c>
      <c r="AV55" s="323" t="s">
        <v>1481</v>
      </c>
      <c r="AZ55" s="402"/>
      <c r="BA55" s="403">
        <v>45.5</v>
      </c>
      <c r="BB55" s="404">
        <f t="shared" si="86"/>
        <v>28.984110058304147</v>
      </c>
      <c r="BC55" s="404">
        <f t="shared" si="86"/>
        <v>5.9401196730499599</v>
      </c>
      <c r="BD55" s="404">
        <f t="shared" si="86"/>
        <v>20.155006757663319</v>
      </c>
      <c r="BE55" s="404">
        <f t="shared" si="86"/>
        <v>26.224479334539584</v>
      </c>
      <c r="BF55" s="404">
        <f t="shared" si="86"/>
        <v>14.101960773149113</v>
      </c>
      <c r="BG55" s="404"/>
      <c r="BH55" s="404">
        <f>(1-BH50)*100</f>
        <v>4.0272361503000953</v>
      </c>
      <c r="BI55" s="405"/>
      <c r="BJ55" s="402"/>
      <c r="BK55" s="406">
        <v>45.5</v>
      </c>
      <c r="BL55" s="404">
        <f t="shared" si="87"/>
        <v>10.586335204918695</v>
      </c>
      <c r="BM55" s="404">
        <f t="shared" si="87"/>
        <v>37.889345472434336</v>
      </c>
      <c r="BN55" s="404">
        <f>(1-BN50)*100</f>
        <v>2.5027663884053974</v>
      </c>
      <c r="BO55" s="407">
        <f t="shared" si="87"/>
        <v>0</v>
      </c>
      <c r="BP55" s="407">
        <f t="shared" si="87"/>
        <v>0</v>
      </c>
      <c r="BQ55" s="404"/>
      <c r="BR55" s="407">
        <f>(1-BR50)*100</f>
        <v>0</v>
      </c>
      <c r="BS55" s="404">
        <f>AVERAGE(BL55:BR55)</f>
        <v>8.4964078442930724</v>
      </c>
      <c r="BT55" s="401">
        <v>13.644107807809883</v>
      </c>
    </row>
    <row r="56" spans="2:72" ht="21" thickBot="1">
      <c r="B56" s="421">
        <v>1.9769096035899396</v>
      </c>
      <c r="C56" s="467"/>
      <c r="D56" s="433">
        <v>28</v>
      </c>
      <c r="E56" s="435">
        <f t="shared" si="82"/>
        <v>77.218224180325663</v>
      </c>
      <c r="F56" s="470">
        <f t="shared" si="82"/>
        <v>0</v>
      </c>
      <c r="G56" s="435">
        <f t="shared" si="82"/>
        <v>0</v>
      </c>
      <c r="H56" s="435">
        <f t="shared" si="82"/>
        <v>78.867297836406152</v>
      </c>
      <c r="I56" s="470">
        <f t="shared" si="82"/>
        <v>0</v>
      </c>
      <c r="J56" s="435"/>
      <c r="K56" s="435">
        <f t="shared" si="82"/>
        <v>9.7627086781104992</v>
      </c>
      <c r="L56" s="436"/>
      <c r="M56" s="97" t="s">
        <v>1477</v>
      </c>
      <c r="N56" s="433">
        <v>28</v>
      </c>
      <c r="O56" s="435"/>
      <c r="P56" s="435"/>
      <c r="Q56" s="435">
        <f t="shared" ref="Q56:S56" si="95">(1-Q50)*100</f>
        <v>6.7524310637317679</v>
      </c>
      <c r="R56" s="435">
        <f t="shared" si="95"/>
        <v>71.302282367037165</v>
      </c>
      <c r="S56" s="470">
        <f t="shared" si="95"/>
        <v>0</v>
      </c>
      <c r="T56" s="435"/>
      <c r="U56" s="435">
        <f>(1-U50)*100</f>
        <v>23.74844323246743</v>
      </c>
      <c r="V56" s="434">
        <f t="shared" si="85"/>
        <v>25.450789165809091</v>
      </c>
      <c r="W56" s="421">
        <v>1.9769096035899396</v>
      </c>
      <c r="BB56" s="30" t="s">
        <v>1445</v>
      </c>
      <c r="BC56" s="30" t="s">
        <v>1448</v>
      </c>
      <c r="BD56" s="30" t="s">
        <v>1450</v>
      </c>
      <c r="BE56" s="30" t="s">
        <v>1451</v>
      </c>
      <c r="BF56" s="30" t="s">
        <v>1453</v>
      </c>
      <c r="BG56" s="30"/>
      <c r="BH56" s="30" t="s">
        <v>1455</v>
      </c>
      <c r="BI56" s="30"/>
      <c r="BL56" s="30" t="s">
        <v>1415</v>
      </c>
      <c r="BM56" s="30" t="s">
        <v>1421</v>
      </c>
      <c r="BN56" s="30" t="s">
        <v>1426</v>
      </c>
      <c r="BO56" s="30" t="s">
        <v>1429</v>
      </c>
      <c r="BP56" s="30" t="s">
        <v>1432</v>
      </c>
      <c r="BQ56" s="30"/>
      <c r="BR56" s="30" t="s">
        <v>1436</v>
      </c>
    </row>
    <row r="57" spans="2:72" ht="20.25">
      <c r="E57" s="30" t="s">
        <v>1445</v>
      </c>
      <c r="F57" s="30" t="s">
        <v>1448</v>
      </c>
      <c r="G57" s="30" t="s">
        <v>1450</v>
      </c>
      <c r="H57" s="30" t="s">
        <v>1451</v>
      </c>
      <c r="I57" s="30" t="s">
        <v>1453</v>
      </c>
      <c r="J57" s="30"/>
      <c r="K57" s="30" t="s">
        <v>1455</v>
      </c>
      <c r="L57" s="30"/>
      <c r="O57" s="30" t="s">
        <v>1415</v>
      </c>
      <c r="P57" s="30" t="s">
        <v>1421</v>
      </c>
      <c r="Q57" s="30" t="s">
        <v>1426</v>
      </c>
      <c r="R57" s="30" t="s">
        <v>1429</v>
      </c>
      <c r="S57" s="30" t="s">
        <v>1432</v>
      </c>
      <c r="T57" s="30"/>
      <c r="U57" s="30" t="s">
        <v>1436</v>
      </c>
      <c r="BA57" t="s">
        <v>1475</v>
      </c>
      <c r="BB57" s="22">
        <f>SMALL((BB41:BB45,BB51:BB55),3)</f>
        <v>18.102909846718873</v>
      </c>
      <c r="BC57" s="22">
        <f>SMALL((BC41:BC45,BC51:BC55),3)</f>
        <v>5.9401196730499599</v>
      </c>
      <c r="BD57" s="22">
        <f>SMALL((BD41:BD45,BD51:BD55),3)</f>
        <v>18.133805549744952</v>
      </c>
      <c r="BE57" s="22">
        <f>SMALL((BE41:BE45,BE51:BE55),3)</f>
        <v>17.313907929209993</v>
      </c>
      <c r="BF57" s="22">
        <f>SMALL((BF41:BF45,BF51:BF55),3)</f>
        <v>14.101960773149113</v>
      </c>
      <c r="BG57" s="22"/>
      <c r="BH57" s="22">
        <f>SMALL((BH41:BH45,BH51:BH55),3)</f>
        <v>4.0272361503000953</v>
      </c>
      <c r="BJ57" t="s">
        <v>1474</v>
      </c>
      <c r="BK57" t="s">
        <v>1475</v>
      </c>
      <c r="BL57" s="22">
        <f>SMALL((BL41:BL45,BL51:BL55),3)</f>
        <v>8.0582622635870678</v>
      </c>
      <c r="BM57" s="22">
        <f>SMALL((BM41:BM45,BM51:BM55),3)</f>
        <v>37.889345472434336</v>
      </c>
      <c r="BN57" s="22">
        <f>SMALL((BN41:BN45,BN51:BN55),3)</f>
        <v>1.2608111469536332</v>
      </c>
      <c r="BO57" s="22">
        <f>SMALL((BO41:BO45,BO51:BO55),3)</f>
        <v>8.8435347848298651</v>
      </c>
      <c r="BP57" s="22">
        <f>SMALL((BP41:BP45,BP51:BP55),3)</f>
        <v>10.633384808010081</v>
      </c>
      <c r="BQ57" s="22"/>
      <c r="BR57" s="22">
        <f>SMALL((BR41:BR45,BR51:BR55),3)</f>
        <v>1.0531761987928712</v>
      </c>
      <c r="BT57" s="423" t="s">
        <v>1476</v>
      </c>
    </row>
    <row r="58" spans="2:72">
      <c r="C58" t="s">
        <v>1474</v>
      </c>
      <c r="D58" t="s">
        <v>1475</v>
      </c>
      <c r="E58" s="22">
        <f>SMALL((E39:E44,E51:E56),3)</f>
        <v>8.1995921823552749</v>
      </c>
      <c r="F58" s="22">
        <f>SMALL((F39:F44,F51:F56),3)</f>
        <v>14.171092414356423</v>
      </c>
      <c r="G58" s="22">
        <f>SMALL((G39:G44,G51:G56),3)</f>
        <v>0</v>
      </c>
      <c r="H58" s="22">
        <f>SMALL((H39:H44,H51:H56),3)</f>
        <v>20.377501757010506</v>
      </c>
      <c r="I58" s="22">
        <f>SMALL((I39:I44,I51:I56),3)</f>
        <v>47.503265027624423</v>
      </c>
      <c r="J58" s="22"/>
      <c r="K58" s="22">
        <f>SMALL((K39:K44,K51:K56),3)</f>
        <v>2.0339998359929168</v>
      </c>
      <c r="M58" t="s">
        <v>1474</v>
      </c>
      <c r="N58" t="s">
        <v>1475</v>
      </c>
      <c r="O58" s="22">
        <f>SMALL((O39:O44,O51:O56),3)</f>
        <v>1.4241223110464496</v>
      </c>
      <c r="P58" s="22"/>
      <c r="Q58" s="22">
        <f>SMALL((Q39:Q44,Q51:Q56),3)</f>
        <v>1.8976398087172885</v>
      </c>
      <c r="R58" s="22">
        <f>SMALL((R39:R44,R51:R56),3)</f>
        <v>30.117313152208382</v>
      </c>
      <c r="S58" s="22">
        <f>SMALL((S39:S44,S51:S56),3)</f>
        <v>51.220422823783743</v>
      </c>
      <c r="T58" s="22"/>
      <c r="U58" s="22">
        <f>SMALL((U39:U44,U51:U56),3)</f>
        <v>10.917584154328086</v>
      </c>
      <c r="BA58" t="s">
        <v>1465</v>
      </c>
      <c r="BB58" s="22">
        <f>LARGE((BB41:BB45,BB51:BB55),1)</f>
        <v>87.17276052120917</v>
      </c>
      <c r="BC58" s="22">
        <f>LARGE((BC41:BC45,BC51:BC55),1)</f>
        <v>99.99952564886226</v>
      </c>
      <c r="BD58" s="22">
        <f>LARGE((BD41:BD45,BD51:BD55),1)</f>
        <v>54.557028673457907</v>
      </c>
      <c r="BE58" s="22">
        <f>LARGE((BE41:BE45,BE51:BE55),1)</f>
        <v>88.906573613441424</v>
      </c>
      <c r="BF58" s="22">
        <f>LARGE((BF41:BF45,BF51:BF55),1)</f>
        <v>76.900330736749893</v>
      </c>
      <c r="BG58" s="22"/>
      <c r="BH58" s="22">
        <f>LARGE((BH41:BH45,BH51:BH55),1)</f>
        <v>64.211301736010711</v>
      </c>
      <c r="BK58" t="s">
        <v>1465</v>
      </c>
      <c r="BL58" s="22">
        <f>LARGE((BL41:BL45,BL51:BL55),1)</f>
        <v>69.984201269275943</v>
      </c>
      <c r="BM58" s="22">
        <f>LARGE((BM41:BM45,BM51:BM55),1)</f>
        <v>99.999389015526475</v>
      </c>
      <c r="BN58" s="22">
        <f>LARGE((BN41:BN45,BN51:BN55),1)</f>
        <v>16.754124758548649</v>
      </c>
      <c r="BO58" s="22">
        <f>LARGE((BO41:BO45,BO51:BO55),1)</f>
        <v>62.014450196729683</v>
      </c>
      <c r="BP58" s="22">
        <f>LARGE((BP41:BP45,BP51:BP55),1)</f>
        <v>63.181796169729289</v>
      </c>
      <c r="BQ58" s="22"/>
      <c r="BR58" s="22">
        <f>LARGE((BR41:BR45,BR51:BR55),1)</f>
        <v>18.28135785325329</v>
      </c>
      <c r="BT58" s="97" t="s">
        <v>1477</v>
      </c>
    </row>
    <row r="59" spans="2:72">
      <c r="D59" t="s">
        <v>1465</v>
      </c>
      <c r="E59" s="22">
        <f>LARGE((E39:E44,E51:E56),1)</f>
        <v>99.986019411801806</v>
      </c>
      <c r="F59" s="22">
        <f>LARGE((F39:F44,F51:F56),1)</f>
        <v>99.984209686597097</v>
      </c>
      <c r="G59" s="22">
        <f>LARGE((G39:G44,G51:G56),1)</f>
        <v>88.062576493036829</v>
      </c>
      <c r="H59" s="22">
        <f>LARGE((H39:H44,H51:H56),1)</f>
        <v>99.998478895464601</v>
      </c>
      <c r="I59" s="22">
        <f>LARGE((I39:I44,I51:I56),1)</f>
        <v>99.999936511117241</v>
      </c>
      <c r="J59" s="22"/>
      <c r="K59" s="22">
        <f>LARGE((K39:K44,K51:K56),1)</f>
        <v>72.309829416681907</v>
      </c>
      <c r="N59" t="s">
        <v>1465</v>
      </c>
      <c r="O59" s="22">
        <f>LARGE((O39:O44,O51:O56),1)</f>
        <v>65.961362650149823</v>
      </c>
      <c r="P59" s="22"/>
      <c r="Q59" s="22">
        <f>LARGE((Q39:Q44,Q51:Q56),1)</f>
        <v>96.73510933717229</v>
      </c>
      <c r="R59" s="22">
        <f>LARGE((R39:R44,R51:R56),1)</f>
        <v>99.993199106131712</v>
      </c>
      <c r="S59" s="22">
        <f>LARGE((S39:S44,S51:S56),1)</f>
        <v>99.9867790787834</v>
      </c>
      <c r="T59" s="22"/>
      <c r="U59" s="22">
        <f>LARGE((U39:U44,U51:U56),1)</f>
        <v>43.835053369292012</v>
      </c>
      <c r="BT59" s="315" t="s">
        <v>1479</v>
      </c>
    </row>
    <row r="60" spans="2:72">
      <c r="AZ60" t="s">
        <v>334</v>
      </c>
      <c r="BA60" t="s">
        <v>1478</v>
      </c>
      <c r="BB60" s="22">
        <f>AVERAGE(BB42:BB45)</f>
        <v>76.349768132932113</v>
      </c>
      <c r="BC60" s="22">
        <f>AVERAGE(BC41:BC43,BC45)</f>
        <v>85.974737309599533</v>
      </c>
      <c r="BD60" s="22">
        <f>AVERAGE(BD42:BD45)</f>
        <v>50.75299782370179</v>
      </c>
      <c r="BE60" s="22">
        <f>AVERAGE(BE42:BE45)</f>
        <v>68.527676194161103</v>
      </c>
      <c r="BF60" s="22">
        <f>AVERAGE(BF42:BF45)</f>
        <v>67.855069332497195</v>
      </c>
      <c r="BG60" s="22"/>
      <c r="BH60" s="22">
        <f t="shared" ref="BH60" si="96">AVERAGE(BH42:BH45)</f>
        <v>49.575270008552877</v>
      </c>
      <c r="BJ60" t="s">
        <v>334</v>
      </c>
      <c r="BK60" t="s">
        <v>1478</v>
      </c>
      <c r="BL60" s="22">
        <f>AVERAGE(BL42:BL45)</f>
        <v>45.147333051967827</v>
      </c>
      <c r="BM60" s="22">
        <f>AVERAGE(BM41:BM43,BM45)</f>
        <v>99.021852908812789</v>
      </c>
      <c r="BN60" s="22">
        <f>AVERAGE(BN41,BN43:BN45)</f>
        <v>10.623178968705639</v>
      </c>
      <c r="BO60" s="22">
        <f>AVERAGE(BO41:BO44)</f>
        <v>41.750440030961173</v>
      </c>
      <c r="BP60" s="22">
        <f>AVERAGE(BP41:BP44)</f>
        <v>48.248916554503559</v>
      </c>
      <c r="BR60" s="22">
        <f>AVERAGE(BR41:BR44)</f>
        <v>10.914568723511302</v>
      </c>
      <c r="BT60" s="323" t="s">
        <v>1481</v>
      </c>
    </row>
    <row r="61" spans="2:72">
      <c r="C61" t="s">
        <v>334</v>
      </c>
      <c r="D61" t="s">
        <v>1478</v>
      </c>
      <c r="E61" s="22">
        <f>AVERAGE(E40:E44)</f>
        <v>81.627756066021888</v>
      </c>
      <c r="F61" s="22">
        <f>AVERAGE(F39:F43)</f>
        <v>93.583174998491657</v>
      </c>
      <c r="G61" s="22">
        <f>AVERAGE(G39:G41,G43)</f>
        <v>55.478129686143198</v>
      </c>
      <c r="H61" s="22">
        <f>AVERAGE(H39:H40,H42:H44)</f>
        <v>90.360583977551926</v>
      </c>
      <c r="I61" s="22">
        <f>AVERAGE(I39:I43)</f>
        <v>97.911109453892635</v>
      </c>
      <c r="J61" s="22"/>
      <c r="K61" s="22">
        <f>AVERAGE(K39,K41:K44)</f>
        <v>42.515866964480701</v>
      </c>
      <c r="M61" t="s">
        <v>334</v>
      </c>
      <c r="N61" t="s">
        <v>1478</v>
      </c>
      <c r="O61" s="22">
        <f>AVERAGE(O39:O40,O42:O43)</f>
        <v>33.449242251064078</v>
      </c>
      <c r="Q61" s="22">
        <f>AVERAGE(Q39:Q42,Q44)</f>
        <v>29.623479973386416</v>
      </c>
      <c r="R61" s="22">
        <f>AVERAGE(R39:R40,R42:R44)</f>
        <v>89.898456175780325</v>
      </c>
      <c r="S61" s="22">
        <f>AVERAGE(S39:S43)</f>
        <v>95.674331878409475</v>
      </c>
      <c r="U61" s="22">
        <f>AVERAGE(U39,U41:U44)</f>
        <v>30.707470478036111</v>
      </c>
      <c r="BA61" t="s">
        <v>1480</v>
      </c>
      <c r="BB61" s="22">
        <f>AVERAGE(BB52:BB55)</f>
        <v>21.95823848048466</v>
      </c>
      <c r="BC61" s="22">
        <f>AVERAGE(BC51:BC53,BC55)</f>
        <v>46.066898886369444</v>
      </c>
      <c r="BD61" s="22">
        <f>AVERAGE(BD52:BD55)</f>
        <v>20.14248147827783</v>
      </c>
      <c r="BE61" s="22">
        <f>AVERAGE(BE52:BE55)</f>
        <v>27.589046959156015</v>
      </c>
      <c r="BF61" s="22">
        <f t="shared" ref="BF61:BH61" si="97">AVERAGE(BF52:BF55)</f>
        <v>26.569311455180014</v>
      </c>
      <c r="BG61" s="22"/>
      <c r="BH61" s="22">
        <f t="shared" si="97"/>
        <v>5.4813255733683617</v>
      </c>
      <c r="BK61" t="s">
        <v>1480</v>
      </c>
      <c r="BL61" s="22">
        <f>AVERAGE(BL52:BL55)</f>
        <v>21.385061131239567</v>
      </c>
      <c r="BM61" s="22">
        <f>AVERAGE(BM51:BM53,BM55)</f>
        <v>64.533401661112563</v>
      </c>
      <c r="BN61" s="22">
        <f>AVERAGE(BN51,BN53:BN55)</f>
        <v>4.5851214518086598</v>
      </c>
      <c r="BO61" s="22">
        <f>AVERAGE(BO51:BO54)</f>
        <v>19.238813046228664</v>
      </c>
      <c r="BP61" s="22">
        <f>AVERAGE(BP51:BP54)</f>
        <v>22.760347859270226</v>
      </c>
      <c r="BR61" s="22">
        <f>AVERAGE(BR51:BR54)</f>
        <v>5.341854691979286</v>
      </c>
    </row>
    <row r="62" spans="2:72">
      <c r="D62" t="s">
        <v>1480</v>
      </c>
      <c r="E62" s="22">
        <f>AVERAGE(E52:E56)</f>
        <v>38.538212969544176</v>
      </c>
      <c r="F62" s="22">
        <f>AVERAGE(F51:F55)</f>
        <v>38.659532628741331</v>
      </c>
      <c r="G62" s="22">
        <f>AVERAGE(G51:G53,G55)</f>
        <v>25.249673351738046</v>
      </c>
      <c r="H62" s="22">
        <f>AVERAGE(H51:H52,H54:H56)</f>
        <v>63.188302345146404</v>
      </c>
      <c r="I62" s="22">
        <f>AVERAGE(I51:I55)</f>
        <v>75.80455090945631</v>
      </c>
      <c r="J62" s="22"/>
      <c r="K62" s="22">
        <f>AVERAGE(K51,K53:K56)</f>
        <v>5.12548337283995</v>
      </c>
      <c r="N62" t="s">
        <v>1480</v>
      </c>
      <c r="O62" s="22">
        <f>AVERAGE(O51:O52,O54:O55)</f>
        <v>15.155040890694242</v>
      </c>
      <c r="Q62" s="22">
        <f>AVERAGE(Q51:Q54,Q56)</f>
        <v>19.627003612695013</v>
      </c>
      <c r="R62" s="22">
        <f>AVERAGE(R51:R52,R54:R56)</f>
        <v>68.353805820094593</v>
      </c>
      <c r="S62" s="22">
        <f>AVERAGE(S51:S55)</f>
        <v>77.085222675027211</v>
      </c>
      <c r="U62" s="22">
        <f>AVERAGE(U51,U53:U56)</f>
        <v>15.988733478833598</v>
      </c>
    </row>
    <row r="63" spans="2:72">
      <c r="C63" s="22"/>
    </row>
    <row r="64" spans="2:72" ht="20.25">
      <c r="C64" s="22"/>
      <c r="E64" s="30" t="s">
        <v>1445</v>
      </c>
      <c r="F64" s="30" t="s">
        <v>1448</v>
      </c>
      <c r="G64" s="30" t="s">
        <v>1450</v>
      </c>
      <c r="H64" s="30" t="s">
        <v>1451</v>
      </c>
      <c r="I64" s="30" t="s">
        <v>1453</v>
      </c>
      <c r="J64" s="30" t="s">
        <v>1455</v>
      </c>
      <c r="N64" t="s">
        <v>1482</v>
      </c>
      <c r="P64" s="30" t="s">
        <v>1415</v>
      </c>
      <c r="Q64" s="30" t="s">
        <v>1421</v>
      </c>
      <c r="R64" s="30" t="s">
        <v>1426</v>
      </c>
      <c r="S64" s="30" t="s">
        <v>1429</v>
      </c>
      <c r="T64" s="30" t="s">
        <v>1432</v>
      </c>
      <c r="U64" s="30" t="s">
        <v>1436</v>
      </c>
    </row>
    <row r="65" spans="3:74">
      <c r="C65" t="s">
        <v>7</v>
      </c>
      <c r="D65" t="s">
        <v>1478</v>
      </c>
      <c r="E65" s="22">
        <v>8.1995921823552749</v>
      </c>
      <c r="F65" s="22">
        <v>14.171092414356423</v>
      </c>
      <c r="G65" s="22">
        <v>0</v>
      </c>
      <c r="H65" s="22">
        <v>20.377501757010506</v>
      </c>
      <c r="I65" s="22">
        <v>47.503265027624423</v>
      </c>
      <c r="J65" s="22">
        <v>2.0339998359929168</v>
      </c>
      <c r="N65" t="s">
        <v>7</v>
      </c>
      <c r="O65" t="s">
        <v>1478</v>
      </c>
      <c r="P65" s="22">
        <v>1.4241223110464496</v>
      </c>
      <c r="Q65" s="22"/>
      <c r="R65" s="22">
        <v>1.8976398087172885</v>
      </c>
      <c r="S65" s="22">
        <v>30.117313152208382</v>
      </c>
      <c r="T65" s="22">
        <v>51.220422823783743</v>
      </c>
      <c r="U65" s="22">
        <v>10.917584154328086</v>
      </c>
    </row>
    <row r="66" spans="3:74" ht="16.7" customHeight="1">
      <c r="D66" t="s">
        <v>1480</v>
      </c>
      <c r="E66" s="22">
        <v>99.986019411801806</v>
      </c>
      <c r="F66" s="22">
        <v>99.984209686597097</v>
      </c>
      <c r="G66" s="22">
        <v>88.062576493036829</v>
      </c>
      <c r="H66" s="22">
        <v>99.998478895464601</v>
      </c>
      <c r="I66" s="22">
        <v>99.999936511117241</v>
      </c>
      <c r="J66" s="22">
        <v>72.309829416681907</v>
      </c>
      <c r="O66" t="s">
        <v>1480</v>
      </c>
      <c r="P66" s="22">
        <v>65.961362650149823</v>
      </c>
      <c r="Q66" s="22"/>
      <c r="R66" s="22">
        <v>96.73510933717229</v>
      </c>
      <c r="S66" s="22">
        <v>99.993199106131712</v>
      </c>
      <c r="T66" s="22">
        <v>99.9867790787834</v>
      </c>
      <c r="U66" s="22">
        <v>43.835053369292012</v>
      </c>
    </row>
    <row r="67" spans="3:74">
      <c r="C67" t="s">
        <v>11</v>
      </c>
      <c r="D67" t="s">
        <v>1478</v>
      </c>
      <c r="E67" s="22">
        <v>20.401717655389596</v>
      </c>
      <c r="F67" s="22">
        <v>0</v>
      </c>
      <c r="G67" s="22">
        <v>0</v>
      </c>
      <c r="H67" s="22">
        <v>7.3238677848760254</v>
      </c>
      <c r="I67" s="22">
        <v>58.500205887168519</v>
      </c>
      <c r="J67" s="22">
        <v>4.0280471309319221</v>
      </c>
      <c r="N67" t="s">
        <v>11</v>
      </c>
      <c r="O67" t="s">
        <v>1478</v>
      </c>
      <c r="P67" s="22">
        <v>2.7026830569132465</v>
      </c>
      <c r="Q67" s="22"/>
      <c r="R67" s="22">
        <v>9.13509250595731</v>
      </c>
      <c r="S67" s="22">
        <v>49.481009912905982</v>
      </c>
      <c r="T67" s="22">
        <v>24.156797345351666</v>
      </c>
      <c r="U67" s="22">
        <v>0</v>
      </c>
    </row>
    <row r="68" spans="3:74">
      <c r="D68" t="s">
        <v>1480</v>
      </c>
      <c r="E68" s="22">
        <v>98.328846074715898</v>
      </c>
      <c r="F68" s="22">
        <v>99.975570251851309</v>
      </c>
      <c r="G68" s="22">
        <v>71.638300148480056</v>
      </c>
      <c r="H68" s="22">
        <v>97.433989512989356</v>
      </c>
      <c r="I68" s="22">
        <v>100</v>
      </c>
      <c r="J68" s="22">
        <v>100</v>
      </c>
      <c r="O68" t="s">
        <v>1480</v>
      </c>
      <c r="P68" s="22">
        <v>61.630833462669365</v>
      </c>
      <c r="Q68" s="22"/>
      <c r="R68" s="22">
        <v>92.224815333024836</v>
      </c>
      <c r="S68" s="22">
        <v>93.298230367602812</v>
      </c>
      <c r="T68" s="22">
        <v>99.927810783581933</v>
      </c>
      <c r="U68" s="22">
        <v>52.007817943536885</v>
      </c>
      <c r="BV68" s="454"/>
    </row>
    <row r="69" spans="3:74">
      <c r="C69" t="s">
        <v>14</v>
      </c>
      <c r="D69" t="s">
        <v>1478</v>
      </c>
      <c r="E69" s="22">
        <v>18.102909846718873</v>
      </c>
      <c r="F69" s="22">
        <v>5.9401196730499599</v>
      </c>
      <c r="G69" s="22">
        <v>18.133805549744952</v>
      </c>
      <c r="H69" s="22">
        <v>17.313907929209993</v>
      </c>
      <c r="I69" s="22">
        <v>14.101960773149113</v>
      </c>
      <c r="J69" s="22">
        <v>4.0272361503000953</v>
      </c>
      <c r="N69" t="s">
        <v>14</v>
      </c>
      <c r="O69" t="s">
        <v>1478</v>
      </c>
      <c r="P69" s="22">
        <v>8.0582622635870678</v>
      </c>
      <c r="Q69" s="22">
        <v>37.889345472434336</v>
      </c>
      <c r="R69" s="22">
        <v>1.2608111469536332</v>
      </c>
      <c r="S69" s="22">
        <v>8.8435347848298651</v>
      </c>
      <c r="T69" s="22">
        <v>10.633384808010081</v>
      </c>
      <c r="U69" s="22">
        <v>1.0531761987928712</v>
      </c>
      <c r="BV69" s="454"/>
    </row>
    <row r="70" spans="3:74">
      <c r="D70" s="30" t="s">
        <v>1480</v>
      </c>
      <c r="E70" s="69">
        <v>87.17276052120917</v>
      </c>
      <c r="F70" s="69">
        <v>99.99952564886226</v>
      </c>
      <c r="G70" s="69">
        <v>54.557028673457907</v>
      </c>
      <c r="H70" s="69">
        <v>88.906573613441424</v>
      </c>
      <c r="I70" s="69">
        <v>76.900330736749893</v>
      </c>
      <c r="J70" s="69">
        <v>64.211301736010711</v>
      </c>
      <c r="O70" s="30" t="s">
        <v>1480</v>
      </c>
      <c r="P70" s="69">
        <v>69.984201269275943</v>
      </c>
      <c r="Q70" s="69">
        <v>99.999389015526475</v>
      </c>
      <c r="R70" s="69">
        <v>16.754124758548649</v>
      </c>
      <c r="S70" s="69">
        <v>62.014450196729683</v>
      </c>
      <c r="T70" s="69">
        <v>63.181796169729289</v>
      </c>
      <c r="U70" s="69">
        <v>18.28135785325329</v>
      </c>
      <c r="BV70" s="454"/>
    </row>
    <row r="71" spans="3:74">
      <c r="D71" t="s">
        <v>1483</v>
      </c>
      <c r="E71" s="22">
        <f>AVERAGE(E65,E67,E69)</f>
        <v>15.568073228154581</v>
      </c>
      <c r="F71" s="22">
        <f t="shared" ref="F71:I71" si="98">AVERAGE(F65,F67,F69)</f>
        <v>6.7037373624687939</v>
      </c>
      <c r="G71" s="22">
        <f t="shared" si="98"/>
        <v>6.0446018499149838</v>
      </c>
      <c r="H71" s="22">
        <f t="shared" si="98"/>
        <v>15.005092490365508</v>
      </c>
      <c r="I71" s="22">
        <f t="shared" si="98"/>
        <v>40.035143895980688</v>
      </c>
      <c r="J71" s="22">
        <f t="shared" ref="J71" si="99">AVERAGE(J65,J67,J69)</f>
        <v>3.3630943724083111</v>
      </c>
      <c r="O71" t="s">
        <v>1483</v>
      </c>
      <c r="P71" s="22">
        <f>AVERAGE(P65,P67,P69)</f>
        <v>4.0616892105155875</v>
      </c>
      <c r="Q71" s="22">
        <f t="shared" ref="Q71:T72" si="100">AVERAGE(Q65,Q67,Q69)</f>
        <v>37.889345472434336</v>
      </c>
      <c r="R71" s="22">
        <f t="shared" si="100"/>
        <v>4.0978478205427438</v>
      </c>
      <c r="S71" s="22">
        <f t="shared" si="100"/>
        <v>29.480619283314741</v>
      </c>
      <c r="T71" s="22">
        <f t="shared" si="100"/>
        <v>28.670201659048498</v>
      </c>
      <c r="U71" s="22">
        <f t="shared" ref="U71" si="101">AVERAGE(U65,U67,U69)</f>
        <v>3.9902534510403189</v>
      </c>
    </row>
    <row r="72" spans="3:74">
      <c r="D72" t="s">
        <v>1484</v>
      </c>
      <c r="E72" s="22">
        <f>AVERAGE(E66,E68,E70)</f>
        <v>95.16254200257562</v>
      </c>
      <c r="F72" s="22">
        <f t="shared" ref="F72:I72" si="102">AVERAGE(F66,F68,F70)</f>
        <v>99.986435195770227</v>
      </c>
      <c r="G72" s="22">
        <f t="shared" si="102"/>
        <v>71.419301771658255</v>
      </c>
      <c r="H72" s="22">
        <f t="shared" si="102"/>
        <v>95.446347340631789</v>
      </c>
      <c r="I72" s="22">
        <f t="shared" si="102"/>
        <v>92.300089082622378</v>
      </c>
      <c r="J72" s="22">
        <f t="shared" ref="J72" si="103">AVERAGE(J66,J68,J70)</f>
        <v>78.840377050897544</v>
      </c>
      <c r="O72" t="s">
        <v>1484</v>
      </c>
      <c r="P72" s="22">
        <f>AVERAGE(P66,P68,P70)</f>
        <v>65.858799127365046</v>
      </c>
      <c r="Q72" s="22">
        <f t="shared" si="100"/>
        <v>99.999389015526475</v>
      </c>
      <c r="R72" s="22">
        <f t="shared" si="100"/>
        <v>68.571349809581918</v>
      </c>
      <c r="S72" s="22">
        <f t="shared" si="100"/>
        <v>85.101959890154731</v>
      </c>
      <c r="T72" s="22">
        <f t="shared" si="100"/>
        <v>87.698795344031552</v>
      </c>
      <c r="U72" s="22">
        <f t="shared" ref="U72" si="104">AVERAGE(U66,U68,U70)</f>
        <v>38.041409722027396</v>
      </c>
    </row>
    <row r="75" spans="3:74" ht="14.45" customHeight="1">
      <c r="D75" t="s">
        <v>1485</v>
      </c>
      <c r="F75" s="30" t="s">
        <v>1445</v>
      </c>
      <c r="G75" s="30" t="s">
        <v>1448</v>
      </c>
      <c r="H75" s="30" t="s">
        <v>1450</v>
      </c>
      <c r="I75" s="30" t="s">
        <v>1451</v>
      </c>
      <c r="J75" s="30" t="s">
        <v>1453</v>
      </c>
      <c r="K75" s="30" t="s">
        <v>1455</v>
      </c>
      <c r="N75" t="s">
        <v>1485</v>
      </c>
      <c r="P75" s="30" t="s">
        <v>1415</v>
      </c>
      <c r="Q75" s="30" t="s">
        <v>1421</v>
      </c>
      <c r="R75" s="30" t="s">
        <v>1426</v>
      </c>
      <c r="S75" s="30" t="s">
        <v>1429</v>
      </c>
      <c r="T75" s="30" t="s">
        <v>1432</v>
      </c>
      <c r="U75" s="30" t="s">
        <v>1436</v>
      </c>
    </row>
    <row r="76" spans="3:74">
      <c r="D76" t="s">
        <v>7</v>
      </c>
      <c r="E76" t="s">
        <v>1478</v>
      </c>
      <c r="F76" s="22">
        <v>81.627756066021888</v>
      </c>
      <c r="G76" s="22">
        <v>93.583174998491657</v>
      </c>
      <c r="H76" s="22">
        <v>55.478129686143198</v>
      </c>
      <c r="I76" s="22">
        <v>90.360583977551926</v>
      </c>
      <c r="J76" s="22">
        <v>97.911109453892635</v>
      </c>
      <c r="K76" s="22">
        <v>42.515866964480701</v>
      </c>
      <c r="M76" t="s">
        <v>1475</v>
      </c>
      <c r="N76" t="s">
        <v>7</v>
      </c>
      <c r="O76" t="s">
        <v>1478</v>
      </c>
      <c r="P76" s="22">
        <v>33.449242251064078</v>
      </c>
      <c r="Q76" s="22"/>
      <c r="R76" s="22">
        <v>29.623479973386416</v>
      </c>
      <c r="S76" s="22">
        <v>89.898456175780325</v>
      </c>
      <c r="T76" s="22">
        <v>95.674331878409475</v>
      </c>
      <c r="U76" s="22">
        <v>30.707470478036111</v>
      </c>
    </row>
    <row r="77" spans="3:74">
      <c r="E77" t="s">
        <v>1480</v>
      </c>
      <c r="F77" s="22">
        <v>38.538212969544176</v>
      </c>
      <c r="G77" s="22">
        <v>38.659532628741331</v>
      </c>
      <c r="H77" s="22">
        <v>25.249673351738046</v>
      </c>
      <c r="I77" s="22">
        <v>63.188302345146404</v>
      </c>
      <c r="J77" s="22">
        <v>75.80455090945631</v>
      </c>
      <c r="K77" s="22">
        <v>5.12548337283995</v>
      </c>
      <c r="M77" t="s">
        <v>1465</v>
      </c>
      <c r="O77" t="s">
        <v>1480</v>
      </c>
      <c r="P77" s="22">
        <v>15.155040890694242</v>
      </c>
      <c r="Q77" s="22"/>
      <c r="R77" s="22">
        <v>19.627003612695013</v>
      </c>
      <c r="S77" s="22">
        <v>68.353805820094593</v>
      </c>
      <c r="T77" s="22">
        <v>77.085222675027211</v>
      </c>
      <c r="U77" s="22">
        <v>15.988733478833598</v>
      </c>
    </row>
    <row r="78" spans="3:74">
      <c r="D78" t="s">
        <v>11</v>
      </c>
      <c r="E78" t="s">
        <v>1478</v>
      </c>
      <c r="F78" s="22">
        <v>67.97063016713355</v>
      </c>
      <c r="G78" s="22">
        <v>99.124023789816079</v>
      </c>
      <c r="H78" s="22">
        <v>67.861616100967439</v>
      </c>
      <c r="I78" s="22">
        <v>68.547786297984302</v>
      </c>
      <c r="J78" s="22">
        <v>86.126369987498052</v>
      </c>
      <c r="K78" s="22">
        <v>52.714261345290545</v>
      </c>
      <c r="N78" t="s">
        <v>11</v>
      </c>
      <c r="O78" t="s">
        <v>1478</v>
      </c>
      <c r="P78" s="22">
        <v>37.845239167711277</v>
      </c>
      <c r="Q78" s="22"/>
      <c r="R78" s="22">
        <v>45.737891289771902</v>
      </c>
      <c r="S78" s="22">
        <v>88.3584852349953</v>
      </c>
      <c r="T78" s="22">
        <v>75.811453547364309</v>
      </c>
      <c r="U78" s="22">
        <v>31.34072427328848</v>
      </c>
    </row>
    <row r="79" spans="3:74">
      <c r="E79" t="s">
        <v>1480</v>
      </c>
      <c r="F79" s="22">
        <v>19.859665196372326</v>
      </c>
      <c r="G79" s="22">
        <v>43.829682160011139</v>
      </c>
      <c r="H79" s="22">
        <v>30.331360144013729</v>
      </c>
      <c r="I79" s="22">
        <v>35.087114205424683</v>
      </c>
      <c r="J79" s="22">
        <v>65.763468512115935</v>
      </c>
      <c r="K79" s="22">
        <v>5.9672083515067103</v>
      </c>
      <c r="O79" t="s">
        <v>1480</v>
      </c>
      <c r="P79" s="22">
        <v>17.300134953489064</v>
      </c>
      <c r="Q79" s="22"/>
      <c r="R79" s="22">
        <v>28.375499000723185</v>
      </c>
      <c r="S79" s="22">
        <v>56.837661568122314</v>
      </c>
      <c r="T79" s="22">
        <v>58.878107534818014</v>
      </c>
      <c r="U79" s="22">
        <v>17.173867041349332</v>
      </c>
    </row>
    <row r="80" spans="3:74">
      <c r="D80" t="s">
        <v>14</v>
      </c>
      <c r="E80" t="s">
        <v>1478</v>
      </c>
      <c r="F80" s="22">
        <v>76.349768132932113</v>
      </c>
      <c r="G80" s="22">
        <v>85.974737309599533</v>
      </c>
      <c r="H80" s="22">
        <v>50.75299782370179</v>
      </c>
      <c r="I80" s="22">
        <v>68.527676194161103</v>
      </c>
      <c r="J80" s="22">
        <v>67.855069332497195</v>
      </c>
      <c r="K80" s="22">
        <v>49.575270008552877</v>
      </c>
      <c r="N80" t="s">
        <v>14</v>
      </c>
      <c r="O80" t="s">
        <v>1478</v>
      </c>
      <c r="P80" s="22">
        <v>45.147333051967827</v>
      </c>
      <c r="Q80" s="22">
        <v>99.021852908812789</v>
      </c>
      <c r="R80" s="22">
        <v>10.623178968705639</v>
      </c>
      <c r="S80" s="22">
        <v>41.750440030961173</v>
      </c>
      <c r="T80" s="22">
        <v>48.248916554503559</v>
      </c>
      <c r="U80" s="22">
        <v>10.914568723511302</v>
      </c>
    </row>
    <row r="81" spans="4:68">
      <c r="E81" s="30" t="s">
        <v>1480</v>
      </c>
      <c r="F81" s="22">
        <v>21.95823848048466</v>
      </c>
      <c r="G81" s="22">
        <v>46.066898886369444</v>
      </c>
      <c r="H81" s="22">
        <v>20.14248147827783</v>
      </c>
      <c r="I81" s="22">
        <v>27.589046959156015</v>
      </c>
      <c r="J81" s="22">
        <v>26.569311455180014</v>
      </c>
      <c r="K81" s="22">
        <v>5.4813255733683617</v>
      </c>
      <c r="O81" s="30" t="s">
        <v>1480</v>
      </c>
      <c r="P81" s="22">
        <v>21.385061131239567</v>
      </c>
      <c r="Q81" s="22">
        <v>64.533401661112563</v>
      </c>
      <c r="R81" s="22">
        <v>4.5851214518086598</v>
      </c>
      <c r="S81" s="22">
        <v>19.238813046228664</v>
      </c>
      <c r="T81" s="22">
        <v>22.760347859270226</v>
      </c>
      <c r="U81" s="22">
        <v>5.341854691979286</v>
      </c>
    </row>
    <row r="84" spans="4:68" ht="14.45" customHeight="1">
      <c r="D84" s="112"/>
      <c r="E84" s="114"/>
      <c r="F84" s="112" t="s">
        <v>1486</v>
      </c>
      <c r="G84" s="114" t="s">
        <v>1487</v>
      </c>
      <c r="H84" s="113" t="s">
        <v>1486</v>
      </c>
      <c r="I84" s="114" t="s">
        <v>1487</v>
      </c>
    </row>
    <row r="85" spans="4:68">
      <c r="D85" s="112"/>
      <c r="E85" s="114"/>
      <c r="F85" s="112" t="s">
        <v>1398</v>
      </c>
      <c r="G85" s="114" t="s">
        <v>1398</v>
      </c>
      <c r="H85" s="113" t="s">
        <v>1399</v>
      </c>
      <c r="I85" s="114" t="s">
        <v>1399</v>
      </c>
      <c r="BP85" s="394"/>
    </row>
    <row r="86" spans="4:68">
      <c r="D86" s="25" t="s">
        <v>150</v>
      </c>
      <c r="E86" s="40" t="s">
        <v>7</v>
      </c>
      <c r="F86" s="465">
        <f>F76</f>
        <v>81.627756066021888</v>
      </c>
      <c r="G86" s="29">
        <f>P76</f>
        <v>33.449242251064078</v>
      </c>
      <c r="H86" s="24">
        <f>F77</f>
        <v>38.538212969544176</v>
      </c>
      <c r="I86" s="29">
        <f>P77</f>
        <v>15.155040890694242</v>
      </c>
      <c r="BP86" s="377"/>
    </row>
    <row r="87" spans="4:68">
      <c r="D87" s="25"/>
      <c r="E87" s="40" t="s">
        <v>11</v>
      </c>
      <c r="F87" s="465">
        <v>67.97063016713355</v>
      </c>
      <c r="G87" s="29">
        <v>37.845239167711277</v>
      </c>
      <c r="H87" s="24">
        <v>19.859665196372326</v>
      </c>
      <c r="I87" s="29">
        <v>17.300134953489064</v>
      </c>
      <c r="BP87" s="377"/>
    </row>
    <row r="88" spans="4:68">
      <c r="D88" s="25"/>
      <c r="E88" s="40" t="s">
        <v>14</v>
      </c>
      <c r="F88" s="465">
        <v>76.349768132932113</v>
      </c>
      <c r="G88" s="29">
        <v>45.147333051967827</v>
      </c>
      <c r="H88" s="24">
        <v>21.95823848048466</v>
      </c>
      <c r="I88" s="29">
        <v>21.385061131239567</v>
      </c>
      <c r="BP88" s="377"/>
    </row>
    <row r="89" spans="4:68">
      <c r="D89" s="23" t="s">
        <v>151</v>
      </c>
      <c r="E89" s="57" t="s">
        <v>7</v>
      </c>
      <c r="F89" s="485">
        <v>93.5831749984917</v>
      </c>
      <c r="G89" s="58"/>
      <c r="H89" s="44">
        <v>38.659532628741331</v>
      </c>
      <c r="I89" s="58"/>
      <c r="BP89" s="377"/>
    </row>
    <row r="90" spans="4:68">
      <c r="D90" s="25"/>
      <c r="E90" s="40" t="s">
        <v>11</v>
      </c>
      <c r="F90" s="465">
        <v>99.124023789816079</v>
      </c>
      <c r="G90" s="29"/>
      <c r="H90" s="24">
        <v>43.829682160011139</v>
      </c>
      <c r="I90" s="29"/>
      <c r="BP90" s="396"/>
    </row>
    <row r="91" spans="4:68">
      <c r="D91" s="26"/>
      <c r="E91" s="38" t="s">
        <v>14</v>
      </c>
      <c r="F91" s="477">
        <v>85.974737309599533</v>
      </c>
      <c r="G91" s="32">
        <v>99.021852908812789</v>
      </c>
      <c r="H91" s="31">
        <v>46.066898886369444</v>
      </c>
      <c r="I91" s="32">
        <v>64.533401661112563</v>
      </c>
    </row>
    <row r="92" spans="4:68">
      <c r="D92" s="25" t="s">
        <v>152</v>
      </c>
      <c r="E92" s="40" t="s">
        <v>7</v>
      </c>
      <c r="F92" s="465">
        <v>55.478129686143198</v>
      </c>
      <c r="G92" s="29">
        <v>29.623479973386416</v>
      </c>
      <c r="H92" s="24">
        <v>25.249673351738046</v>
      </c>
      <c r="I92" s="29">
        <v>19.627003612695013</v>
      </c>
    </row>
    <row r="93" spans="4:68">
      <c r="D93" s="25"/>
      <c r="E93" s="40" t="s">
        <v>11</v>
      </c>
      <c r="F93" s="465">
        <v>67.861616100967439</v>
      </c>
      <c r="G93" s="29">
        <v>45.737891289771902</v>
      </c>
      <c r="H93" s="24">
        <v>30.331360144013729</v>
      </c>
      <c r="I93" s="29">
        <v>28.375499000723185</v>
      </c>
    </row>
    <row r="94" spans="4:68">
      <c r="D94" s="25"/>
      <c r="E94" s="40" t="s">
        <v>14</v>
      </c>
      <c r="F94" s="465">
        <v>50.75299782370179</v>
      </c>
      <c r="G94" s="29">
        <v>10.623178968705639</v>
      </c>
      <c r="H94" s="24">
        <v>20.14248147827783</v>
      </c>
      <c r="I94" s="29">
        <v>4.5851214518086598</v>
      </c>
    </row>
    <row r="95" spans="4:68">
      <c r="D95" s="23" t="s">
        <v>303</v>
      </c>
      <c r="E95" s="57" t="s">
        <v>7</v>
      </c>
      <c r="F95" s="485">
        <v>90.360583977551926</v>
      </c>
      <c r="G95" s="58">
        <v>89.898456175780325</v>
      </c>
      <c r="H95" s="44">
        <v>63.188302345146404</v>
      </c>
      <c r="I95" s="58">
        <v>68.353805820094593</v>
      </c>
    </row>
    <row r="96" spans="4:68">
      <c r="D96" s="25"/>
      <c r="E96" s="40" t="s">
        <v>11</v>
      </c>
      <c r="F96" s="465">
        <v>68.547786297984302</v>
      </c>
      <c r="G96" s="29">
        <v>88.3584852349953</v>
      </c>
      <c r="H96" s="24">
        <v>35.087114205424683</v>
      </c>
      <c r="I96" s="29">
        <v>56.837661568122314</v>
      </c>
    </row>
    <row r="97" spans="4:9">
      <c r="D97" s="26"/>
      <c r="E97" s="38" t="s">
        <v>14</v>
      </c>
      <c r="F97" s="477">
        <v>68.527676194161103</v>
      </c>
      <c r="G97" s="32">
        <v>41.750440030961173</v>
      </c>
      <c r="H97" s="31">
        <v>27.589046959156015</v>
      </c>
      <c r="I97" s="32">
        <v>19.238813046228664</v>
      </c>
    </row>
    <row r="98" spans="4:9">
      <c r="D98" s="25" t="s">
        <v>326</v>
      </c>
      <c r="E98" s="40" t="s">
        <v>7</v>
      </c>
      <c r="F98" s="465">
        <v>97.911109453892635</v>
      </c>
      <c r="G98" s="29">
        <v>95.674331878409475</v>
      </c>
      <c r="H98" s="24">
        <v>75.80455090945631</v>
      </c>
      <c r="I98" s="29">
        <v>77.085222675027211</v>
      </c>
    </row>
    <row r="99" spans="4:9">
      <c r="D99" s="25"/>
      <c r="E99" s="40" t="s">
        <v>11</v>
      </c>
      <c r="F99" s="465">
        <v>86.126369987498052</v>
      </c>
      <c r="G99" s="29">
        <v>75.811453547364309</v>
      </c>
      <c r="H99" s="24">
        <v>65.763468512115935</v>
      </c>
      <c r="I99" s="29">
        <v>58.878107534818014</v>
      </c>
    </row>
    <row r="100" spans="4:9">
      <c r="D100" s="25"/>
      <c r="E100" s="40" t="s">
        <v>14</v>
      </c>
      <c r="F100" s="465">
        <v>67.855069332497195</v>
      </c>
      <c r="G100" s="29">
        <v>48.248916554503559</v>
      </c>
      <c r="H100" s="24">
        <v>26.569311455180014</v>
      </c>
      <c r="I100" s="29">
        <v>22.760347859270226</v>
      </c>
    </row>
    <row r="101" spans="4:9">
      <c r="D101" s="23" t="s">
        <v>163</v>
      </c>
      <c r="E101" s="57" t="s">
        <v>7</v>
      </c>
      <c r="F101" s="485">
        <v>42.515866964480701</v>
      </c>
      <c r="G101" s="58">
        <v>30.707470478036111</v>
      </c>
      <c r="H101" s="44">
        <v>5.12548337283995</v>
      </c>
      <c r="I101" s="58">
        <v>15.988733478833598</v>
      </c>
    </row>
    <row r="102" spans="4:9">
      <c r="D102" s="25"/>
      <c r="E102" s="40" t="s">
        <v>11</v>
      </c>
      <c r="F102" s="465">
        <v>52.714261345290545</v>
      </c>
      <c r="G102" s="29">
        <v>31.34072427328848</v>
      </c>
      <c r="H102" s="24">
        <v>5.9672083515067103</v>
      </c>
      <c r="I102" s="29">
        <v>17.173867041349332</v>
      </c>
    </row>
    <row r="103" spans="4:9">
      <c r="D103" s="26"/>
      <c r="E103" s="38" t="s">
        <v>14</v>
      </c>
      <c r="F103" s="477">
        <v>49.575270008552877</v>
      </c>
      <c r="G103" s="32">
        <v>10.914568723511302</v>
      </c>
      <c r="H103" s="31">
        <v>5.4813255733683617</v>
      </c>
      <c r="I103" s="32">
        <v>5.341854691979286</v>
      </c>
    </row>
  </sheetData>
  <conditionalFormatting sqref="AD39:AD41">
    <cfRule type="top10" dxfId="181" priority="367" bottom="1" rank="1"/>
    <cfRule type="top10" dxfId="180" priority="369" rank="1"/>
  </conditionalFormatting>
  <conditionalFormatting sqref="AE41 AE39">
    <cfRule type="top10" dxfId="179" priority="311" bottom="1" rank="1"/>
    <cfRule type="top10" dxfId="178" priority="312" rank="1"/>
  </conditionalFormatting>
  <conditionalFormatting sqref="AF41 AF39">
    <cfRule type="top10" dxfId="177" priority="309" bottom="1" rank="1"/>
    <cfRule type="top10" dxfId="176" priority="310" rank="1"/>
  </conditionalFormatting>
  <conditionalFormatting sqref="AG39:AG41">
    <cfRule type="top10" dxfId="175" priority="307" bottom="1" rank="1"/>
    <cfRule type="top10" dxfId="174" priority="308" rank="1"/>
  </conditionalFormatting>
  <conditionalFormatting sqref="AH39:AH41">
    <cfRule type="top10" dxfId="173" priority="305" bottom="1" rank="1"/>
    <cfRule type="top10" dxfId="172" priority="306" rank="1"/>
  </conditionalFormatting>
  <conditionalFormatting sqref="AJ41 AJ39">
    <cfRule type="top10" dxfId="171" priority="303" bottom="1" rank="1"/>
    <cfRule type="top10" dxfId="170" priority="304" rank="1"/>
  </conditionalFormatting>
  <conditionalFormatting sqref="AD47:AD49">
    <cfRule type="top10" dxfId="169" priority="301" bottom="1" rank="1"/>
    <cfRule type="top10" dxfId="168" priority="302" rank="1"/>
  </conditionalFormatting>
  <conditionalFormatting sqref="AE46:AE47 AE49">
    <cfRule type="top10" dxfId="167" priority="299" bottom="1" rank="1"/>
    <cfRule type="top10" dxfId="166" priority="300" rank="1"/>
  </conditionalFormatting>
  <conditionalFormatting sqref="AF46:AF47 AF49">
    <cfRule type="top10" dxfId="165" priority="297" bottom="1" rank="1"/>
    <cfRule type="top10" dxfId="164" priority="298" rank="1"/>
  </conditionalFormatting>
  <conditionalFormatting sqref="AG47:AG49">
    <cfRule type="top10" dxfId="163" priority="295" bottom="1" rank="1"/>
    <cfRule type="top10" dxfId="162" priority="296" rank="1"/>
  </conditionalFormatting>
  <conditionalFormatting sqref="AH47:AH49">
    <cfRule type="top10" dxfId="161" priority="293" bottom="1" rank="1"/>
    <cfRule type="top10" dxfId="160" priority="294" rank="1"/>
  </conditionalFormatting>
  <conditionalFormatting sqref="AJ46:AJ47 AJ49">
    <cfRule type="top10" dxfId="159" priority="291" bottom="1" rank="1"/>
    <cfRule type="top10" dxfId="158" priority="292" rank="1"/>
  </conditionalFormatting>
  <conditionalFormatting sqref="AN39:AN41">
    <cfRule type="top10" dxfId="157" priority="289" bottom="1" rank="1"/>
    <cfRule type="top10" dxfId="156" priority="290" rank="1"/>
  </conditionalFormatting>
  <conditionalFormatting sqref="AP39:AP41">
    <cfRule type="top10" dxfId="155" priority="285" bottom="1" rank="1"/>
    <cfRule type="top10" dxfId="154" priority="286" rank="1"/>
  </conditionalFormatting>
  <conditionalFormatting sqref="AQ39:AQ41">
    <cfRule type="top10" dxfId="153" priority="283" bottom="1" rank="1"/>
    <cfRule type="top10" dxfId="152" priority="284" rank="1"/>
  </conditionalFormatting>
  <conditionalFormatting sqref="AR39:AR41">
    <cfRule type="top10" dxfId="151" priority="281" bottom="1" rank="1"/>
    <cfRule type="top10" dxfId="150" priority="282" rank="1"/>
  </conditionalFormatting>
  <conditionalFormatting sqref="AT40:AT41">
    <cfRule type="top10" dxfId="149" priority="279" bottom="1" rank="1"/>
    <cfRule type="top10" dxfId="148" priority="280" rank="1"/>
  </conditionalFormatting>
  <conditionalFormatting sqref="AN47:AN49">
    <cfRule type="top10" dxfId="147" priority="277" bottom="1" rank="1"/>
    <cfRule type="top10" dxfId="146" priority="278" rank="1"/>
  </conditionalFormatting>
  <conditionalFormatting sqref="AO46:AO49">
    <cfRule type="top10" dxfId="145" priority="275" bottom="1" rank="1"/>
    <cfRule type="top10" dxfId="144" priority="276" rank="1"/>
  </conditionalFormatting>
  <conditionalFormatting sqref="AP47:AP49">
    <cfRule type="top10" dxfId="143" priority="273" bottom="1" rank="1"/>
    <cfRule type="top10" dxfId="142" priority="274" rank="1"/>
  </conditionalFormatting>
  <conditionalFormatting sqref="AQ47:AQ49">
    <cfRule type="top10" dxfId="141" priority="271" bottom="1" rank="1"/>
    <cfRule type="top10" dxfId="140" priority="272" rank="1"/>
  </conditionalFormatting>
  <conditionalFormatting sqref="AR47:AR49">
    <cfRule type="top10" dxfId="139" priority="269" bottom="1" rank="1"/>
    <cfRule type="top10" dxfId="138" priority="270" rank="1"/>
  </conditionalFormatting>
  <conditionalFormatting sqref="AT46 AT48:AT49">
    <cfRule type="top10" dxfId="137" priority="267" bottom="1" rank="1"/>
    <cfRule type="top10" dxfId="136" priority="268" rank="1"/>
  </conditionalFormatting>
  <conditionalFormatting sqref="AU46 AU48:AU49">
    <cfRule type="top10" dxfId="135" priority="265" bottom="1" rank="1"/>
    <cfRule type="top10" dxfId="134" priority="266" rank="1"/>
  </conditionalFormatting>
  <conditionalFormatting sqref="BC45 BC41:BC42">
    <cfRule type="top10" dxfId="133" priority="261" bottom="1" rank="1"/>
    <cfRule type="top10" dxfId="132" priority="262" rank="1"/>
  </conditionalFormatting>
  <conditionalFormatting sqref="BB52:BB54">
    <cfRule type="top10" dxfId="131" priority="251" bottom="1" rank="1"/>
    <cfRule type="top10" dxfId="130" priority="252" rank="1"/>
  </conditionalFormatting>
  <conditionalFormatting sqref="BC51:BC52 BC55">
    <cfRule type="top10" dxfId="129" priority="249" bottom="1" rank="1"/>
    <cfRule type="top10" dxfId="128" priority="250" rank="1"/>
  </conditionalFormatting>
  <conditionalFormatting sqref="BD52 BD54:BD55">
    <cfRule type="top10" dxfId="127" priority="247" bottom="1" rank="1"/>
    <cfRule type="top10" dxfId="126" priority="248" rank="1"/>
  </conditionalFormatting>
  <conditionalFormatting sqref="BE52:BE54">
    <cfRule type="top10" dxfId="125" priority="245" bottom="1" rank="1"/>
    <cfRule type="top10" dxfId="124" priority="246" rank="1"/>
  </conditionalFormatting>
  <conditionalFormatting sqref="BF52:BF54">
    <cfRule type="top10" dxfId="123" priority="243" bottom="1" rank="1"/>
    <cfRule type="top10" dxfId="122" priority="244" rank="1"/>
  </conditionalFormatting>
  <conditionalFormatting sqref="BH52:BH54">
    <cfRule type="top10" dxfId="121" priority="241" bottom="1" rank="1"/>
    <cfRule type="top10" dxfId="120" priority="242" rank="1"/>
  </conditionalFormatting>
  <conditionalFormatting sqref="BM45 BM41:BM42">
    <cfRule type="top10" dxfId="119" priority="237" bottom="1" rank="1"/>
    <cfRule type="top10" dxfId="118" priority="238" rank="1"/>
  </conditionalFormatting>
  <conditionalFormatting sqref="BL52:BL54">
    <cfRule type="top10" dxfId="117" priority="227" bottom="1" rank="1"/>
    <cfRule type="top10" dxfId="116" priority="228" rank="1"/>
  </conditionalFormatting>
  <conditionalFormatting sqref="BM51:BM52 BM55">
    <cfRule type="top10" dxfId="115" priority="225" bottom="1" rank="1"/>
    <cfRule type="top10" dxfId="114" priority="226" rank="1"/>
  </conditionalFormatting>
  <conditionalFormatting sqref="BN54:BN55">
    <cfRule type="top10" dxfId="113" priority="223" bottom="1" rank="1"/>
    <cfRule type="top10" dxfId="112" priority="224" rank="1"/>
  </conditionalFormatting>
  <conditionalFormatting sqref="BO52:BO54">
    <cfRule type="top10" dxfId="111" priority="221" bottom="1" rank="1"/>
    <cfRule type="top10" dxfId="110" priority="222" rank="1"/>
  </conditionalFormatting>
  <conditionalFormatting sqref="BP52:BP54">
    <cfRule type="top10" dxfId="109" priority="219" bottom="1" rank="1"/>
    <cfRule type="top10" dxfId="108" priority="220" rank="1"/>
  </conditionalFormatting>
  <conditionalFormatting sqref="BR52:BR54">
    <cfRule type="top10" dxfId="107" priority="217" bottom="1" rank="1"/>
    <cfRule type="top10" dxfId="106" priority="218" rank="1"/>
  </conditionalFormatting>
  <conditionalFormatting sqref="BS52:BS54">
    <cfRule type="top10" dxfId="105" priority="215" bottom="1" rank="1"/>
    <cfRule type="top10" dxfId="104" priority="216" rank="1"/>
  </conditionalFormatting>
  <conditionalFormatting sqref="I5 M5:N5 R5 V5:X5">
    <cfRule type="top10" dxfId="103" priority="213" bottom="1" rank="1"/>
    <cfRule type="top10" dxfId="102" priority="214" rank="1"/>
  </conditionalFormatting>
  <conditionalFormatting sqref="I6 M6:N6 R6 V6:X6">
    <cfRule type="top10" dxfId="101" priority="211" bottom="1" rank="1"/>
    <cfRule type="top10" dxfId="100" priority="212" rank="1"/>
  </conditionalFormatting>
  <conditionalFormatting sqref="I7 N7 R7 V7:X7">
    <cfRule type="top10" dxfId="99" priority="209" bottom="1" rank="1"/>
    <cfRule type="top10" dxfId="98" priority="210" rank="1"/>
  </conditionalFormatting>
  <conditionalFormatting sqref="I8 N8 J3:K3 R8 V8:X8">
    <cfRule type="top10" dxfId="97" priority="207" bottom="1" rank="1"/>
    <cfRule type="top10" dxfId="96" priority="208" rank="1"/>
  </conditionalFormatting>
  <conditionalFormatting sqref="I9 M9:N9 R9 V9:X9">
    <cfRule type="top10" dxfId="95" priority="205" bottom="1" rank="1"/>
    <cfRule type="top10" dxfId="94" priority="206" rank="1"/>
  </conditionalFormatting>
  <conditionalFormatting sqref="I10 M10:N10 R10 V10:X10">
    <cfRule type="top10" dxfId="93" priority="203" bottom="1" rank="1"/>
    <cfRule type="top10" dxfId="92" priority="204" rank="1"/>
  </conditionalFormatting>
  <conditionalFormatting sqref="I11 M11:N11 R11 V11:X11">
    <cfRule type="top10" dxfId="91" priority="201" bottom="1" rank="1"/>
    <cfRule type="top10" dxfId="90" priority="202" rank="1"/>
  </conditionalFormatting>
  <conditionalFormatting sqref="I13:R13">
    <cfRule type="top10" dxfId="89" priority="199" bottom="1" rank="1"/>
    <cfRule type="top10" dxfId="88" priority="200" rank="1"/>
  </conditionalFormatting>
  <conditionalFormatting sqref="I14:N14 R14 S2:U2">
    <cfRule type="top10" dxfId="87" priority="197" bottom="1" rank="1"/>
    <cfRule type="top10" dxfId="86" priority="198" rank="1"/>
  </conditionalFormatting>
  <conditionalFormatting sqref="I15 N15 R15">
    <cfRule type="top10" dxfId="85" priority="195" bottom="1" rank="1"/>
    <cfRule type="top10" dxfId="84" priority="196" rank="1"/>
  </conditionalFormatting>
  <conditionalFormatting sqref="I16 N16 R16:U16">
    <cfRule type="top10" dxfId="83" priority="193" bottom="1" rank="1"/>
    <cfRule type="top10" dxfId="82" priority="194" rank="1"/>
  </conditionalFormatting>
  <conditionalFormatting sqref="I17:N17 R17:U17">
    <cfRule type="top10" dxfId="81" priority="191" bottom="1" rank="1"/>
    <cfRule type="top10" dxfId="80" priority="192" rank="1"/>
  </conditionalFormatting>
  <conditionalFormatting sqref="I18:N18 R18:U18">
    <cfRule type="top10" dxfId="79" priority="189" bottom="1" rank="1"/>
    <cfRule type="top10" dxfId="78" priority="190" rank="1"/>
  </conditionalFormatting>
  <conditionalFormatting sqref="I19:N19 R19:U19">
    <cfRule type="top10" dxfId="77" priority="187" bottom="1" rank="1"/>
    <cfRule type="top10" dxfId="76" priority="188" rank="1"/>
  </conditionalFormatting>
  <conditionalFormatting sqref="I20:N20 R20:U20">
    <cfRule type="top10" dxfId="75" priority="185" bottom="1" rank="1"/>
    <cfRule type="top10" dxfId="74" priority="186" rank="1"/>
  </conditionalFormatting>
  <conditionalFormatting sqref="BB42:BB44">
    <cfRule type="top10" dxfId="73" priority="380" bottom="1" rank="1"/>
    <cfRule type="top10" dxfId="72" priority="381" rank="1"/>
  </conditionalFormatting>
  <conditionalFormatting sqref="BD42 BD44:BD45">
    <cfRule type="top10" dxfId="71" priority="384" bottom="1" rank="1"/>
    <cfRule type="top10" dxfId="70" priority="385" rank="1"/>
  </conditionalFormatting>
  <conditionalFormatting sqref="BE42:BE44">
    <cfRule type="top10" dxfId="69" priority="390" bottom="1" rank="1"/>
    <cfRule type="top10" dxfId="68" priority="391" rank="1"/>
  </conditionalFormatting>
  <conditionalFormatting sqref="BF42:BF44">
    <cfRule type="top10" dxfId="67" priority="392" bottom="1" rank="1"/>
    <cfRule type="top10" dxfId="66" priority="393" rank="1"/>
  </conditionalFormatting>
  <conditionalFormatting sqref="BH42:BH44">
    <cfRule type="top10" dxfId="65" priority="394" bottom="1" rank="1"/>
    <cfRule type="top10" dxfId="64" priority="395" rank="1"/>
  </conditionalFormatting>
  <conditionalFormatting sqref="BL42:BL44">
    <cfRule type="top10" dxfId="63" priority="400" bottom="1" rank="1"/>
    <cfRule type="top10" dxfId="62" priority="401" rank="1"/>
  </conditionalFormatting>
  <conditionalFormatting sqref="BN44:BN45">
    <cfRule type="top10" dxfId="61" priority="404" bottom="1" rank="1"/>
    <cfRule type="top10" dxfId="60" priority="405" rank="1"/>
  </conditionalFormatting>
  <conditionalFormatting sqref="BO42:BO44">
    <cfRule type="top10" dxfId="59" priority="408" bottom="1" rank="1"/>
    <cfRule type="top10" dxfId="58" priority="409" rank="1"/>
  </conditionalFormatting>
  <conditionalFormatting sqref="BP42:BP44">
    <cfRule type="top10" dxfId="57" priority="410" bottom="1" rank="1"/>
    <cfRule type="top10" dxfId="56" priority="411" rank="1"/>
  </conditionalFormatting>
  <conditionalFormatting sqref="BR42:BR44">
    <cfRule type="top10" dxfId="55" priority="412" bottom="1" rank="1"/>
    <cfRule type="top10" dxfId="54" priority="413" rank="1"/>
  </conditionalFormatting>
  <conditionalFormatting sqref="AO39:AO41">
    <cfRule type="top10" dxfId="53" priority="432" bottom="1" rank="1"/>
    <cfRule type="top10" dxfId="52" priority="433" rank="1"/>
  </conditionalFormatting>
  <conditionalFormatting sqref="E52:E56">
    <cfRule type="top10" dxfId="51" priority="83" bottom="1" rank="1"/>
    <cfRule type="top10" dxfId="50" priority="84" rank="1"/>
  </conditionalFormatting>
  <conditionalFormatting sqref="F51:F55">
    <cfRule type="top10" dxfId="49" priority="49" bottom="1" rank="1"/>
    <cfRule type="top10" dxfId="48" priority="50" rank="1"/>
  </conditionalFormatting>
  <conditionalFormatting sqref="G51:G53 G55:G56">
    <cfRule type="top10" dxfId="47" priority="47" bottom="1" rank="1"/>
    <cfRule type="top10" dxfId="46" priority="48" rank="1"/>
  </conditionalFormatting>
  <conditionalFormatting sqref="H51:H52 H54:H56">
    <cfRule type="top10" dxfId="45" priority="45" bottom="1" rank="1"/>
    <cfRule type="top10" dxfId="44" priority="46" rank="1"/>
  </conditionalFormatting>
  <conditionalFormatting sqref="I51:I55">
    <cfRule type="top10" dxfId="43" priority="43" bottom="1" rank="1"/>
    <cfRule type="top10" dxfId="42" priority="44" rank="1"/>
  </conditionalFormatting>
  <conditionalFormatting sqref="K51 K53:K56">
    <cfRule type="top10" dxfId="41" priority="41" bottom="1" rank="1"/>
    <cfRule type="top10" dxfId="40" priority="42" rank="1"/>
  </conditionalFormatting>
  <conditionalFormatting sqref="O51:O52 O54:O56">
    <cfRule type="top10" dxfId="39" priority="39" bottom="1" rank="1"/>
    <cfRule type="top10" dxfId="38" priority="40" rank="1"/>
  </conditionalFormatting>
  <conditionalFormatting sqref="P51:P56">
    <cfRule type="top10" dxfId="37" priority="37" bottom="1" rank="1"/>
    <cfRule type="top10" dxfId="36" priority="38" rank="1"/>
  </conditionalFormatting>
  <conditionalFormatting sqref="Q51:Q54 Q56">
    <cfRule type="top10" dxfId="35" priority="35" bottom="1" rank="1"/>
    <cfRule type="top10" dxfId="34" priority="36" rank="1"/>
  </conditionalFormatting>
  <conditionalFormatting sqref="R51:R52 R54:R56">
    <cfRule type="top10" dxfId="33" priority="33" bottom="1" rank="1"/>
    <cfRule type="top10" dxfId="32" priority="34" rank="1"/>
  </conditionalFormatting>
  <conditionalFormatting sqref="S51:S55">
    <cfRule type="top10" dxfId="31" priority="31" bottom="1" rank="1"/>
    <cfRule type="top10" dxfId="30" priority="32" rank="1"/>
  </conditionalFormatting>
  <conditionalFormatting sqref="U51 U53:U56">
    <cfRule type="top10" dxfId="29" priority="29" bottom="1" rank="1"/>
    <cfRule type="top10" dxfId="28" priority="30" rank="1"/>
  </conditionalFormatting>
  <conditionalFormatting sqref="V51:V56">
    <cfRule type="top10" dxfId="27" priority="27" bottom="1" rank="1"/>
    <cfRule type="top10" dxfId="26" priority="28" rank="1"/>
  </conditionalFormatting>
  <conditionalFormatting sqref="E40:E44">
    <cfRule type="top10" dxfId="25" priority="25" bottom="1" rank="1"/>
    <cfRule type="top10" dxfId="24" priority="26" rank="1"/>
  </conditionalFormatting>
  <conditionalFormatting sqref="F39:F43">
    <cfRule type="top10" dxfId="23" priority="23" bottom="1" rank="1"/>
    <cfRule type="top10" dxfId="22" priority="24" rank="1"/>
  </conditionalFormatting>
  <conditionalFormatting sqref="G39:G41 G43">
    <cfRule type="top10" dxfId="21" priority="21" bottom="1" rank="1"/>
    <cfRule type="top10" dxfId="20" priority="22" rank="1"/>
  </conditionalFormatting>
  <conditionalFormatting sqref="H39:H40 H42:H44">
    <cfRule type="top10" dxfId="19" priority="19" bottom="1" rank="1"/>
    <cfRule type="top10" dxfId="18" priority="20" rank="1"/>
  </conditionalFormatting>
  <conditionalFormatting sqref="I39:I43">
    <cfRule type="top10" dxfId="17" priority="17" bottom="1" rank="1"/>
    <cfRule type="top10" dxfId="16" priority="18" rank="1"/>
  </conditionalFormatting>
  <conditionalFormatting sqref="K39 K41:K44">
    <cfRule type="top10" dxfId="15" priority="15" bottom="1" rank="1"/>
    <cfRule type="top10" dxfId="14" priority="16" rank="1"/>
  </conditionalFormatting>
  <conditionalFormatting sqref="O39:O40 O42:O44">
    <cfRule type="top10" dxfId="13" priority="13" bottom="1" rank="1"/>
    <cfRule type="top10" dxfId="12" priority="14" rank="1"/>
  </conditionalFormatting>
  <conditionalFormatting sqref="P39:P44">
    <cfRule type="top10" dxfId="11" priority="11" bottom="1" rank="1"/>
    <cfRule type="top10" dxfId="10" priority="12" rank="1"/>
  </conditionalFormatting>
  <conditionalFormatting sqref="Q39:Q42 Q44">
    <cfRule type="top10" dxfId="9" priority="9" bottom="1" rank="1"/>
    <cfRule type="top10" dxfId="8" priority="10" rank="1"/>
  </conditionalFormatting>
  <conditionalFormatting sqref="R39:R40 R42:R44">
    <cfRule type="top10" dxfId="7" priority="7" bottom="1" rank="1"/>
    <cfRule type="top10" dxfId="6" priority="8" rank="1"/>
  </conditionalFormatting>
  <conditionalFormatting sqref="S39:S43">
    <cfRule type="top10" dxfId="5" priority="5" bottom="1" rank="1"/>
    <cfRule type="top10" dxfId="4" priority="6" rank="1"/>
  </conditionalFormatting>
  <conditionalFormatting sqref="U39 U41:U44">
    <cfRule type="top10" dxfId="3" priority="3" bottom="1" rank="1"/>
    <cfRule type="top10" dxfId="2" priority="4" rank="1"/>
  </conditionalFormatting>
  <conditionalFormatting sqref="V39:V44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734D-74B1-450B-AB39-ED34DDBDB2BE}">
  <sheetPr>
    <tabColor theme="1" tint="0.499984740745262"/>
  </sheetPr>
  <dimension ref="A1:Y45"/>
  <sheetViews>
    <sheetView workbookViewId="0">
      <selection activeCell="Q23" sqref="Q23"/>
    </sheetView>
  </sheetViews>
  <sheetFormatPr defaultRowHeight="15"/>
  <cols>
    <col min="1" max="1" width="20.5703125" style="21" customWidth="1"/>
    <col min="2" max="3" width="15.140625" customWidth="1"/>
    <col min="4" max="6" width="12.85546875" customWidth="1"/>
    <col min="7" max="7" width="15.85546875" customWidth="1"/>
    <col min="8" max="8" width="7.85546875" customWidth="1"/>
    <col min="9" max="9" width="16.42578125" customWidth="1"/>
    <col min="10" max="10" width="16.7109375" customWidth="1"/>
    <col min="11" max="11" width="15.42578125" customWidth="1"/>
    <col min="12" max="13" width="10" customWidth="1"/>
    <col min="14" max="18" width="15.28515625" customWidth="1"/>
  </cols>
  <sheetData>
    <row r="1" spans="1:25" ht="45">
      <c r="B1" s="626" t="s">
        <v>1488</v>
      </c>
      <c r="C1" s="626"/>
      <c r="D1" s="626" t="s">
        <v>1489</v>
      </c>
      <c r="E1" s="626"/>
      <c r="F1" s="37" t="s">
        <v>1490</v>
      </c>
      <c r="J1" s="98" t="s">
        <v>1491</v>
      </c>
      <c r="K1" s="99"/>
      <c r="L1" s="99"/>
      <c r="M1" s="99"/>
      <c r="N1" s="100"/>
      <c r="O1" s="627" t="s">
        <v>1492</v>
      </c>
      <c r="P1" s="628"/>
      <c r="Q1" s="101" t="s">
        <v>1493</v>
      </c>
      <c r="T1" t="s">
        <v>1494</v>
      </c>
      <c r="W1" s="328">
        <v>9</v>
      </c>
      <c r="X1" s="326">
        <v>6</v>
      </c>
      <c r="Y1" s="328">
        <v>8</v>
      </c>
    </row>
    <row r="2" spans="1:25" ht="36.4" customHeight="1">
      <c r="B2" s="21" t="s">
        <v>1495</v>
      </c>
      <c r="C2" s="21" t="s">
        <v>1496</v>
      </c>
      <c r="D2" s="21" t="s">
        <v>1497</v>
      </c>
      <c r="E2" s="21" t="s">
        <v>1498</v>
      </c>
      <c r="F2" s="21" t="s">
        <v>1499</v>
      </c>
      <c r="H2" s="37"/>
      <c r="J2" s="102" t="s">
        <v>1495</v>
      </c>
      <c r="K2" s="103" t="s">
        <v>1496</v>
      </c>
      <c r="L2" s="103">
        <v>101</v>
      </c>
      <c r="M2" s="103">
        <v>102</v>
      </c>
      <c r="N2" s="104">
        <v>103</v>
      </c>
      <c r="O2" s="102" t="s">
        <v>1497</v>
      </c>
      <c r="P2" s="104" t="s">
        <v>1498</v>
      </c>
      <c r="Q2" s="105" t="s">
        <v>1499</v>
      </c>
      <c r="T2" s="36" t="s">
        <v>1500</v>
      </c>
      <c r="U2" s="327" t="s">
        <v>1501</v>
      </c>
      <c r="V2" s="327" t="s">
        <v>1502</v>
      </c>
      <c r="W2" s="329" t="s">
        <v>1503</v>
      </c>
      <c r="X2" s="327" t="s">
        <v>1504</v>
      </c>
      <c r="Y2" s="329" t="s">
        <v>1505</v>
      </c>
    </row>
    <row r="3" spans="1:25">
      <c r="A3" s="22" t="s">
        <v>150</v>
      </c>
      <c r="B3" s="22">
        <v>4.4771474274630094</v>
      </c>
      <c r="C3" s="22">
        <v>5.1284770472981389</v>
      </c>
      <c r="D3" s="22">
        <v>4.9156422106592954</v>
      </c>
      <c r="E3" s="22">
        <v>4.4771474274630094</v>
      </c>
      <c r="F3" s="22">
        <v>5.0539558008415799</v>
      </c>
      <c r="H3" s="22"/>
      <c r="I3" s="106" t="s">
        <v>121</v>
      </c>
      <c r="J3" s="107">
        <v>0.12082128078730307</v>
      </c>
      <c r="K3" s="108">
        <v>18.8246059564452</v>
      </c>
      <c r="L3" s="108"/>
      <c r="M3" s="108"/>
      <c r="N3" s="109"/>
      <c r="O3" s="107">
        <v>2.2031508881945314E-2</v>
      </c>
      <c r="P3" s="109">
        <v>0.12082128078730307</v>
      </c>
      <c r="Q3" s="110">
        <v>23.889350852157701</v>
      </c>
      <c r="T3" t="s">
        <v>1506</v>
      </c>
      <c r="U3" s="1" t="s">
        <v>1507</v>
      </c>
      <c r="V3" s="1">
        <v>7.1999999999999995E-2</v>
      </c>
      <c r="W3" s="330">
        <v>39.29</v>
      </c>
      <c r="X3" s="1">
        <v>0.04</v>
      </c>
      <c r="Y3" s="330">
        <v>0.35</v>
      </c>
    </row>
    <row r="4" spans="1:25">
      <c r="A4" s="22" t="s">
        <v>151</v>
      </c>
      <c r="B4" s="22">
        <v>1.359671660919116</v>
      </c>
      <c r="C4" s="22">
        <v>0.51817634243512734</v>
      </c>
      <c r="D4" s="22">
        <v>0.28076004942676175</v>
      </c>
      <c r="E4" s="22">
        <v>1.359671660919116</v>
      </c>
      <c r="F4" s="22">
        <v>0.25735516884194787</v>
      </c>
      <c r="H4" s="22"/>
      <c r="I4" s="111" t="s">
        <v>1508</v>
      </c>
      <c r="J4" s="112">
        <v>166</v>
      </c>
      <c r="K4" s="113">
        <v>27</v>
      </c>
      <c r="L4" s="113"/>
      <c r="M4" s="113"/>
      <c r="N4" s="114"/>
      <c r="O4" s="112">
        <v>39</v>
      </c>
      <c r="P4" s="114">
        <v>209</v>
      </c>
      <c r="Q4" s="111">
        <v>60</v>
      </c>
      <c r="T4" t="s">
        <v>1509</v>
      </c>
      <c r="U4" s="1" t="s">
        <v>1510</v>
      </c>
      <c r="V4" s="1">
        <v>3.1E-2</v>
      </c>
      <c r="W4" s="330">
        <v>40.92</v>
      </c>
      <c r="X4" s="1">
        <v>0.08</v>
      </c>
      <c r="Y4" s="330">
        <v>0.61</v>
      </c>
    </row>
    <row r="5" spans="1:25">
      <c r="A5" s="22" t="s">
        <v>152</v>
      </c>
      <c r="B5" s="22">
        <v>13.92424405092647</v>
      </c>
      <c r="C5" s="22">
        <v>0.71235392964241195</v>
      </c>
      <c r="D5" s="22">
        <v>1.9975960109275732</v>
      </c>
      <c r="E5" s="22">
        <v>13.92424405092647</v>
      </c>
      <c r="F5" s="22">
        <v>0.84253391776448228</v>
      </c>
      <c r="H5" s="22"/>
      <c r="I5" s="115" t="s">
        <v>1511</v>
      </c>
      <c r="J5" s="26"/>
      <c r="K5" s="30"/>
      <c r="L5" s="30"/>
      <c r="M5" s="30"/>
      <c r="N5" s="38"/>
      <c r="O5" s="26"/>
      <c r="P5" s="38"/>
      <c r="Q5" s="115"/>
      <c r="R5" s="22"/>
      <c r="T5" t="s">
        <v>1512</v>
      </c>
      <c r="U5" s="1" t="s">
        <v>1513</v>
      </c>
      <c r="V5" s="1">
        <v>1.4E-2</v>
      </c>
      <c r="W5" s="330">
        <v>260.74</v>
      </c>
      <c r="X5" s="1">
        <v>0.13</v>
      </c>
      <c r="Y5" s="330">
        <v>0.57999999999999996</v>
      </c>
    </row>
    <row r="6" spans="1:25">
      <c r="A6" s="22" t="s">
        <v>153</v>
      </c>
      <c r="B6" s="22">
        <v>7.8723832248295906</v>
      </c>
      <c r="C6" s="22">
        <v>0.57353110651483596</v>
      </c>
      <c r="D6" s="22">
        <v>0.99359076711242156</v>
      </c>
      <c r="E6" s="22">
        <v>7.8723832248295906</v>
      </c>
      <c r="F6" s="22">
        <v>0.61476593055723094</v>
      </c>
      <c r="H6" s="22"/>
      <c r="N6" s="21"/>
      <c r="P6" s="21"/>
      <c r="T6" t="s">
        <v>1514</v>
      </c>
      <c r="U6" s="1" t="s">
        <v>1515</v>
      </c>
      <c r="V6" s="1">
        <v>2.8000000000000001E-2</v>
      </c>
      <c r="W6" s="330">
        <v>229.92</v>
      </c>
      <c r="X6" s="1">
        <v>0.12</v>
      </c>
      <c r="Y6" s="330">
        <v>0.52</v>
      </c>
    </row>
    <row r="7" spans="1:25" ht="30">
      <c r="A7" s="22" t="s">
        <v>154</v>
      </c>
      <c r="B7" s="22">
        <v>4.7818974547482833</v>
      </c>
      <c r="C7" s="22">
        <v>0.49810608262277073</v>
      </c>
      <c r="D7" s="22">
        <v>0.41351013824702076</v>
      </c>
      <c r="E7" s="22">
        <v>4.7818974547482833</v>
      </c>
      <c r="F7" s="22">
        <v>0.38058731010799957</v>
      </c>
      <c r="H7" s="22"/>
      <c r="I7" s="111" t="s">
        <v>1516</v>
      </c>
      <c r="J7" s="112" t="s">
        <v>1517</v>
      </c>
      <c r="K7" s="116" t="s">
        <v>1518</v>
      </c>
      <c r="L7" s="117" t="s">
        <v>1519</v>
      </c>
      <c r="M7" s="35" t="s">
        <v>504</v>
      </c>
      <c r="T7" t="s">
        <v>1520</v>
      </c>
      <c r="U7" s="1" t="s">
        <v>1521</v>
      </c>
      <c r="V7" s="1">
        <v>2.8000000000000001E-2</v>
      </c>
      <c r="W7" s="330">
        <v>73.260000000000005</v>
      </c>
      <c r="X7" s="1">
        <v>0.15</v>
      </c>
      <c r="Y7" s="330">
        <v>0.44</v>
      </c>
    </row>
    <row r="8" spans="1:25" ht="30">
      <c r="A8" s="22" t="s">
        <v>155</v>
      </c>
      <c r="B8" s="22">
        <v>0.54101249719640632</v>
      </c>
      <c r="C8" s="22">
        <v>0.14820996896179858</v>
      </c>
      <c r="D8" s="22">
        <v>0.24820839806841666</v>
      </c>
      <c r="E8" s="22">
        <v>0.54101249719640632</v>
      </c>
      <c r="F8" s="22">
        <v>0.15023105954977126</v>
      </c>
      <c r="H8" s="22"/>
      <c r="I8" s="117" t="s">
        <v>1493</v>
      </c>
      <c r="J8" s="118" t="s">
        <v>1499</v>
      </c>
      <c r="K8" s="119">
        <v>23.889350852157701</v>
      </c>
      <c r="L8" s="112" t="s">
        <v>1522</v>
      </c>
      <c r="M8" s="117">
        <v>60</v>
      </c>
      <c r="T8" t="s">
        <v>1523</v>
      </c>
      <c r="U8" s="1" t="s">
        <v>1524</v>
      </c>
      <c r="V8" s="1">
        <v>1.9E-2</v>
      </c>
      <c r="W8" s="330">
        <v>27.09</v>
      </c>
      <c r="X8" s="1">
        <v>7.0000000000000007E-2</v>
      </c>
      <c r="Y8" s="330">
        <v>0.56000000000000005</v>
      </c>
    </row>
    <row r="9" spans="1:25" ht="28.9" customHeight="1">
      <c r="A9" s="22" t="s">
        <v>156</v>
      </c>
      <c r="B9" s="22">
        <v>0.14271720978522004</v>
      </c>
      <c r="C9" s="22">
        <v>7.777957531060338E-2</v>
      </c>
      <c r="D9" s="22">
        <v>0.10058975083056164</v>
      </c>
      <c r="E9" s="22">
        <v>0.14271720978522004</v>
      </c>
      <c r="F9" s="22">
        <v>7.9989259391953241E-2</v>
      </c>
      <c r="H9" s="22"/>
      <c r="I9" s="629" t="s">
        <v>1525</v>
      </c>
      <c r="J9" s="120" t="s">
        <v>1497</v>
      </c>
      <c r="K9" s="121">
        <v>2.2031508881945314E-2</v>
      </c>
      <c r="M9" s="122">
        <v>39</v>
      </c>
      <c r="T9" t="s">
        <v>1526</v>
      </c>
      <c r="U9" s="1" t="s">
        <v>1527</v>
      </c>
      <c r="V9" s="1">
        <v>3.1E-2</v>
      </c>
      <c r="W9" s="330">
        <v>31.36</v>
      </c>
      <c r="X9" s="1">
        <v>0.08</v>
      </c>
      <c r="Y9" s="330">
        <v>0.52</v>
      </c>
    </row>
    <row r="10" spans="1:25">
      <c r="A10" s="22" t="s">
        <v>157</v>
      </c>
      <c r="B10" s="22">
        <v>0.94297331623450731</v>
      </c>
      <c r="C10" s="22">
        <v>8.2228391654330449E-2</v>
      </c>
      <c r="D10" s="22">
        <v>0.20099588138499627</v>
      </c>
      <c r="E10" s="22">
        <v>0.94297331623450731</v>
      </c>
      <c r="F10" s="22">
        <v>0.11480322242827676</v>
      </c>
      <c r="H10" s="22"/>
      <c r="I10" s="630"/>
      <c r="J10" s="39" t="s">
        <v>1498</v>
      </c>
      <c r="K10" s="123">
        <v>0.12082128078730307</v>
      </c>
      <c r="M10" s="122">
        <v>209</v>
      </c>
      <c r="T10" t="s">
        <v>1528</v>
      </c>
      <c r="U10" s="1" t="s">
        <v>1529</v>
      </c>
      <c r="V10" s="1">
        <v>6.0000000000000001E-3</v>
      </c>
      <c r="W10" s="330">
        <v>40.69</v>
      </c>
      <c r="X10" s="1">
        <v>0.09</v>
      </c>
      <c r="Y10" s="330">
        <v>0.54</v>
      </c>
    </row>
    <row r="11" spans="1:25" ht="43.15" customHeight="1">
      <c r="A11" s="22" t="s">
        <v>158</v>
      </c>
      <c r="B11" s="22">
        <v>0.42588227555508373</v>
      </c>
      <c r="C11" s="22">
        <v>4.4346722303403453E-2</v>
      </c>
      <c r="D11" s="22">
        <v>9.4731973007775319E-2</v>
      </c>
      <c r="E11" s="22">
        <v>0.42588227555508373</v>
      </c>
      <c r="F11" s="22">
        <v>5.5261723810374745E-2</v>
      </c>
      <c r="H11" s="22"/>
      <c r="I11" s="629" t="s">
        <v>1491</v>
      </c>
      <c r="J11" s="120" t="s">
        <v>1495</v>
      </c>
      <c r="K11" s="124">
        <v>0.12082128078730307</v>
      </c>
      <c r="L11" s="121">
        <v>166</v>
      </c>
      <c r="M11" s="125"/>
      <c r="T11" t="s">
        <v>1530</v>
      </c>
      <c r="U11" s="1" t="s">
        <v>1531</v>
      </c>
      <c r="V11" s="1">
        <v>1.0999999999999999E-2</v>
      </c>
      <c r="W11" s="330">
        <v>42.46</v>
      </c>
      <c r="X11" s="1">
        <v>0.08</v>
      </c>
      <c r="Y11" s="330">
        <v>0.7</v>
      </c>
    </row>
    <row r="12" spans="1:25">
      <c r="A12" s="22" t="s">
        <v>159</v>
      </c>
      <c r="B12" s="22">
        <v>1.8041521040993098</v>
      </c>
      <c r="C12" s="22">
        <v>0.21746004678130673</v>
      </c>
      <c r="D12" s="22">
        <v>0.48010002240708993</v>
      </c>
      <c r="E12" s="22">
        <v>1.8041521040993098</v>
      </c>
      <c r="F12" s="22">
        <v>0.23427866076221796</v>
      </c>
      <c r="H12" s="22"/>
      <c r="I12" s="631"/>
      <c r="J12" s="1" t="s">
        <v>1496</v>
      </c>
      <c r="K12" s="126">
        <v>18.8246059564452</v>
      </c>
      <c r="L12" s="127">
        <v>0.26</v>
      </c>
      <c r="M12" s="128">
        <v>26.09</v>
      </c>
      <c r="T12" t="s">
        <v>1532</v>
      </c>
      <c r="U12" s="1" t="s">
        <v>1533</v>
      </c>
      <c r="V12" s="1">
        <v>1.4E-2</v>
      </c>
      <c r="W12" s="330">
        <v>37.69</v>
      </c>
      <c r="X12" s="1">
        <v>0.09</v>
      </c>
      <c r="Y12" s="330">
        <v>0.56000000000000005</v>
      </c>
    </row>
    <row r="13" spans="1:25" ht="14.45" customHeight="1">
      <c r="A13" s="22" t="s">
        <v>160</v>
      </c>
      <c r="B13" s="22">
        <v>0.98404008326701253</v>
      </c>
      <c r="C13" s="22">
        <v>0.15063451016317478</v>
      </c>
      <c r="D13" s="22">
        <v>0.25059342060174916</v>
      </c>
      <c r="E13" s="22">
        <v>0.98404008326701253</v>
      </c>
      <c r="F13" s="22">
        <v>0.14142668807021086</v>
      </c>
      <c r="H13" s="22"/>
      <c r="I13" s="631"/>
      <c r="J13" s="1" t="s">
        <v>1534</v>
      </c>
      <c r="K13" s="126">
        <v>2</v>
      </c>
      <c r="L13" s="127">
        <v>71.006428571428572</v>
      </c>
      <c r="M13" s="128">
        <v>0.50000000000000011</v>
      </c>
      <c r="T13" t="s">
        <v>1535</v>
      </c>
      <c r="U13" s="1" t="s">
        <v>1536</v>
      </c>
      <c r="V13" s="1">
        <v>1.7000000000000001E-2</v>
      </c>
      <c r="W13" s="330">
        <v>55.44</v>
      </c>
      <c r="X13" s="1">
        <v>0.09</v>
      </c>
      <c r="Y13" s="330">
        <v>0.4</v>
      </c>
    </row>
    <row r="14" spans="1:25">
      <c r="A14" s="22" t="s">
        <v>161</v>
      </c>
      <c r="B14" s="22">
        <v>12.101720053886568</v>
      </c>
      <c r="C14" s="22">
        <v>1.108780118337561</v>
      </c>
      <c r="D14" s="22">
        <v>1.8293580545756889</v>
      </c>
      <c r="E14" s="22">
        <v>12.101720053886568</v>
      </c>
      <c r="F14" s="22">
        <v>1.5347355167413028</v>
      </c>
      <c r="H14" s="22"/>
      <c r="I14" s="631"/>
      <c r="J14" s="1" t="s">
        <v>1537</v>
      </c>
      <c r="K14" s="126"/>
      <c r="L14" s="127">
        <v>0.57937499999999997</v>
      </c>
      <c r="M14" s="128">
        <v>25.701250000000002</v>
      </c>
      <c r="T14" t="s">
        <v>1538</v>
      </c>
      <c r="U14" s="1" t="s">
        <v>1539</v>
      </c>
      <c r="V14" s="1">
        <v>1.7000000000000001E-2</v>
      </c>
      <c r="W14" s="330">
        <v>33.619999999999997</v>
      </c>
      <c r="X14" s="1">
        <v>0.09</v>
      </c>
      <c r="Y14" s="330">
        <v>0.5</v>
      </c>
    </row>
    <row r="15" spans="1:25">
      <c r="A15" s="22" t="s">
        <v>162</v>
      </c>
      <c r="B15" s="22">
        <v>2.8036821064283939</v>
      </c>
      <c r="C15" s="22">
        <v>0.89845745976165925</v>
      </c>
      <c r="D15" s="22">
        <v>0.31141321110578907</v>
      </c>
      <c r="E15" s="22">
        <v>2.8036821064283939</v>
      </c>
      <c r="F15" s="22">
        <v>0.6493590402813364</v>
      </c>
      <c r="H15" s="22"/>
      <c r="I15" s="630"/>
      <c r="J15" s="39" t="s">
        <v>1540</v>
      </c>
      <c r="K15" s="129"/>
      <c r="L15" s="123">
        <v>0.5</v>
      </c>
      <c r="M15" s="130">
        <v>61.568571428571424</v>
      </c>
      <c r="T15" t="s">
        <v>1541</v>
      </c>
      <c r="U15" s="1" t="s">
        <v>1542</v>
      </c>
      <c r="V15" s="1">
        <v>1.2E-2</v>
      </c>
      <c r="W15" s="330">
        <v>40.44</v>
      </c>
      <c r="X15" s="1">
        <v>0.09</v>
      </c>
      <c r="Y15" s="330">
        <v>0.51</v>
      </c>
    </row>
    <row r="16" spans="1:25">
      <c r="A16" s="22" t="s">
        <v>1543</v>
      </c>
      <c r="B16" s="22">
        <v>68.659757321964108</v>
      </c>
      <c r="C16" s="22">
        <v>8.6660646546580686</v>
      </c>
      <c r="D16" s="22">
        <v>9.9144189935901714</v>
      </c>
      <c r="E16" s="22">
        <v>68.659757321964108</v>
      </c>
      <c r="F16" s="22">
        <v>13.780067553009015</v>
      </c>
      <c r="H16" s="22"/>
      <c r="T16" t="s">
        <v>1544</v>
      </c>
      <c r="U16" s="1" t="s">
        <v>1545</v>
      </c>
      <c r="V16" s="1">
        <v>1.4E-2</v>
      </c>
      <c r="W16" s="330">
        <v>41.17</v>
      </c>
      <c r="X16" s="1">
        <v>7.0000000000000007E-2</v>
      </c>
      <c r="Y16" s="330">
        <v>0.21</v>
      </c>
    </row>
    <row r="17" spans="1:25">
      <c r="A17"/>
      <c r="B17" s="22"/>
      <c r="C17" s="22"/>
      <c r="D17" s="22"/>
      <c r="E17" s="22"/>
      <c r="F17" s="22"/>
      <c r="H17" s="22"/>
      <c r="W17" s="330">
        <v>71.006428571428572</v>
      </c>
      <c r="Y17" s="278">
        <f>AVERAGE(Y3:Y16)</f>
        <v>0.50000000000000011</v>
      </c>
    </row>
    <row r="18" spans="1:25">
      <c r="A18" t="s">
        <v>1508</v>
      </c>
      <c r="B18" s="131">
        <v>166472</v>
      </c>
      <c r="C18" s="131">
        <v>25608.799999999999</v>
      </c>
      <c r="D18" s="131">
        <v>39000</v>
      </c>
      <c r="E18" s="131">
        <v>209000</v>
      </c>
      <c r="F18" s="131">
        <v>59535</v>
      </c>
      <c r="H18" s="131"/>
      <c r="T18" t="s">
        <v>1546</v>
      </c>
      <c r="U18" s="1" t="s">
        <v>1547</v>
      </c>
      <c r="V18" s="1">
        <v>2.1999999999999999E-2</v>
      </c>
      <c r="W18" s="330">
        <v>3.8</v>
      </c>
      <c r="X18" s="1">
        <v>7.0000000000000007E-2</v>
      </c>
      <c r="Y18" s="330">
        <v>0.56000000000000005</v>
      </c>
    </row>
    <row r="19" spans="1:25">
      <c r="A19" t="s">
        <v>1511</v>
      </c>
      <c r="T19" t="s">
        <v>1548</v>
      </c>
      <c r="U19" s="1" t="s">
        <v>1549</v>
      </c>
      <c r="V19" s="1">
        <v>1.4E-2</v>
      </c>
      <c r="W19" s="330">
        <v>7.62</v>
      </c>
      <c r="X19" s="1">
        <v>7.0000000000000007E-2</v>
      </c>
      <c r="Y19" s="330">
        <v>0.44</v>
      </c>
    </row>
    <row r="20" spans="1:25">
      <c r="C20" s="21"/>
      <c r="E20" s="21"/>
      <c r="T20" t="s">
        <v>1550</v>
      </c>
      <c r="U20" s="1" t="s">
        <v>1551</v>
      </c>
      <c r="V20" s="1">
        <v>2.1999999999999999E-2</v>
      </c>
      <c r="W20" s="330">
        <v>15.68</v>
      </c>
      <c r="X20" s="1">
        <v>0.04</v>
      </c>
      <c r="Y20" s="330">
        <v>0.57999999999999996</v>
      </c>
    </row>
    <row r="21" spans="1:25">
      <c r="T21" t="s">
        <v>1552</v>
      </c>
      <c r="U21" s="1" t="s">
        <v>1553</v>
      </c>
      <c r="V21" s="1">
        <v>1.7000000000000001E-2</v>
      </c>
      <c r="W21" s="330">
        <v>18.86</v>
      </c>
      <c r="X21" s="1">
        <v>7.0000000000000007E-2</v>
      </c>
      <c r="Y21" s="330">
        <v>0.82</v>
      </c>
    </row>
    <row r="22" spans="1:25">
      <c r="A22" s="21" t="s">
        <v>1554</v>
      </c>
      <c r="T22" t="s">
        <v>1555</v>
      </c>
      <c r="U22" s="1" t="s">
        <v>1556</v>
      </c>
      <c r="V22" s="1">
        <v>3.1E-2</v>
      </c>
      <c r="W22" s="330">
        <v>34.97</v>
      </c>
      <c r="X22" s="1">
        <v>0.06</v>
      </c>
      <c r="Y22" s="330">
        <v>0.37</v>
      </c>
    </row>
    <row r="23" spans="1:25">
      <c r="A23" s="21" t="s">
        <v>1557</v>
      </c>
      <c r="T23" t="s">
        <v>1558</v>
      </c>
      <c r="U23" s="1" t="s">
        <v>1559</v>
      </c>
      <c r="V23" s="1">
        <v>2.1999999999999999E-2</v>
      </c>
      <c r="W23" s="330">
        <v>36.82</v>
      </c>
      <c r="X23" s="1">
        <v>7.0000000000000007E-2</v>
      </c>
      <c r="Y23" s="330">
        <v>0.43</v>
      </c>
    </row>
    <row r="24" spans="1:25">
      <c r="A24" s="21" t="s">
        <v>1560</v>
      </c>
      <c r="T24" t="s">
        <v>1561</v>
      </c>
      <c r="U24" s="1" t="s">
        <v>1562</v>
      </c>
      <c r="V24" s="1">
        <v>1.0999999999999999E-2</v>
      </c>
      <c r="W24" s="330">
        <v>46.98</v>
      </c>
      <c r="X24" s="1">
        <v>0.09</v>
      </c>
      <c r="Y24" s="330">
        <v>0.59</v>
      </c>
    </row>
    <row r="25" spans="1:25">
      <c r="T25" t="s">
        <v>1563</v>
      </c>
      <c r="U25" s="1" t="s">
        <v>1564</v>
      </c>
      <c r="V25" s="1">
        <v>1.4E-2</v>
      </c>
      <c r="W25" s="330">
        <v>12.31</v>
      </c>
      <c r="X25" s="1">
        <v>0.05</v>
      </c>
      <c r="Y25" s="330">
        <v>0.64</v>
      </c>
    </row>
    <row r="26" spans="1:25">
      <c r="T26" t="s">
        <v>1565</v>
      </c>
      <c r="U26" s="1" t="s">
        <v>1566</v>
      </c>
      <c r="V26" s="1">
        <v>1.0999999999999999E-2</v>
      </c>
      <c r="W26" s="330">
        <v>10.4</v>
      </c>
      <c r="X26" s="1">
        <v>7.0000000000000007E-2</v>
      </c>
      <c r="Y26" s="330">
        <v>1.08</v>
      </c>
    </row>
    <row r="27" spans="1:25">
      <c r="T27" t="s">
        <v>1567</v>
      </c>
      <c r="U27" s="1" t="s">
        <v>1568</v>
      </c>
      <c r="V27" s="1">
        <v>2.8000000000000001E-2</v>
      </c>
      <c r="W27" s="330">
        <v>30.91</v>
      </c>
      <c r="X27" s="1">
        <v>0.08</v>
      </c>
      <c r="Y27" s="330">
        <v>0.44</v>
      </c>
    </row>
    <row r="28" spans="1:25">
      <c r="T28" t="s">
        <v>1569</v>
      </c>
      <c r="U28" s="1" t="s">
        <v>1570</v>
      </c>
      <c r="V28" s="1">
        <v>2.1999999999999999E-2</v>
      </c>
      <c r="W28" s="330">
        <v>41.83</v>
      </c>
      <c r="X28" s="1">
        <v>0.14000000000000001</v>
      </c>
      <c r="Y28" s="330">
        <v>0.7</v>
      </c>
    </row>
    <row r="29" spans="1:25">
      <c r="T29" t="s">
        <v>1571</v>
      </c>
      <c r="U29" s="1" t="s">
        <v>1572</v>
      </c>
      <c r="V29" s="1">
        <v>2.1999999999999999E-2</v>
      </c>
      <c r="W29" s="330">
        <v>21.65</v>
      </c>
      <c r="X29" s="1">
        <v>0.14000000000000001</v>
      </c>
      <c r="Y29" s="330">
        <v>0.57999999999999996</v>
      </c>
    </row>
    <row r="30" spans="1:25">
      <c r="T30" t="s">
        <v>1573</v>
      </c>
      <c r="U30" s="1" t="s">
        <v>1574</v>
      </c>
      <c r="V30" s="1">
        <v>2.1999999999999999E-2</v>
      </c>
      <c r="W30" s="330">
        <v>33.18</v>
      </c>
      <c r="X30" s="1">
        <v>0.09</v>
      </c>
      <c r="Y30" s="330">
        <v>0.61</v>
      </c>
    </row>
    <row r="31" spans="1:25">
      <c r="T31" t="s">
        <v>1575</v>
      </c>
      <c r="U31" s="1" t="s">
        <v>1576</v>
      </c>
      <c r="V31" s="1">
        <v>3.3000000000000002E-2</v>
      </c>
      <c r="W31" s="330">
        <v>13.92</v>
      </c>
      <c r="X31" s="1">
        <v>0.11</v>
      </c>
      <c r="Y31" s="330">
        <v>0.5</v>
      </c>
    </row>
    <row r="32" spans="1:25">
      <c r="T32" t="s">
        <v>1577</v>
      </c>
      <c r="U32" s="1" t="s">
        <v>1578</v>
      </c>
      <c r="V32" s="1">
        <v>1.7000000000000001E-2</v>
      </c>
      <c r="W32" s="330">
        <v>44.82</v>
      </c>
      <c r="X32" s="1">
        <v>0.13</v>
      </c>
      <c r="Y32" s="330">
        <v>0.28999999999999998</v>
      </c>
    </row>
    <row r="33" spans="20:25">
      <c r="T33" t="s">
        <v>1579</v>
      </c>
      <c r="U33" s="1" t="s">
        <v>1580</v>
      </c>
      <c r="V33" s="1">
        <v>1.9E-2</v>
      </c>
      <c r="W33" s="330">
        <v>37.47</v>
      </c>
      <c r="X33" s="1">
        <v>0.12</v>
      </c>
      <c r="Y33" s="330">
        <v>0.64</v>
      </c>
    </row>
    <row r="34" spans="20:25">
      <c r="W34" s="330">
        <v>25.701250000000002</v>
      </c>
      <c r="Y34" s="43">
        <f>AVERAGE(Y18:Y33)</f>
        <v>0.57937499999999997</v>
      </c>
    </row>
    <row r="35" spans="20:25">
      <c r="T35" t="s">
        <v>1581</v>
      </c>
      <c r="U35" s="1" t="s">
        <v>1582</v>
      </c>
      <c r="V35" s="1">
        <v>3.3000000000000002E-2</v>
      </c>
      <c r="W35" s="330">
        <v>159.56</v>
      </c>
      <c r="X35" s="1">
        <v>0.14000000000000001</v>
      </c>
      <c r="Y35" s="330">
        <v>0.44</v>
      </c>
    </row>
    <row r="36" spans="20:25">
      <c r="T36" t="s">
        <v>1583</v>
      </c>
      <c r="U36" s="1" t="s">
        <v>1584</v>
      </c>
      <c r="V36" s="1">
        <v>3.9E-2</v>
      </c>
      <c r="W36" s="330">
        <v>49.56</v>
      </c>
      <c r="X36" s="1">
        <v>0.08</v>
      </c>
      <c r="Y36" s="330">
        <v>0.59</v>
      </c>
    </row>
    <row r="37" spans="20:25">
      <c r="T37" t="s">
        <v>1585</v>
      </c>
      <c r="U37" s="1" t="s">
        <v>1586</v>
      </c>
      <c r="V37" s="1">
        <v>2.8000000000000001E-2</v>
      </c>
      <c r="W37" s="330">
        <v>35.369999999999997</v>
      </c>
      <c r="X37" s="1">
        <v>0.06</v>
      </c>
      <c r="Y37" s="330">
        <v>0.54</v>
      </c>
    </row>
    <row r="38" spans="20:25">
      <c r="T38" t="s">
        <v>1587</v>
      </c>
      <c r="U38" s="1" t="s">
        <v>1588</v>
      </c>
      <c r="V38" s="1">
        <v>1.7000000000000001E-2</v>
      </c>
      <c r="W38" s="330">
        <v>92.87</v>
      </c>
      <c r="X38" s="1">
        <v>0.05</v>
      </c>
      <c r="Y38" s="330">
        <v>0.68</v>
      </c>
    </row>
    <row r="39" spans="20:25">
      <c r="T39" t="s">
        <v>1589</v>
      </c>
      <c r="U39" s="1" t="s">
        <v>1590</v>
      </c>
      <c r="V39" s="1">
        <v>2.1999999999999999E-2</v>
      </c>
      <c r="W39" s="330" t="s">
        <v>1591</v>
      </c>
      <c r="X39" s="1" t="s">
        <v>1592</v>
      </c>
      <c r="Y39" s="330" t="s">
        <v>1592</v>
      </c>
    </row>
    <row r="40" spans="20:25">
      <c r="T40" t="s">
        <v>1593</v>
      </c>
      <c r="U40" s="1" t="s">
        <v>1594</v>
      </c>
      <c r="V40" s="1">
        <v>3.9E-2</v>
      </c>
      <c r="W40" s="330">
        <v>36.15</v>
      </c>
      <c r="X40" s="1">
        <v>0.08</v>
      </c>
      <c r="Y40" s="330">
        <v>0.44</v>
      </c>
    </row>
    <row r="41" spans="20:25">
      <c r="T41" t="s">
        <v>1595</v>
      </c>
      <c r="U41" s="1" t="s">
        <v>1596</v>
      </c>
      <c r="V41" s="1">
        <v>1.9E-2</v>
      </c>
      <c r="W41" s="330">
        <v>48.94</v>
      </c>
      <c r="X41" s="1">
        <v>0.1</v>
      </c>
      <c r="Y41" s="330">
        <v>0.51</v>
      </c>
    </row>
    <row r="42" spans="20:25">
      <c r="T42" t="s">
        <v>1597</v>
      </c>
      <c r="U42" s="1" t="s">
        <v>1598</v>
      </c>
      <c r="V42" s="1">
        <v>2.5000000000000001E-2</v>
      </c>
      <c r="W42" s="330">
        <v>8.5299999999999994</v>
      </c>
      <c r="X42" s="1" t="s">
        <v>1592</v>
      </c>
      <c r="Y42" s="330">
        <v>0.3</v>
      </c>
    </row>
    <row r="43" spans="20:25">
      <c r="W43" s="330">
        <v>61.568571428571424</v>
      </c>
      <c r="Y43" s="43">
        <f>AVERAGE(Y35:Y42)</f>
        <v>0.5</v>
      </c>
    </row>
    <row r="44" spans="20:25">
      <c r="T44" t="s">
        <v>1599</v>
      </c>
      <c r="U44" s="1" t="s">
        <v>1600</v>
      </c>
      <c r="V44" s="1">
        <v>9.4E-2</v>
      </c>
      <c r="W44" s="330">
        <v>26.09</v>
      </c>
      <c r="X44" s="1">
        <v>0.08</v>
      </c>
      <c r="Y44" s="330">
        <v>0.26</v>
      </c>
    </row>
    <row r="45" spans="20:25">
      <c r="T45" t="s">
        <v>1601</v>
      </c>
      <c r="U45" s="1" t="s">
        <v>1602</v>
      </c>
      <c r="V45" s="1">
        <v>1.9E-2</v>
      </c>
      <c r="W45" s="330">
        <v>15.75</v>
      </c>
      <c r="X45" s="1">
        <v>0.08</v>
      </c>
      <c r="Y45" s="330">
        <v>0.69</v>
      </c>
    </row>
  </sheetData>
  <mergeCells count="5">
    <mergeCell ref="B1:C1"/>
    <mergeCell ref="D1:E1"/>
    <mergeCell ref="O1:P1"/>
    <mergeCell ref="I9:I10"/>
    <mergeCell ref="I11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4F0-9F31-40AC-8C59-9FCD166EEB8E}">
  <sheetPr>
    <tabColor theme="9" tint="0.59999389629810485"/>
  </sheetPr>
  <dimension ref="A1:AJ67"/>
  <sheetViews>
    <sheetView tabSelected="1" zoomScale="90" zoomScaleNormal="90" workbookViewId="0">
      <pane xSplit="2" ySplit="2" topLeftCell="C3" activePane="bottomRight" state="frozen"/>
      <selection pane="bottomRight" activeCell="AL24" sqref="AL24"/>
      <selection pane="bottomLeft" activeCell="A3" sqref="A3"/>
      <selection pane="topRight" activeCell="C1" sqref="C1"/>
    </sheetView>
  </sheetViews>
  <sheetFormatPr defaultRowHeight="15"/>
  <cols>
    <col min="1" max="1" width="12.42578125" customWidth="1"/>
    <col min="2" max="2" width="16.28515625" customWidth="1"/>
    <col min="3" max="3" width="10.42578125" customWidth="1"/>
    <col min="4" max="4" width="7.85546875" style="3" customWidth="1"/>
    <col min="5" max="5" width="7.140625" customWidth="1"/>
    <col min="7" max="7" width="12.140625" customWidth="1"/>
    <col min="8" max="8" width="8.85546875"/>
    <col min="16" max="31" width="10.7109375" customWidth="1"/>
    <col min="32" max="33" width="7.85546875" customWidth="1"/>
    <col min="34" max="36" width="8.28515625" customWidth="1"/>
  </cols>
  <sheetData>
    <row r="1" spans="1:36" ht="21">
      <c r="A1" s="606" t="s">
        <v>131</v>
      </c>
      <c r="C1" s="27"/>
      <c r="D1" s="52"/>
      <c r="E1" s="27"/>
      <c r="F1" s="27"/>
      <c r="G1" s="27"/>
      <c r="H1" s="27" t="s">
        <v>132</v>
      </c>
      <c r="I1" s="27" t="s">
        <v>133</v>
      </c>
      <c r="J1" s="27" t="s">
        <v>133</v>
      </c>
      <c r="K1" s="27" t="s">
        <v>133</v>
      </c>
      <c r="L1" s="27" t="s">
        <v>133</v>
      </c>
      <c r="M1" s="27" t="s">
        <v>133</v>
      </c>
      <c r="N1" s="27" t="s">
        <v>134</v>
      </c>
      <c r="O1" s="27" t="s">
        <v>134</v>
      </c>
      <c r="P1" s="27" t="s">
        <v>135</v>
      </c>
      <c r="Q1" s="27" t="s">
        <v>135</v>
      </c>
      <c r="R1" s="27" t="s">
        <v>135</v>
      </c>
      <c r="S1" s="27" t="s">
        <v>135</v>
      </c>
      <c r="T1" s="27" t="s">
        <v>135</v>
      </c>
      <c r="U1" s="27" t="s">
        <v>135</v>
      </c>
      <c r="V1" s="27" t="s">
        <v>135</v>
      </c>
      <c r="W1" s="27" t="s">
        <v>135</v>
      </c>
      <c r="X1" s="27" t="s">
        <v>135</v>
      </c>
      <c r="Y1" s="27" t="s">
        <v>135</v>
      </c>
      <c r="Z1" s="27" t="s">
        <v>135</v>
      </c>
      <c r="AA1" s="27" t="s">
        <v>135</v>
      </c>
      <c r="AB1" s="27" t="s">
        <v>135</v>
      </c>
      <c r="AC1" s="27" t="s">
        <v>135</v>
      </c>
      <c r="AD1" s="27" t="s">
        <v>135</v>
      </c>
      <c r="AE1" s="57" t="s">
        <v>133</v>
      </c>
      <c r="AH1" t="s">
        <v>136</v>
      </c>
    </row>
    <row r="2" spans="1:36">
      <c r="A2" s="25" t="s">
        <v>137</v>
      </c>
      <c r="C2" t="s">
        <v>138</v>
      </c>
      <c r="D2" s="51" t="s">
        <v>139</v>
      </c>
      <c r="E2" t="s">
        <v>4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t="s">
        <v>158</v>
      </c>
      <c r="Y2" t="s">
        <v>159</v>
      </c>
      <c r="Z2" t="s">
        <v>160</v>
      </c>
      <c r="AA2" t="s">
        <v>161</v>
      </c>
      <c r="AB2" t="s">
        <v>162</v>
      </c>
      <c r="AC2" t="s">
        <v>163</v>
      </c>
      <c r="AD2" t="s">
        <v>164</v>
      </c>
      <c r="AE2" s="40" t="s">
        <v>164</v>
      </c>
      <c r="AF2" t="s">
        <v>165</v>
      </c>
      <c r="AH2" t="s">
        <v>166</v>
      </c>
      <c r="AJ2" t="s">
        <v>167</v>
      </c>
    </row>
    <row r="3" spans="1:36">
      <c r="A3" s="23" t="s">
        <v>168</v>
      </c>
      <c r="B3" s="49" t="s">
        <v>169</v>
      </c>
      <c r="C3" s="27" t="s">
        <v>170</v>
      </c>
      <c r="D3" s="52">
        <v>-52.5</v>
      </c>
      <c r="E3" s="27">
        <v>7.31</v>
      </c>
      <c r="F3" s="27">
        <v>1498</v>
      </c>
      <c r="G3" s="27">
        <v>-197</v>
      </c>
      <c r="H3" s="27">
        <f>-16.9*G3/1000</f>
        <v>3.3292999999999999</v>
      </c>
      <c r="I3" s="44">
        <v>5.96</v>
      </c>
      <c r="J3" s="44">
        <v>203.226</v>
      </c>
      <c r="K3" s="44">
        <v>20.013300000000001</v>
      </c>
      <c r="L3" s="44">
        <v>0.10686666666666667</v>
      </c>
      <c r="M3" s="44">
        <v>3.3376885514834205E-2</v>
      </c>
      <c r="N3" s="44">
        <v>12.0744701119241</v>
      </c>
      <c r="O3" s="44">
        <v>0.703691213795412</v>
      </c>
      <c r="P3" s="44">
        <v>5.9661455765983193</v>
      </c>
      <c r="Q3" s="44">
        <v>1.5972803757539231</v>
      </c>
      <c r="R3" s="44">
        <v>4.5819611123778223</v>
      </c>
      <c r="S3" s="44">
        <v>2.9530691114217014</v>
      </c>
      <c r="T3" s="44">
        <v>3.1213260645682599</v>
      </c>
      <c r="U3" s="44">
        <v>0.26213103269410304</v>
      </c>
      <c r="V3" s="44">
        <v>9.9108347292728577E-2</v>
      </c>
      <c r="W3" s="44">
        <v>0.47361418254101767</v>
      </c>
      <c r="X3" s="44">
        <v>0.1693332428631496</v>
      </c>
      <c r="Y3" s="44">
        <v>0.9318164965064748</v>
      </c>
      <c r="Z3" s="44">
        <v>0.58821473262500468</v>
      </c>
      <c r="AA3" s="44">
        <v>5.91373733320287</v>
      </c>
      <c r="AB3" s="44">
        <v>2.8968637666605215</v>
      </c>
      <c r="AC3" s="44">
        <v>37.843472529055283</v>
      </c>
      <c r="AD3" s="44">
        <v>67.398073904161194</v>
      </c>
      <c r="AE3" s="125">
        <f>AD3/1000</f>
        <v>6.7398073904161193E-2</v>
      </c>
      <c r="AF3" s="24">
        <f t="shared" ref="AF3:AF34" si="0">SUM(P3:T3)</f>
        <v>18.219782240720026</v>
      </c>
      <c r="AG3" s="601">
        <f>AF3/AJ3</f>
        <v>0.28084938064005188</v>
      </c>
      <c r="AH3" s="24">
        <f t="shared" ref="AH3:AH34" si="1">SUM(AA3:AC3)</f>
        <v>46.654073628918674</v>
      </c>
      <c r="AI3" s="601">
        <f>AH3/AJ3</f>
        <v>0.71915061935994806</v>
      </c>
      <c r="AJ3" s="24">
        <f>AF3+AH3</f>
        <v>64.873855869638703</v>
      </c>
    </row>
    <row r="4" spans="1:36">
      <c r="A4" s="25" t="s">
        <v>171</v>
      </c>
      <c r="B4" s="48" t="s">
        <v>172</v>
      </c>
      <c r="C4" t="s">
        <v>170</v>
      </c>
      <c r="D4" s="3">
        <v>-65.5</v>
      </c>
      <c r="E4">
        <v>7.35</v>
      </c>
      <c r="F4">
        <v>1478</v>
      </c>
      <c r="G4">
        <v>-205</v>
      </c>
      <c r="H4">
        <f>-16.9*G4/1000</f>
        <v>3.4644999999999997</v>
      </c>
      <c r="I4" s="24">
        <v>7.0439999999999996</v>
      </c>
      <c r="J4" s="24">
        <v>166.47200000000001</v>
      </c>
      <c r="K4" s="24">
        <v>15.2293</v>
      </c>
      <c r="L4" s="24">
        <v>0.28497777777777783</v>
      </c>
      <c r="M4" s="24">
        <v>6.1851790924956351E-2</v>
      </c>
      <c r="N4" s="24">
        <v>5.4826296935321297</v>
      </c>
      <c r="O4" s="24">
        <v>0.67963978612487197</v>
      </c>
      <c r="P4" s="24">
        <v>4.4771474274630094</v>
      </c>
      <c r="Q4" s="24">
        <v>1.359671660919116</v>
      </c>
      <c r="R4" s="24">
        <v>13.92424405092647</v>
      </c>
      <c r="S4" s="24">
        <v>7.8723832248295906</v>
      </c>
      <c r="T4" s="24">
        <v>4.7818974547482833</v>
      </c>
      <c r="U4" s="24">
        <v>0.54101249719640632</v>
      </c>
      <c r="V4" s="24">
        <v>0.14271720978522004</v>
      </c>
      <c r="W4" s="24">
        <v>0.94297331623450731</v>
      </c>
      <c r="X4" s="24">
        <v>0.42588227555508373</v>
      </c>
      <c r="Y4" s="24">
        <v>1.8041521040993098</v>
      </c>
      <c r="Z4" s="24">
        <v>0.98404008326701253</v>
      </c>
      <c r="AA4" s="24">
        <v>12.101720053886568</v>
      </c>
      <c r="AB4" s="24">
        <v>2.8036821064283939</v>
      </c>
      <c r="AC4" s="24">
        <v>68.659757321964108</v>
      </c>
      <c r="AD4" s="24">
        <v>120.82128078730307</v>
      </c>
      <c r="AE4" s="128">
        <f>AD4/1000</f>
        <v>0.12082128078730307</v>
      </c>
      <c r="AF4" s="24">
        <f t="shared" si="0"/>
        <v>32.41534381888647</v>
      </c>
      <c r="AG4" s="601">
        <f t="shared" ref="AG4:AG54" si="2">AF4/AJ4</f>
        <v>0.27948959433909193</v>
      </c>
      <c r="AH4" s="24">
        <f t="shared" si="1"/>
        <v>83.565159482279071</v>
      </c>
      <c r="AI4" s="601">
        <f t="shared" ref="AI4:AI54" si="3">AH4/AJ4</f>
        <v>0.72051040566090807</v>
      </c>
      <c r="AJ4" s="24">
        <f t="shared" ref="AJ4:AJ54" si="4">AF4+AH4</f>
        <v>115.98050330116554</v>
      </c>
    </row>
    <row r="5" spans="1:36">
      <c r="A5" s="23" t="s">
        <v>173</v>
      </c>
      <c r="B5" s="27" t="s">
        <v>174</v>
      </c>
      <c r="C5" s="27" t="s">
        <v>175</v>
      </c>
      <c r="D5" s="52">
        <v>-8.5</v>
      </c>
      <c r="E5" s="27">
        <v>7.34</v>
      </c>
      <c r="F5" s="27">
        <v>1050</v>
      </c>
      <c r="G5" s="27">
        <v>-232</v>
      </c>
      <c r="H5" s="27">
        <f t="shared" ref="H5:H62" si="5">-16.9*G5/1000</f>
        <v>3.9207999999999998</v>
      </c>
      <c r="I5" s="44">
        <v>10.91</v>
      </c>
      <c r="J5" s="44">
        <v>15</v>
      </c>
      <c r="K5" s="44">
        <v>2.8315999999999999</v>
      </c>
      <c r="L5" s="44">
        <v>0.39184444444444444</v>
      </c>
      <c r="M5" s="44">
        <v>1047.6268494764397</v>
      </c>
      <c r="N5" s="44">
        <v>2.87694866756945</v>
      </c>
      <c r="O5" s="44">
        <v>1.1771842314565599</v>
      </c>
      <c r="P5" s="44">
        <v>5.0557590498657241</v>
      </c>
      <c r="Q5" s="44">
        <v>0.38961959431905041</v>
      </c>
      <c r="R5" s="44">
        <v>0.40575548165218667</v>
      </c>
      <c r="S5" s="44">
        <v>0.29109433219224262</v>
      </c>
      <c r="T5" s="44">
        <v>0.37288531133939107</v>
      </c>
      <c r="U5" s="44">
        <v>0.14930688112088808</v>
      </c>
      <c r="V5" s="44">
        <v>8.0734073050180377E-2</v>
      </c>
      <c r="W5" s="44">
        <v>2.8911352517213551E-2</v>
      </c>
      <c r="X5" s="44">
        <v>7.1718077878495864E-2</v>
      </c>
      <c r="Y5" s="44">
        <v>0.17967610059177938</v>
      </c>
      <c r="Z5" s="44">
        <v>0</v>
      </c>
      <c r="AA5" s="44">
        <v>0.35572192910770589</v>
      </c>
      <c r="AB5" s="44">
        <v>0.8515404735229708</v>
      </c>
      <c r="AC5" s="44">
        <v>2.1194156029223765</v>
      </c>
      <c r="AD5" s="44">
        <v>10.352138260080199</v>
      </c>
      <c r="AE5" s="125">
        <f>AD5/1000</f>
        <v>1.0352138260080199E-2</v>
      </c>
      <c r="AF5" s="24">
        <f>SUM(P5:T5)</f>
        <v>6.515113769368595</v>
      </c>
      <c r="AG5" s="601">
        <f t="shared" si="2"/>
        <v>0.66198451647494461</v>
      </c>
      <c r="AH5" s="24">
        <f>SUM(AA5:AC5)</f>
        <v>3.3266780055530534</v>
      </c>
      <c r="AI5" s="601">
        <f t="shared" si="3"/>
        <v>0.33801548352505528</v>
      </c>
      <c r="AJ5" s="24">
        <f t="shared" si="4"/>
        <v>9.8417917749216492</v>
      </c>
    </row>
    <row r="6" spans="1:36">
      <c r="A6" s="25" t="s">
        <v>176</v>
      </c>
      <c r="B6" t="s">
        <v>174</v>
      </c>
      <c r="C6" t="s">
        <v>175</v>
      </c>
      <c r="D6" s="3">
        <v>-10.5</v>
      </c>
      <c r="E6">
        <v>7.21</v>
      </c>
      <c r="F6">
        <v>997</v>
      </c>
      <c r="G6">
        <v>-216</v>
      </c>
      <c r="H6">
        <f t="shared" si="5"/>
        <v>3.6503999999999994</v>
      </c>
      <c r="I6" s="24">
        <v>12.56</v>
      </c>
      <c r="J6" s="24">
        <v>26</v>
      </c>
      <c r="K6" s="24">
        <v>2.4741</v>
      </c>
      <c r="L6" s="24">
        <v>0.12467777777777779</v>
      </c>
      <c r="M6" s="24">
        <v>280.35698276614306</v>
      </c>
      <c r="N6" s="24">
        <v>3.24179532767866</v>
      </c>
      <c r="O6" s="24">
        <v>0.77835240642361303</v>
      </c>
      <c r="P6" s="45">
        <v>45.810634652762715</v>
      </c>
      <c r="Q6" s="45">
        <v>0.4617024901031529</v>
      </c>
      <c r="R6" s="45">
        <v>50.138092784613093</v>
      </c>
      <c r="S6" s="45">
        <v>7.7775506632205129</v>
      </c>
      <c r="T6" s="45">
        <v>7.3881189282336983</v>
      </c>
      <c r="U6" s="45">
        <v>9.6773266484138656</v>
      </c>
      <c r="V6" s="45">
        <v>2.3015082754647693</v>
      </c>
      <c r="W6" s="45">
        <v>0.73187125064279146</v>
      </c>
      <c r="X6" s="45">
        <v>8.2711304996300949</v>
      </c>
      <c r="Y6" s="45">
        <v>21.55975390975355</v>
      </c>
      <c r="Z6" s="45">
        <v>11.416297433901596</v>
      </c>
      <c r="AA6" s="45">
        <v>104.60020089181337</v>
      </c>
      <c r="AB6" s="45">
        <v>2.1902376053994828</v>
      </c>
      <c r="AC6" s="45">
        <v>290.86149349595343</v>
      </c>
      <c r="AD6" s="45">
        <v>563.18591952990619</v>
      </c>
      <c r="AE6" s="207">
        <f t="shared" ref="AE6:AE62" si="6">AD6/1000</f>
        <v>0.56318591952990615</v>
      </c>
      <c r="AF6" s="24">
        <f t="shared" si="0"/>
        <v>111.57609951893316</v>
      </c>
      <c r="AG6" s="601">
        <f t="shared" si="2"/>
        <v>0.21910832203722092</v>
      </c>
      <c r="AH6" s="24">
        <f t="shared" si="1"/>
        <v>397.65193199316627</v>
      </c>
      <c r="AI6" s="601">
        <f t="shared" si="3"/>
        <v>0.78089167796277903</v>
      </c>
      <c r="AJ6" s="24">
        <f t="shared" si="4"/>
        <v>509.22803151209945</v>
      </c>
    </row>
    <row r="7" spans="1:36">
      <c r="A7" s="25" t="s">
        <v>177</v>
      </c>
      <c r="B7" s="48" t="s">
        <v>178</v>
      </c>
      <c r="C7" t="s">
        <v>175</v>
      </c>
      <c r="D7" s="53">
        <v>-12</v>
      </c>
      <c r="E7">
        <v>7.23</v>
      </c>
      <c r="F7">
        <v>1339</v>
      </c>
      <c r="G7">
        <v>-208</v>
      </c>
      <c r="H7">
        <f t="shared" si="5"/>
        <v>3.5151999999999997</v>
      </c>
      <c r="I7" s="24">
        <v>18.829999999999998</v>
      </c>
      <c r="J7" s="24">
        <v>23</v>
      </c>
      <c r="K7" s="24">
        <v>4.8254000000000001</v>
      </c>
      <c r="L7" s="24">
        <v>8.9055555555555554E-2</v>
      </c>
      <c r="M7" s="24">
        <v>748.39467233856874</v>
      </c>
      <c r="N7" s="24">
        <v>2.9641369233805599</v>
      </c>
      <c r="O7" s="24">
        <v>0.58795062857681801</v>
      </c>
      <c r="P7" s="45">
        <v>263.0975457434468</v>
      </c>
      <c r="Q7" s="45">
        <v>1.8938360576359436</v>
      </c>
      <c r="R7" s="45">
        <v>269.39983248331311</v>
      </c>
      <c r="S7" s="45">
        <v>13.605410295764669</v>
      </c>
      <c r="T7" s="45">
        <v>51.191131885803763</v>
      </c>
      <c r="U7" s="45">
        <v>103.96081097394851</v>
      </c>
      <c r="V7" s="45">
        <v>14.405496248014966</v>
      </c>
      <c r="W7" s="45">
        <v>0.31628945863329277</v>
      </c>
      <c r="X7" s="45">
        <v>91.084243335018613</v>
      </c>
      <c r="Y7" s="45">
        <v>195.72031260465775</v>
      </c>
      <c r="Z7" s="45">
        <v>121.0157606479281</v>
      </c>
      <c r="AA7" s="45">
        <v>1253.8077958647443</v>
      </c>
      <c r="AB7" s="45">
        <v>40.852505185935314</v>
      </c>
      <c r="AC7" s="45">
        <v>2207.2572710233403</v>
      </c>
      <c r="AD7" s="45">
        <v>4627.6082418081851</v>
      </c>
      <c r="AE7" s="207">
        <f t="shared" si="6"/>
        <v>4.6276082418081854</v>
      </c>
      <c r="AF7" s="24">
        <f t="shared" si="0"/>
        <v>599.18775646596418</v>
      </c>
      <c r="AG7" s="601">
        <f t="shared" si="2"/>
        <v>0.14610396672725262</v>
      </c>
      <c r="AH7" s="24">
        <f t="shared" si="1"/>
        <v>3501.91757207402</v>
      </c>
      <c r="AI7" s="601">
        <f t="shared" si="3"/>
        <v>0.85389603327274743</v>
      </c>
      <c r="AJ7" s="24">
        <f t="shared" si="4"/>
        <v>4101.1053285399839</v>
      </c>
    </row>
    <row r="8" spans="1:36">
      <c r="A8" s="25" t="s">
        <v>179</v>
      </c>
      <c r="B8" t="s">
        <v>180</v>
      </c>
      <c r="C8" t="s">
        <v>175</v>
      </c>
      <c r="D8" s="3">
        <v>-13.5</v>
      </c>
      <c r="E8">
        <v>7.26</v>
      </c>
      <c r="F8">
        <v>1346</v>
      </c>
      <c r="G8">
        <v>-204</v>
      </c>
      <c r="H8">
        <f t="shared" si="5"/>
        <v>3.4476</v>
      </c>
      <c r="I8" s="24">
        <v>19.23</v>
      </c>
      <c r="J8" s="24">
        <v>9</v>
      </c>
      <c r="K8" s="24">
        <v>5.3125</v>
      </c>
      <c r="L8" s="24">
        <v>7.1244444444444457E-2</v>
      </c>
      <c r="M8" s="24">
        <v>742.90993935427571</v>
      </c>
      <c r="N8" s="24">
        <v>3.8366324151128102</v>
      </c>
      <c r="O8" s="24">
        <v>0.61862026418945504</v>
      </c>
      <c r="P8" s="45">
        <v>243.02031423334583</v>
      </c>
      <c r="Q8" s="45">
        <v>1.7559733623561919</v>
      </c>
      <c r="R8" s="45">
        <v>158.70022207895229</v>
      </c>
      <c r="S8" s="45">
        <v>9.6470052810273152</v>
      </c>
      <c r="T8" s="45">
        <v>46.088654580187054</v>
      </c>
      <c r="U8" s="45">
        <v>94.320642706293711</v>
      </c>
      <c r="V8" s="45">
        <v>15.244782721241801</v>
      </c>
      <c r="W8" s="45">
        <v>0.27754389051676037</v>
      </c>
      <c r="X8" s="45">
        <v>79.913706739944416</v>
      </c>
      <c r="Y8" s="45">
        <v>194.3170465560809</v>
      </c>
      <c r="Z8" s="45">
        <v>112.54231538352359</v>
      </c>
      <c r="AA8" s="45">
        <v>1141.5089804933239</v>
      </c>
      <c r="AB8" s="45">
        <v>23.176274862879275</v>
      </c>
      <c r="AC8" s="45">
        <v>2271.3420236856014</v>
      </c>
      <c r="AD8" s="45">
        <v>4391.855486575274</v>
      </c>
      <c r="AE8" s="207">
        <f t="shared" si="6"/>
        <v>4.3918554865752739</v>
      </c>
      <c r="AF8" s="24">
        <f t="shared" si="0"/>
        <v>459.21216953586867</v>
      </c>
      <c r="AG8" s="601">
        <f t="shared" si="2"/>
        <v>0.11789061381157136</v>
      </c>
      <c r="AH8" s="24">
        <f t="shared" si="1"/>
        <v>3436.0272790418048</v>
      </c>
      <c r="AI8" s="601">
        <f t="shared" si="3"/>
        <v>0.8821093861884286</v>
      </c>
      <c r="AJ8" s="24">
        <f t="shared" si="4"/>
        <v>3895.2394485776736</v>
      </c>
    </row>
    <row r="9" spans="1:36">
      <c r="A9" s="25" t="s">
        <v>181</v>
      </c>
      <c r="B9" s="48" t="s">
        <v>182</v>
      </c>
      <c r="C9" t="s">
        <v>175</v>
      </c>
      <c r="D9" s="53">
        <v>-15.5</v>
      </c>
      <c r="E9">
        <v>7.67</v>
      </c>
      <c r="F9">
        <v>1251</v>
      </c>
      <c r="G9">
        <v>-231</v>
      </c>
      <c r="H9">
        <f t="shared" si="5"/>
        <v>3.9038999999999997</v>
      </c>
      <c r="I9" s="24">
        <v>19.920000000000002</v>
      </c>
      <c r="J9" s="24">
        <v>0</v>
      </c>
      <c r="K9" s="24">
        <v>5.7485999999999997</v>
      </c>
      <c r="L9" s="24">
        <v>3.5622222222222229E-2</v>
      </c>
      <c r="M9" s="24">
        <v>2022.2096247818497</v>
      </c>
      <c r="N9" s="24">
        <v>1.1262627950833</v>
      </c>
      <c r="O9" s="24">
        <v>0.196744319617042</v>
      </c>
      <c r="P9" s="45">
        <v>179.28837085170807</v>
      </c>
      <c r="Q9" s="45">
        <v>6.9291791325968601</v>
      </c>
      <c r="R9" s="45">
        <v>1689.6704663586827</v>
      </c>
      <c r="S9" s="45">
        <v>751.33765751026783</v>
      </c>
      <c r="T9" s="45">
        <v>253.09861774404553</v>
      </c>
      <c r="U9" s="45">
        <v>100.66439117196377</v>
      </c>
      <c r="V9" s="45">
        <v>20.461272956982388</v>
      </c>
      <c r="W9" s="45">
        <v>144.16241706929313</v>
      </c>
      <c r="X9" s="45">
        <v>61.313982265999165</v>
      </c>
      <c r="Y9" s="45">
        <v>314.14849803448175</v>
      </c>
      <c r="Z9" s="45">
        <v>147.06183987899701</v>
      </c>
      <c r="AA9" s="45">
        <v>1352.3412111552591</v>
      </c>
      <c r="AB9" s="45">
        <v>14.64315628079977</v>
      </c>
      <c r="AC9" s="45">
        <v>5410.1785772213334</v>
      </c>
      <c r="AD9" s="45">
        <v>10445.299637632412</v>
      </c>
      <c r="AE9" s="207">
        <f t="shared" si="6"/>
        <v>10.445299637632411</v>
      </c>
      <c r="AF9" s="24">
        <f t="shared" si="0"/>
        <v>2880.324291597301</v>
      </c>
      <c r="AG9" s="601">
        <f t="shared" si="2"/>
        <v>0.29824779687871794</v>
      </c>
      <c r="AH9" s="24">
        <f t="shared" si="1"/>
        <v>6777.1629446573925</v>
      </c>
      <c r="AI9" s="601">
        <f t="shared" si="3"/>
        <v>0.70175220312128206</v>
      </c>
      <c r="AJ9" s="24">
        <f t="shared" si="4"/>
        <v>9657.4872362546939</v>
      </c>
    </row>
    <row r="10" spans="1:36">
      <c r="A10" s="25" t="s">
        <v>183</v>
      </c>
      <c r="B10" s="48" t="s">
        <v>184</v>
      </c>
      <c r="C10" t="s">
        <v>175</v>
      </c>
      <c r="D10" s="53">
        <v>-17</v>
      </c>
      <c r="E10">
        <v>7.75</v>
      </c>
      <c r="F10">
        <v>1565</v>
      </c>
      <c r="G10">
        <v>-252</v>
      </c>
      <c r="H10">
        <f t="shared" si="5"/>
        <v>4.258799999999999</v>
      </c>
      <c r="I10" s="24">
        <v>16.36</v>
      </c>
      <c r="J10" s="24">
        <v>1</v>
      </c>
      <c r="K10" s="24">
        <v>13.094900000000001</v>
      </c>
      <c r="L10" s="24">
        <v>0.30278888888888889</v>
      </c>
      <c r="M10" s="24">
        <v>200.41414288830714</v>
      </c>
      <c r="N10" s="24">
        <v>1.12915831935543</v>
      </c>
      <c r="O10" s="24">
        <v>0.14980383623836399</v>
      </c>
      <c r="P10" s="45">
        <v>853.196626050541</v>
      </c>
      <c r="Q10" s="45">
        <v>17.420942246691425</v>
      </c>
      <c r="R10" s="45">
        <v>1286.4677888393273</v>
      </c>
      <c r="S10" s="45">
        <v>528.33672076763162</v>
      </c>
      <c r="T10" s="45">
        <v>214.09340807060789</v>
      </c>
      <c r="U10" s="45">
        <v>89.107179948176835</v>
      </c>
      <c r="V10" s="45">
        <v>28.1408841234208</v>
      </c>
      <c r="W10" s="45">
        <v>83.043518049729727</v>
      </c>
      <c r="X10" s="45">
        <v>59.343316792248892</v>
      </c>
      <c r="Y10" s="45">
        <v>283.89903367994611</v>
      </c>
      <c r="Z10" s="45">
        <v>133.87535401621105</v>
      </c>
      <c r="AA10" s="45">
        <v>1030.7817905225122</v>
      </c>
      <c r="AB10" s="45">
        <v>30.903145016904425</v>
      </c>
      <c r="AC10" s="45">
        <v>3879.1109380423381</v>
      </c>
      <c r="AD10" s="45">
        <v>8517.7206461662863</v>
      </c>
      <c r="AE10" s="207">
        <f t="shared" si="6"/>
        <v>8.5177206461662855</v>
      </c>
      <c r="AF10" s="24">
        <f t="shared" si="0"/>
        <v>2899.515485974799</v>
      </c>
      <c r="AG10" s="601">
        <f t="shared" si="2"/>
        <v>0.36982147175068247</v>
      </c>
      <c r="AH10" s="24">
        <f t="shared" si="1"/>
        <v>4940.7958735817547</v>
      </c>
      <c r="AI10" s="601">
        <f t="shared" si="3"/>
        <v>0.63017852824931753</v>
      </c>
      <c r="AJ10" s="24">
        <f t="shared" si="4"/>
        <v>7840.3113595565537</v>
      </c>
    </row>
    <row r="11" spans="1:36">
      <c r="A11" s="25" t="s">
        <v>185</v>
      </c>
      <c r="B11" s="48" t="s">
        <v>186</v>
      </c>
      <c r="C11" t="s">
        <v>175</v>
      </c>
      <c r="D11" s="53">
        <v>-19</v>
      </c>
      <c r="E11">
        <v>7.53</v>
      </c>
      <c r="F11">
        <v>1618</v>
      </c>
      <c r="G11">
        <v>-317</v>
      </c>
      <c r="H11">
        <f t="shared" si="5"/>
        <v>5.3572999999999995</v>
      </c>
      <c r="I11" s="24">
        <v>13.25</v>
      </c>
      <c r="J11" s="24">
        <v>9</v>
      </c>
      <c r="K11" s="24">
        <v>14.869300000000001</v>
      </c>
      <c r="L11" s="24">
        <v>6.4476222222222228</v>
      </c>
      <c r="M11" s="24">
        <v>122.34953839441535</v>
      </c>
      <c r="N11" s="24">
        <v>0.156013410008567</v>
      </c>
      <c r="O11" s="24">
        <v>0.39475386461465001</v>
      </c>
      <c r="P11" s="45">
        <v>1254.482145465453</v>
      </c>
      <c r="Q11" s="45">
        <v>9.5789281783504894</v>
      </c>
      <c r="R11" s="45">
        <v>1201.821566139057</v>
      </c>
      <c r="S11" s="45">
        <v>79.411176609878041</v>
      </c>
      <c r="T11" s="45">
        <v>61.034397198500038</v>
      </c>
      <c r="U11" s="45">
        <v>92.806634515628687</v>
      </c>
      <c r="V11" s="45">
        <v>39.088435183462131</v>
      </c>
      <c r="W11" s="45">
        <v>16.911777125570431</v>
      </c>
      <c r="X11" s="45">
        <v>66.335750344380642</v>
      </c>
      <c r="Y11" s="45">
        <v>278.4793817378212</v>
      </c>
      <c r="Z11" s="45">
        <v>129.97500935991232</v>
      </c>
      <c r="AA11" s="45">
        <v>813.61148059810796</v>
      </c>
      <c r="AB11" s="45">
        <v>58.54953457358274</v>
      </c>
      <c r="AC11" s="45">
        <v>1970.1499832614286</v>
      </c>
      <c r="AD11" s="45">
        <v>6072.2362002911341</v>
      </c>
      <c r="AE11" s="207">
        <f t="shared" si="6"/>
        <v>6.0722362002911341</v>
      </c>
      <c r="AF11" s="24">
        <f t="shared" si="0"/>
        <v>2606.3282135912386</v>
      </c>
      <c r="AG11" s="601">
        <f t="shared" si="2"/>
        <v>0.47834479622718451</v>
      </c>
      <c r="AH11" s="24">
        <f t="shared" si="1"/>
        <v>2842.3109984331195</v>
      </c>
      <c r="AI11" s="601">
        <f t="shared" si="3"/>
        <v>0.52165520377281549</v>
      </c>
      <c r="AJ11" s="24">
        <f t="shared" si="4"/>
        <v>5448.6392120243581</v>
      </c>
    </row>
    <row r="12" spans="1:36">
      <c r="A12" s="25" t="s">
        <v>187</v>
      </c>
      <c r="B12" t="s">
        <v>188</v>
      </c>
      <c r="C12" t="s">
        <v>170</v>
      </c>
      <c r="D12" s="3">
        <v>-19.5</v>
      </c>
      <c r="E12">
        <v>7.68</v>
      </c>
      <c r="F12">
        <v>1411</v>
      </c>
      <c r="G12">
        <v>-227</v>
      </c>
      <c r="H12">
        <f t="shared" si="5"/>
        <v>3.8362999999999996</v>
      </c>
      <c r="I12" s="24">
        <v>14.98</v>
      </c>
      <c r="J12" s="24">
        <v>2</v>
      </c>
      <c r="K12" s="24">
        <v>11.7187</v>
      </c>
      <c r="L12" s="24">
        <v>7.1244444444444457E-2</v>
      </c>
      <c r="M12" s="24">
        <v>214.54732853403144</v>
      </c>
      <c r="N12" s="24">
        <v>5.0502472914271399</v>
      </c>
      <c r="O12" s="24">
        <v>0.44477020295779102</v>
      </c>
      <c r="P12" s="45">
        <v>846.4422201427019</v>
      </c>
      <c r="Q12" s="45">
        <v>18.699859592599417</v>
      </c>
      <c r="R12" s="45">
        <v>1080.8193874948442</v>
      </c>
      <c r="S12" s="45">
        <v>398.98577194669906</v>
      </c>
      <c r="T12" s="45">
        <v>157.07905080459648</v>
      </c>
      <c r="U12" s="45">
        <v>72.10838479266674</v>
      </c>
      <c r="V12" s="45">
        <v>18.53536843709519</v>
      </c>
      <c r="W12" s="45">
        <v>55.392938580510148</v>
      </c>
      <c r="X12" s="45">
        <v>43.24432290371827</v>
      </c>
      <c r="Y12" s="45">
        <v>203.87141864961046</v>
      </c>
      <c r="Z12" s="45">
        <v>97.759103337329066</v>
      </c>
      <c r="AA12" s="45">
        <v>864.51204607911507</v>
      </c>
      <c r="AB12" s="45">
        <v>22.441528160525419</v>
      </c>
      <c r="AC12" s="45">
        <v>2943.1465871600844</v>
      </c>
      <c r="AD12" s="45">
        <v>6823.0379880820947</v>
      </c>
      <c r="AE12" s="207">
        <f t="shared" si="6"/>
        <v>6.8230379880820946</v>
      </c>
      <c r="AF12" s="24">
        <f t="shared" si="0"/>
        <v>2502.0262899814411</v>
      </c>
      <c r="AG12" s="601">
        <f t="shared" si="2"/>
        <v>0.39513207911943993</v>
      </c>
      <c r="AH12" s="24">
        <f t="shared" si="1"/>
        <v>3830.100161399725</v>
      </c>
      <c r="AI12" s="601">
        <f t="shared" si="3"/>
        <v>0.60486792088056018</v>
      </c>
      <c r="AJ12" s="24">
        <f t="shared" si="4"/>
        <v>6332.1264513811657</v>
      </c>
    </row>
    <row r="13" spans="1:36">
      <c r="A13" s="25" t="s">
        <v>189</v>
      </c>
      <c r="B13" s="48" t="s">
        <v>190</v>
      </c>
      <c r="C13" t="s">
        <v>191</v>
      </c>
      <c r="D13" s="53">
        <v>-20.5</v>
      </c>
      <c r="E13">
        <v>7.34</v>
      </c>
      <c r="F13">
        <v>1594</v>
      </c>
      <c r="G13">
        <v>-329</v>
      </c>
      <c r="H13">
        <f t="shared" si="5"/>
        <v>5.5600999999999994</v>
      </c>
      <c r="I13" s="24">
        <v>11.92</v>
      </c>
      <c r="J13" s="24">
        <v>5</v>
      </c>
      <c r="K13" s="24">
        <v>15.582599999999999</v>
      </c>
      <c r="L13" s="24">
        <v>9.4755111111111106</v>
      </c>
      <c r="M13" s="24">
        <v>91.05513743455495</v>
      </c>
      <c r="N13" s="24">
        <v>4.0728365462998503E-2</v>
      </c>
      <c r="O13" s="24">
        <v>0.46739132789608401</v>
      </c>
      <c r="P13" s="45">
        <v>219.32459967208712</v>
      </c>
      <c r="Q13" s="45">
        <v>4.3375824782730499</v>
      </c>
      <c r="R13" s="45">
        <v>1081.7926175580126</v>
      </c>
      <c r="S13" s="45">
        <v>105.55877130673559</v>
      </c>
      <c r="T13" s="45">
        <v>77.573706108111807</v>
      </c>
      <c r="U13" s="45">
        <v>94.20873045436457</v>
      </c>
      <c r="V13" s="45">
        <v>43.731124086129263</v>
      </c>
      <c r="W13" s="45">
        <v>4.5828205840433123</v>
      </c>
      <c r="X13" s="45">
        <v>75.208333813427359</v>
      </c>
      <c r="Y13" s="45">
        <v>213.04488624281734</v>
      </c>
      <c r="Z13" s="45">
        <v>111.90056809073585</v>
      </c>
      <c r="AA13" s="45">
        <v>617.04035496035328</v>
      </c>
      <c r="AB13" s="45">
        <v>89.854811461428099</v>
      </c>
      <c r="AC13" s="45">
        <v>625.62862914321011</v>
      </c>
      <c r="AD13" s="45">
        <v>3363.7875359597292</v>
      </c>
      <c r="AE13" s="207">
        <f t="shared" si="6"/>
        <v>3.3637875359597293</v>
      </c>
      <c r="AF13" s="24">
        <f t="shared" si="0"/>
        <v>1488.5872771232202</v>
      </c>
      <c r="AG13" s="601">
        <f t="shared" si="2"/>
        <v>0.52765993212197726</v>
      </c>
      <c r="AH13" s="24">
        <f t="shared" si="1"/>
        <v>1332.5237955649914</v>
      </c>
      <c r="AI13" s="601">
        <f t="shared" si="3"/>
        <v>0.47234006787802274</v>
      </c>
      <c r="AJ13" s="24">
        <f t="shared" si="4"/>
        <v>2821.1110726882116</v>
      </c>
    </row>
    <row r="14" spans="1:36">
      <c r="A14" s="25" t="s">
        <v>192</v>
      </c>
      <c r="B14" t="s">
        <v>193</v>
      </c>
      <c r="C14" t="s">
        <v>191</v>
      </c>
      <c r="D14" s="3">
        <v>-22.5</v>
      </c>
      <c r="E14">
        <v>7.27</v>
      </c>
      <c r="F14">
        <v>1658</v>
      </c>
      <c r="G14">
        <v>-366</v>
      </c>
      <c r="H14">
        <f t="shared" si="5"/>
        <v>6.1853999999999996</v>
      </c>
      <c r="I14" s="24">
        <v>9.8930000000000007</v>
      </c>
      <c r="J14" s="24">
        <v>120</v>
      </c>
      <c r="K14" s="24">
        <v>19.937000000000001</v>
      </c>
      <c r="L14" s="24">
        <v>20.518399999999996</v>
      </c>
      <c r="M14" s="24">
        <v>8.0699847294938891</v>
      </c>
      <c r="N14" s="24">
        <v>9.9684669011121899E-2</v>
      </c>
      <c r="O14" s="24">
        <v>0.43748106040795198</v>
      </c>
      <c r="P14" s="45">
        <v>41.009974817414403</v>
      </c>
      <c r="Q14" s="45">
        <v>5.4990184451269917</v>
      </c>
      <c r="R14" s="45">
        <v>282.41802722588847</v>
      </c>
      <c r="S14" s="45">
        <v>357.89000009348916</v>
      </c>
      <c r="T14" s="45">
        <v>15.10759721176353</v>
      </c>
      <c r="U14" s="45">
        <v>35.654186559554304</v>
      </c>
      <c r="V14" s="45">
        <v>8.2599209950115657</v>
      </c>
      <c r="W14" s="45">
        <v>0.87475880675308826</v>
      </c>
      <c r="X14" s="45">
        <v>31.720955194701403</v>
      </c>
      <c r="Y14" s="45">
        <v>22.550719155108879</v>
      </c>
      <c r="Z14" s="45">
        <v>7.8271790671240522</v>
      </c>
      <c r="AA14" s="45">
        <v>14.888493766301877</v>
      </c>
      <c r="AB14" s="45">
        <v>130.16196375532829</v>
      </c>
      <c r="AC14" s="45">
        <v>46.123698878138086</v>
      </c>
      <c r="AD14" s="45">
        <v>999.98649397170402</v>
      </c>
      <c r="AE14" s="207">
        <f t="shared" si="6"/>
        <v>0.99998649397170403</v>
      </c>
      <c r="AF14" s="24">
        <f t="shared" si="0"/>
        <v>701.9246177936825</v>
      </c>
      <c r="AG14" s="601">
        <f t="shared" si="2"/>
        <v>0.78594287449065658</v>
      </c>
      <c r="AH14" s="24">
        <f t="shared" si="1"/>
        <v>191.17415639976826</v>
      </c>
      <c r="AI14" s="601">
        <f t="shared" si="3"/>
        <v>0.21405712550934344</v>
      </c>
      <c r="AJ14" s="24">
        <f t="shared" si="4"/>
        <v>893.09877419345071</v>
      </c>
    </row>
    <row r="15" spans="1:36">
      <c r="A15" s="25" t="s">
        <v>194</v>
      </c>
      <c r="B15" t="s">
        <v>195</v>
      </c>
      <c r="C15" t="s">
        <v>191</v>
      </c>
      <c r="D15" s="3">
        <v>-24</v>
      </c>
      <c r="E15">
        <v>7.3</v>
      </c>
      <c r="F15">
        <v>1650</v>
      </c>
      <c r="G15">
        <v>-296</v>
      </c>
      <c r="H15">
        <f t="shared" si="5"/>
        <v>5.0023999999999997</v>
      </c>
      <c r="I15" s="24"/>
      <c r="J15" s="24">
        <v>123</v>
      </c>
      <c r="K15" s="24">
        <v>19.6433</v>
      </c>
      <c r="L15" s="24">
        <v>0.83712222222222221</v>
      </c>
      <c r="M15" s="24">
        <v>6.6780909031413618</v>
      </c>
      <c r="N15" s="24">
        <v>3.9949253808153902</v>
      </c>
      <c r="O15" s="24">
        <v>0.67691496817247698</v>
      </c>
      <c r="P15" s="24">
        <v>10.792186027918879</v>
      </c>
      <c r="Q15" s="24">
        <v>0.63331460030657383</v>
      </c>
      <c r="R15" s="24">
        <v>10.757117452141545</v>
      </c>
      <c r="S15" s="24">
        <v>0.66433946107188957</v>
      </c>
      <c r="T15" s="24">
        <v>1.0414198547212929</v>
      </c>
      <c r="U15" s="24">
        <v>9.7334994589478878</v>
      </c>
      <c r="V15" s="24">
        <v>0.43758030304457096</v>
      </c>
      <c r="W15" s="24">
        <v>8.8105100002836112E-2</v>
      </c>
      <c r="X15" s="24">
        <v>9.6755209334164363</v>
      </c>
      <c r="Y15" s="24">
        <v>0.40620787497998284</v>
      </c>
      <c r="Z15" s="24">
        <v>0.37945361764581331</v>
      </c>
      <c r="AA15" s="24">
        <v>0.76388133644463851</v>
      </c>
      <c r="AB15" s="24">
        <v>6.3344576909992298</v>
      </c>
      <c r="AC15" s="24">
        <v>6.2200932791073233</v>
      </c>
      <c r="AD15" s="24">
        <v>57.927176990748904</v>
      </c>
      <c r="AE15" s="128">
        <f t="shared" si="6"/>
        <v>5.7927176990748903E-2</v>
      </c>
      <c r="AF15" s="24">
        <f t="shared" si="0"/>
        <v>23.888377396160184</v>
      </c>
      <c r="AG15" s="601">
        <f t="shared" si="2"/>
        <v>0.64204315250440203</v>
      </c>
      <c r="AH15" s="24">
        <f t="shared" si="1"/>
        <v>13.318432306551191</v>
      </c>
      <c r="AI15" s="601">
        <f t="shared" si="3"/>
        <v>0.35795684749559797</v>
      </c>
      <c r="AJ15" s="24">
        <f t="shared" si="4"/>
        <v>37.206809702711375</v>
      </c>
    </row>
    <row r="16" spans="1:36">
      <c r="A16" s="25" t="s">
        <v>196</v>
      </c>
      <c r="B16" t="s">
        <v>197</v>
      </c>
      <c r="C16" t="s">
        <v>191</v>
      </c>
      <c r="D16" s="3">
        <v>-26</v>
      </c>
      <c r="E16">
        <v>7.27</v>
      </c>
      <c r="F16">
        <v>1492</v>
      </c>
      <c r="G16">
        <v>-213</v>
      </c>
      <c r="H16">
        <f t="shared" si="5"/>
        <v>3.5996999999999999</v>
      </c>
      <c r="I16" s="24">
        <v>8.6989999999999998</v>
      </c>
      <c r="J16" s="24">
        <v>124</v>
      </c>
      <c r="K16" s="24">
        <v>24.3749</v>
      </c>
      <c r="L16" s="24">
        <v>5.3433333333333333E-2</v>
      </c>
      <c r="M16" s="24">
        <v>5.7532563699825472</v>
      </c>
      <c r="N16" s="24">
        <v>2.3019177945171601</v>
      </c>
      <c r="O16" s="24">
        <v>0.89554027608513298</v>
      </c>
      <c r="P16" s="24">
        <v>9.7628646590160493</v>
      </c>
      <c r="Q16" s="24">
        <v>0.37705635451141811</v>
      </c>
      <c r="R16" s="24">
        <v>0.55939172652241032</v>
      </c>
      <c r="S16" s="24">
        <v>0.34249496576007388</v>
      </c>
      <c r="T16" s="24">
        <v>0.34149000780391081</v>
      </c>
      <c r="U16" s="24">
        <v>0.26835634102472844</v>
      </c>
      <c r="V16" s="24">
        <v>0.13823236005319822</v>
      </c>
      <c r="W16" s="24">
        <v>3.7410806939579107E-2</v>
      </c>
      <c r="X16" s="24">
        <v>2.6665002498025498E-3</v>
      </c>
      <c r="Y16" s="24">
        <v>0.13859742553355614</v>
      </c>
      <c r="Z16" s="24">
        <v>0</v>
      </c>
      <c r="AA16" s="24">
        <v>0.29888635252919604</v>
      </c>
      <c r="AB16" s="24">
        <v>0.72788703795487841</v>
      </c>
      <c r="AC16" s="24">
        <v>4.091981636783065</v>
      </c>
      <c r="AD16" s="24">
        <v>17.087316174681867</v>
      </c>
      <c r="AE16" s="128">
        <f t="shared" si="6"/>
        <v>1.7087316174681868E-2</v>
      </c>
      <c r="AF16" s="24">
        <f t="shared" si="0"/>
        <v>11.383297713613862</v>
      </c>
      <c r="AG16" s="601">
        <f t="shared" si="2"/>
        <v>0.68981101274835321</v>
      </c>
      <c r="AH16" s="24">
        <f t="shared" si="1"/>
        <v>5.1187550272671398</v>
      </c>
      <c r="AI16" s="601">
        <f t="shared" si="3"/>
        <v>0.31018898725164679</v>
      </c>
      <c r="AJ16" s="24">
        <f t="shared" si="4"/>
        <v>16.502052740881002</v>
      </c>
    </row>
    <row r="17" spans="1:36">
      <c r="A17" s="25" t="s">
        <v>198</v>
      </c>
      <c r="B17" s="48" t="s">
        <v>199</v>
      </c>
      <c r="C17" t="s">
        <v>191</v>
      </c>
      <c r="D17" s="53">
        <v>-28</v>
      </c>
      <c r="E17">
        <v>7.25</v>
      </c>
      <c r="F17">
        <v>1498</v>
      </c>
      <c r="G17">
        <v>-362</v>
      </c>
      <c r="H17">
        <f t="shared" si="5"/>
        <v>6.117799999999999</v>
      </c>
      <c r="I17" s="24">
        <v>8.891</v>
      </c>
      <c r="J17" s="24">
        <v>79</v>
      </c>
      <c r="K17" s="24">
        <v>19.1874</v>
      </c>
      <c r="L17" s="24">
        <v>15.477855555555553</v>
      </c>
      <c r="M17" s="24">
        <v>6.6195299520069808</v>
      </c>
      <c r="N17" s="24">
        <v>0.113612295106787</v>
      </c>
      <c r="O17" s="24">
        <v>3.0511156297776999E-2</v>
      </c>
      <c r="P17" s="45">
        <v>50.212155494456631</v>
      </c>
      <c r="Q17" s="45">
        <v>6.5005317021432871</v>
      </c>
      <c r="R17" s="45">
        <v>291.88338983527171</v>
      </c>
      <c r="S17" s="45">
        <v>38.144134474762097</v>
      </c>
      <c r="T17" s="45">
        <v>71.913539946910902</v>
      </c>
      <c r="U17" s="45">
        <v>56.32246128758571</v>
      </c>
      <c r="V17" s="45">
        <v>22.296610824942046</v>
      </c>
      <c r="W17" s="45">
        <v>14.046055510519048</v>
      </c>
      <c r="X17" s="45">
        <v>41.423176210876093</v>
      </c>
      <c r="Y17" s="45">
        <v>169.19081552145772</v>
      </c>
      <c r="Z17" s="45">
        <v>79.570477096933814</v>
      </c>
      <c r="AA17" s="45">
        <v>101.13416792690914</v>
      </c>
      <c r="AB17" s="45">
        <v>289.70187679571393</v>
      </c>
      <c r="AC17" s="45">
        <v>744.57021096145775</v>
      </c>
      <c r="AD17" s="45">
        <v>1976.9096035899397</v>
      </c>
      <c r="AE17" s="207">
        <f t="shared" si="6"/>
        <v>1.9769096035899396</v>
      </c>
      <c r="AF17" s="24">
        <f t="shared" si="0"/>
        <v>458.6537514535446</v>
      </c>
      <c r="AG17" s="601">
        <f t="shared" si="2"/>
        <v>0.28772677904210547</v>
      </c>
      <c r="AH17" s="24">
        <f t="shared" si="1"/>
        <v>1135.4062556840809</v>
      </c>
      <c r="AI17" s="601">
        <f t="shared" si="3"/>
        <v>0.71227322095789458</v>
      </c>
      <c r="AJ17" s="24">
        <f t="shared" si="4"/>
        <v>1594.0600071376255</v>
      </c>
    </row>
    <row r="18" spans="1:36">
      <c r="A18" s="25" t="s">
        <v>200</v>
      </c>
      <c r="B18" t="s">
        <v>201</v>
      </c>
      <c r="C18" t="s">
        <v>191</v>
      </c>
      <c r="D18" s="3">
        <v>-29.5</v>
      </c>
      <c r="E18">
        <v>7.29</v>
      </c>
      <c r="F18">
        <v>1490</v>
      </c>
      <c r="G18">
        <v>-251</v>
      </c>
      <c r="H18">
        <f t="shared" si="5"/>
        <v>4.2418999999999993</v>
      </c>
      <c r="I18" s="24">
        <v>6.98</v>
      </c>
      <c r="J18" s="24">
        <v>67</v>
      </c>
      <c r="K18" s="24">
        <v>19.292300000000001</v>
      </c>
      <c r="L18" s="24">
        <v>7.1244444444444457E-2</v>
      </c>
      <c r="M18" s="24">
        <v>6.2338846640488645</v>
      </c>
      <c r="N18" s="24">
        <v>3.4858349749339501</v>
      </c>
      <c r="O18" s="24">
        <v>0.69876607110616695</v>
      </c>
      <c r="P18" s="45">
        <v>10.686920316515186</v>
      </c>
      <c r="Q18" s="45">
        <v>2.3401308702174028</v>
      </c>
      <c r="R18" s="45">
        <v>1.9315326967396154</v>
      </c>
      <c r="S18" s="45">
        <v>1.9531393718140824</v>
      </c>
      <c r="T18" s="45">
        <v>3.3307839989551296</v>
      </c>
      <c r="U18" s="45">
        <v>1.2664238287792835</v>
      </c>
      <c r="V18" s="45">
        <v>0.26104564775127703</v>
      </c>
      <c r="W18" s="45">
        <v>4.6422462822860534E-2</v>
      </c>
      <c r="X18" s="45">
        <v>0.52989197990563264</v>
      </c>
      <c r="Y18" s="45">
        <v>0.96140083076700844</v>
      </c>
      <c r="Z18" s="45">
        <v>0.74232250936885424</v>
      </c>
      <c r="AA18" s="45">
        <v>2.1994905889770853</v>
      </c>
      <c r="AB18" s="45">
        <v>5.5028784534653248</v>
      </c>
      <c r="AC18" s="45">
        <v>24.215854665738814</v>
      </c>
      <c r="AD18" s="45">
        <v>55.968238221817558</v>
      </c>
      <c r="AE18" s="207">
        <f t="shared" si="6"/>
        <v>5.5968238221817561E-2</v>
      </c>
      <c r="AF18" s="24">
        <f t="shared" si="0"/>
        <v>20.242507254241417</v>
      </c>
      <c r="AG18" s="601">
        <f t="shared" si="2"/>
        <v>0.38807943985341037</v>
      </c>
      <c r="AH18" s="24">
        <f t="shared" si="1"/>
        <v>31.918223708181223</v>
      </c>
      <c r="AI18" s="601">
        <f t="shared" si="3"/>
        <v>0.61192056014658958</v>
      </c>
      <c r="AJ18" s="24">
        <f t="shared" si="4"/>
        <v>52.16073096242264</v>
      </c>
    </row>
    <row r="19" spans="1:36">
      <c r="A19" s="25" t="s">
        <v>202</v>
      </c>
      <c r="B19" t="s">
        <v>203</v>
      </c>
      <c r="C19" t="s">
        <v>191</v>
      </c>
      <c r="D19" s="3">
        <v>-31</v>
      </c>
      <c r="E19">
        <v>7.21</v>
      </c>
      <c r="F19">
        <v>1555</v>
      </c>
      <c r="G19">
        <v>-571</v>
      </c>
      <c r="H19">
        <f t="shared" si="5"/>
        <v>9.6498999999999988</v>
      </c>
      <c r="I19" s="24">
        <v>7.8520000000000003</v>
      </c>
      <c r="J19" s="24">
        <v>127</v>
      </c>
      <c r="K19" s="24">
        <v>20.867899999999999</v>
      </c>
      <c r="L19" s="24">
        <v>4.9514888888888899</v>
      </c>
      <c r="M19" s="24">
        <v>6.941615183246074</v>
      </c>
      <c r="N19" s="24">
        <v>3.1863076334926901</v>
      </c>
      <c r="O19" s="24">
        <v>0.70182098929139902</v>
      </c>
      <c r="P19" s="45">
        <v>26.959566137008345</v>
      </c>
      <c r="Q19" s="45">
        <v>1.0512721102235671</v>
      </c>
      <c r="R19" s="45">
        <v>47.847781937578624</v>
      </c>
      <c r="S19" s="45">
        <v>60.203569456906948</v>
      </c>
      <c r="T19" s="45">
        <v>2.7936504568075775</v>
      </c>
      <c r="U19" s="45">
        <v>8.0393405564044755</v>
      </c>
      <c r="V19" s="45">
        <v>1.3496198693775876</v>
      </c>
      <c r="W19" s="45">
        <v>0.13337057342451422</v>
      </c>
      <c r="X19" s="45">
        <v>6.8048604263861607</v>
      </c>
      <c r="Y19" s="45">
        <v>4.0280984660688901</v>
      </c>
      <c r="Z19" s="45">
        <v>1.6467491816642297</v>
      </c>
      <c r="AA19" s="45">
        <v>5.5701906316446834</v>
      </c>
      <c r="AB19" s="45">
        <v>26.773444591532495</v>
      </c>
      <c r="AC19" s="45">
        <v>11.811646437904237</v>
      </c>
      <c r="AD19" s="45">
        <v>205.01316083293236</v>
      </c>
      <c r="AE19" s="207">
        <f t="shared" si="6"/>
        <v>0.20501316083293236</v>
      </c>
      <c r="AF19" s="24">
        <f t="shared" si="0"/>
        <v>138.85584009852505</v>
      </c>
      <c r="AG19" s="601">
        <f t="shared" si="2"/>
        <v>0.758728971023513</v>
      </c>
      <c r="AH19" s="24">
        <f t="shared" si="1"/>
        <v>44.155281661081418</v>
      </c>
      <c r="AI19" s="601">
        <f t="shared" si="3"/>
        <v>0.24127102897648711</v>
      </c>
      <c r="AJ19" s="24">
        <f t="shared" si="4"/>
        <v>183.01112175960645</v>
      </c>
    </row>
    <row r="20" spans="1:36">
      <c r="A20" s="25" t="s">
        <v>204</v>
      </c>
      <c r="B20" t="s">
        <v>205</v>
      </c>
      <c r="C20" t="s">
        <v>170</v>
      </c>
      <c r="D20" s="3">
        <v>-45</v>
      </c>
      <c r="E20">
        <v>7.54</v>
      </c>
      <c r="F20">
        <v>1462</v>
      </c>
      <c r="G20">
        <v>-187</v>
      </c>
      <c r="H20">
        <f t="shared" si="5"/>
        <v>3.1602999999999999</v>
      </c>
      <c r="I20" s="24">
        <v>6.6150000000000002</v>
      </c>
      <c r="J20" s="24">
        <v>237</v>
      </c>
      <c r="K20" s="24">
        <v>12.995200000000001</v>
      </c>
      <c r="L20" s="24">
        <v>5.3433333333333333E-2</v>
      </c>
      <c r="M20" s="24">
        <v>8.2842321116928428</v>
      </c>
      <c r="N20" s="24">
        <v>9.9551880568739506</v>
      </c>
      <c r="O20" s="24">
        <v>0.39923933656759802</v>
      </c>
      <c r="P20" s="24">
        <v>5.2664438018247894</v>
      </c>
      <c r="Q20" s="24">
        <v>0.58991025623801852</v>
      </c>
      <c r="R20" s="24">
        <v>0.94707019499326428</v>
      </c>
      <c r="S20" s="24">
        <v>0.73599033115736023</v>
      </c>
      <c r="T20" s="24">
        <v>0.72951976146478736</v>
      </c>
      <c r="U20" s="24">
        <v>0.22952176167648872</v>
      </c>
      <c r="V20" s="24">
        <v>9.2448058863066826E-2</v>
      </c>
      <c r="W20" s="24">
        <v>8.7042547671102852E-2</v>
      </c>
      <c r="X20" s="24">
        <v>3.7158019898261702E-3</v>
      </c>
      <c r="Y20" s="24">
        <v>0.41888213988931211</v>
      </c>
      <c r="Z20" s="24">
        <v>0.28147470120741352</v>
      </c>
      <c r="AA20" s="24">
        <v>1.3991680472680521</v>
      </c>
      <c r="AB20" s="24">
        <v>1.0430641511800087</v>
      </c>
      <c r="AC20" s="24">
        <v>12.945676369796072</v>
      </c>
      <c r="AD20" s="24">
        <v>24.769927925219562</v>
      </c>
      <c r="AE20" s="128">
        <f t="shared" si="6"/>
        <v>2.4769927925219561E-2</v>
      </c>
      <c r="AF20" s="24">
        <f t="shared" si="0"/>
        <v>8.2689343456782201</v>
      </c>
      <c r="AG20" s="601">
        <f t="shared" si="2"/>
        <v>0.34953668060296611</v>
      </c>
      <c r="AH20" s="24">
        <f t="shared" si="1"/>
        <v>15.387908568244132</v>
      </c>
      <c r="AI20" s="601">
        <f t="shared" si="3"/>
        <v>0.65046331939703383</v>
      </c>
      <c r="AJ20" s="24">
        <f t="shared" si="4"/>
        <v>23.656842913922354</v>
      </c>
    </row>
    <row r="21" spans="1:36">
      <c r="A21" s="25" t="s">
        <v>206</v>
      </c>
      <c r="B21" t="s">
        <v>207</v>
      </c>
      <c r="C21" t="s">
        <v>208</v>
      </c>
      <c r="D21" s="3">
        <v>-49.5</v>
      </c>
      <c r="E21">
        <v>7.3</v>
      </c>
      <c r="F21">
        <v>1203</v>
      </c>
      <c r="G21">
        <v>-227</v>
      </c>
      <c r="H21">
        <f t="shared" si="5"/>
        <v>3.8362999999999996</v>
      </c>
      <c r="I21" s="24">
        <v>0.23100000000000001</v>
      </c>
      <c r="J21" s="24">
        <v>85</v>
      </c>
      <c r="K21" s="24">
        <v>4.6833999999999998</v>
      </c>
      <c r="L21" s="24">
        <v>5.3433333333333333E-2</v>
      </c>
      <c r="M21" s="24">
        <v>4.3385094895287946</v>
      </c>
      <c r="N21" s="24">
        <v>9.5745828978454792</v>
      </c>
      <c r="O21" s="24">
        <v>0.46118889690845799</v>
      </c>
      <c r="P21" s="24">
        <v>5.1380352906406115</v>
      </c>
      <c r="Q21" s="24">
        <v>0.4140367019205084</v>
      </c>
      <c r="R21" s="24">
        <v>1.7978687190098508</v>
      </c>
      <c r="S21" s="24">
        <v>0.85734830118724559</v>
      </c>
      <c r="T21" s="24">
        <v>0.71294773244368592</v>
      </c>
      <c r="U21" s="24">
        <v>0.37634695432381288</v>
      </c>
      <c r="V21" s="24">
        <v>0.12076757608513365</v>
      </c>
      <c r="W21" s="24">
        <v>0.17861579932125274</v>
      </c>
      <c r="X21" s="24">
        <v>0.27288741507822223</v>
      </c>
      <c r="Y21" s="24">
        <v>0.9605483760299488</v>
      </c>
      <c r="Z21" s="24">
        <v>0.59665881935809106</v>
      </c>
      <c r="AA21" s="24">
        <v>4.3453392804148416</v>
      </c>
      <c r="AB21" s="24">
        <v>0.91890625687560512</v>
      </c>
      <c r="AC21" s="24">
        <v>29.283207500599101</v>
      </c>
      <c r="AD21" s="24">
        <v>45.973514723287913</v>
      </c>
      <c r="AE21" s="128">
        <f t="shared" si="6"/>
        <v>4.5973514723287916E-2</v>
      </c>
      <c r="AF21" s="24">
        <f t="shared" si="0"/>
        <v>8.9202367452019029</v>
      </c>
      <c r="AG21" s="601">
        <f t="shared" si="2"/>
        <v>0.2052153401690972</v>
      </c>
      <c r="AH21" s="24">
        <f t="shared" si="1"/>
        <v>34.547453037889547</v>
      </c>
      <c r="AI21" s="601">
        <f t="shared" si="3"/>
        <v>0.79478465983090274</v>
      </c>
      <c r="AJ21" s="24">
        <f t="shared" si="4"/>
        <v>43.467689783091451</v>
      </c>
    </row>
    <row r="22" spans="1:36">
      <c r="A22" s="25" t="s">
        <v>209</v>
      </c>
      <c r="B22" t="s">
        <v>210</v>
      </c>
      <c r="C22" t="s">
        <v>208</v>
      </c>
      <c r="D22" s="3">
        <v>-51</v>
      </c>
      <c r="E22">
        <v>7.25</v>
      </c>
      <c r="F22">
        <v>1189</v>
      </c>
      <c r="G22">
        <v>-242</v>
      </c>
      <c r="H22">
        <f t="shared" si="5"/>
        <v>4.0897999999999994</v>
      </c>
      <c r="I22" s="24">
        <v>4.8970000000000002</v>
      </c>
      <c r="J22" s="24">
        <v>85</v>
      </c>
      <c r="K22" s="24">
        <v>2.8610000000000002</v>
      </c>
      <c r="L22" s="24">
        <v>7.1244444444444457E-2</v>
      </c>
      <c r="M22" s="24">
        <v>4.9262614746945905</v>
      </c>
      <c r="N22" s="24">
        <v>12.4930829277627</v>
      </c>
      <c r="O22" s="24">
        <v>0.46410682178795398</v>
      </c>
      <c r="P22" s="24">
        <v>5.018588769723654</v>
      </c>
      <c r="Q22" s="24">
        <v>0.34451148284380601</v>
      </c>
      <c r="R22" s="24">
        <v>1.2553882320358993</v>
      </c>
      <c r="S22" s="24">
        <v>0.52821362437259967</v>
      </c>
      <c r="T22" s="24">
        <v>0.5430810114779927</v>
      </c>
      <c r="U22" s="24">
        <v>0.29758438344463228</v>
      </c>
      <c r="V22" s="24">
        <v>0.13853222775867866</v>
      </c>
      <c r="W22" s="24">
        <v>0.10857237915255169</v>
      </c>
      <c r="X22" s="24">
        <v>0.16666800648895932</v>
      </c>
      <c r="Y22" s="24">
        <v>0.74872278799978187</v>
      </c>
      <c r="Z22" s="24">
        <v>0.41157196624257403</v>
      </c>
      <c r="AA22" s="24">
        <v>1.3752366032975922</v>
      </c>
      <c r="AB22" s="24">
        <v>1.1618177844318858</v>
      </c>
      <c r="AC22" s="24">
        <v>11.812972076540385</v>
      </c>
      <c r="AD22" s="24">
        <v>23.911461335810994</v>
      </c>
      <c r="AE22" s="128">
        <f t="shared" si="6"/>
        <v>2.3911461335810996E-2</v>
      </c>
      <c r="AF22" s="24">
        <f t="shared" si="0"/>
        <v>7.689783120453952</v>
      </c>
      <c r="AG22" s="601">
        <f t="shared" si="2"/>
        <v>0.34890424487985944</v>
      </c>
      <c r="AH22" s="24">
        <f t="shared" si="1"/>
        <v>14.350026464269863</v>
      </c>
      <c r="AI22" s="601">
        <f t="shared" si="3"/>
        <v>0.65109575512014051</v>
      </c>
      <c r="AJ22" s="24">
        <f t="shared" si="4"/>
        <v>22.039809584723816</v>
      </c>
    </row>
    <row r="23" spans="1:36">
      <c r="A23" s="25" t="s">
        <v>211</v>
      </c>
      <c r="B23" t="s">
        <v>212</v>
      </c>
      <c r="C23" t="s">
        <v>208</v>
      </c>
      <c r="D23" s="3">
        <v>-53</v>
      </c>
      <c r="E23">
        <v>7.15</v>
      </c>
      <c r="F23">
        <v>1158</v>
      </c>
      <c r="G23">
        <v>-230</v>
      </c>
      <c r="H23">
        <f t="shared" si="5"/>
        <v>3.8869999999999996</v>
      </c>
      <c r="I23" s="24">
        <v>4.1689999999999996</v>
      </c>
      <c r="J23" s="24">
        <v>94</v>
      </c>
      <c r="K23" s="24">
        <v>4.5880000000000001</v>
      </c>
      <c r="L23" s="24">
        <v>5.3433333333333333E-2</v>
      </c>
      <c r="M23" s="24">
        <v>4.6548814572425838</v>
      </c>
      <c r="N23" s="24">
        <v>9.28571163287479</v>
      </c>
      <c r="O23" s="24">
        <v>0.49690910259973903</v>
      </c>
      <c r="P23" s="24">
        <v>4.9629985559706169</v>
      </c>
      <c r="Q23" s="24">
        <v>0.26804248722125745</v>
      </c>
      <c r="R23" s="24">
        <v>0.56412564694585299</v>
      </c>
      <c r="S23" s="24">
        <v>0.32959581718414299</v>
      </c>
      <c r="T23" s="24">
        <v>0.33835357629480683</v>
      </c>
      <c r="U23" s="24">
        <v>0.23348776974935689</v>
      </c>
      <c r="V23" s="24">
        <v>9.3680446351004948E-2</v>
      </c>
      <c r="W23" s="24">
        <v>4.6851612087962256E-2</v>
      </c>
      <c r="X23" s="24">
        <v>0.11324938658316756</v>
      </c>
      <c r="Y23" s="24">
        <v>0.38213542533285422</v>
      </c>
      <c r="Z23" s="24">
        <v>0.25400599515448263</v>
      </c>
      <c r="AA23" s="24">
        <v>1.7870137059158331</v>
      </c>
      <c r="AB23" s="24">
        <v>0.45880209570782554</v>
      </c>
      <c r="AC23" s="24">
        <v>8.5614665405860322</v>
      </c>
      <c r="AD23" s="24">
        <v>18.393809061085197</v>
      </c>
      <c r="AE23" s="128">
        <f t="shared" si="6"/>
        <v>1.8393809061085196E-2</v>
      </c>
      <c r="AF23" s="24">
        <f t="shared" si="0"/>
        <v>6.4631160836166774</v>
      </c>
      <c r="AG23" s="601">
        <f t="shared" si="2"/>
        <v>0.37423086163152169</v>
      </c>
      <c r="AH23" s="24">
        <f t="shared" si="1"/>
        <v>10.807282342209691</v>
      </c>
      <c r="AI23" s="601">
        <f t="shared" si="3"/>
        <v>0.62576913836847836</v>
      </c>
      <c r="AJ23" s="24">
        <f t="shared" si="4"/>
        <v>17.270398425826368</v>
      </c>
    </row>
    <row r="24" spans="1:36">
      <c r="A24" s="25" t="s">
        <v>213</v>
      </c>
      <c r="B24" t="s">
        <v>214</v>
      </c>
      <c r="C24" t="s">
        <v>208</v>
      </c>
      <c r="D24" s="3">
        <v>-54.5</v>
      </c>
      <c r="E24">
        <v>7.28</v>
      </c>
      <c r="F24">
        <v>1173</v>
      </c>
      <c r="G24">
        <v>-249</v>
      </c>
      <c r="H24">
        <f t="shared" si="5"/>
        <v>4.2080999999999991</v>
      </c>
      <c r="I24" s="24">
        <v>4.3239999999999998</v>
      </c>
      <c r="J24" s="24">
        <v>65</v>
      </c>
      <c r="K24" s="24">
        <v>2.8369</v>
      </c>
      <c r="L24" s="24">
        <v>5.3433333333333333E-2</v>
      </c>
      <c r="M24" s="24">
        <v>4.3120856457242569</v>
      </c>
      <c r="N24" s="24">
        <v>9.3655630683361597</v>
      </c>
      <c r="O24" s="24">
        <v>0.46350808143627498</v>
      </c>
      <c r="P24" s="24">
        <v>4.9129719814108119</v>
      </c>
      <c r="Q24" s="24">
        <v>0.24285272570705971</v>
      </c>
      <c r="R24" s="24">
        <v>0.41364410676078001</v>
      </c>
      <c r="S24" s="24">
        <v>0.29057736101287923</v>
      </c>
      <c r="T24" s="24">
        <v>0.26560146762381126</v>
      </c>
      <c r="U24" s="24">
        <v>0.15002504385429286</v>
      </c>
      <c r="V24" s="24">
        <v>7.6951923321066151E-2</v>
      </c>
      <c r="W24" s="24">
        <v>3.829636615445791E-2</v>
      </c>
      <c r="X24" s="24">
        <v>5.0326230601247128E-2</v>
      </c>
      <c r="Y24" s="24">
        <v>0.16536796220394212</v>
      </c>
      <c r="Z24" s="24">
        <v>0</v>
      </c>
      <c r="AA24" s="24">
        <v>0.50742772766739541</v>
      </c>
      <c r="AB24" s="24">
        <v>0.43123673642156585</v>
      </c>
      <c r="AC24" s="24">
        <v>4.2869511189440583</v>
      </c>
      <c r="AD24" s="24">
        <v>11.832230751683369</v>
      </c>
      <c r="AE24" s="128">
        <f t="shared" si="6"/>
        <v>1.1832230751683369E-2</v>
      </c>
      <c r="AF24" s="24">
        <f t="shared" si="0"/>
        <v>6.1256476425153421</v>
      </c>
      <c r="AG24" s="601">
        <f t="shared" si="2"/>
        <v>0.53964457706595226</v>
      </c>
      <c r="AH24" s="24">
        <f t="shared" si="1"/>
        <v>5.2256155830330195</v>
      </c>
      <c r="AI24" s="601">
        <f t="shared" si="3"/>
        <v>0.4603554229340478</v>
      </c>
      <c r="AJ24" s="24">
        <f t="shared" si="4"/>
        <v>11.351263225548362</v>
      </c>
    </row>
    <row r="25" spans="1:36">
      <c r="A25" s="25" t="s">
        <v>215</v>
      </c>
      <c r="B25" t="s">
        <v>216</v>
      </c>
      <c r="C25" t="s">
        <v>170</v>
      </c>
      <c r="D25" s="3">
        <v>-55</v>
      </c>
      <c r="E25">
        <v>7.28</v>
      </c>
      <c r="F25">
        <v>1158</v>
      </c>
      <c r="G25">
        <v>-175</v>
      </c>
      <c r="H25">
        <f t="shared" si="5"/>
        <v>2.9574999999999996</v>
      </c>
      <c r="I25" s="24">
        <v>4.4249999999999998</v>
      </c>
      <c r="J25" s="24">
        <v>84</v>
      </c>
      <c r="K25" s="24">
        <v>4.6334</v>
      </c>
      <c r="L25" s="24">
        <v>0.12467777777777779</v>
      </c>
      <c r="M25" s="24">
        <v>4.6206018760907499</v>
      </c>
      <c r="N25" s="24">
        <v>10.230692226240899</v>
      </c>
      <c r="O25" s="24">
        <v>0.52354663576432403</v>
      </c>
      <c r="P25" s="24">
        <v>5.1556335828058142</v>
      </c>
      <c r="Q25" s="24">
        <v>0.45254974144791121</v>
      </c>
      <c r="R25" s="24">
        <v>0.5107496242717382</v>
      </c>
      <c r="S25" s="24">
        <v>0.43726277134981123</v>
      </c>
      <c r="T25" s="24">
        <v>0.51178225621481277</v>
      </c>
      <c r="U25" s="24">
        <v>0.14646141753151046</v>
      </c>
      <c r="V25" s="24">
        <v>8.5308830131410857E-2</v>
      </c>
      <c r="W25" s="24">
        <v>3.7257031597149111E-2</v>
      </c>
      <c r="X25" s="24">
        <v>4.1231575411812396E-2</v>
      </c>
      <c r="Y25" s="24">
        <v>0.19453074008079524</v>
      </c>
      <c r="Z25" s="24">
        <v>0.13087980582360534</v>
      </c>
      <c r="AA25" s="24">
        <v>0.49335708665204331</v>
      </c>
      <c r="AB25" s="24">
        <v>0.80900306484078943</v>
      </c>
      <c r="AC25" s="24">
        <v>3.6766607793751218</v>
      </c>
      <c r="AD25" s="24">
        <v>12.682668307534325</v>
      </c>
      <c r="AE25" s="128">
        <f t="shared" si="6"/>
        <v>1.2682668307534326E-2</v>
      </c>
      <c r="AF25" s="24">
        <f t="shared" si="0"/>
        <v>7.0679779760900878</v>
      </c>
      <c r="AG25" s="601">
        <f t="shared" si="2"/>
        <v>0.58670030857293454</v>
      </c>
      <c r="AH25" s="24">
        <f t="shared" si="1"/>
        <v>4.9790209308679545</v>
      </c>
      <c r="AI25" s="601">
        <f t="shared" si="3"/>
        <v>0.41329969142706557</v>
      </c>
      <c r="AJ25" s="24">
        <f t="shared" si="4"/>
        <v>12.046998906958041</v>
      </c>
    </row>
    <row r="26" spans="1:36">
      <c r="A26" s="25" t="s">
        <v>217</v>
      </c>
      <c r="B26" t="s">
        <v>218</v>
      </c>
      <c r="C26" t="s">
        <v>208</v>
      </c>
      <c r="D26" s="3">
        <v>-56.5</v>
      </c>
      <c r="E26">
        <v>7.22</v>
      </c>
      <c r="F26">
        <v>1171</v>
      </c>
      <c r="G26">
        <v>-244</v>
      </c>
      <c r="H26">
        <f t="shared" si="5"/>
        <v>4.1235999999999997</v>
      </c>
      <c r="I26" s="24">
        <v>4.4820000000000002</v>
      </c>
      <c r="J26" s="24">
        <v>75</v>
      </c>
      <c r="K26" s="24">
        <v>3.2614000000000001</v>
      </c>
      <c r="L26" s="24">
        <v>5.3433333333333333E-2</v>
      </c>
      <c r="M26" s="24">
        <v>4.2406698516579402</v>
      </c>
      <c r="N26" s="24">
        <v>8.2793653906467508</v>
      </c>
      <c r="O26" s="24">
        <v>0.53797012101596398</v>
      </c>
      <c r="P26" s="24">
        <v>4.9750573165831193</v>
      </c>
      <c r="Q26" s="24">
        <v>0.24753138041604397</v>
      </c>
      <c r="R26" s="24">
        <v>2.5771630435151711</v>
      </c>
      <c r="S26" s="24">
        <v>1.2291934998662739</v>
      </c>
      <c r="T26" s="24">
        <v>0.55155873401303801</v>
      </c>
      <c r="U26" s="24">
        <v>0.28024046539239916</v>
      </c>
      <c r="V26" s="24">
        <v>0.11081910191497213</v>
      </c>
      <c r="W26" s="24">
        <v>0.26207586763656437</v>
      </c>
      <c r="X26" s="24">
        <v>0.12257469729485249</v>
      </c>
      <c r="Y26" s="24">
        <v>0.56056855460296562</v>
      </c>
      <c r="Z26" s="24">
        <v>0.31379113582970808</v>
      </c>
      <c r="AA26" s="24">
        <v>2.2555835623278773</v>
      </c>
      <c r="AB26" s="24">
        <v>0.36942080328946997</v>
      </c>
      <c r="AC26" s="24">
        <v>12.977399793852687</v>
      </c>
      <c r="AD26" s="24">
        <v>26.832977956535146</v>
      </c>
      <c r="AE26" s="128">
        <f t="shared" si="6"/>
        <v>2.6832977956535147E-2</v>
      </c>
      <c r="AF26" s="24">
        <f t="shared" si="0"/>
        <v>9.5805039743936469</v>
      </c>
      <c r="AG26" s="601">
        <f t="shared" si="2"/>
        <v>0.38043675986375292</v>
      </c>
      <c r="AH26" s="24">
        <f t="shared" si="1"/>
        <v>15.602404159470034</v>
      </c>
      <c r="AI26" s="601">
        <f t="shared" si="3"/>
        <v>0.61956324013624708</v>
      </c>
      <c r="AJ26" s="24">
        <f t="shared" si="4"/>
        <v>25.18290813386368</v>
      </c>
    </row>
    <row r="27" spans="1:36">
      <c r="A27" s="25" t="s">
        <v>219</v>
      </c>
      <c r="B27" t="s">
        <v>220</v>
      </c>
      <c r="C27" t="s">
        <v>208</v>
      </c>
      <c r="D27" s="3">
        <v>-58</v>
      </c>
      <c r="E27">
        <v>7.36</v>
      </c>
      <c r="F27">
        <v>761</v>
      </c>
      <c r="G27">
        <v>-245</v>
      </c>
      <c r="H27">
        <f t="shared" si="5"/>
        <v>4.1405000000000003</v>
      </c>
      <c r="I27" s="24">
        <v>4.6539999999999999</v>
      </c>
      <c r="J27" s="24">
        <v>181</v>
      </c>
      <c r="K27" s="24">
        <v>1.7968</v>
      </c>
      <c r="L27" s="24">
        <v>3.5622222222222229E-2</v>
      </c>
      <c r="M27" s="24">
        <v>1.5097298865619548</v>
      </c>
      <c r="N27" s="24">
        <v>3.2365833105944701</v>
      </c>
      <c r="O27" s="24">
        <v>0.36033871303818099</v>
      </c>
      <c r="P27" s="24">
        <v>4.9610937256095822</v>
      </c>
      <c r="Q27" s="24">
        <v>0.22750758613734753</v>
      </c>
      <c r="R27" s="24">
        <v>0.58621597110363999</v>
      </c>
      <c r="S27" s="24">
        <v>0.24330199445356124</v>
      </c>
      <c r="T27" s="24">
        <v>0.22738723628674823</v>
      </c>
      <c r="U27" s="24">
        <v>0.1763854922336355</v>
      </c>
      <c r="V27" s="24">
        <v>3.7492591162243427E-3</v>
      </c>
      <c r="W27" s="24">
        <v>3.912022722967346E-3</v>
      </c>
      <c r="X27" s="24">
        <v>6.9665633354940595E-2</v>
      </c>
      <c r="Y27" s="24">
        <v>0.16824087045686112</v>
      </c>
      <c r="Z27" s="24">
        <v>0</v>
      </c>
      <c r="AA27" s="24">
        <v>0.46160260852504703</v>
      </c>
      <c r="AB27" s="24">
        <v>0.48723561227914325</v>
      </c>
      <c r="AC27" s="24">
        <v>4.290196748205628</v>
      </c>
      <c r="AD27" s="24">
        <v>11.906494760485327</v>
      </c>
      <c r="AE27" s="128">
        <f t="shared" si="6"/>
        <v>1.1906494760485326E-2</v>
      </c>
      <c r="AF27" s="24">
        <f t="shared" si="0"/>
        <v>6.2455065135908798</v>
      </c>
      <c r="AG27" s="601">
        <f t="shared" si="2"/>
        <v>0.5438185340749514</v>
      </c>
      <c r="AH27" s="24">
        <f t="shared" si="1"/>
        <v>5.2390349690098184</v>
      </c>
      <c r="AI27" s="601">
        <f t="shared" si="3"/>
        <v>0.45618146592504871</v>
      </c>
      <c r="AJ27" s="24">
        <f t="shared" si="4"/>
        <v>11.484541482600697</v>
      </c>
    </row>
    <row r="28" spans="1:36">
      <c r="A28" s="25" t="s">
        <v>221</v>
      </c>
      <c r="B28" t="s">
        <v>222</v>
      </c>
      <c r="C28" t="s">
        <v>208</v>
      </c>
      <c r="D28" s="3">
        <v>-59.5</v>
      </c>
      <c r="E28">
        <v>7.25</v>
      </c>
      <c r="F28">
        <v>902</v>
      </c>
      <c r="G28">
        <v>-239</v>
      </c>
      <c r="H28">
        <f t="shared" si="5"/>
        <v>4.0390999999999995</v>
      </c>
      <c r="I28" s="24">
        <v>3.5270000000000001</v>
      </c>
      <c r="J28" s="24">
        <v>153</v>
      </c>
      <c r="K28" s="24">
        <v>0.9698</v>
      </c>
      <c r="L28" s="24">
        <v>3.5622222222222229E-2</v>
      </c>
      <c r="M28" s="24">
        <v>1.444027356020942</v>
      </c>
      <c r="N28" s="24">
        <v>2.9302530797751398</v>
      </c>
      <c r="O28" s="24">
        <v>0.42526390949921899</v>
      </c>
      <c r="P28" s="24">
        <v>5.0062187904139002</v>
      </c>
      <c r="Q28" s="24">
        <v>0.20498145191905598</v>
      </c>
      <c r="R28" s="24">
        <v>1.8724526113942235</v>
      </c>
      <c r="S28" s="24">
        <v>0.85610009475527515</v>
      </c>
      <c r="T28" s="24">
        <v>0.39822609223548039</v>
      </c>
      <c r="U28" s="24">
        <v>0.27737361599605853</v>
      </c>
      <c r="V28" s="24">
        <v>0.11149646404224922</v>
      </c>
      <c r="W28" s="24">
        <v>0.17705303436567191</v>
      </c>
      <c r="X28" s="24">
        <v>0.13045962336943526</v>
      </c>
      <c r="Y28" s="24">
        <v>0.56848851720295535</v>
      </c>
      <c r="Z28" s="24">
        <v>0.29908833249449479</v>
      </c>
      <c r="AA28" s="24">
        <v>1.781011293328272</v>
      </c>
      <c r="AB28" s="24">
        <v>0.31922782926449489</v>
      </c>
      <c r="AC28" s="24">
        <v>8.2072730081509118</v>
      </c>
      <c r="AD28" s="24">
        <v>20.209450758932476</v>
      </c>
      <c r="AE28" s="128">
        <f t="shared" si="6"/>
        <v>2.0209450758932476E-2</v>
      </c>
      <c r="AF28" s="24">
        <f t="shared" si="0"/>
        <v>8.3379790407179346</v>
      </c>
      <c r="AG28" s="601">
        <f t="shared" si="2"/>
        <v>0.44718473565769429</v>
      </c>
      <c r="AH28" s="24">
        <f t="shared" si="1"/>
        <v>10.307512130743678</v>
      </c>
      <c r="AI28" s="601">
        <f t="shared" si="3"/>
        <v>0.55281526434230566</v>
      </c>
      <c r="AJ28" s="24">
        <f t="shared" si="4"/>
        <v>18.645491171461614</v>
      </c>
    </row>
    <row r="29" spans="1:36">
      <c r="A29" s="26" t="s">
        <v>223</v>
      </c>
      <c r="B29" s="30" t="s">
        <v>224</v>
      </c>
      <c r="C29" s="30" t="s">
        <v>170</v>
      </c>
      <c r="D29" s="54">
        <v>-64</v>
      </c>
      <c r="E29" s="30">
        <v>7.39</v>
      </c>
      <c r="F29" s="30">
        <v>726</v>
      </c>
      <c r="G29" s="30">
        <v>-175</v>
      </c>
      <c r="H29" s="30">
        <f t="shared" si="5"/>
        <v>2.9574999999999996</v>
      </c>
      <c r="I29" s="31">
        <v>4.2709999999999999</v>
      </c>
      <c r="J29" s="31">
        <v>39</v>
      </c>
      <c r="K29" s="31">
        <v>1.8802000000000001</v>
      </c>
      <c r="L29" s="31">
        <v>5.3433333333333333E-2</v>
      </c>
      <c r="M29" s="31">
        <v>21.539003490401392</v>
      </c>
      <c r="N29" s="31">
        <v>5.5635663777949604</v>
      </c>
      <c r="O29" s="31">
        <v>0.61010908890698301</v>
      </c>
      <c r="P29" s="31">
        <v>4.9156422106592954</v>
      </c>
      <c r="Q29" s="31">
        <v>0.28076004942676175</v>
      </c>
      <c r="R29" s="31">
        <v>1.9975960109275732</v>
      </c>
      <c r="S29" s="31">
        <v>0.99359076711242156</v>
      </c>
      <c r="T29" s="31">
        <v>0.41351013824702076</v>
      </c>
      <c r="U29" s="31">
        <v>0.24820839806841666</v>
      </c>
      <c r="V29" s="31">
        <v>0.10058975083056164</v>
      </c>
      <c r="W29" s="31">
        <v>0.20099588138499627</v>
      </c>
      <c r="X29" s="31">
        <v>9.4731973007775319E-2</v>
      </c>
      <c r="Y29" s="31">
        <v>0.48010002240708993</v>
      </c>
      <c r="Z29" s="31">
        <v>0.25059342060174916</v>
      </c>
      <c r="AA29" s="31">
        <v>1.8293580545756889</v>
      </c>
      <c r="AB29" s="31">
        <v>0.31141321110578907</v>
      </c>
      <c r="AC29" s="31">
        <v>9.9144189935901714</v>
      </c>
      <c r="AD29" s="31">
        <v>22.031508881945314</v>
      </c>
      <c r="AE29" s="130">
        <f t="shared" si="6"/>
        <v>2.2031508881945314E-2</v>
      </c>
      <c r="AF29" s="24">
        <f t="shared" si="0"/>
        <v>8.601099176373074</v>
      </c>
      <c r="AG29" s="601">
        <f t="shared" si="2"/>
        <v>0.41639129830989496</v>
      </c>
      <c r="AH29" s="24">
        <f t="shared" si="1"/>
        <v>12.055190259271649</v>
      </c>
      <c r="AI29" s="601">
        <f t="shared" si="3"/>
        <v>0.58360870169010504</v>
      </c>
      <c r="AJ29" s="24">
        <f t="shared" si="4"/>
        <v>20.656289435644723</v>
      </c>
    </row>
    <row r="30" spans="1:36">
      <c r="A30" s="25" t="s">
        <v>225</v>
      </c>
      <c r="B30" s="48" t="s">
        <v>226</v>
      </c>
      <c r="C30" t="s">
        <v>175</v>
      </c>
      <c r="D30" s="53">
        <v>-7</v>
      </c>
      <c r="E30">
        <v>7.09</v>
      </c>
      <c r="F30">
        <v>1419</v>
      </c>
      <c r="G30">
        <v>-264</v>
      </c>
      <c r="H30">
        <f t="shared" si="5"/>
        <v>4.4615999999999998</v>
      </c>
      <c r="I30" s="24">
        <v>19.47</v>
      </c>
      <c r="J30" s="24">
        <v>176</v>
      </c>
      <c r="K30" s="24">
        <v>0.46910000000000002</v>
      </c>
      <c r="L30" s="24">
        <v>0.62338888888888899</v>
      </c>
      <c r="M30" s="24">
        <v>1.8668088568935424</v>
      </c>
      <c r="N30" s="24">
        <v>11.082864877668699</v>
      </c>
      <c r="O30" s="24">
        <v>0.62776146491174201</v>
      </c>
      <c r="P30" s="45">
        <v>205.9155923103371</v>
      </c>
      <c r="Q30" s="45">
        <v>6.742132079781868</v>
      </c>
      <c r="R30" s="45">
        <v>237.12771403741178</v>
      </c>
      <c r="S30" s="45">
        <v>230.7021326675189</v>
      </c>
      <c r="T30" s="45">
        <v>103.90823879474463</v>
      </c>
      <c r="U30" s="45">
        <v>45.26477680830601</v>
      </c>
      <c r="V30" s="45">
        <v>24.7471399552858</v>
      </c>
      <c r="W30" s="45">
        <v>127.97203963451966</v>
      </c>
      <c r="X30" s="45">
        <v>38.775585806957878</v>
      </c>
      <c r="Y30" s="45">
        <v>319.19519680317194</v>
      </c>
      <c r="Z30" s="45">
        <v>144.9358317279509</v>
      </c>
      <c r="AA30" s="45">
        <v>85.722445741297321</v>
      </c>
      <c r="AB30" s="45">
        <v>943.82779004978011</v>
      </c>
      <c r="AC30" s="45">
        <v>7168.3711504304056</v>
      </c>
      <c r="AD30" s="45">
        <v>9683.2077668474703</v>
      </c>
      <c r="AE30" s="207">
        <f t="shared" si="6"/>
        <v>9.6832077668474703</v>
      </c>
      <c r="AF30" s="24">
        <f t="shared" si="0"/>
        <v>784.39580988979424</v>
      </c>
      <c r="AG30" s="601">
        <f t="shared" si="2"/>
        <v>8.732666557682725E-2</v>
      </c>
      <c r="AH30" s="24">
        <f t="shared" si="1"/>
        <v>8197.9213862214838</v>
      </c>
      <c r="AI30" s="601">
        <f t="shared" si="3"/>
        <v>0.91267333442317267</v>
      </c>
      <c r="AJ30" s="24">
        <f t="shared" si="4"/>
        <v>8982.3171961112785</v>
      </c>
    </row>
    <row r="31" spans="1:36">
      <c r="A31" s="25" t="s">
        <v>227</v>
      </c>
      <c r="B31" t="s">
        <v>228</v>
      </c>
      <c r="C31" t="s">
        <v>175</v>
      </c>
      <c r="D31" s="3">
        <v>-8.5</v>
      </c>
      <c r="E31">
        <v>7.02</v>
      </c>
      <c r="F31">
        <v>1332</v>
      </c>
      <c r="G31">
        <v>-249</v>
      </c>
      <c r="H31">
        <f t="shared" si="5"/>
        <v>4.2080999999999991</v>
      </c>
      <c r="I31" s="24">
        <v>15.27</v>
      </c>
      <c r="J31" s="24">
        <v>101</v>
      </c>
      <c r="K31" s="24">
        <v>0.52170000000000005</v>
      </c>
      <c r="L31" s="24">
        <v>0.26716666666666661</v>
      </c>
      <c r="M31" s="24">
        <v>1.4690228839441533</v>
      </c>
      <c r="N31" s="24">
        <v>6.8814461681478001</v>
      </c>
      <c r="O31" s="24">
        <v>0.71619651647447702</v>
      </c>
      <c r="P31" s="45">
        <v>304.61574498850337</v>
      </c>
      <c r="Q31" s="45">
        <v>1.6531267087965367</v>
      </c>
      <c r="R31" s="45">
        <v>68.673518358309664</v>
      </c>
      <c r="S31" s="45">
        <v>27.329069201621554</v>
      </c>
      <c r="T31" s="45">
        <v>18.806226608951196</v>
      </c>
      <c r="U31" s="45">
        <v>13.448469913469152</v>
      </c>
      <c r="V31" s="45">
        <v>9.0119991883972084</v>
      </c>
      <c r="W31" s="45">
        <v>8.3044519930766771</v>
      </c>
      <c r="X31" s="45">
        <v>16.290716488467194</v>
      </c>
      <c r="Y31" s="45">
        <v>26.54494091762886</v>
      </c>
      <c r="Z31" s="45">
        <v>36.065539933807131</v>
      </c>
      <c r="AA31" s="45">
        <v>18.203513887578371</v>
      </c>
      <c r="AB31" s="45">
        <v>188.99909991861452</v>
      </c>
      <c r="AC31" s="45">
        <v>591.66172271344794</v>
      </c>
      <c r="AD31" s="45">
        <v>1329.6081408206694</v>
      </c>
      <c r="AE31" s="207">
        <f t="shared" si="6"/>
        <v>1.3296081408206695</v>
      </c>
      <c r="AF31" s="24">
        <f t="shared" si="0"/>
        <v>421.07768586618232</v>
      </c>
      <c r="AG31" s="601">
        <f t="shared" si="2"/>
        <v>0.34516204716244364</v>
      </c>
      <c r="AH31" s="24">
        <f t="shared" si="1"/>
        <v>798.8643365196408</v>
      </c>
      <c r="AI31" s="601">
        <f t="shared" si="3"/>
        <v>0.65483795283755641</v>
      </c>
      <c r="AJ31" s="24">
        <f t="shared" si="4"/>
        <v>1219.9420223858231</v>
      </c>
    </row>
    <row r="32" spans="1:36">
      <c r="A32" s="25" t="s">
        <v>229</v>
      </c>
      <c r="B32" s="48" t="s">
        <v>230</v>
      </c>
      <c r="C32" t="s">
        <v>175</v>
      </c>
      <c r="D32" s="53">
        <v>-10.5</v>
      </c>
      <c r="E32">
        <v>7</v>
      </c>
      <c r="F32">
        <v>1308</v>
      </c>
      <c r="G32">
        <v>-253</v>
      </c>
      <c r="H32">
        <f t="shared" si="5"/>
        <v>4.2756999999999996</v>
      </c>
      <c r="I32" s="24">
        <v>14.84</v>
      </c>
      <c r="J32" s="24">
        <v>42</v>
      </c>
      <c r="K32" s="24">
        <v>0.97370000000000001</v>
      </c>
      <c r="L32" s="24">
        <v>0.23154444444444441</v>
      </c>
      <c r="M32" s="24">
        <v>1.7268339005235598</v>
      </c>
      <c r="N32" s="24">
        <v>6.4321751667865703</v>
      </c>
      <c r="O32" s="24">
        <v>0.51059962649233603</v>
      </c>
      <c r="P32" s="45">
        <v>154.87800968453448</v>
      </c>
      <c r="Q32" s="45">
        <v>1.5070765952543057</v>
      </c>
      <c r="R32" s="45">
        <v>66.924919412236903</v>
      </c>
      <c r="S32" s="45">
        <v>85.556420338411471</v>
      </c>
      <c r="T32" s="45">
        <v>1.9354381290061089</v>
      </c>
      <c r="U32" s="45">
        <v>18.726241847099718</v>
      </c>
      <c r="V32" s="45">
        <v>22.151640910430636</v>
      </c>
      <c r="W32" s="45">
        <v>0.3267575654170472</v>
      </c>
      <c r="X32" s="45">
        <v>18.482520026228332</v>
      </c>
      <c r="Y32" s="45">
        <v>1.354691799390791</v>
      </c>
      <c r="Z32" s="45">
        <v>49.212202187475853</v>
      </c>
      <c r="AA32" s="45">
        <v>158.22317301699664</v>
      </c>
      <c r="AB32" s="45">
        <v>6.6764814645092301</v>
      </c>
      <c r="AC32" s="45">
        <v>21.035551510641383</v>
      </c>
      <c r="AD32" s="45">
        <v>606.99112448763299</v>
      </c>
      <c r="AE32" s="207">
        <f t="shared" si="6"/>
        <v>0.60699112448763304</v>
      </c>
      <c r="AF32" s="24">
        <f t="shared" si="0"/>
        <v>310.80186415944331</v>
      </c>
      <c r="AG32" s="601">
        <f t="shared" si="2"/>
        <v>0.62568687306666093</v>
      </c>
      <c r="AH32" s="24">
        <f t="shared" si="1"/>
        <v>185.93520599214725</v>
      </c>
      <c r="AI32" s="601">
        <f t="shared" si="3"/>
        <v>0.37431312693333901</v>
      </c>
      <c r="AJ32" s="24">
        <f t="shared" si="4"/>
        <v>496.73707015159056</v>
      </c>
    </row>
    <row r="33" spans="1:36">
      <c r="A33" s="25" t="s">
        <v>231</v>
      </c>
      <c r="B33" t="s">
        <v>232</v>
      </c>
      <c r="C33" t="s">
        <v>175</v>
      </c>
      <c r="D33" s="3">
        <v>-12</v>
      </c>
      <c r="E33">
        <v>6.95</v>
      </c>
      <c r="F33">
        <v>1203</v>
      </c>
      <c r="G33">
        <v>-248</v>
      </c>
      <c r="H33">
        <f t="shared" si="5"/>
        <v>4.1912000000000003</v>
      </c>
      <c r="I33" s="24">
        <v>14.93</v>
      </c>
      <c r="J33" s="24">
        <v>29</v>
      </c>
      <c r="K33" s="24">
        <v>2.8853</v>
      </c>
      <c r="L33" s="24">
        <v>0.19592222222222222</v>
      </c>
      <c r="M33" s="24">
        <v>0.90340979493891793</v>
      </c>
      <c r="N33" s="24">
        <v>4.6566704177515899</v>
      </c>
      <c r="O33" s="24">
        <v>1.1679238937693499</v>
      </c>
      <c r="P33" s="45">
        <v>196.6582630170486</v>
      </c>
      <c r="Q33" s="45">
        <v>3.1221013948652598</v>
      </c>
      <c r="R33" s="45">
        <v>298.65731870727296</v>
      </c>
      <c r="S33" s="45">
        <v>382.25958169939901</v>
      </c>
      <c r="T33" s="45">
        <v>11.120489434093376</v>
      </c>
      <c r="U33" s="45">
        <v>35.646331058143431</v>
      </c>
      <c r="V33" s="45">
        <v>46.792737239292236</v>
      </c>
      <c r="W33" s="45">
        <v>0.56210067376704609</v>
      </c>
      <c r="X33" s="45">
        <v>23.138539407997712</v>
      </c>
      <c r="Y33" s="45">
        <v>50.688265788643676</v>
      </c>
      <c r="Z33" s="45">
        <v>50.659597756409468</v>
      </c>
      <c r="AA33" s="45">
        <v>239.39824447227795</v>
      </c>
      <c r="AB33" s="45">
        <v>432.71195778058672</v>
      </c>
      <c r="AC33" s="45">
        <v>175.16905334822755</v>
      </c>
      <c r="AD33" s="45">
        <v>1946.5845817780255</v>
      </c>
      <c r="AE33" s="207">
        <f t="shared" si="6"/>
        <v>1.9465845817780254</v>
      </c>
      <c r="AF33" s="24">
        <f t="shared" si="0"/>
        <v>891.81775425267926</v>
      </c>
      <c r="AG33" s="601">
        <f t="shared" si="2"/>
        <v>0.51280506446714325</v>
      </c>
      <c r="AH33" s="24">
        <f t="shared" si="1"/>
        <v>847.27925560109213</v>
      </c>
      <c r="AI33" s="601">
        <f t="shared" si="3"/>
        <v>0.48719493553285675</v>
      </c>
      <c r="AJ33" s="24">
        <f t="shared" si="4"/>
        <v>1739.0970098537714</v>
      </c>
    </row>
    <row r="34" spans="1:36">
      <c r="A34" s="25" t="s">
        <v>233</v>
      </c>
      <c r="B34" s="48" t="s">
        <v>234</v>
      </c>
      <c r="C34" t="s">
        <v>175</v>
      </c>
      <c r="D34" s="53">
        <v>-14</v>
      </c>
      <c r="E34">
        <v>7</v>
      </c>
      <c r="F34">
        <v>1151</v>
      </c>
      <c r="G34">
        <v>-292</v>
      </c>
      <c r="H34">
        <f t="shared" si="5"/>
        <v>4.9347999999999992</v>
      </c>
      <c r="I34" s="24">
        <v>17.88</v>
      </c>
      <c r="J34" s="24">
        <v>88</v>
      </c>
      <c r="K34" s="24">
        <v>3.2147999999999999</v>
      </c>
      <c r="L34" s="24">
        <v>1.1933444444444445</v>
      </c>
      <c r="M34" s="24">
        <v>2.4502758944153578</v>
      </c>
      <c r="N34" s="24">
        <v>1.6005894160555101</v>
      </c>
      <c r="O34" s="24">
        <v>1.0853119418153701</v>
      </c>
      <c r="P34" s="45">
        <v>220.54664421504623</v>
      </c>
      <c r="Q34" s="45">
        <v>24.919135638665892</v>
      </c>
      <c r="R34" s="45">
        <v>896.0214242585904</v>
      </c>
      <c r="S34" s="45">
        <v>522.60994997570333</v>
      </c>
      <c r="T34" s="45">
        <v>324.05410503566617</v>
      </c>
      <c r="U34" s="45">
        <v>99.152047699818283</v>
      </c>
      <c r="V34" s="45">
        <v>25.695650565661186</v>
      </c>
      <c r="W34" s="45">
        <v>171.45773493273001</v>
      </c>
      <c r="X34" s="45">
        <v>61.144182195425842</v>
      </c>
      <c r="Y34" s="45">
        <v>366.52973981884571</v>
      </c>
      <c r="Z34" s="45">
        <v>176.95135160641399</v>
      </c>
      <c r="AA34" s="45">
        <v>416.03804724526077</v>
      </c>
      <c r="AB34" s="45">
        <v>1125.5353820886414</v>
      </c>
      <c r="AC34" s="45">
        <v>5692.5028479965613</v>
      </c>
      <c r="AD34" s="45">
        <v>10123.158243273032</v>
      </c>
      <c r="AE34" s="207">
        <f t="shared" si="6"/>
        <v>10.123158243273032</v>
      </c>
      <c r="AF34" s="24">
        <f t="shared" si="0"/>
        <v>1988.1512591236722</v>
      </c>
      <c r="AG34" s="601">
        <f t="shared" si="2"/>
        <v>0.2155825424242459</v>
      </c>
      <c r="AH34" s="24">
        <f t="shared" si="1"/>
        <v>7234.0762773304632</v>
      </c>
      <c r="AI34" s="601">
        <f t="shared" si="3"/>
        <v>0.78441745757575421</v>
      </c>
      <c r="AJ34" s="24">
        <f t="shared" si="4"/>
        <v>9222.2275364541347</v>
      </c>
    </row>
    <row r="35" spans="1:36">
      <c r="A35" s="25" t="s">
        <v>235</v>
      </c>
      <c r="B35" s="48" t="s">
        <v>236</v>
      </c>
      <c r="C35" t="s">
        <v>175</v>
      </c>
      <c r="D35" s="53">
        <v>-15.5</v>
      </c>
      <c r="E35">
        <v>7.08</v>
      </c>
      <c r="F35">
        <v>1269</v>
      </c>
      <c r="G35">
        <v>-244</v>
      </c>
      <c r="H35">
        <f t="shared" si="5"/>
        <v>4.1235999999999997</v>
      </c>
      <c r="I35" s="24">
        <v>12.67</v>
      </c>
      <c r="J35" s="24">
        <v>136</v>
      </c>
      <c r="K35" s="24">
        <v>2.6116999999999999</v>
      </c>
      <c r="L35" s="24">
        <v>0.10686666666666667</v>
      </c>
      <c r="M35" s="24">
        <v>912.20107918848146</v>
      </c>
      <c r="N35" s="24">
        <v>2.0326463153345502</v>
      </c>
      <c r="O35" s="24">
        <v>1.3445663786947799</v>
      </c>
      <c r="P35" s="45">
        <v>193.49219336161133</v>
      </c>
      <c r="Q35" s="45">
        <v>1.0587239047117816</v>
      </c>
      <c r="R35" s="45">
        <v>67.138965409993475</v>
      </c>
      <c r="S35" s="45">
        <v>9.9234214781319636</v>
      </c>
      <c r="T35" s="45">
        <v>7.8780868983082328</v>
      </c>
      <c r="U35" s="45">
        <v>31.652205535450818</v>
      </c>
      <c r="V35" s="45">
        <v>8.7257327481206541</v>
      </c>
      <c r="W35" s="45">
        <v>15.977559795127142</v>
      </c>
      <c r="X35" s="45">
        <v>29.531916839715713</v>
      </c>
      <c r="Y35" s="45">
        <v>15.739376702752294</v>
      </c>
      <c r="Z35" s="45">
        <v>12.35988828863522</v>
      </c>
      <c r="AA35" s="45">
        <v>57.049950912991328</v>
      </c>
      <c r="AB35" s="45">
        <v>27.553327036087662</v>
      </c>
      <c r="AC35" s="45">
        <v>229.18229351917645</v>
      </c>
      <c r="AD35" s="45">
        <v>707.26364243081412</v>
      </c>
      <c r="AE35" s="207">
        <f t="shared" si="6"/>
        <v>0.70726364243081408</v>
      </c>
      <c r="AF35" s="24">
        <f t="shared" ref="AF35:AF53" si="7">SUM(P35:T35)</f>
        <v>279.4913910527568</v>
      </c>
      <c r="AG35" s="601">
        <f t="shared" si="2"/>
        <v>0.47109766383834256</v>
      </c>
      <c r="AH35" s="24">
        <f t="shared" ref="AH35:AH54" si="8">SUM(AA35:AC35)</f>
        <v>313.78557146825545</v>
      </c>
      <c r="AI35" s="601">
        <f t="shared" si="3"/>
        <v>0.52890233616165738</v>
      </c>
      <c r="AJ35" s="24">
        <f t="shared" si="4"/>
        <v>593.27696252101225</v>
      </c>
    </row>
    <row r="36" spans="1:36">
      <c r="A36" s="25" t="s">
        <v>237</v>
      </c>
      <c r="B36" t="s">
        <v>238</v>
      </c>
      <c r="C36" t="s">
        <v>175</v>
      </c>
      <c r="D36" s="3">
        <v>-17</v>
      </c>
      <c r="E36">
        <v>7.2</v>
      </c>
      <c r="F36">
        <v>1257</v>
      </c>
      <c r="G36">
        <v>-258</v>
      </c>
      <c r="H36">
        <f t="shared" si="5"/>
        <v>4.3601999999999999</v>
      </c>
      <c r="I36" s="24">
        <v>8.6199999999999992</v>
      </c>
      <c r="J36" s="24">
        <v>204</v>
      </c>
      <c r="K36" s="24">
        <v>2.7376999999999998</v>
      </c>
      <c r="L36" s="24">
        <v>8.9055555555555554E-2</v>
      </c>
      <c r="M36" s="24">
        <v>15.235845506108204</v>
      </c>
      <c r="N36" s="24">
        <v>4.0587019959145696</v>
      </c>
      <c r="O36" s="24">
        <v>0.91956714965754005</v>
      </c>
      <c r="P36" s="45">
        <v>42.452859440310782</v>
      </c>
      <c r="Q36" s="45">
        <v>0.4379067293276066</v>
      </c>
      <c r="R36" s="45">
        <v>10.396247924160127</v>
      </c>
      <c r="S36" s="45">
        <v>5.2251411951677778</v>
      </c>
      <c r="T36" s="45">
        <v>2.6194072061319607</v>
      </c>
      <c r="U36" s="45">
        <v>8.8085184146352464</v>
      </c>
      <c r="V36" s="45">
        <v>1.966376894074833</v>
      </c>
      <c r="W36" s="45">
        <v>6.4216690979363333</v>
      </c>
      <c r="X36" s="45">
        <v>5.948410793223859</v>
      </c>
      <c r="Y36" s="45">
        <v>14.082161254545069</v>
      </c>
      <c r="Z36" s="45">
        <v>7.4940406179516108</v>
      </c>
      <c r="AA36" s="45">
        <v>28.53151176382017</v>
      </c>
      <c r="AB36" s="45">
        <v>9.6444997913360186</v>
      </c>
      <c r="AC36" s="45">
        <v>161.67258332592905</v>
      </c>
      <c r="AD36" s="45">
        <v>305.70133444855048</v>
      </c>
      <c r="AE36" s="207">
        <f t="shared" si="6"/>
        <v>0.30570133444855047</v>
      </c>
      <c r="AF36" s="24">
        <f t="shared" si="7"/>
        <v>61.131562495098258</v>
      </c>
      <c r="AG36" s="601">
        <f t="shared" si="2"/>
        <v>0.2342383540177794</v>
      </c>
      <c r="AH36" s="24">
        <f t="shared" si="8"/>
        <v>199.84859488108523</v>
      </c>
      <c r="AI36" s="601">
        <f t="shared" si="3"/>
        <v>0.76576164598222052</v>
      </c>
      <c r="AJ36" s="24">
        <f t="shared" si="4"/>
        <v>260.98015737618351</v>
      </c>
    </row>
    <row r="37" spans="1:36">
      <c r="A37" s="25" t="s">
        <v>239</v>
      </c>
      <c r="B37" s="48" t="s">
        <v>240</v>
      </c>
      <c r="C37" t="s">
        <v>191</v>
      </c>
      <c r="D37" s="3">
        <v>-20</v>
      </c>
      <c r="E37">
        <v>7.31</v>
      </c>
      <c r="F37">
        <v>1233</v>
      </c>
      <c r="G37">
        <v>-227</v>
      </c>
      <c r="H37">
        <f t="shared" si="5"/>
        <v>3.8362999999999996</v>
      </c>
      <c r="I37" s="24">
        <v>5.3819999999999997</v>
      </c>
      <c r="J37" s="24">
        <v>169</v>
      </c>
      <c r="K37" s="24">
        <v>2.875</v>
      </c>
      <c r="L37" s="24">
        <v>3.5622222222222229E-2</v>
      </c>
      <c r="M37" s="24">
        <v>3.9964278359511334</v>
      </c>
      <c r="N37" s="24">
        <v>14.889529466079001</v>
      </c>
      <c r="O37" s="24">
        <v>1.65358823793106</v>
      </c>
      <c r="P37" s="24">
        <v>5.4977812598922906</v>
      </c>
      <c r="Q37" s="24">
        <v>0.22749742069558179</v>
      </c>
      <c r="R37" s="24">
        <v>2.2368150383922547</v>
      </c>
      <c r="S37" s="24">
        <v>0.94321536383734816</v>
      </c>
      <c r="T37" s="24">
        <v>0.46767799583571334</v>
      </c>
      <c r="U37" s="24">
        <v>0.30054470576416686</v>
      </c>
      <c r="V37" s="24">
        <v>0.13548486937175888</v>
      </c>
      <c r="W37" s="24">
        <v>0.21599895602765332</v>
      </c>
      <c r="X37" s="24">
        <v>0.16200039329863125</v>
      </c>
      <c r="Y37" s="24">
        <v>0.66141085371625019</v>
      </c>
      <c r="Z37" s="24">
        <v>0.37878788036998545</v>
      </c>
      <c r="AA37" s="24">
        <v>1.8926243421063791</v>
      </c>
      <c r="AB37" s="24">
        <v>1.022255244301508</v>
      </c>
      <c r="AC37" s="24">
        <v>12.187540970639652</v>
      </c>
      <c r="AD37" s="24">
        <v>26.329635294249172</v>
      </c>
      <c r="AE37" s="128">
        <f t="shared" si="6"/>
        <v>2.6329635294249171E-2</v>
      </c>
      <c r="AF37" s="24">
        <f t="shared" si="7"/>
        <v>9.3729870786531873</v>
      </c>
      <c r="AG37" s="601">
        <f t="shared" si="2"/>
        <v>0.38295530020024693</v>
      </c>
      <c r="AH37" s="24">
        <f t="shared" si="8"/>
        <v>15.102420557047539</v>
      </c>
      <c r="AI37" s="601">
        <f t="shared" si="3"/>
        <v>0.61704469979975307</v>
      </c>
      <c r="AJ37" s="24">
        <f t="shared" si="4"/>
        <v>24.475407635700726</v>
      </c>
    </row>
    <row r="38" spans="1:36">
      <c r="A38" s="25" t="s">
        <v>241</v>
      </c>
      <c r="B38" t="s">
        <v>242</v>
      </c>
      <c r="C38" t="s">
        <v>191</v>
      </c>
      <c r="D38" s="3">
        <v>-23.5</v>
      </c>
      <c r="E38">
        <v>7.32</v>
      </c>
      <c r="F38">
        <v>1379</v>
      </c>
      <c r="G38">
        <v>-225</v>
      </c>
      <c r="H38">
        <f t="shared" si="5"/>
        <v>3.8024999999999993</v>
      </c>
      <c r="I38" s="24">
        <v>5.3410000000000002</v>
      </c>
      <c r="J38" s="24">
        <v>204</v>
      </c>
      <c r="K38" s="24">
        <v>2.7376999999999998</v>
      </c>
      <c r="L38" s="24">
        <v>5.3433333333333333E-2</v>
      </c>
      <c r="M38" s="24">
        <v>2.4731289485165791</v>
      </c>
      <c r="N38" s="24">
        <v>15.026182223749601</v>
      </c>
      <c r="O38" s="24">
        <v>1.4641103789172401</v>
      </c>
      <c r="P38" s="24">
        <v>6.2150273180993114</v>
      </c>
      <c r="Q38" s="24">
        <v>0.23121118994107398</v>
      </c>
      <c r="R38" s="24">
        <v>0.88173363759641588</v>
      </c>
      <c r="S38" s="24">
        <v>0.61885934349170668</v>
      </c>
      <c r="T38" s="24">
        <v>0.36872093397032757</v>
      </c>
      <c r="U38" s="24">
        <v>0.2516114091819554</v>
      </c>
      <c r="V38" s="24">
        <v>0.14076423243224198</v>
      </c>
      <c r="W38" s="24">
        <v>0.27755972642936722</v>
      </c>
      <c r="X38" s="24">
        <v>0.13587820383409888</v>
      </c>
      <c r="Y38" s="24">
        <v>0.76504326193058336</v>
      </c>
      <c r="Z38" s="24">
        <v>0.40339933197694988</v>
      </c>
      <c r="AA38" s="24">
        <v>0.46777474452466339</v>
      </c>
      <c r="AB38" s="24">
        <v>2.0969888542967325</v>
      </c>
      <c r="AC38" s="24">
        <v>15.626522295104753</v>
      </c>
      <c r="AD38" s="24">
        <v>28.481094482810178</v>
      </c>
      <c r="AE38" s="128">
        <f t="shared" si="6"/>
        <v>2.8481094482810179E-2</v>
      </c>
      <c r="AF38" s="24">
        <f t="shared" si="7"/>
        <v>8.3155524230988362</v>
      </c>
      <c r="AG38" s="601">
        <f t="shared" si="2"/>
        <v>0.31371347739190264</v>
      </c>
      <c r="AH38" s="24">
        <f t="shared" si="8"/>
        <v>18.19128589392615</v>
      </c>
      <c r="AI38" s="601">
        <f t="shared" si="3"/>
        <v>0.68628652260809742</v>
      </c>
      <c r="AJ38" s="24">
        <f t="shared" si="4"/>
        <v>26.506838317024986</v>
      </c>
    </row>
    <row r="39" spans="1:36">
      <c r="A39" s="25" t="s">
        <v>243</v>
      </c>
      <c r="B39" t="s">
        <v>244</v>
      </c>
      <c r="C39" t="s">
        <v>191</v>
      </c>
      <c r="D39" s="3">
        <v>-26</v>
      </c>
      <c r="E39">
        <v>7.19</v>
      </c>
      <c r="F39">
        <v>1316</v>
      </c>
      <c r="G39">
        <v>-192</v>
      </c>
      <c r="H39">
        <f t="shared" si="5"/>
        <v>3.2447999999999997</v>
      </c>
      <c r="I39" s="24">
        <v>5.1509999999999998</v>
      </c>
      <c r="J39" s="24">
        <v>169</v>
      </c>
      <c r="K39" s="24">
        <v>2.875</v>
      </c>
      <c r="L39" s="24">
        <v>7.1244444444444457E-2</v>
      </c>
      <c r="M39" s="24">
        <v>2.2338860383944157</v>
      </c>
      <c r="N39" s="24">
        <v>11.6569911158049</v>
      </c>
      <c r="O39" s="24">
        <v>1.26282141564323</v>
      </c>
      <c r="P39" s="24">
        <v>5.3111540470089897</v>
      </c>
      <c r="Q39" s="24">
        <v>0.19589168729236831</v>
      </c>
      <c r="R39" s="24">
        <v>0.93918907335522961</v>
      </c>
      <c r="S39" s="24">
        <v>0.31877231911302956</v>
      </c>
      <c r="T39" s="24">
        <v>0.26429798439080021</v>
      </c>
      <c r="U39" s="24">
        <v>0.32343609142645763</v>
      </c>
      <c r="V39" s="24">
        <v>0.15683406264661082</v>
      </c>
      <c r="W39" s="24">
        <v>0.10173491748476789</v>
      </c>
      <c r="X39" s="24">
        <v>0.23292996009398714</v>
      </c>
      <c r="Y39" s="24">
        <v>0.45921359536109613</v>
      </c>
      <c r="Z39" s="24">
        <v>0.43356965889729399</v>
      </c>
      <c r="AA39" s="24">
        <v>1.2572462873431416</v>
      </c>
      <c r="AB39" s="24">
        <v>1.3601680101463489</v>
      </c>
      <c r="AC39" s="24">
        <v>8.433111201871661</v>
      </c>
      <c r="AD39" s="24">
        <v>19.78754889643178</v>
      </c>
      <c r="AE39" s="128">
        <f t="shared" si="6"/>
        <v>1.9787548896431778E-2</v>
      </c>
      <c r="AF39" s="24">
        <f t="shared" si="7"/>
        <v>7.0293051111604168</v>
      </c>
      <c r="AG39" s="601">
        <f t="shared" si="2"/>
        <v>0.38879264206544656</v>
      </c>
      <c r="AH39" s="24">
        <f t="shared" si="8"/>
        <v>11.050525499361152</v>
      </c>
      <c r="AI39" s="601">
        <f t="shared" si="3"/>
        <v>0.61120735793455339</v>
      </c>
      <c r="AJ39" s="24">
        <f t="shared" si="4"/>
        <v>18.079830610521569</v>
      </c>
    </row>
    <row r="40" spans="1:36">
      <c r="A40" s="25" t="s">
        <v>245</v>
      </c>
      <c r="B40" s="48" t="s">
        <v>246</v>
      </c>
      <c r="C40" t="s">
        <v>191</v>
      </c>
      <c r="D40" s="3">
        <v>-43</v>
      </c>
      <c r="E40">
        <v>7.19</v>
      </c>
      <c r="F40">
        <v>1314</v>
      </c>
      <c r="G40">
        <v>-183</v>
      </c>
      <c r="H40">
        <f t="shared" si="5"/>
        <v>3.0926999999999998</v>
      </c>
      <c r="I40" s="24">
        <v>5.4160000000000004</v>
      </c>
      <c r="J40" s="24">
        <v>141</v>
      </c>
      <c r="K40" s="24">
        <v>2.7511000000000001</v>
      </c>
      <c r="L40" s="24">
        <v>8.9055555555555554E-2</v>
      </c>
      <c r="M40" s="24">
        <v>2.0396350785340314</v>
      </c>
      <c r="N40" s="24">
        <v>9.0513954763816606</v>
      </c>
      <c r="O40" s="24">
        <v>0.59165561802057098</v>
      </c>
      <c r="P40" s="24">
        <v>5.4541213384435219</v>
      </c>
      <c r="Q40" s="24">
        <v>1.227295277350219</v>
      </c>
      <c r="R40" s="24">
        <v>1.8124061993007381</v>
      </c>
      <c r="S40" s="24">
        <v>1.453457305317748</v>
      </c>
      <c r="T40" s="24">
        <v>1.7834468622890089</v>
      </c>
      <c r="U40" s="24">
        <v>0.24522132655376722</v>
      </c>
      <c r="V40" s="24">
        <v>0.12411857548175284</v>
      </c>
      <c r="W40" s="24">
        <v>0.14506235508717932</v>
      </c>
      <c r="X40" s="24">
        <v>0.11160716743075885</v>
      </c>
      <c r="Y40" s="24">
        <v>0.67011761877014031</v>
      </c>
      <c r="Z40" s="24">
        <v>0.46056670302115621</v>
      </c>
      <c r="AA40" s="24">
        <v>1.4549129750552021</v>
      </c>
      <c r="AB40" s="24">
        <v>2.6515599142158002</v>
      </c>
      <c r="AC40" s="24">
        <v>15.844564124914845</v>
      </c>
      <c r="AD40" s="24">
        <v>33.438457743231837</v>
      </c>
      <c r="AE40" s="128">
        <f t="shared" si="6"/>
        <v>3.3438457743231835E-2</v>
      </c>
      <c r="AF40" s="24">
        <f t="shared" si="7"/>
        <v>11.730726982701237</v>
      </c>
      <c r="AG40" s="601">
        <f t="shared" si="2"/>
        <v>0.37026748207119553</v>
      </c>
      <c r="AH40" s="24">
        <f t="shared" si="8"/>
        <v>19.951037014185847</v>
      </c>
      <c r="AI40" s="601">
        <f t="shared" si="3"/>
        <v>0.62973251792880447</v>
      </c>
      <c r="AJ40" s="24">
        <f t="shared" si="4"/>
        <v>31.681763996887085</v>
      </c>
    </row>
    <row r="41" spans="1:36">
      <c r="A41" s="25" t="s">
        <v>247</v>
      </c>
      <c r="B41" t="s">
        <v>248</v>
      </c>
      <c r="C41" t="s">
        <v>191</v>
      </c>
      <c r="D41" s="3">
        <v>-50</v>
      </c>
      <c r="E41">
        <v>7.92</v>
      </c>
      <c r="F41">
        <v>1024</v>
      </c>
      <c r="G41">
        <v>-253</v>
      </c>
      <c r="H41">
        <f t="shared" si="5"/>
        <v>4.2756999999999996</v>
      </c>
      <c r="I41" s="24">
        <v>8.0340000000000007</v>
      </c>
      <c r="J41" s="24">
        <v>97</v>
      </c>
      <c r="K41" s="24">
        <v>2.19</v>
      </c>
      <c r="L41" s="24">
        <v>0.12467777777777779</v>
      </c>
      <c r="M41" s="24">
        <v>2.5038377399650962</v>
      </c>
      <c r="N41" s="24">
        <v>8.9653113300044396</v>
      </c>
      <c r="O41" s="24">
        <v>0.36521838199233198</v>
      </c>
      <c r="P41" s="24">
        <v>5.0839826585564047</v>
      </c>
      <c r="Q41" s="24">
        <v>0.56736272071367377</v>
      </c>
      <c r="R41" s="24">
        <v>0.41077381009881742</v>
      </c>
      <c r="S41" s="24">
        <v>0.48718762181276548</v>
      </c>
      <c r="T41" s="24">
        <v>0.60137231435177707</v>
      </c>
      <c r="U41" s="24">
        <v>0.15053529860022344</v>
      </c>
      <c r="V41" s="24">
        <v>8.5967940517931912E-2</v>
      </c>
      <c r="W41" s="24">
        <v>0.12052843822652036</v>
      </c>
      <c r="X41" s="24">
        <v>5.3017566371902497E-2</v>
      </c>
      <c r="Y41" s="24">
        <v>0.25428836477163602</v>
      </c>
      <c r="Z41" s="24">
        <v>0.18145280306449349</v>
      </c>
      <c r="AA41" s="24">
        <v>0.18001929734659644</v>
      </c>
      <c r="AB41" s="24">
        <v>1.2530120401316702</v>
      </c>
      <c r="AC41" s="24">
        <v>6.1132994912766261</v>
      </c>
      <c r="AD41" s="24">
        <v>15.542800365841039</v>
      </c>
      <c r="AE41" s="128">
        <f t="shared" si="6"/>
        <v>1.5542800365841039E-2</v>
      </c>
      <c r="AF41" s="24">
        <f t="shared" si="7"/>
        <v>7.1506791255334381</v>
      </c>
      <c r="AG41" s="601">
        <f t="shared" si="2"/>
        <v>0.48653972119322103</v>
      </c>
      <c r="AH41" s="24">
        <f t="shared" si="8"/>
        <v>7.5463308287548925</v>
      </c>
      <c r="AI41" s="601">
        <f t="shared" si="3"/>
        <v>0.51346027880677902</v>
      </c>
      <c r="AJ41" s="24">
        <f t="shared" si="4"/>
        <v>14.69700995428833</v>
      </c>
    </row>
    <row r="42" spans="1:36">
      <c r="A42" s="25" t="s">
        <v>249</v>
      </c>
      <c r="B42" t="s">
        <v>250</v>
      </c>
      <c r="C42" t="s">
        <v>191</v>
      </c>
      <c r="D42" s="3">
        <v>-55.5</v>
      </c>
      <c r="E42">
        <v>7.3</v>
      </c>
      <c r="F42">
        <v>1167</v>
      </c>
      <c r="G42">
        <v>-244</v>
      </c>
      <c r="H42">
        <f t="shared" si="5"/>
        <v>4.1235999999999997</v>
      </c>
      <c r="I42" s="24">
        <v>4.1369999999999996</v>
      </c>
      <c r="J42" s="24">
        <v>102</v>
      </c>
      <c r="K42" s="24">
        <v>2.0041000000000002</v>
      </c>
      <c r="L42" s="24">
        <v>7.1244444444444457E-2</v>
      </c>
      <c r="M42" s="24">
        <v>2.3124434118673647</v>
      </c>
      <c r="N42" s="24">
        <v>10.7675128515474</v>
      </c>
      <c r="O42" s="24">
        <v>0.56462842055957596</v>
      </c>
      <c r="P42" s="24">
        <v>5.0615691962574454</v>
      </c>
      <c r="Q42" s="24">
        <v>0.3843782097937935</v>
      </c>
      <c r="R42" s="24">
        <v>3.2330426499742124</v>
      </c>
      <c r="S42" s="24">
        <v>1.8731810644535236</v>
      </c>
      <c r="T42" s="24">
        <v>1.2884718113583635</v>
      </c>
      <c r="U42" s="24">
        <v>0.5488294909292819</v>
      </c>
      <c r="V42" s="24">
        <v>0.18797685801140213</v>
      </c>
      <c r="W42" s="24">
        <v>0.55866960964432522</v>
      </c>
      <c r="X42" s="24">
        <v>0.29929151971833884</v>
      </c>
      <c r="Y42" s="24">
        <v>1.5734196779795018</v>
      </c>
      <c r="Z42" s="24">
        <v>0.80755729709433133</v>
      </c>
      <c r="AA42" s="24">
        <v>1.6309863550204602</v>
      </c>
      <c r="AB42" s="24">
        <v>3.7126755923121419</v>
      </c>
      <c r="AC42" s="24">
        <v>19.709775425781096</v>
      </c>
      <c r="AD42" s="24">
        <v>40.869824758328221</v>
      </c>
      <c r="AE42" s="128">
        <f t="shared" si="6"/>
        <v>4.0869824758328219E-2</v>
      </c>
      <c r="AF42" s="24">
        <f t="shared" si="7"/>
        <v>11.840642931837339</v>
      </c>
      <c r="AG42" s="601">
        <f t="shared" si="2"/>
        <v>0.32093611858508292</v>
      </c>
      <c r="AH42" s="24">
        <f t="shared" si="8"/>
        <v>25.053437373113699</v>
      </c>
      <c r="AI42" s="601">
        <f t="shared" si="3"/>
        <v>0.67906388141491703</v>
      </c>
      <c r="AJ42" s="24">
        <f t="shared" si="4"/>
        <v>36.894080304951039</v>
      </c>
    </row>
    <row r="43" spans="1:36">
      <c r="A43" s="25" t="s">
        <v>251</v>
      </c>
      <c r="B43" t="s">
        <v>252</v>
      </c>
      <c r="C43" t="s">
        <v>191</v>
      </c>
      <c r="D43" s="3">
        <v>-60</v>
      </c>
      <c r="E43">
        <v>7.44</v>
      </c>
      <c r="F43">
        <v>1006</v>
      </c>
      <c r="G43">
        <v>-257</v>
      </c>
      <c r="H43">
        <f t="shared" si="5"/>
        <v>4.3432999999999993</v>
      </c>
      <c r="I43" s="24">
        <v>7.9720000000000004</v>
      </c>
      <c r="J43" s="24">
        <v>74</v>
      </c>
      <c r="K43" s="24">
        <v>1.7074</v>
      </c>
      <c r="L43" s="24">
        <v>0.10686666666666667</v>
      </c>
      <c r="M43" s="24">
        <v>1.3590425610820245</v>
      </c>
      <c r="N43" s="24">
        <v>6.18194213218543</v>
      </c>
      <c r="O43" s="24">
        <v>0.50261468689298805</v>
      </c>
      <c r="P43" s="24">
        <v>5.048706508708773</v>
      </c>
      <c r="Q43" s="24">
        <v>0.40156345824326811</v>
      </c>
      <c r="R43" s="24">
        <v>0.53805929533526664</v>
      </c>
      <c r="S43" s="24">
        <v>0.30190140131357446</v>
      </c>
      <c r="T43" s="24">
        <v>0.33013889177182315</v>
      </c>
      <c r="U43" s="24">
        <v>0.29978760964378193</v>
      </c>
      <c r="V43" s="24">
        <v>0.11395353994951796</v>
      </c>
      <c r="W43" s="24">
        <v>0.11189315952336841</v>
      </c>
      <c r="X43" s="24">
        <v>0.17823478823027544</v>
      </c>
      <c r="Y43" s="24">
        <v>0.30743412122174119</v>
      </c>
      <c r="Z43" s="24">
        <v>0.20837471384370429</v>
      </c>
      <c r="AA43" s="24">
        <v>1.1340942060535126</v>
      </c>
      <c r="AB43" s="24">
        <v>0.71271490592723663</v>
      </c>
      <c r="AC43" s="24">
        <v>5.409437319155507</v>
      </c>
      <c r="AD43" s="24">
        <v>15.096293918921351</v>
      </c>
      <c r="AE43" s="128">
        <f t="shared" si="6"/>
        <v>1.5096293918921351E-2</v>
      </c>
      <c r="AF43" s="24">
        <f t="shared" si="7"/>
        <v>6.6203695553727053</v>
      </c>
      <c r="AG43" s="601">
        <f t="shared" si="2"/>
        <v>0.47708818647205631</v>
      </c>
      <c r="AH43" s="24">
        <f t="shared" si="8"/>
        <v>7.2562464311362564</v>
      </c>
      <c r="AI43" s="601">
        <f t="shared" si="3"/>
        <v>0.52291181352794369</v>
      </c>
      <c r="AJ43" s="24">
        <f t="shared" si="4"/>
        <v>13.876615986508963</v>
      </c>
    </row>
    <row r="44" spans="1:36">
      <c r="A44" s="25" t="s">
        <v>253</v>
      </c>
      <c r="B44" s="48" t="s">
        <v>254</v>
      </c>
      <c r="C44" t="s">
        <v>255</v>
      </c>
      <c r="D44" s="3">
        <v>-65.5</v>
      </c>
      <c r="E44">
        <v>7.66</v>
      </c>
      <c r="F44">
        <v>1310</v>
      </c>
      <c r="G44">
        <v>-227</v>
      </c>
      <c r="H44">
        <f t="shared" si="5"/>
        <v>3.8362999999999996</v>
      </c>
      <c r="I44" s="24">
        <v>5.0679999999999996</v>
      </c>
      <c r="J44" s="24">
        <v>209</v>
      </c>
      <c r="K44" s="24">
        <v>0.3216</v>
      </c>
      <c r="L44" s="24">
        <v>3.5622222222222229E-2</v>
      </c>
      <c r="M44" s="24">
        <v>1.9817882853403139</v>
      </c>
      <c r="N44" s="24">
        <v>8.5161466416858307</v>
      </c>
      <c r="O44" s="24">
        <v>0.490738894384318</v>
      </c>
      <c r="P44" s="24">
        <v>4.4771474274630094</v>
      </c>
      <c r="Q44" s="24">
        <v>1.359671660919116</v>
      </c>
      <c r="R44" s="24">
        <v>13.92424405092647</v>
      </c>
      <c r="S44" s="24">
        <v>7.8723832248295906</v>
      </c>
      <c r="T44" s="24">
        <v>4.7818974547482833</v>
      </c>
      <c r="U44" s="24">
        <v>0.54101249719640632</v>
      </c>
      <c r="V44" s="24">
        <v>0.14271720978522004</v>
      </c>
      <c r="W44" s="24">
        <v>0.94297331623450731</v>
      </c>
      <c r="X44" s="24">
        <v>0.42588227555508373</v>
      </c>
      <c r="Y44" s="24">
        <v>1.8041521040993098</v>
      </c>
      <c r="Z44" s="24">
        <v>0.98404008326701253</v>
      </c>
      <c r="AA44" s="24">
        <v>12.101720053886568</v>
      </c>
      <c r="AB44" s="24">
        <v>2.8036821064283939</v>
      </c>
      <c r="AC44" s="24">
        <v>68.659757321964108</v>
      </c>
      <c r="AD44" s="24">
        <v>120.82128078730307</v>
      </c>
      <c r="AE44" s="128">
        <f t="shared" si="6"/>
        <v>0.12082128078730307</v>
      </c>
      <c r="AF44" s="24">
        <f t="shared" si="7"/>
        <v>32.41534381888647</v>
      </c>
      <c r="AG44" s="601">
        <f t="shared" si="2"/>
        <v>0.27948959433909193</v>
      </c>
      <c r="AH44" s="24">
        <f t="shared" si="8"/>
        <v>83.565159482279071</v>
      </c>
      <c r="AI44" s="601">
        <f t="shared" si="3"/>
        <v>0.72051040566090807</v>
      </c>
      <c r="AJ44" s="24">
        <f t="shared" si="4"/>
        <v>115.98050330116554</v>
      </c>
    </row>
    <row r="45" spans="1:36">
      <c r="A45" s="23" t="s">
        <v>256</v>
      </c>
      <c r="B45" s="49" t="s">
        <v>257</v>
      </c>
      <c r="C45" s="27" t="s">
        <v>175</v>
      </c>
      <c r="D45" s="55">
        <v>-15.5</v>
      </c>
      <c r="E45" s="27">
        <v>7.7</v>
      </c>
      <c r="F45" s="27">
        <v>1380</v>
      </c>
      <c r="G45" s="27">
        <v>-336</v>
      </c>
      <c r="H45" s="27">
        <f t="shared" si="5"/>
        <v>5.6783999999999999</v>
      </c>
      <c r="I45" s="44"/>
      <c r="J45" s="44">
        <v>11</v>
      </c>
      <c r="K45" s="44">
        <v>29.356300000000001</v>
      </c>
      <c r="L45" s="44">
        <v>19.253811111111112</v>
      </c>
      <c r="M45" s="44">
        <v>102.24456404886561</v>
      </c>
      <c r="N45" s="44">
        <v>2.7283535104929601E-2</v>
      </c>
      <c r="O45" s="44">
        <v>0.12930630159745499</v>
      </c>
      <c r="P45" s="46">
        <v>304.8777744686206</v>
      </c>
      <c r="Q45" s="46">
        <v>27.0312196516252</v>
      </c>
      <c r="R45" s="46">
        <v>1320.0360128630207</v>
      </c>
      <c r="S45" s="46">
        <v>551.84753670148848</v>
      </c>
      <c r="T45" s="46">
        <v>437.07244162465855</v>
      </c>
      <c r="U45" s="46">
        <v>36.995861892065818</v>
      </c>
      <c r="V45" s="46">
        <v>4.9452780628409387</v>
      </c>
      <c r="W45" s="46">
        <v>73.790701737004852</v>
      </c>
      <c r="X45" s="46">
        <v>20.199752162869242</v>
      </c>
      <c r="Y45" s="46">
        <v>133.36697163406865</v>
      </c>
      <c r="Z45" s="46">
        <v>66.945062930627998</v>
      </c>
      <c r="AA45" s="46">
        <v>1059.266736653542</v>
      </c>
      <c r="AB45" s="46">
        <v>44.665193886886051</v>
      </c>
      <c r="AC45" s="46">
        <v>4797.3286600228266</v>
      </c>
      <c r="AD45" s="46">
        <v>8878.3692042921448</v>
      </c>
      <c r="AE45" s="208">
        <f t="shared" si="6"/>
        <v>8.8783692042921452</v>
      </c>
      <c r="AF45" s="24">
        <f t="shared" si="7"/>
        <v>2640.8649853094134</v>
      </c>
      <c r="AG45" s="601">
        <f t="shared" si="2"/>
        <v>0.30915782750473336</v>
      </c>
      <c r="AH45" s="24">
        <f t="shared" si="8"/>
        <v>5901.2605905632545</v>
      </c>
      <c r="AI45" s="601">
        <f t="shared" si="3"/>
        <v>0.69084217249526669</v>
      </c>
      <c r="AJ45" s="24">
        <f t="shared" si="4"/>
        <v>8542.1255758726675</v>
      </c>
    </row>
    <row r="46" spans="1:36">
      <c r="A46" s="25" t="s">
        <v>258</v>
      </c>
      <c r="B46" t="s">
        <v>259</v>
      </c>
      <c r="C46" t="s">
        <v>175</v>
      </c>
      <c r="D46" s="3">
        <v>-17</v>
      </c>
      <c r="E46">
        <v>7.69</v>
      </c>
      <c r="F46">
        <v>1264</v>
      </c>
      <c r="G46">
        <v>-298</v>
      </c>
      <c r="H46">
        <f t="shared" si="5"/>
        <v>5.0362</v>
      </c>
      <c r="I46" s="24"/>
      <c r="J46" s="24">
        <v>1.2</v>
      </c>
      <c r="K46" s="24">
        <v>30.159600000000001</v>
      </c>
      <c r="L46" s="24">
        <v>0.51652222222222222</v>
      </c>
      <c r="M46" s="24">
        <v>55.040152486910976</v>
      </c>
      <c r="N46" s="24">
        <v>1.0927633839825399</v>
      </c>
      <c r="O46" s="24">
        <v>9.0331121420479499E-2</v>
      </c>
      <c r="P46" s="45">
        <v>253.44842290548752</v>
      </c>
      <c r="Q46" s="45">
        <v>8.1273957414757412</v>
      </c>
      <c r="R46" s="45">
        <v>758.65636532088354</v>
      </c>
      <c r="S46" s="45">
        <v>148.96783661964213</v>
      </c>
      <c r="T46" s="45">
        <v>213.29680972242801</v>
      </c>
      <c r="U46" s="45">
        <v>26.879744966031755</v>
      </c>
      <c r="V46" s="45">
        <v>6.2268792576347609</v>
      </c>
      <c r="W46" s="45">
        <v>84.235648721751048</v>
      </c>
      <c r="X46" s="45">
        <v>28.082402413351261</v>
      </c>
      <c r="Y46" s="45">
        <v>121.49322328188319</v>
      </c>
      <c r="Z46" s="45">
        <v>60.091582376736177</v>
      </c>
      <c r="AA46" s="45">
        <v>1151.8375962230823</v>
      </c>
      <c r="AB46" s="45">
        <v>7.7683863517460496</v>
      </c>
      <c r="AC46" s="45">
        <v>5864.4362937692867</v>
      </c>
      <c r="AD46" s="45">
        <v>8733.5485876714192</v>
      </c>
      <c r="AE46" s="207">
        <f t="shared" si="6"/>
        <v>8.7335485876714198</v>
      </c>
      <c r="AF46" s="24">
        <f t="shared" si="7"/>
        <v>1382.496830309917</v>
      </c>
      <c r="AG46" s="601">
        <f t="shared" si="2"/>
        <v>0.16445493356661228</v>
      </c>
      <c r="AH46" s="24">
        <f t="shared" si="8"/>
        <v>7024.0422763441147</v>
      </c>
      <c r="AI46" s="601">
        <f t="shared" si="3"/>
        <v>0.83554506643338766</v>
      </c>
      <c r="AJ46" s="24">
        <f t="shared" si="4"/>
        <v>8406.5391066540324</v>
      </c>
    </row>
    <row r="47" spans="1:36">
      <c r="A47" s="25" t="s">
        <v>260</v>
      </c>
      <c r="B47" s="48" t="s">
        <v>261</v>
      </c>
      <c r="C47" t="s">
        <v>175</v>
      </c>
      <c r="D47" s="53">
        <v>-19</v>
      </c>
      <c r="E47">
        <v>7.48</v>
      </c>
      <c r="F47">
        <v>1435</v>
      </c>
      <c r="G47">
        <v>-277</v>
      </c>
      <c r="H47">
        <f t="shared" si="5"/>
        <v>4.6812999999999994</v>
      </c>
      <c r="I47" s="24"/>
      <c r="J47" s="24">
        <v>0</v>
      </c>
      <c r="K47" s="24">
        <v>22.939800000000002</v>
      </c>
      <c r="L47" s="24">
        <v>0.40965555555555555</v>
      </c>
      <c r="M47" s="24">
        <v>305.7952886125654</v>
      </c>
      <c r="N47" s="24">
        <v>0.61339781005528504</v>
      </c>
      <c r="O47" s="24">
        <v>0.12714461551751</v>
      </c>
      <c r="P47" s="45">
        <v>529.46670547872918</v>
      </c>
      <c r="Q47" s="45">
        <v>5.2589433035698248</v>
      </c>
      <c r="R47" s="45">
        <v>1137.7827054862964</v>
      </c>
      <c r="S47" s="45">
        <v>455.03636437144399</v>
      </c>
      <c r="T47" s="45">
        <v>337.45264940640089</v>
      </c>
      <c r="U47" s="45">
        <v>30.944307738137521</v>
      </c>
      <c r="V47" s="45">
        <v>5.2076443252949502</v>
      </c>
      <c r="W47" s="45">
        <v>119.02594695186117</v>
      </c>
      <c r="X47" s="45">
        <v>34.77087651183755</v>
      </c>
      <c r="Y47" s="45">
        <v>139.37391955134171</v>
      </c>
      <c r="Z47" s="45">
        <v>67.287998949884113</v>
      </c>
      <c r="AA47" s="45">
        <v>1602.1080613962251</v>
      </c>
      <c r="AB47" s="45">
        <v>3.3677887025719571</v>
      </c>
      <c r="AC47" s="45">
        <v>7625.6698573028953</v>
      </c>
      <c r="AD47" s="45">
        <v>12092.753769476491</v>
      </c>
      <c r="AE47" s="207">
        <f t="shared" si="6"/>
        <v>12.09275376947649</v>
      </c>
      <c r="AF47" s="24">
        <f t="shared" si="7"/>
        <v>2464.99736804644</v>
      </c>
      <c r="AG47" s="601">
        <f t="shared" si="2"/>
        <v>0.21075301081266865</v>
      </c>
      <c r="AH47" s="24">
        <f t="shared" si="8"/>
        <v>9231.1457074016926</v>
      </c>
      <c r="AI47" s="601">
        <f t="shared" si="3"/>
        <v>0.78924698918733127</v>
      </c>
      <c r="AJ47" s="24">
        <f t="shared" si="4"/>
        <v>11696.143075448133</v>
      </c>
    </row>
    <row r="48" spans="1:36">
      <c r="A48" s="25" t="s">
        <v>262</v>
      </c>
      <c r="B48" t="s">
        <v>263</v>
      </c>
      <c r="C48" t="s">
        <v>175</v>
      </c>
      <c r="D48" s="3">
        <v>-20.5</v>
      </c>
      <c r="E48">
        <v>7.47</v>
      </c>
      <c r="F48">
        <v>1470</v>
      </c>
      <c r="G48">
        <v>-312</v>
      </c>
      <c r="H48">
        <f t="shared" si="5"/>
        <v>5.2727999999999993</v>
      </c>
      <c r="I48" s="24"/>
      <c r="J48" s="24">
        <v>5</v>
      </c>
      <c r="K48" s="24">
        <v>23.874500000000001</v>
      </c>
      <c r="L48" s="24">
        <v>3.8472000000000004</v>
      </c>
      <c r="M48" s="24">
        <v>347.80920026178006</v>
      </c>
      <c r="N48" s="24">
        <v>0.45767494549029902</v>
      </c>
      <c r="O48" s="24">
        <v>0.13116728619058299</v>
      </c>
      <c r="P48" s="45">
        <v>316.75085867423502</v>
      </c>
      <c r="Q48" s="45">
        <v>4.9193971482436947</v>
      </c>
      <c r="R48" s="45">
        <v>910.92714415371881</v>
      </c>
      <c r="S48" s="45">
        <v>300.20532473951312</v>
      </c>
      <c r="T48" s="45">
        <v>273.44834191564388</v>
      </c>
      <c r="U48" s="45">
        <v>27.76207930699309</v>
      </c>
      <c r="V48" s="45">
        <v>5.9930873066204757</v>
      </c>
      <c r="W48" s="45">
        <v>95.668671622485888</v>
      </c>
      <c r="X48" s="45">
        <v>33.691309901214623</v>
      </c>
      <c r="Y48" s="45">
        <v>120.90912311335721</v>
      </c>
      <c r="Z48" s="45">
        <v>58.69182916038492</v>
      </c>
      <c r="AA48" s="45">
        <v>1247.8728214124576</v>
      </c>
      <c r="AB48" s="45">
        <v>3.2801783756793661</v>
      </c>
      <c r="AC48" s="45">
        <v>6272.90617737704</v>
      </c>
      <c r="AD48" s="45">
        <v>9673.0263442075884</v>
      </c>
      <c r="AE48" s="207">
        <f t="shared" si="6"/>
        <v>9.6730263442075888</v>
      </c>
      <c r="AF48" s="24">
        <f t="shared" si="7"/>
        <v>1806.2510666313544</v>
      </c>
      <c r="AG48" s="601">
        <f t="shared" si="2"/>
        <v>0.19358960414336504</v>
      </c>
      <c r="AH48" s="24">
        <f t="shared" si="8"/>
        <v>7524.0591771651771</v>
      </c>
      <c r="AI48" s="601">
        <f t="shared" si="3"/>
        <v>0.80641039585663488</v>
      </c>
      <c r="AJ48" s="24">
        <f t="shared" si="4"/>
        <v>9330.3102437965317</v>
      </c>
    </row>
    <row r="49" spans="1:36">
      <c r="A49" s="25" t="s">
        <v>264</v>
      </c>
      <c r="B49" t="s">
        <v>265</v>
      </c>
      <c r="C49" t="s">
        <v>175</v>
      </c>
      <c r="D49" s="3">
        <v>-22.5</v>
      </c>
      <c r="E49">
        <v>7.49</v>
      </c>
      <c r="F49">
        <v>1495</v>
      </c>
      <c r="G49">
        <v>-318</v>
      </c>
      <c r="H49">
        <f t="shared" si="5"/>
        <v>5.3742000000000001</v>
      </c>
      <c r="I49" s="24"/>
      <c r="J49" s="24">
        <v>1</v>
      </c>
      <c r="K49" s="24">
        <v>27.279900000000001</v>
      </c>
      <c r="L49" s="24">
        <v>2.6894777777777779</v>
      </c>
      <c r="M49" s="24">
        <v>389.07324607329838</v>
      </c>
      <c r="N49" s="24">
        <v>0.6288479208094</v>
      </c>
      <c r="O49" s="24">
        <v>0.16985787244172901</v>
      </c>
      <c r="P49" s="45">
        <v>395.13036974506724</v>
      </c>
      <c r="Q49" s="45">
        <v>21.061803550180819</v>
      </c>
      <c r="R49" s="45">
        <v>986.30824397490403</v>
      </c>
      <c r="S49" s="45">
        <v>509.90972225431324</v>
      </c>
      <c r="T49" s="45">
        <v>300.47898625262513</v>
      </c>
      <c r="U49" s="45">
        <v>31.908334440192093</v>
      </c>
      <c r="V49" s="45">
        <v>6.8807164376583083</v>
      </c>
      <c r="W49" s="45">
        <v>92.003251249577062</v>
      </c>
      <c r="X49" s="45">
        <v>29.681586597526152</v>
      </c>
      <c r="Y49" s="45">
        <v>132.89811520285946</v>
      </c>
      <c r="Z49" s="45">
        <v>64.447183540821342</v>
      </c>
      <c r="AA49" s="45">
        <v>1211.3660171899719</v>
      </c>
      <c r="AB49" s="45">
        <v>20.087712500632904</v>
      </c>
      <c r="AC49" s="45">
        <v>5654.5253619233463</v>
      </c>
      <c r="AD49" s="45">
        <v>9456.6874048596765</v>
      </c>
      <c r="AE49" s="207">
        <f t="shared" si="6"/>
        <v>9.456687404859677</v>
      </c>
      <c r="AF49" s="24">
        <f t="shared" si="7"/>
        <v>2212.8891257770902</v>
      </c>
      <c r="AG49" s="601">
        <f t="shared" si="2"/>
        <v>0.24320487701398993</v>
      </c>
      <c r="AH49" s="24">
        <f t="shared" si="8"/>
        <v>6885.9790916139509</v>
      </c>
      <c r="AI49" s="601">
        <f t="shared" si="3"/>
        <v>0.75679512298600993</v>
      </c>
      <c r="AJ49" s="24">
        <f t="shared" si="4"/>
        <v>9098.868217391042</v>
      </c>
    </row>
    <row r="50" spans="1:36">
      <c r="A50" s="25" t="s">
        <v>266</v>
      </c>
      <c r="B50" s="48" t="s">
        <v>267</v>
      </c>
      <c r="C50" t="s">
        <v>175</v>
      </c>
      <c r="D50" s="53">
        <v>-26</v>
      </c>
      <c r="E50">
        <v>7.33</v>
      </c>
      <c r="F50">
        <v>1409</v>
      </c>
      <c r="G50">
        <v>-314</v>
      </c>
      <c r="H50">
        <f t="shared" si="5"/>
        <v>5.3065999999999995</v>
      </c>
      <c r="I50" s="24"/>
      <c r="J50" s="24">
        <v>13.7</v>
      </c>
      <c r="K50" s="24">
        <v>28.265699999999999</v>
      </c>
      <c r="L50" s="24">
        <v>27.660655555555561</v>
      </c>
      <c r="M50" s="24">
        <v>41.79823595113438</v>
      </c>
      <c r="N50" s="24">
        <v>2.0818129596617899E-2</v>
      </c>
      <c r="O50" s="24">
        <v>9.6375289518495999E-2</v>
      </c>
      <c r="P50" s="45">
        <v>400.04322124644989</v>
      </c>
      <c r="Q50" s="45">
        <v>21.557729851301492</v>
      </c>
      <c r="R50" s="45">
        <v>1435.0529573871615</v>
      </c>
      <c r="S50" s="45">
        <v>585.19555646111496</v>
      </c>
      <c r="T50" s="45">
        <v>398.79960385724229</v>
      </c>
      <c r="U50" s="45">
        <v>56.267542151198484</v>
      </c>
      <c r="V50" s="45">
        <v>8.6616395660927523</v>
      </c>
      <c r="W50" s="45">
        <v>92.679492413951294</v>
      </c>
      <c r="X50" s="45">
        <v>35.46945969125715</v>
      </c>
      <c r="Y50" s="45">
        <v>201.86139742571697</v>
      </c>
      <c r="Z50" s="45">
        <v>97.894408187412068</v>
      </c>
      <c r="AA50" s="45">
        <v>1184.8560247144203</v>
      </c>
      <c r="AB50" s="45">
        <v>194.37051278160155</v>
      </c>
      <c r="AC50" s="45">
        <v>5583.909895269444</v>
      </c>
      <c r="AD50" s="45">
        <v>10296.619441004364</v>
      </c>
      <c r="AE50" s="207">
        <f t="shared" si="6"/>
        <v>10.296619441004365</v>
      </c>
      <c r="AF50" s="24">
        <f t="shared" si="7"/>
        <v>2840.64906880327</v>
      </c>
      <c r="AG50" s="601">
        <f t="shared" si="2"/>
        <v>0.28975022641496273</v>
      </c>
      <c r="AH50" s="24">
        <f t="shared" si="8"/>
        <v>6963.1364327654655</v>
      </c>
      <c r="AI50" s="601">
        <f t="shared" si="3"/>
        <v>0.71024977358503738</v>
      </c>
      <c r="AJ50" s="24">
        <f t="shared" si="4"/>
        <v>9803.7855015687346</v>
      </c>
    </row>
    <row r="51" spans="1:36">
      <c r="A51" s="25" t="s">
        <v>268</v>
      </c>
      <c r="B51" s="48" t="s">
        <v>269</v>
      </c>
      <c r="C51" t="s">
        <v>170</v>
      </c>
      <c r="D51" s="53">
        <v>-39</v>
      </c>
      <c r="E51">
        <v>8.26</v>
      </c>
      <c r="F51">
        <v>811</v>
      </c>
      <c r="G51">
        <v>-334</v>
      </c>
      <c r="H51">
        <f t="shared" si="5"/>
        <v>5.6445999999999996</v>
      </c>
      <c r="I51" s="24"/>
      <c r="J51" s="24">
        <v>10</v>
      </c>
      <c r="K51" s="24">
        <v>11.801299999999999</v>
      </c>
      <c r="L51" s="24">
        <v>0.30278888888888889</v>
      </c>
      <c r="M51" s="24">
        <v>75.343662739965083</v>
      </c>
      <c r="N51" s="24">
        <v>2.2401960591924999</v>
      </c>
      <c r="O51" s="24">
        <v>0.22796088340665399</v>
      </c>
      <c r="P51" s="45">
        <v>2028.0263017083091</v>
      </c>
      <c r="Q51" s="45">
        <v>462.14135421141907</v>
      </c>
      <c r="R51" s="45">
        <v>764.93945494576337</v>
      </c>
      <c r="S51" s="45">
        <v>584.42355420440776</v>
      </c>
      <c r="T51" s="45">
        <v>275.13329398323356</v>
      </c>
      <c r="U51" s="45">
        <v>12.760148575223228</v>
      </c>
      <c r="V51" s="45">
        <v>3.4952774703012692</v>
      </c>
      <c r="W51" s="45">
        <v>55.310219139971153</v>
      </c>
      <c r="X51" s="45">
        <v>17.339230527059147</v>
      </c>
      <c r="Y51" s="45">
        <v>84.768283385296002</v>
      </c>
      <c r="Z51" s="45">
        <v>42.970394175985021</v>
      </c>
      <c r="AA51" s="45">
        <v>424.93683306474225</v>
      </c>
      <c r="AB51" s="45">
        <v>645.46957427744906</v>
      </c>
      <c r="AC51" s="45">
        <v>3121.7248940177797</v>
      </c>
      <c r="AD51" s="45">
        <v>8523.4388136869402</v>
      </c>
      <c r="AE51" s="207">
        <f t="shared" si="6"/>
        <v>8.5234388136869406</v>
      </c>
      <c r="AF51" s="24">
        <f t="shared" si="7"/>
        <v>4114.6639590531331</v>
      </c>
      <c r="AG51" s="601">
        <f t="shared" si="2"/>
        <v>0.49533711016834514</v>
      </c>
      <c r="AH51" s="24">
        <f t="shared" si="8"/>
        <v>4192.1313013599711</v>
      </c>
      <c r="AI51" s="601">
        <f t="shared" si="3"/>
        <v>0.50466288983165486</v>
      </c>
      <c r="AJ51" s="24">
        <f t="shared" si="4"/>
        <v>8306.7952604131042</v>
      </c>
    </row>
    <row r="52" spans="1:36">
      <c r="A52" s="25" t="s">
        <v>270</v>
      </c>
      <c r="B52" t="s">
        <v>271</v>
      </c>
      <c r="C52" t="s">
        <v>170</v>
      </c>
      <c r="D52" s="3">
        <v>-41</v>
      </c>
      <c r="E52">
        <v>7.9</v>
      </c>
      <c r="F52">
        <v>1219</v>
      </c>
      <c r="G52">
        <v>-283</v>
      </c>
      <c r="H52">
        <f t="shared" si="5"/>
        <v>4.7827000000000002</v>
      </c>
      <c r="I52" s="24"/>
      <c r="J52" s="24">
        <v>16</v>
      </c>
      <c r="K52" s="24">
        <v>18.770099999999999</v>
      </c>
      <c r="L52" s="24">
        <v>3.5622222222222229E-2</v>
      </c>
      <c r="M52" s="24">
        <v>58.449542495636997</v>
      </c>
      <c r="N52" s="24">
        <v>6.5133711426805201</v>
      </c>
      <c r="O52" s="24">
        <v>0.233758166536749</v>
      </c>
      <c r="P52" s="45">
        <v>1329.0437901840096</v>
      </c>
      <c r="Q52" s="45">
        <v>52.456171885700961</v>
      </c>
      <c r="R52" s="45">
        <v>1057.5324286746354</v>
      </c>
      <c r="S52" s="45">
        <v>575.67303475059134</v>
      </c>
      <c r="T52" s="45">
        <v>215.72315163347099</v>
      </c>
      <c r="U52" s="45">
        <v>25.53544129815289</v>
      </c>
      <c r="V52" s="45">
        <v>6.3360439594626214</v>
      </c>
      <c r="W52" s="45">
        <v>62.788495780787812</v>
      </c>
      <c r="X52" s="45">
        <v>32.153961439161634</v>
      </c>
      <c r="Y52" s="45">
        <v>105.83524241899052</v>
      </c>
      <c r="Z52" s="45">
        <v>54.571014997331496</v>
      </c>
      <c r="AA52" s="45">
        <v>890.2518125955088</v>
      </c>
      <c r="AB52" s="45">
        <v>254.61565984652265</v>
      </c>
      <c r="AC52" s="45">
        <v>3802.1385870638715</v>
      </c>
      <c r="AD52" s="45">
        <v>8464.6548365281978</v>
      </c>
      <c r="AE52" s="207">
        <f t="shared" si="6"/>
        <v>8.4646548365281973</v>
      </c>
      <c r="AF52" s="24">
        <f t="shared" si="7"/>
        <v>3230.4285771284085</v>
      </c>
      <c r="AG52" s="601">
        <f t="shared" si="2"/>
        <v>0.39504180964728519</v>
      </c>
      <c r="AH52" s="24">
        <f t="shared" si="8"/>
        <v>4947.0060595059031</v>
      </c>
      <c r="AI52" s="601">
        <f t="shared" si="3"/>
        <v>0.60495819035271481</v>
      </c>
      <c r="AJ52" s="24">
        <f t="shared" si="4"/>
        <v>8177.4346366343116</v>
      </c>
    </row>
    <row r="53" spans="1:36">
      <c r="A53" s="25" t="s">
        <v>272</v>
      </c>
      <c r="B53" t="s">
        <v>273</v>
      </c>
      <c r="C53" t="s">
        <v>170</v>
      </c>
      <c r="D53" s="3">
        <v>-43.5</v>
      </c>
      <c r="E53">
        <v>8</v>
      </c>
      <c r="F53">
        <v>1528</v>
      </c>
      <c r="G53">
        <v>-246</v>
      </c>
      <c r="H53">
        <f t="shared" si="5"/>
        <v>4.1574</v>
      </c>
      <c r="I53" s="24"/>
      <c r="J53" s="24">
        <v>81</v>
      </c>
      <c r="K53" s="24">
        <v>18.246600000000001</v>
      </c>
      <c r="L53" s="24">
        <v>5.3433333333333333E-2</v>
      </c>
      <c r="M53" s="24">
        <v>148.35202901396158</v>
      </c>
      <c r="N53" s="24">
        <v>7.3592826012287098</v>
      </c>
      <c r="O53" s="24">
        <v>0.22997358351199401</v>
      </c>
      <c r="P53" s="45">
        <v>1086.717858432138</v>
      </c>
      <c r="Q53" s="45">
        <v>58.812940609204574</v>
      </c>
      <c r="R53" s="45">
        <v>979.82815069568665</v>
      </c>
      <c r="S53" s="45">
        <v>542.80080464299226</v>
      </c>
      <c r="T53" s="45">
        <v>291.36733631060252</v>
      </c>
      <c r="U53" s="45">
        <v>22.109000641440854</v>
      </c>
      <c r="V53" s="45">
        <v>3.4367964795075023</v>
      </c>
      <c r="W53" s="45">
        <v>48.436045388544422</v>
      </c>
      <c r="X53" s="45">
        <v>26.139929289534667</v>
      </c>
      <c r="Y53" s="45">
        <v>87.138390544377771</v>
      </c>
      <c r="Z53" s="45">
        <v>45.92560033324586</v>
      </c>
      <c r="AA53" s="45">
        <v>844.36522218563687</v>
      </c>
      <c r="AB53" s="45">
        <v>101.69687790993247</v>
      </c>
      <c r="AC53" s="45">
        <v>3617.3579570006714</v>
      </c>
      <c r="AD53" s="45">
        <v>7756.1329104635161</v>
      </c>
      <c r="AE53" s="207">
        <f t="shared" si="6"/>
        <v>7.7561329104635162</v>
      </c>
      <c r="AF53" s="24">
        <f t="shared" si="7"/>
        <v>2959.5270906906244</v>
      </c>
      <c r="AG53" s="601">
        <f t="shared" si="2"/>
        <v>0.39339995782919618</v>
      </c>
      <c r="AH53" s="24">
        <f t="shared" si="8"/>
        <v>4563.4200570962403</v>
      </c>
      <c r="AI53" s="601">
        <f t="shared" si="3"/>
        <v>0.60660004217080377</v>
      </c>
      <c r="AJ53" s="24">
        <f t="shared" si="4"/>
        <v>7522.9471477868647</v>
      </c>
    </row>
    <row r="54" spans="1:36">
      <c r="A54" s="26" t="s">
        <v>274</v>
      </c>
      <c r="B54" s="50" t="s">
        <v>275</v>
      </c>
      <c r="C54" s="30" t="s">
        <v>170</v>
      </c>
      <c r="D54" s="56">
        <v>-46</v>
      </c>
      <c r="E54" s="30">
        <v>7.52</v>
      </c>
      <c r="F54" s="30">
        <v>1659</v>
      </c>
      <c r="G54" s="30">
        <v>-230</v>
      </c>
      <c r="H54" s="30">
        <f t="shared" si="5"/>
        <v>3.8869999999999996</v>
      </c>
      <c r="I54" s="31"/>
      <c r="J54" s="31">
        <v>28</v>
      </c>
      <c r="K54" s="31">
        <v>30.013999999999999</v>
      </c>
      <c r="L54" s="31">
        <v>7.1244444444444457E-2</v>
      </c>
      <c r="M54" s="31">
        <v>125.85962467277484</v>
      </c>
      <c r="N54" s="31">
        <v>7.56683640329714</v>
      </c>
      <c r="O54" s="31">
        <v>0.380396275218917</v>
      </c>
      <c r="P54" s="47">
        <v>2503.0447612161674</v>
      </c>
      <c r="Q54" s="47">
        <v>501.07168193330398</v>
      </c>
      <c r="R54" s="47">
        <v>1429.9632864935224</v>
      </c>
      <c r="S54" s="47">
        <v>1057.881131470393</v>
      </c>
      <c r="T54" s="47">
        <v>505.89496895853097</v>
      </c>
      <c r="U54" s="47">
        <v>36.682849507590447</v>
      </c>
      <c r="V54" s="47">
        <v>5.2753709196645202</v>
      </c>
      <c r="W54" s="47">
        <v>231.78245446985741</v>
      </c>
      <c r="X54" s="47">
        <v>30.575914803396159</v>
      </c>
      <c r="Y54" s="47">
        <v>137.90698550763881</v>
      </c>
      <c r="Z54" s="47">
        <v>69.624029448943219</v>
      </c>
      <c r="AA54" s="47">
        <v>1342.7788180635082</v>
      </c>
      <c r="AB54" s="47">
        <v>115.49260496465661</v>
      </c>
      <c r="AC54" s="47">
        <v>5676.1329500527117</v>
      </c>
      <c r="AD54" s="47">
        <v>13644.107807809884</v>
      </c>
      <c r="AE54" s="209">
        <f t="shared" si="6"/>
        <v>13.644107807809883</v>
      </c>
      <c r="AF54" s="24">
        <f>SUM(P54:T54)</f>
        <v>5997.8558300719169</v>
      </c>
      <c r="AG54" s="601">
        <f t="shared" si="2"/>
        <v>0.45672684955114973</v>
      </c>
      <c r="AH54" s="24">
        <f t="shared" si="8"/>
        <v>7134.4043730808771</v>
      </c>
      <c r="AI54" s="601">
        <f t="shared" si="3"/>
        <v>0.54327315044885027</v>
      </c>
      <c r="AJ54" s="24">
        <f t="shared" si="4"/>
        <v>13132.260203152793</v>
      </c>
    </row>
    <row r="55" spans="1:36">
      <c r="A55" t="s">
        <v>276</v>
      </c>
      <c r="B55" t="s">
        <v>37</v>
      </c>
      <c r="D55" t="s">
        <v>277</v>
      </c>
      <c r="E55" t="s">
        <v>278</v>
      </c>
      <c r="F55">
        <v>1081</v>
      </c>
      <c r="G55">
        <v>-106</v>
      </c>
      <c r="H55">
        <f t="shared" si="5"/>
        <v>1.7913999999999999</v>
      </c>
      <c r="I55">
        <v>4.71</v>
      </c>
      <c r="J55">
        <v>73.382599999999996</v>
      </c>
      <c r="K55">
        <v>1.1664000000000001</v>
      </c>
      <c r="L55">
        <v>0.71058715095986025</v>
      </c>
      <c r="M55">
        <v>7.1244444444444457E-2</v>
      </c>
      <c r="N55">
        <v>6.1733439068308797</v>
      </c>
      <c r="O55">
        <v>1.45271677735758</v>
      </c>
      <c r="P55" s="22">
        <v>5.3060117531080602</v>
      </c>
      <c r="Q55" s="22">
        <v>0.33965055162472108</v>
      </c>
      <c r="R55" s="22">
        <v>1.3958418056641575</v>
      </c>
      <c r="S55" s="22">
        <v>1.0570170515368129</v>
      </c>
      <c r="T55" s="22">
        <v>0.63772141714002983</v>
      </c>
      <c r="U55" s="22">
        <v>0.16412606399027344</v>
      </c>
      <c r="V55" s="22">
        <v>7.8167856219925072E-2</v>
      </c>
      <c r="W55" s="22">
        <v>0.18371921973158648</v>
      </c>
      <c r="X55" s="22">
        <v>7.7801789913193184E-2</v>
      </c>
      <c r="Y55" s="22">
        <v>0.36944182985636109</v>
      </c>
      <c r="Z55" s="22">
        <v>0.22605948064614986</v>
      </c>
      <c r="AA55" s="22">
        <v>3.0778045619404346</v>
      </c>
      <c r="AB55" s="22">
        <v>0.88469650411285161</v>
      </c>
      <c r="AC55" s="22">
        <v>33.710559408813502</v>
      </c>
      <c r="AD55" s="22">
        <v>47.508619294298057</v>
      </c>
      <c r="AE55" s="209">
        <f>AD55/1000</f>
        <v>4.750861929429806E-2</v>
      </c>
      <c r="AF55" s="24">
        <f t="shared" ref="AF55:AF62" si="9">SUM(P55:T55)</f>
        <v>8.7362425790737817</v>
      </c>
      <c r="AG55" s="601">
        <f t="shared" ref="AG55:AG62" si="10">AF55/AJ55</f>
        <v>0.18824334786755639</v>
      </c>
      <c r="AH55" s="24">
        <f t="shared" ref="AH55:AH62" si="11">SUM(AA55:AC55)</f>
        <v>37.673060474866787</v>
      </c>
      <c r="AI55" s="601">
        <f t="shared" ref="AI55:AI62" si="12">AH55/AJ55</f>
        <v>0.81175665213244363</v>
      </c>
      <c r="AJ55" s="24">
        <f t="shared" ref="AJ55:AJ62" si="13">AF55+AH55</f>
        <v>46.409303053940569</v>
      </c>
    </row>
    <row r="56" spans="1:36">
      <c r="A56" t="s">
        <v>279</v>
      </c>
      <c r="B56" t="s">
        <v>31</v>
      </c>
      <c r="D56" t="s">
        <v>280</v>
      </c>
      <c r="E56" t="s">
        <v>281</v>
      </c>
      <c r="F56">
        <v>971</v>
      </c>
      <c r="G56">
        <v>-123</v>
      </c>
      <c r="H56">
        <f t="shared" si="5"/>
        <v>2.0787</v>
      </c>
      <c r="I56">
        <v>4.47</v>
      </c>
      <c r="J56">
        <v>59.534999999999997</v>
      </c>
      <c r="K56">
        <v>1.1600999999999999</v>
      </c>
      <c r="L56">
        <v>2.7030878054101217</v>
      </c>
      <c r="M56">
        <v>8.9055555555555554E-2</v>
      </c>
      <c r="N56">
        <v>6.3048705677367796</v>
      </c>
      <c r="O56">
        <v>0.46886655994586302</v>
      </c>
      <c r="P56" s="22">
        <v>5.0539558008415799</v>
      </c>
      <c r="Q56" s="22">
        <v>0.25735516884194787</v>
      </c>
      <c r="R56" s="22">
        <v>0.84253391776448228</v>
      </c>
      <c r="S56" s="22">
        <v>0.61476593055723094</v>
      </c>
      <c r="T56" s="22">
        <v>0.38058731010799957</v>
      </c>
      <c r="U56" s="22">
        <v>0.15023105954977126</v>
      </c>
      <c r="V56" s="22">
        <v>7.9989259391953241E-2</v>
      </c>
      <c r="W56" s="22">
        <v>0.11480322242827676</v>
      </c>
      <c r="X56" s="22">
        <v>5.5261723810374745E-2</v>
      </c>
      <c r="Y56" s="22">
        <v>0.23427866076221796</v>
      </c>
      <c r="Z56" s="22">
        <v>0.14142668807021086</v>
      </c>
      <c r="AA56" s="22">
        <v>1.5347355167413028</v>
      </c>
      <c r="AB56" s="22">
        <v>0.6493590402813364</v>
      </c>
      <c r="AC56" s="22">
        <v>13.780067553009015</v>
      </c>
      <c r="AD56" s="22">
        <v>23.889350852157701</v>
      </c>
      <c r="AE56" s="209">
        <f t="shared" si="6"/>
        <v>2.3889350852157702E-2</v>
      </c>
      <c r="AF56" s="24">
        <f t="shared" si="9"/>
        <v>7.1491981281132411</v>
      </c>
      <c r="AG56" s="601">
        <f t="shared" si="10"/>
        <v>0.30931020217106447</v>
      </c>
      <c r="AH56" s="24">
        <f t="shared" si="11"/>
        <v>15.964162110031655</v>
      </c>
      <c r="AI56" s="601">
        <f t="shared" si="12"/>
        <v>0.69068979782893547</v>
      </c>
      <c r="AJ56" s="24">
        <f t="shared" si="13"/>
        <v>23.113360238144896</v>
      </c>
    </row>
    <row r="57" spans="1:36">
      <c r="A57" t="s">
        <v>282</v>
      </c>
      <c r="B57" t="s">
        <v>283</v>
      </c>
      <c r="D57" t="s">
        <v>284</v>
      </c>
      <c r="H57">
        <f t="shared" si="5"/>
        <v>0</v>
      </c>
      <c r="I57">
        <v>7.3650000000000002</v>
      </c>
      <c r="AE57" s="209"/>
      <c r="AF57" s="24"/>
      <c r="AG57" s="601"/>
      <c r="AH57" s="24"/>
      <c r="AI57" s="601"/>
      <c r="AJ57" s="24"/>
    </row>
    <row r="58" spans="1:36">
      <c r="A58" t="s">
        <v>285</v>
      </c>
      <c r="B58" t="s">
        <v>72</v>
      </c>
      <c r="D58" t="s">
        <v>286</v>
      </c>
      <c r="E58" t="s">
        <v>287</v>
      </c>
      <c r="F58">
        <v>1563</v>
      </c>
      <c r="G58">
        <v>-182</v>
      </c>
      <c r="H58">
        <f t="shared" si="5"/>
        <v>3.0757999999999996</v>
      </c>
      <c r="I58">
        <v>7.1289999999999996</v>
      </c>
      <c r="J58">
        <v>261.85309999999998</v>
      </c>
      <c r="K58">
        <v>10.3972</v>
      </c>
      <c r="L58">
        <v>10.986605759162304</v>
      </c>
      <c r="M58">
        <v>0.23154444444444441</v>
      </c>
      <c r="N58">
        <v>6.6746441761463497</v>
      </c>
      <c r="O58">
        <v>1.47161998532086</v>
      </c>
      <c r="P58" s="22">
        <v>59.581978683327947</v>
      </c>
      <c r="Q58" s="22">
        <v>7.7185706610358968</v>
      </c>
      <c r="R58" s="22">
        <v>13.128455267345714</v>
      </c>
      <c r="S58" s="22">
        <v>11.404941724914908</v>
      </c>
      <c r="T58" s="22">
        <v>6.1109560587757139</v>
      </c>
      <c r="U58" s="22">
        <v>1.2353799622800405</v>
      </c>
      <c r="V58" s="22">
        <v>0.62813730872871032</v>
      </c>
      <c r="W58" s="22">
        <v>0.42969110728409365</v>
      </c>
      <c r="X58" s="22">
        <v>0.82761457593292209</v>
      </c>
      <c r="Y58" s="22">
        <v>5.0079503401112007</v>
      </c>
      <c r="Z58" s="22">
        <v>2.7816723581917229</v>
      </c>
      <c r="AA58" s="22">
        <v>40.065859297397353</v>
      </c>
      <c r="AB58" s="22">
        <v>22.046660604795779</v>
      </c>
      <c r="AC58" s="22">
        <v>51.094911343965201</v>
      </c>
      <c r="AD58" s="22">
        <v>222.06277929408722</v>
      </c>
      <c r="AE58" s="209">
        <f t="shared" si="6"/>
        <v>0.22206277929408721</v>
      </c>
      <c r="AF58" s="24">
        <f t="shared" si="9"/>
        <v>97.944902395400177</v>
      </c>
      <c r="AG58" s="601">
        <f t="shared" si="10"/>
        <v>0.46385896241936148</v>
      </c>
      <c r="AH58" s="24">
        <f t="shared" si="11"/>
        <v>113.20743124615834</v>
      </c>
      <c r="AI58" s="601">
        <f t="shared" si="12"/>
        <v>0.53614103758063847</v>
      </c>
      <c r="AJ58" s="24">
        <f t="shared" si="13"/>
        <v>211.15233364155853</v>
      </c>
    </row>
    <row r="59" spans="1:36">
      <c r="A59" t="s">
        <v>288</v>
      </c>
      <c r="B59" t="s">
        <v>54</v>
      </c>
      <c r="D59">
        <v>22</v>
      </c>
      <c r="E59" t="s">
        <v>289</v>
      </c>
      <c r="F59">
        <v>1498</v>
      </c>
      <c r="G59">
        <v>-134</v>
      </c>
      <c r="H59">
        <f t="shared" si="5"/>
        <v>2.2645999999999997</v>
      </c>
      <c r="I59">
        <v>8.3119999999999994</v>
      </c>
      <c r="J59">
        <v>204.14240000000001</v>
      </c>
      <c r="K59">
        <v>19.096</v>
      </c>
      <c r="L59">
        <v>2.8709149214659679</v>
      </c>
      <c r="M59">
        <v>0.10686666666666667</v>
      </c>
      <c r="N59">
        <v>1.72249975069776</v>
      </c>
      <c r="O59">
        <v>0.60391235375463503</v>
      </c>
      <c r="P59" s="22">
        <v>5.4572774291387445</v>
      </c>
      <c r="Q59" s="22">
        <v>1.2655933948420446</v>
      </c>
      <c r="R59" s="22">
        <v>0.9396724296067025</v>
      </c>
      <c r="S59" s="22">
        <v>1.2204208477643967</v>
      </c>
      <c r="T59" s="22">
        <v>1.8256466344379223</v>
      </c>
      <c r="U59" s="22">
        <v>0.14953925479259353</v>
      </c>
      <c r="V59" s="22">
        <v>8.7101566406282541E-2</v>
      </c>
      <c r="W59" s="22">
        <v>9.1385976747124328E-2</v>
      </c>
      <c r="X59" s="22">
        <v>5.4676116893443677E-2</v>
      </c>
      <c r="Y59" s="22">
        <v>0.41937361001654833</v>
      </c>
      <c r="Z59" s="22">
        <v>0.34823334848328613</v>
      </c>
      <c r="AA59" s="22">
        <v>1.0290893683647226</v>
      </c>
      <c r="AB59" s="22">
        <v>2.8436015686780314</v>
      </c>
      <c r="AC59" s="22">
        <v>18.138249771249889</v>
      </c>
      <c r="AD59" s="22">
        <v>33.86986131742173</v>
      </c>
      <c r="AE59" s="209">
        <f t="shared" si="6"/>
        <v>3.3869861317421729E-2</v>
      </c>
      <c r="AF59" s="24">
        <f t="shared" si="9"/>
        <v>10.70861073578981</v>
      </c>
      <c r="AG59" s="601">
        <f t="shared" si="10"/>
        <v>0.32728476593240496</v>
      </c>
      <c r="AH59" s="24">
        <f t="shared" si="11"/>
        <v>22.010940708292644</v>
      </c>
      <c r="AI59" s="601">
        <f t="shared" si="12"/>
        <v>0.67271523406759492</v>
      </c>
      <c r="AJ59" s="24">
        <f t="shared" si="13"/>
        <v>32.719551444082455</v>
      </c>
    </row>
    <row r="60" spans="1:36">
      <c r="A60" t="s">
        <v>290</v>
      </c>
      <c r="B60" s="51">
        <v>37</v>
      </c>
      <c r="C60" s="51"/>
      <c r="D60" t="s">
        <v>291</v>
      </c>
      <c r="E60" t="s">
        <v>292</v>
      </c>
      <c r="F60">
        <v>1042</v>
      </c>
      <c r="G60">
        <v>-145</v>
      </c>
      <c r="H60">
        <f t="shared" si="5"/>
        <v>2.4504999999999999</v>
      </c>
      <c r="I60">
        <v>10.4</v>
      </c>
      <c r="J60">
        <v>106.5976</v>
      </c>
      <c r="K60">
        <v>8.6425000000000001</v>
      </c>
      <c r="L60">
        <v>7.3786798429319367</v>
      </c>
      <c r="M60">
        <v>0.12467777777777779</v>
      </c>
      <c r="N60">
        <v>1.1176989587758901</v>
      </c>
      <c r="O60">
        <v>1.0376308797773299</v>
      </c>
      <c r="P60" s="22">
        <v>5.0912604887508719</v>
      </c>
      <c r="Q60" s="22">
        <v>0.51742740601927939</v>
      </c>
      <c r="R60" s="22">
        <v>0.79188456761207049</v>
      </c>
      <c r="S60" s="22">
        <v>0.68772355517699413</v>
      </c>
      <c r="T60" s="22">
        <v>0.76184360379163485</v>
      </c>
      <c r="U60" s="22">
        <v>0.14785346806469257</v>
      </c>
      <c r="V60" s="22">
        <v>7.6868060190640505E-2</v>
      </c>
      <c r="W60" s="22">
        <v>8.5925730118974128E-2</v>
      </c>
      <c r="X60" s="22">
        <v>5.2505396942207357E-2</v>
      </c>
      <c r="Y60" s="22">
        <v>0.24212858151642513</v>
      </c>
      <c r="Z60" s="22">
        <v>0.17713901306397267</v>
      </c>
      <c r="AA60" s="22">
        <v>0.99965805954218079</v>
      </c>
      <c r="AB60" s="22">
        <v>1.1771695808470888</v>
      </c>
      <c r="AC60" s="22">
        <v>10.422144723847666</v>
      </c>
      <c r="AD60" s="22">
        <v>21.2315322354847</v>
      </c>
      <c r="AE60" s="209">
        <f>AD60/1000</f>
        <v>2.1231532235484699E-2</v>
      </c>
      <c r="AF60" s="24">
        <f t="shared" si="9"/>
        <v>7.8501396213508512</v>
      </c>
      <c r="AG60" s="601">
        <f t="shared" si="10"/>
        <v>0.38388657790536362</v>
      </c>
      <c r="AH60" s="24">
        <f t="shared" si="11"/>
        <v>12.598972364236936</v>
      </c>
      <c r="AI60" s="601">
        <f t="shared" si="12"/>
        <v>0.61611342209463638</v>
      </c>
      <c r="AJ60" s="24">
        <f t="shared" si="13"/>
        <v>20.449111985587788</v>
      </c>
    </row>
    <row r="61" spans="1:36">
      <c r="A61" t="s">
        <v>293</v>
      </c>
      <c r="B61" s="51">
        <v>60</v>
      </c>
      <c r="C61" s="51"/>
      <c r="D61" t="s">
        <v>294</v>
      </c>
      <c r="E61" t="s">
        <v>295</v>
      </c>
      <c r="F61">
        <v>781</v>
      </c>
      <c r="G61">
        <v>-129</v>
      </c>
      <c r="H61">
        <f t="shared" si="5"/>
        <v>2.1800999999999999</v>
      </c>
      <c r="I61">
        <v>4.5350000000000001</v>
      </c>
      <c r="J61">
        <v>25.608799999999999</v>
      </c>
      <c r="K61">
        <v>7.4009999999999998</v>
      </c>
      <c r="L61">
        <v>9.0676633726003484</v>
      </c>
      <c r="M61">
        <v>0.10686666666666667</v>
      </c>
      <c r="N61">
        <v>2.60451622173799</v>
      </c>
      <c r="O61">
        <v>0.30793863515479702</v>
      </c>
      <c r="P61" s="22">
        <v>5.1284770472981389</v>
      </c>
      <c r="Q61" s="22">
        <v>0.51817634243512734</v>
      </c>
      <c r="R61" s="22">
        <v>0.71235392964241195</v>
      </c>
      <c r="S61" s="22">
        <v>0.57353110651483596</v>
      </c>
      <c r="T61" s="22">
        <v>0.49810608262277073</v>
      </c>
      <c r="U61" s="22">
        <v>0.14820996896179858</v>
      </c>
      <c r="V61" s="22">
        <v>7.777957531060338E-2</v>
      </c>
      <c r="W61" s="22">
        <v>8.2228391654330449E-2</v>
      </c>
      <c r="X61" s="22">
        <v>4.4346722303403453E-2</v>
      </c>
      <c r="Y61" s="22">
        <v>0.21746004678130673</v>
      </c>
      <c r="Z61" s="22">
        <v>0.15063451016317478</v>
      </c>
      <c r="AA61" s="22">
        <v>1.108780118337561</v>
      </c>
      <c r="AB61" s="22">
        <v>0.89845745976165925</v>
      </c>
      <c r="AC61" s="22">
        <v>8.6660646546580686</v>
      </c>
      <c r="AD61" s="22">
        <v>18.82460595644519</v>
      </c>
      <c r="AE61" s="209">
        <f t="shared" si="6"/>
        <v>1.8824605956445188E-2</v>
      </c>
      <c r="AF61" s="24">
        <f t="shared" si="9"/>
        <v>7.4306445085132857</v>
      </c>
      <c r="AG61" s="601">
        <f t="shared" si="10"/>
        <v>0.41044334777974417</v>
      </c>
      <c r="AH61" s="24">
        <f t="shared" si="11"/>
        <v>10.673302232757289</v>
      </c>
      <c r="AI61" s="601">
        <f t="shared" si="12"/>
        <v>0.58955665222025566</v>
      </c>
      <c r="AJ61" s="24">
        <f t="shared" si="13"/>
        <v>18.103946741270576</v>
      </c>
    </row>
    <row r="62" spans="1:36">
      <c r="A62" t="s">
        <v>296</v>
      </c>
      <c r="B62" t="s">
        <v>43</v>
      </c>
      <c r="D62" t="s">
        <v>297</v>
      </c>
      <c r="E62" t="s">
        <v>298</v>
      </c>
      <c r="F62">
        <v>1051</v>
      </c>
      <c r="G62">
        <v>-125</v>
      </c>
      <c r="H62">
        <f t="shared" si="5"/>
        <v>2.1124999999999998</v>
      </c>
      <c r="I62">
        <v>5.181</v>
      </c>
      <c r="J62" t="s">
        <v>299</v>
      </c>
      <c r="K62">
        <v>9.4106000000000005</v>
      </c>
      <c r="L62">
        <v>14.740219895287956</v>
      </c>
      <c r="M62">
        <v>8.9055555555555554E-2</v>
      </c>
      <c r="N62">
        <v>3.0075226368572801</v>
      </c>
      <c r="O62">
        <v>0.35527614883592101</v>
      </c>
      <c r="P62" s="22">
        <v>9.8598771200565665</v>
      </c>
      <c r="Q62" s="22">
        <v>0.43756115895206898</v>
      </c>
      <c r="R62" s="22">
        <v>1.0651424281239357</v>
      </c>
      <c r="S62" s="22">
        <v>0.63328203948907891</v>
      </c>
      <c r="T62" s="22">
        <v>0.60295294300887015</v>
      </c>
      <c r="U62" s="22">
        <v>0.28763769492237112</v>
      </c>
      <c r="V62" s="22">
        <v>0.16223040314192305</v>
      </c>
      <c r="W62" s="22">
        <v>0.1180831749991316</v>
      </c>
      <c r="X62" s="22">
        <v>9.0220653130309802E-2</v>
      </c>
      <c r="Y62" s="22">
        <v>0.3076581349091268</v>
      </c>
      <c r="Z62" s="22">
        <v>0.19352038883235065</v>
      </c>
      <c r="AA62" s="22">
        <v>1.3987511892906266</v>
      </c>
      <c r="AB62" s="22">
        <v>0.9890214752312364</v>
      </c>
      <c r="AC62" s="22">
        <v>11.889143867532576</v>
      </c>
      <c r="AD62" s="22">
        <v>28.035082671620174</v>
      </c>
      <c r="AE62" s="209">
        <f t="shared" si="6"/>
        <v>2.8035082671620172E-2</v>
      </c>
      <c r="AF62" s="24">
        <f t="shared" si="9"/>
        <v>12.59881568963052</v>
      </c>
      <c r="AG62" s="601">
        <f t="shared" si="10"/>
        <v>0.46878036980384247</v>
      </c>
      <c r="AH62" s="24">
        <f t="shared" si="11"/>
        <v>14.27691653205444</v>
      </c>
      <c r="AI62" s="601">
        <f t="shared" si="12"/>
        <v>0.53121963019615759</v>
      </c>
      <c r="AJ62" s="24">
        <f t="shared" si="13"/>
        <v>26.875732221684959</v>
      </c>
    </row>
    <row r="63" spans="1:36">
      <c r="O63" s="3"/>
      <c r="P63" s="563"/>
      <c r="Q63" s="563"/>
      <c r="R63" s="563"/>
      <c r="S63" s="563"/>
      <c r="T63" s="563"/>
      <c r="U63" s="563"/>
      <c r="V63" s="563"/>
      <c r="W63" s="563"/>
      <c r="X63" s="563"/>
      <c r="Y63" s="563"/>
      <c r="Z63" s="563"/>
      <c r="AA63" s="563"/>
      <c r="AB63" s="563"/>
      <c r="AC63" s="563"/>
      <c r="AD63" s="563"/>
      <c r="AE63" s="563"/>
      <c r="AF63" s="24"/>
      <c r="AG63" s="24"/>
      <c r="AH63" s="24"/>
      <c r="AI63" s="24"/>
      <c r="AJ63" s="24"/>
    </row>
    <row r="64" spans="1:36" ht="15.75" thickBot="1">
      <c r="P64" s="563"/>
      <c r="Q64" s="563"/>
      <c r="R64" s="563"/>
      <c r="S64" s="563"/>
      <c r="T64" s="563"/>
      <c r="U64" s="563"/>
      <c r="V64" s="563"/>
      <c r="W64" s="563"/>
      <c r="X64" s="563"/>
      <c r="Y64" s="563"/>
      <c r="Z64" s="563"/>
      <c r="AA64" s="563"/>
      <c r="AB64" s="563"/>
      <c r="AC64" s="563"/>
    </row>
    <row r="65" spans="1:22" ht="45">
      <c r="A65" s="577" t="s">
        <v>300</v>
      </c>
      <c r="B65" s="579" t="s">
        <v>0</v>
      </c>
      <c r="C65" s="578" t="s">
        <v>301</v>
      </c>
      <c r="D65" s="579" t="s">
        <v>302</v>
      </c>
      <c r="E65" s="580" t="s">
        <v>139</v>
      </c>
      <c r="F65" s="578" t="s">
        <v>150</v>
      </c>
      <c r="G65" s="578" t="s">
        <v>151</v>
      </c>
      <c r="H65" s="578"/>
      <c r="I65" s="578" t="s">
        <v>152</v>
      </c>
      <c r="J65" s="578" t="s">
        <v>303</v>
      </c>
      <c r="K65" s="578" t="s">
        <v>304</v>
      </c>
      <c r="L65" s="578" t="s">
        <v>155</v>
      </c>
      <c r="M65" s="578" t="s">
        <v>305</v>
      </c>
      <c r="N65" s="578" t="s">
        <v>306</v>
      </c>
      <c r="O65" s="578" t="s">
        <v>307</v>
      </c>
      <c r="P65" s="578" t="s">
        <v>159</v>
      </c>
      <c r="Q65" s="578" t="s">
        <v>160</v>
      </c>
      <c r="R65" s="578" t="s">
        <v>161</v>
      </c>
      <c r="S65" s="578" t="s">
        <v>162</v>
      </c>
      <c r="T65" s="578" t="s">
        <v>163</v>
      </c>
      <c r="U65" s="578" t="s">
        <v>308</v>
      </c>
      <c r="V65" t="s">
        <v>309</v>
      </c>
    </row>
    <row r="66" spans="1:22">
      <c r="A66" s="158" t="s">
        <v>310</v>
      </c>
      <c r="B66" s="1"/>
      <c r="C66" t="s">
        <v>311</v>
      </c>
      <c r="D66" s="1"/>
      <c r="E66" s="1">
        <v>5.7</v>
      </c>
      <c r="F66" s="575">
        <v>67.952068813877887</v>
      </c>
      <c r="G66" s="575">
        <v>11.009343133118289</v>
      </c>
      <c r="H66" s="575"/>
      <c r="I66" s="575">
        <v>19.571133520634671</v>
      </c>
      <c r="J66" s="575">
        <v>47.676055078094699</v>
      </c>
      <c r="K66" s="575">
        <v>25.701528737628482</v>
      </c>
      <c r="L66" s="575">
        <v>32.742607569977949</v>
      </c>
      <c r="M66" s="575">
        <v>50.016331561998996</v>
      </c>
      <c r="N66" s="575">
        <v>82.565458078561363</v>
      </c>
      <c r="O66" s="575">
        <v>50.10829202501251</v>
      </c>
      <c r="P66" s="575">
        <v>114.76378201630818</v>
      </c>
      <c r="Q66" s="575">
        <v>51.048758465388914</v>
      </c>
      <c r="R66" s="575">
        <v>44.098538566969253</v>
      </c>
      <c r="S66" s="575">
        <v>98.744066280455513</v>
      </c>
      <c r="T66" s="575">
        <v>620.14167329064094</v>
      </c>
      <c r="U66" s="24">
        <f>SUM(F66:T66)</f>
        <v>1316.1396371386677</v>
      </c>
    </row>
    <row r="67" spans="1:22" ht="15.75" thickBot="1">
      <c r="A67" s="174" t="s">
        <v>312</v>
      </c>
      <c r="B67" s="572"/>
      <c r="C67" s="175" t="s">
        <v>313</v>
      </c>
      <c r="D67" s="572"/>
      <c r="E67" s="572" t="s">
        <v>314</v>
      </c>
      <c r="F67" s="576">
        <v>44.848898878420847</v>
      </c>
      <c r="G67" s="576">
        <v>93.985035764674492</v>
      </c>
      <c r="H67" s="576"/>
      <c r="I67" s="576">
        <v>312.59006630137714</v>
      </c>
      <c r="J67" s="576">
        <v>278.1893035546463</v>
      </c>
      <c r="K67" s="576">
        <v>135.64155935358392</v>
      </c>
      <c r="L67" s="576">
        <v>18.393817376778397</v>
      </c>
      <c r="M67" s="576">
        <v>16.697891288637521</v>
      </c>
      <c r="N67" s="576">
        <v>169.75598933526959</v>
      </c>
      <c r="O67" s="576">
        <v>24.899947561587869</v>
      </c>
      <c r="P67" s="576">
        <v>201.94928484009432</v>
      </c>
      <c r="Q67" s="576">
        <v>91.510267901290732</v>
      </c>
      <c r="R67" s="576">
        <v>154.37685601176307</v>
      </c>
      <c r="S67" s="576">
        <v>1220.4421086332854</v>
      </c>
      <c r="T67" s="576">
        <v>9603.7301119006934</v>
      </c>
      <c r="U67" s="24">
        <f>SUM(F67:T67)</f>
        <v>12367.011138702102</v>
      </c>
    </row>
  </sheetData>
  <conditionalFormatting sqref="AB1:AB62 AB65:AB1048576">
    <cfRule type="top10" dxfId="429" priority="15" rank="1"/>
  </conditionalFormatting>
  <conditionalFormatting sqref="Z1:Z62 Z65:Z1048576">
    <cfRule type="top10" dxfId="428" priority="12" rank="1"/>
  </conditionalFormatting>
  <conditionalFormatting sqref="Y1:Y62 Y65:Y1048576">
    <cfRule type="top10" dxfId="427" priority="11" rank="1"/>
  </conditionalFormatting>
  <conditionalFormatting sqref="X1:X62 X65:X1048576">
    <cfRule type="top10" dxfId="426" priority="10" rank="1"/>
  </conditionalFormatting>
  <conditionalFormatting sqref="W1:W62 W65:W1048576">
    <cfRule type="top10" dxfId="425" priority="9" rank="1"/>
  </conditionalFormatting>
  <conditionalFormatting sqref="V1:V62 V65:V1048576">
    <cfRule type="top10" dxfId="424" priority="8" rank="1"/>
  </conditionalFormatting>
  <conditionalFormatting sqref="U1:U62 U65 U68:U1048576">
    <cfRule type="top10" dxfId="423" priority="7" rank="1"/>
  </conditionalFormatting>
  <conditionalFormatting sqref="T1:T62 T65 T68:T1048576">
    <cfRule type="top10" dxfId="422" priority="6" rank="1"/>
  </conditionalFormatting>
  <conditionalFormatting sqref="S1:S62 S65 S68:S1048576">
    <cfRule type="top10" dxfId="421" priority="5" rank="1"/>
  </conditionalFormatting>
  <conditionalFormatting sqref="R1:R62 R65 R68:R1048576">
    <cfRule type="top10" dxfId="420" priority="4" rank="1"/>
  </conditionalFormatting>
  <conditionalFormatting sqref="Q1:Q62 Q65 Q68:Q1048576">
    <cfRule type="top10" dxfId="419" priority="3" rank="1"/>
  </conditionalFormatting>
  <conditionalFormatting sqref="P1:P62 P65 P68:P1048576">
    <cfRule type="top10" dxfId="418" priority="2" rank="1"/>
  </conditionalFormatting>
  <conditionalFormatting sqref="AC1:AC62 AC65:AC1048576">
    <cfRule type="top10" dxfId="417" priority="434" rank="1"/>
  </conditionalFormatting>
  <conditionalFormatting sqref="AA1:AA62 AA65:AA1048576 P64:AC64 P63:AJ63">
    <cfRule type="top10" dxfId="416" priority="436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4F4F-2B78-409B-ACDA-97AF59A2F521}">
  <sheetPr>
    <tabColor theme="9" tint="0.59999389629810485"/>
  </sheetPr>
  <dimension ref="A1:CZ77"/>
  <sheetViews>
    <sheetView topLeftCell="A28" zoomScale="60" zoomScaleNormal="60" workbookViewId="0">
      <pane xSplit="1" topLeftCell="Z1" activePane="topRight" state="frozen"/>
      <selection pane="topRight" activeCell="BE72" sqref="BE72"/>
    </sheetView>
  </sheetViews>
  <sheetFormatPr defaultRowHeight="15"/>
  <cols>
    <col min="1" max="1" width="7.140625" customWidth="1"/>
    <col min="17" max="17" width="8.85546875"/>
    <col min="36" max="49" width="8.85546875" bestFit="1" customWidth="1"/>
    <col min="50" max="50" width="11.42578125" bestFit="1" customWidth="1"/>
    <col min="53" max="53" width="8.85546875"/>
    <col min="72" max="72" width="15.42578125" customWidth="1"/>
    <col min="89" max="89" width="13.42578125" customWidth="1"/>
  </cols>
  <sheetData>
    <row r="1" spans="1:104" s="21" customFormat="1">
      <c r="B1" s="21" t="s">
        <v>315</v>
      </c>
      <c r="BC1" s="21" t="s">
        <v>316</v>
      </c>
    </row>
    <row r="3" spans="1:104" ht="16.149999999999999" customHeight="1">
      <c r="B3" s="21" t="s">
        <v>317</v>
      </c>
      <c r="T3" s="21" t="s">
        <v>318</v>
      </c>
      <c r="AK3" s="21" t="s">
        <v>319</v>
      </c>
      <c r="AY3" t="s">
        <v>133</v>
      </c>
      <c r="AZ3" t="s">
        <v>133</v>
      </c>
      <c r="BC3" s="63" t="s">
        <v>320</v>
      </c>
      <c r="BD3" s="27" t="s">
        <v>135</v>
      </c>
      <c r="BE3" s="27" t="s">
        <v>135</v>
      </c>
      <c r="BF3" s="27" t="s">
        <v>135</v>
      </c>
      <c r="BG3" s="27" t="s">
        <v>135</v>
      </c>
      <c r="BH3" s="27" t="s">
        <v>135</v>
      </c>
      <c r="BI3" s="27" t="s">
        <v>135</v>
      </c>
      <c r="BJ3" s="27" t="s">
        <v>135</v>
      </c>
      <c r="BK3" s="27" t="s">
        <v>135</v>
      </c>
      <c r="BL3" s="27" t="s">
        <v>135</v>
      </c>
      <c r="BM3" s="27" t="s">
        <v>135</v>
      </c>
      <c r="BN3" s="27" t="s">
        <v>135</v>
      </c>
      <c r="BO3" s="27" t="s">
        <v>135</v>
      </c>
      <c r="BP3" s="27" t="s">
        <v>135</v>
      </c>
      <c r="BQ3" s="27" t="s">
        <v>135</v>
      </c>
      <c r="BR3" s="57" t="s">
        <v>135</v>
      </c>
      <c r="BT3" s="63" t="s">
        <v>321</v>
      </c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57" t="s">
        <v>135</v>
      </c>
      <c r="CK3" s="63" t="s">
        <v>322</v>
      </c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57" t="s">
        <v>135</v>
      </c>
    </row>
    <row r="4" spans="1:104">
      <c r="A4" s="22" t="s">
        <v>115</v>
      </c>
      <c r="B4" s="22" t="s">
        <v>150</v>
      </c>
      <c r="C4" s="22" t="s">
        <v>151</v>
      </c>
      <c r="D4" s="22" t="s">
        <v>152</v>
      </c>
      <c r="E4" s="22" t="s">
        <v>153</v>
      </c>
      <c r="F4" s="22" t="s">
        <v>154</v>
      </c>
      <c r="G4" s="22" t="s">
        <v>155</v>
      </c>
      <c r="H4" s="22" t="s">
        <v>156</v>
      </c>
      <c r="I4" s="22" t="s">
        <v>157</v>
      </c>
      <c r="J4" s="22" t="s">
        <v>158</v>
      </c>
      <c r="K4" s="22" t="s">
        <v>159</v>
      </c>
      <c r="L4" s="22" t="s">
        <v>160</v>
      </c>
      <c r="M4" s="22" t="s">
        <v>161</v>
      </c>
      <c r="N4" s="22" t="s">
        <v>162</v>
      </c>
      <c r="O4" s="22" t="s">
        <v>163</v>
      </c>
      <c r="P4" s="22" t="s">
        <v>323</v>
      </c>
      <c r="Q4" s="22" t="s">
        <v>324</v>
      </c>
      <c r="S4" s="22" t="s">
        <v>115</v>
      </c>
      <c r="T4" s="22" t="s">
        <v>150</v>
      </c>
      <c r="U4" s="22" t="s">
        <v>151</v>
      </c>
      <c r="V4" s="22" t="s">
        <v>152</v>
      </c>
      <c r="W4" s="22" t="s">
        <v>153</v>
      </c>
      <c r="X4" s="22" t="s">
        <v>154</v>
      </c>
      <c r="Y4" s="22" t="s">
        <v>155</v>
      </c>
      <c r="Z4" s="22" t="s">
        <v>156</v>
      </c>
      <c r="AA4" s="22" t="s">
        <v>157</v>
      </c>
      <c r="AB4" s="22" t="s">
        <v>158</v>
      </c>
      <c r="AC4" s="22" t="s">
        <v>159</v>
      </c>
      <c r="AD4" s="22" t="s">
        <v>160</v>
      </c>
      <c r="AE4" s="22" t="s">
        <v>161</v>
      </c>
      <c r="AF4" s="22" t="s">
        <v>162</v>
      </c>
      <c r="AG4" s="22" t="s">
        <v>163</v>
      </c>
      <c r="AH4" s="22" t="s">
        <v>325</v>
      </c>
      <c r="AJ4" t="s">
        <v>115</v>
      </c>
      <c r="AK4" t="s">
        <v>150</v>
      </c>
      <c r="AL4" t="s">
        <v>151</v>
      </c>
      <c r="AM4" t="s">
        <v>152</v>
      </c>
      <c r="AN4" t="s">
        <v>303</v>
      </c>
      <c r="AO4" t="s">
        <v>326</v>
      </c>
      <c r="AP4" t="s">
        <v>155</v>
      </c>
      <c r="AQ4" t="s">
        <v>156</v>
      </c>
      <c r="AR4" t="s">
        <v>306</v>
      </c>
      <c r="AS4" t="s">
        <v>307</v>
      </c>
      <c r="AT4" t="s">
        <v>159</v>
      </c>
      <c r="AU4" t="s">
        <v>160</v>
      </c>
      <c r="AV4" t="s">
        <v>161</v>
      </c>
      <c r="AW4" t="s">
        <v>162</v>
      </c>
      <c r="AX4" t="s">
        <v>163</v>
      </c>
      <c r="AY4" s="22" t="s">
        <v>325</v>
      </c>
      <c r="AZ4" s="22" t="s">
        <v>327</v>
      </c>
      <c r="BA4" s="22"/>
      <c r="BC4" s="25" t="s">
        <v>0</v>
      </c>
      <c r="BD4" t="s">
        <v>150</v>
      </c>
      <c r="BE4" t="s">
        <v>151</v>
      </c>
      <c r="BF4" t="s">
        <v>152</v>
      </c>
      <c r="BG4" t="s">
        <v>153</v>
      </c>
      <c r="BH4" t="s">
        <v>154</v>
      </c>
      <c r="BI4" t="s">
        <v>155</v>
      </c>
      <c r="BJ4" t="s">
        <v>156</v>
      </c>
      <c r="BK4" t="s">
        <v>157</v>
      </c>
      <c r="BL4" t="s">
        <v>158</v>
      </c>
      <c r="BM4" t="s">
        <v>159</v>
      </c>
      <c r="BN4" t="s">
        <v>160</v>
      </c>
      <c r="BO4" t="s">
        <v>161</v>
      </c>
      <c r="BP4" t="s">
        <v>162</v>
      </c>
      <c r="BQ4" t="s">
        <v>163</v>
      </c>
      <c r="BR4" s="40" t="s">
        <v>121</v>
      </c>
      <c r="BT4" s="25" t="s">
        <v>0</v>
      </c>
      <c r="BU4" t="s">
        <v>150</v>
      </c>
      <c r="BV4" t="s">
        <v>151</v>
      </c>
      <c r="BW4" t="s">
        <v>152</v>
      </c>
      <c r="BX4" t="s">
        <v>153</v>
      </c>
      <c r="BY4" t="s">
        <v>154</v>
      </c>
      <c r="BZ4" t="s">
        <v>155</v>
      </c>
      <c r="CA4" t="s">
        <v>156</v>
      </c>
      <c r="CB4" t="s">
        <v>157</v>
      </c>
      <c r="CC4" t="s">
        <v>158</v>
      </c>
      <c r="CD4" t="s">
        <v>159</v>
      </c>
      <c r="CE4" t="s">
        <v>160</v>
      </c>
      <c r="CF4" t="s">
        <v>161</v>
      </c>
      <c r="CG4" t="s">
        <v>162</v>
      </c>
      <c r="CH4" t="s">
        <v>163</v>
      </c>
      <c r="CI4" s="40" t="s">
        <v>121</v>
      </c>
      <c r="CK4" s="25" t="s">
        <v>0</v>
      </c>
      <c r="CL4" t="s">
        <v>150</v>
      </c>
      <c r="CM4" t="s">
        <v>151</v>
      </c>
      <c r="CN4" t="s">
        <v>152</v>
      </c>
      <c r="CO4" t="s">
        <v>153</v>
      </c>
      <c r="CP4" t="s">
        <v>154</v>
      </c>
      <c r="CQ4" t="s">
        <v>155</v>
      </c>
      <c r="CR4" t="s">
        <v>156</v>
      </c>
      <c r="CS4" t="s">
        <v>157</v>
      </c>
      <c r="CT4" t="s">
        <v>158</v>
      </c>
      <c r="CU4" t="s">
        <v>159</v>
      </c>
      <c r="CV4" t="s">
        <v>160</v>
      </c>
      <c r="CW4" t="s">
        <v>161</v>
      </c>
      <c r="CX4" t="s">
        <v>162</v>
      </c>
      <c r="CY4" t="s">
        <v>163</v>
      </c>
      <c r="CZ4" s="40" t="s">
        <v>121</v>
      </c>
    </row>
    <row r="5" spans="1:104">
      <c r="A5" t="s">
        <v>39</v>
      </c>
      <c r="B5" s="24">
        <v>263.0975457434468</v>
      </c>
      <c r="C5" s="24">
        <v>1.8938360576359436</v>
      </c>
      <c r="D5" s="24">
        <v>269.39983248331311</v>
      </c>
      <c r="E5" s="24">
        <v>13.605410295764669</v>
      </c>
      <c r="F5" s="24">
        <v>51.191131885803763</v>
      </c>
      <c r="G5" s="24">
        <v>103.96081097394851</v>
      </c>
      <c r="H5" s="24">
        <v>14.405496248014966</v>
      </c>
      <c r="I5" s="24">
        <v>0.31628945863329277</v>
      </c>
      <c r="J5" s="24">
        <v>91.084243335018613</v>
      </c>
      <c r="K5" s="24">
        <v>195.72031260465775</v>
      </c>
      <c r="L5" s="24">
        <v>121.0157606479281</v>
      </c>
      <c r="M5" s="24">
        <v>1253.8077958647443</v>
      </c>
      <c r="N5" s="24">
        <v>40.852505185935314</v>
      </c>
      <c r="O5" s="24">
        <v>2207.2572710233403</v>
      </c>
      <c r="P5" s="24">
        <f>SUM(B5:O5)</f>
        <v>4627.6082418081851</v>
      </c>
      <c r="Q5" s="24">
        <f>SUM(B5:F5,M5:O5)</f>
        <v>4101.1053285399839</v>
      </c>
      <c r="S5" t="s">
        <v>39</v>
      </c>
      <c r="T5" s="22">
        <f>B5/$P5*100</f>
        <v>5.6853893414418426</v>
      </c>
      <c r="U5" s="22">
        <f t="shared" ref="U5:U25" si="0">C5/$P5*100</f>
        <v>4.0924727389973457E-2</v>
      </c>
      <c r="V5" s="22">
        <f t="shared" ref="V5:V25" si="1">D5/$P5*100</f>
        <v>5.8215781977700036</v>
      </c>
      <c r="W5" s="22">
        <f t="shared" ref="W5:W25" si="2">E5/$P5*100</f>
        <v>0.29400523088463748</v>
      </c>
      <c r="X5" s="22">
        <f t="shared" ref="X5:X25" si="3">F5/$P5*100</f>
        <v>1.1062114425183367</v>
      </c>
      <c r="Y5" s="22">
        <f t="shared" ref="Y5:Y25" si="4">G5/$P5*100</f>
        <v>2.2465343983683246</v>
      </c>
      <c r="Z5" s="22">
        <f t="shared" ref="Z5:Z25" si="5">H5/$P5*100</f>
        <v>0.31129463634947163</v>
      </c>
      <c r="AA5" s="22">
        <f t="shared" ref="AA5:AA25" si="6">I5/$P5*100</f>
        <v>6.8348365312294948E-3</v>
      </c>
      <c r="AB5" s="22">
        <f t="shared" ref="AB5:AB25" si="7">J5/$P5*100</f>
        <v>1.968279045579461</v>
      </c>
      <c r="AC5" s="22">
        <f t="shared" ref="AC5:AC25" si="8">K5/$P5*100</f>
        <v>4.2294053942686878</v>
      </c>
      <c r="AD5" s="22">
        <f t="shared" ref="AD5:AD25" si="9">L5/$P5*100</f>
        <v>2.6150822265940685</v>
      </c>
      <c r="AE5" s="22">
        <f t="shared" ref="AE5:AE25" si="10">M5/$P5*100</f>
        <v>27.09407820085551</v>
      </c>
      <c r="AF5" s="22">
        <f t="shared" ref="AF5:AF25" si="11">N5/$P5*100</f>
        <v>0.88279955975643831</v>
      </c>
      <c r="AG5" s="22">
        <f t="shared" ref="AG5:AG25" si="12">O5/$P5*100</f>
        <v>47.697582761692026</v>
      </c>
      <c r="AH5" s="24">
        <v>4627.6082418081851</v>
      </c>
      <c r="AI5" s="22"/>
      <c r="AJ5" t="s">
        <v>84</v>
      </c>
      <c r="AK5">
        <v>15.34</v>
      </c>
      <c r="AL5">
        <v>7.35</v>
      </c>
      <c r="AM5">
        <v>9.6999999999999993</v>
      </c>
      <c r="AN5">
        <v>17.350000000000001</v>
      </c>
      <c r="AO5">
        <v>7.84</v>
      </c>
      <c r="AP5">
        <v>0.31</v>
      </c>
      <c r="AQ5">
        <v>0</v>
      </c>
      <c r="AR5">
        <v>3.14</v>
      </c>
      <c r="AS5">
        <v>0.34</v>
      </c>
      <c r="AT5">
        <v>1.58</v>
      </c>
      <c r="AU5">
        <v>0.51</v>
      </c>
      <c r="AV5">
        <v>5.71</v>
      </c>
      <c r="AW5">
        <v>0.15</v>
      </c>
      <c r="AX5">
        <v>26.87</v>
      </c>
      <c r="AY5" s="22">
        <v>40.2847155544465</v>
      </c>
      <c r="AZ5" s="24">
        <v>37.636254862933804</v>
      </c>
      <c r="BA5" s="24"/>
      <c r="BC5" s="64" t="s">
        <v>169</v>
      </c>
      <c r="BD5" s="44">
        <v>5.9661455765983193</v>
      </c>
      <c r="BE5" s="44">
        <v>1.5972803757539231</v>
      </c>
      <c r="BF5" s="44">
        <v>4.5819611123778223</v>
      </c>
      <c r="BG5" s="44">
        <v>2.9530691114217014</v>
      </c>
      <c r="BH5" s="44">
        <v>3.1213260645682599</v>
      </c>
      <c r="BI5" s="44">
        <v>0.26213103269410304</v>
      </c>
      <c r="BJ5" s="44">
        <v>9.9108347292728577E-2</v>
      </c>
      <c r="BK5" s="44">
        <v>0.47361418254101767</v>
      </c>
      <c r="BL5" s="44">
        <v>0.1693332428631496</v>
      </c>
      <c r="BM5" s="44">
        <v>0.9318164965064748</v>
      </c>
      <c r="BN5" s="44">
        <v>0.58821473262500468</v>
      </c>
      <c r="BO5" s="44">
        <v>5.91373733320287</v>
      </c>
      <c r="BP5" s="44">
        <v>2.8968637666605215</v>
      </c>
      <c r="BQ5" s="44">
        <v>37.843472529055283</v>
      </c>
      <c r="BR5" s="58">
        <v>67.39807390416118</v>
      </c>
      <c r="BT5" s="64" t="s">
        <v>169</v>
      </c>
      <c r="BU5" s="24">
        <f>BD5/$BR5*100</f>
        <v>8.8521010037795271</v>
      </c>
      <c r="BV5" s="24">
        <f t="shared" ref="BV5:CH5" si="13">BE5/$BR5*100</f>
        <v>2.3699199149596271</v>
      </c>
      <c r="BW5" s="24">
        <f t="shared" si="13"/>
        <v>6.7983561650341624</v>
      </c>
      <c r="BX5" s="24">
        <f t="shared" si="13"/>
        <v>4.3815333886557521</v>
      </c>
      <c r="BY5" s="24">
        <f t="shared" si="13"/>
        <v>4.6311799191869012</v>
      </c>
      <c r="BZ5" s="24">
        <f t="shared" si="13"/>
        <v>0.38892956060858436</v>
      </c>
      <c r="CA5" s="24">
        <f t="shared" si="13"/>
        <v>0.14704922789582803</v>
      </c>
      <c r="CB5" s="24">
        <f t="shared" si="13"/>
        <v>0.70271174694767735</v>
      </c>
      <c r="CC5" s="24">
        <f t="shared" si="13"/>
        <v>0.25124344518203645</v>
      </c>
      <c r="CD5" s="24">
        <f t="shared" si="13"/>
        <v>1.3825565665741437</v>
      </c>
      <c r="CE5" s="24">
        <f t="shared" si="13"/>
        <v>0.87274709580192933</v>
      </c>
      <c r="CF5" s="24">
        <f t="shared" si="13"/>
        <v>8.7743417439674847</v>
      </c>
      <c r="CG5" s="24">
        <f t="shared" si="13"/>
        <v>4.2981402862933571</v>
      </c>
      <c r="CH5" s="24">
        <f t="shared" si="13"/>
        <v>56.149189935112986</v>
      </c>
      <c r="CI5" s="58">
        <v>67.39807390416118</v>
      </c>
      <c r="CK5" s="23" t="s">
        <v>275</v>
      </c>
      <c r="CL5" s="22">
        <v>18.3452432102847</v>
      </c>
      <c r="CM5" s="22">
        <v>3.6724400671071411</v>
      </c>
      <c r="CN5" s="22">
        <v>10.480445527372716</v>
      </c>
      <c r="CO5" s="22">
        <v>7.753391767139675</v>
      </c>
      <c r="CP5" s="22">
        <v>3.7077907627566296</v>
      </c>
      <c r="CQ5" s="22">
        <v>0.26885487878213038</v>
      </c>
      <c r="CR5" s="22">
        <v>3.8664095842491801E-2</v>
      </c>
      <c r="CS5" s="22">
        <v>1.6987732560804394</v>
      </c>
      <c r="CT5" s="22">
        <v>0.22409610972067015</v>
      </c>
      <c r="CU5" s="22">
        <v>1.0107438863001426</v>
      </c>
      <c r="CV5" s="22">
        <v>0.51028642128648716</v>
      </c>
      <c r="CW5" s="22">
        <v>9.8414556450140473</v>
      </c>
      <c r="CX5" s="22">
        <v>0.84646505723553933</v>
      </c>
      <c r="CY5" s="22">
        <v>41.601349315077201</v>
      </c>
      <c r="CZ5" s="58">
        <v>13644.107807809884</v>
      </c>
    </row>
    <row r="6" spans="1:104">
      <c r="A6" t="s">
        <v>45</v>
      </c>
      <c r="B6" s="24">
        <v>179.28837085170807</v>
      </c>
      <c r="C6" s="24">
        <v>6.9291791325968601</v>
      </c>
      <c r="D6" s="24">
        <v>1689.6704663586827</v>
      </c>
      <c r="E6" s="24">
        <v>751.33765751026783</v>
      </c>
      <c r="F6" s="24">
        <v>253.09861774404553</v>
      </c>
      <c r="G6" s="24">
        <v>100.66439117196377</v>
      </c>
      <c r="H6" s="24">
        <v>20.461272956982388</v>
      </c>
      <c r="I6" s="24">
        <v>144.16241706929313</v>
      </c>
      <c r="J6" s="24">
        <v>61.313982265999165</v>
      </c>
      <c r="K6" s="24">
        <v>314.14849803448175</v>
      </c>
      <c r="L6" s="24">
        <v>147.06183987899701</v>
      </c>
      <c r="M6" s="24">
        <v>1352.3412111552591</v>
      </c>
      <c r="N6" s="24">
        <v>14.64315628079977</v>
      </c>
      <c r="O6" s="24">
        <v>5410.1785772213334</v>
      </c>
      <c r="P6" s="24">
        <f t="shared" ref="P6:P25" si="14">SUM(B6:O6)</f>
        <v>10445.299637632412</v>
      </c>
      <c r="Q6" s="24">
        <f t="shared" ref="Q6:Q26" si="15">SUM(B6:F6,M6:O6)</f>
        <v>9657.4872362546939</v>
      </c>
      <c r="S6" t="s">
        <v>45</v>
      </c>
      <c r="T6" s="22">
        <f t="shared" ref="T6:T25" si="16">B6/$P6*100</f>
        <v>1.7164502414633127</v>
      </c>
      <c r="U6" s="22">
        <f t="shared" si="0"/>
        <v>6.6337772711013057E-2</v>
      </c>
      <c r="V6" s="22">
        <f t="shared" si="1"/>
        <v>16.176371429988702</v>
      </c>
      <c r="W6" s="22">
        <f t="shared" si="2"/>
        <v>7.1930694530135089</v>
      </c>
      <c r="X6" s="22">
        <f t="shared" si="3"/>
        <v>2.4230862351921409</v>
      </c>
      <c r="Y6" s="22">
        <f t="shared" si="4"/>
        <v>0.9637290902530864</v>
      </c>
      <c r="Z6" s="22">
        <f t="shared" si="5"/>
        <v>0.19588976541433378</v>
      </c>
      <c r="AA6" s="22">
        <f t="shared" si="6"/>
        <v>1.3801654530800016</v>
      </c>
      <c r="AB6" s="22">
        <f t="shared" si="7"/>
        <v>0.58700070264233151</v>
      </c>
      <c r="AC6" s="22">
        <f t="shared" si="8"/>
        <v>3.0075585089264929</v>
      </c>
      <c r="AD6" s="22">
        <f t="shared" si="9"/>
        <v>1.4079236113932183</v>
      </c>
      <c r="AE6" s="22">
        <f t="shared" si="10"/>
        <v>12.946887672643042</v>
      </c>
      <c r="AF6" s="22">
        <f t="shared" si="11"/>
        <v>0.140188953776331</v>
      </c>
      <c r="AG6" s="22">
        <f t="shared" si="12"/>
        <v>51.795341109502466</v>
      </c>
      <c r="AH6" s="24">
        <v>10445.299637632412</v>
      </c>
      <c r="AJ6" t="s">
        <v>91</v>
      </c>
      <c r="AK6" s="22">
        <v>18.3452432102847</v>
      </c>
      <c r="AL6" s="22">
        <v>3.6724400671071411</v>
      </c>
      <c r="AM6" s="22">
        <v>10.480445527372716</v>
      </c>
      <c r="AN6" s="22">
        <v>7.753391767139675</v>
      </c>
      <c r="AO6" s="22">
        <v>3.7077907627566296</v>
      </c>
      <c r="AP6" s="22">
        <v>0.26885487878213038</v>
      </c>
      <c r="AQ6" s="22">
        <v>3.8664095842491801E-2</v>
      </c>
      <c r="AR6" s="22">
        <v>1.6987732560804394</v>
      </c>
      <c r="AS6" s="22">
        <v>0.22409610972067015</v>
      </c>
      <c r="AT6" s="22">
        <v>1.0107438863001426</v>
      </c>
      <c r="AU6" s="22">
        <v>0.51028642128648716</v>
      </c>
      <c r="AV6" s="22">
        <v>9.8414556450140473</v>
      </c>
      <c r="AW6" s="22">
        <v>0.84646505723553933</v>
      </c>
      <c r="AX6" s="22">
        <v>41.601349315077201</v>
      </c>
      <c r="AY6" s="24">
        <v>13.644107807809901</v>
      </c>
      <c r="AZ6" s="24">
        <v>13.132260203152793</v>
      </c>
      <c r="BA6" s="24"/>
      <c r="BC6" s="65" t="s">
        <v>172</v>
      </c>
      <c r="BD6" s="24">
        <v>4.4771474274630094</v>
      </c>
      <c r="BE6" s="24">
        <v>1.359671660919116</v>
      </c>
      <c r="BF6" s="24">
        <v>13.92424405092647</v>
      </c>
      <c r="BG6" s="24">
        <v>7.8723832248295906</v>
      </c>
      <c r="BH6" s="24">
        <v>4.7818974547482833</v>
      </c>
      <c r="BI6" s="24">
        <v>0.54101249719640632</v>
      </c>
      <c r="BJ6" s="24">
        <v>0.14271720978522004</v>
      </c>
      <c r="BK6" s="24">
        <v>0.94297331623450731</v>
      </c>
      <c r="BL6" s="24">
        <v>0.42588227555508373</v>
      </c>
      <c r="BM6" s="24">
        <v>1.8041521040993098</v>
      </c>
      <c r="BN6" s="24">
        <v>0.98404008326701253</v>
      </c>
      <c r="BO6" s="24">
        <v>12.101720053886568</v>
      </c>
      <c r="BP6" s="24">
        <v>2.8036821064283939</v>
      </c>
      <c r="BQ6" s="24">
        <v>68.659757321964108</v>
      </c>
      <c r="BR6" s="29">
        <v>120.82128078730307</v>
      </c>
      <c r="BT6" s="65" t="s">
        <v>172</v>
      </c>
      <c r="BU6" s="24">
        <f t="shared" ref="BU6:BU56" si="17">BD6/$BR6*100</f>
        <v>3.7055950725639932</v>
      </c>
      <c r="BV6" s="24">
        <f t="shared" ref="BV6:BV20" si="18">BE6/$BR6*100</f>
        <v>1.1253577615293762</v>
      </c>
      <c r="BW6" s="24">
        <f t="shared" ref="BW6:BW20" si="19">BF6/$BR6*100</f>
        <v>11.52466184780732</v>
      </c>
      <c r="BX6" s="24">
        <f t="shared" ref="BX6:BX20" si="20">BG6/$BR6*100</f>
        <v>6.5157256846898841</v>
      </c>
      <c r="BY6" s="24">
        <f t="shared" ref="BY6:BY20" si="21">BH6/$BR6*100</f>
        <v>3.9578271506378582</v>
      </c>
      <c r="BZ6" s="24">
        <f t="shared" ref="BZ6:BZ20" si="22">BI6/$BR6*100</f>
        <v>0.44777914426252341</v>
      </c>
      <c r="CA6" s="24">
        <f t="shared" ref="CA6:CA20" si="23">BJ6/$BR6*100</f>
        <v>0.11812257646603096</v>
      </c>
      <c r="CB6" s="24">
        <f t="shared" ref="CB6:CB20" si="24">BK6/$BR6*100</f>
        <v>0.78046955808599816</v>
      </c>
      <c r="CC6" s="24">
        <f t="shared" ref="CC6:CC20" si="25">BL6/$BR6*100</f>
        <v>0.35248945614541033</v>
      </c>
      <c r="CD6" s="24">
        <f t="shared" ref="CD6:CD20" si="26">BM6/$BR6*100</f>
        <v>1.4932403400650802</v>
      </c>
      <c r="CE6" s="24">
        <f t="shared" ref="CE6:CE20" si="27">BN6/$BR6*100</f>
        <v>0.81445923835167933</v>
      </c>
      <c r="CF6" s="24">
        <f t="shared" ref="CF6:CF20" si="28">BO6/$BR6*100</f>
        <v>10.016215665840154</v>
      </c>
      <c r="CG6" s="24">
        <f t="shared" ref="CG6:CG20" si="29">BP6/$BR6*100</f>
        <v>2.3205201005641292</v>
      </c>
      <c r="CH6" s="24">
        <f t="shared" ref="CH6:CH20" si="30">BQ6/$BR6*100</f>
        <v>56.827536402990575</v>
      </c>
      <c r="CI6" s="29">
        <v>120.82128078730307</v>
      </c>
      <c r="CK6" s="25" t="s">
        <v>261</v>
      </c>
      <c r="CL6" s="22">
        <v>4.3783799420043135</v>
      </c>
      <c r="CM6" s="22">
        <v>4.3488384894133925E-2</v>
      </c>
      <c r="CN6" s="22">
        <v>9.408797426754786</v>
      </c>
      <c r="CO6" s="22">
        <v>3.7628845591812876</v>
      </c>
      <c r="CP6" s="22">
        <v>2.7905360171822107</v>
      </c>
      <c r="CQ6" s="22">
        <v>0.25589132407743664</v>
      </c>
      <c r="CR6" s="22">
        <v>4.3064172351211238E-2</v>
      </c>
      <c r="CS6" s="22">
        <v>0.98427495689440425</v>
      </c>
      <c r="CT6" s="22">
        <v>0.28753480947907217</v>
      </c>
      <c r="CU6" s="22">
        <v>1.1525407877165053</v>
      </c>
      <c r="CV6" s="22">
        <v>0.55643239110455389</v>
      </c>
      <c r="CW6" s="22">
        <v>13.248496512350489</v>
      </c>
      <c r="CX6" s="22">
        <v>2.7849642577463581E-2</v>
      </c>
      <c r="CY6" s="22">
        <v>63.059829073432127</v>
      </c>
      <c r="CZ6" s="29">
        <v>12092.753769476491</v>
      </c>
    </row>
    <row r="7" spans="1:104">
      <c r="A7" t="s">
        <v>51</v>
      </c>
      <c r="B7" s="24">
        <v>853.196626050541</v>
      </c>
      <c r="C7" s="24">
        <v>17.420942246691425</v>
      </c>
      <c r="D7" s="24">
        <v>1286.4677888393273</v>
      </c>
      <c r="E7" s="24">
        <v>528.33672076763162</v>
      </c>
      <c r="F7" s="24">
        <v>214.09340807060789</v>
      </c>
      <c r="G7" s="24">
        <v>89.107179948176835</v>
      </c>
      <c r="H7" s="24">
        <v>28.1408841234208</v>
      </c>
      <c r="I7" s="24">
        <v>83.043518049729727</v>
      </c>
      <c r="J7" s="24">
        <v>59.343316792248892</v>
      </c>
      <c r="K7" s="24">
        <v>283.89903367994611</v>
      </c>
      <c r="L7" s="24">
        <v>133.87535401621105</v>
      </c>
      <c r="M7" s="24">
        <v>1030.7817905225122</v>
      </c>
      <c r="N7" s="24">
        <v>30.903145016904425</v>
      </c>
      <c r="O7" s="24">
        <v>3879.1109380423381</v>
      </c>
      <c r="P7" s="24">
        <f t="shared" si="14"/>
        <v>8517.7206461662863</v>
      </c>
      <c r="Q7" s="24">
        <f t="shared" si="15"/>
        <v>7840.3113595565537</v>
      </c>
      <c r="S7" t="s">
        <v>51</v>
      </c>
      <c r="T7" s="22">
        <f t="shared" si="16"/>
        <v>10.016724678973283</v>
      </c>
      <c r="U7" s="22">
        <f t="shared" si="0"/>
        <v>0.20452586989375332</v>
      </c>
      <c r="V7" s="22">
        <f t="shared" si="1"/>
        <v>15.103427809860722</v>
      </c>
      <c r="W7" s="22">
        <f t="shared" si="2"/>
        <v>6.2027946526448838</v>
      </c>
      <c r="X7" s="22">
        <f t="shared" si="3"/>
        <v>2.5135058657619691</v>
      </c>
      <c r="Y7" s="22">
        <f t="shared" si="4"/>
        <v>1.0461387928739221</v>
      </c>
      <c r="Z7" s="22">
        <f t="shared" si="5"/>
        <v>0.33038045379061171</v>
      </c>
      <c r="AA7" s="22">
        <f t="shared" si="6"/>
        <v>0.97495000716073632</v>
      </c>
      <c r="AB7" s="22">
        <f t="shared" si="7"/>
        <v>0.6967041918539385</v>
      </c>
      <c r="AC7" s="22">
        <f t="shared" si="8"/>
        <v>3.3330399701207076</v>
      </c>
      <c r="AD7" s="22">
        <f t="shared" si="9"/>
        <v>1.5717274559417089</v>
      </c>
      <c r="AE7" s="22">
        <f t="shared" si="10"/>
        <v>12.10161536568417</v>
      </c>
      <c r="AF7" s="22">
        <f t="shared" si="11"/>
        <v>0.36281003217467012</v>
      </c>
      <c r="AG7" s="22">
        <f t="shared" si="12"/>
        <v>45.541654853264937</v>
      </c>
      <c r="AH7" s="24">
        <v>8517.7206461662863</v>
      </c>
      <c r="AJ7" t="s">
        <v>83</v>
      </c>
      <c r="AK7" s="22">
        <v>4.3783799420043135</v>
      </c>
      <c r="AL7" s="22">
        <v>4.3488384894133925E-2</v>
      </c>
      <c r="AM7" s="22">
        <v>9.408797426754786</v>
      </c>
      <c r="AN7" s="22">
        <v>3.7628845591812876</v>
      </c>
      <c r="AO7" s="22">
        <v>2.7905360171822107</v>
      </c>
      <c r="AP7" s="22">
        <v>0.25589132407743664</v>
      </c>
      <c r="AQ7" s="22">
        <v>4.3064172351211238E-2</v>
      </c>
      <c r="AR7" s="22">
        <v>0.98427495689440425</v>
      </c>
      <c r="AS7" s="22">
        <v>0.28753480947907217</v>
      </c>
      <c r="AT7" s="22">
        <v>1.1525407877165053</v>
      </c>
      <c r="AU7" s="22">
        <v>0.55643239110455389</v>
      </c>
      <c r="AV7" s="22">
        <v>13.248496512350489</v>
      </c>
      <c r="AW7" s="22">
        <v>2.7849642577463581E-2</v>
      </c>
      <c r="AX7" s="22">
        <v>63.059829073432127</v>
      </c>
      <c r="AY7" s="24">
        <v>12.09275376947649</v>
      </c>
      <c r="AZ7" s="24">
        <v>11.696143075448132</v>
      </c>
      <c r="BA7" s="24"/>
      <c r="BC7" s="23" t="s">
        <v>174</v>
      </c>
      <c r="BD7" s="44">
        <v>5.0557590498657241</v>
      </c>
      <c r="BE7" s="44">
        <v>0.38961959431905041</v>
      </c>
      <c r="BF7" s="44">
        <v>0.40575548165218667</v>
      </c>
      <c r="BG7" s="44">
        <v>0.29109433219224262</v>
      </c>
      <c r="BH7" s="44">
        <v>0.37288531133939107</v>
      </c>
      <c r="BI7" s="44">
        <v>0.14930688112088808</v>
      </c>
      <c r="BJ7" s="44">
        <v>8.0734073050180377E-2</v>
      </c>
      <c r="BK7" s="44">
        <v>2.8911352517213551E-2</v>
      </c>
      <c r="BL7" s="44">
        <v>7.1718077878495864E-2</v>
      </c>
      <c r="BM7" s="44">
        <v>0.17967610059177938</v>
      </c>
      <c r="BN7" s="44">
        <v>0</v>
      </c>
      <c r="BO7" s="44">
        <v>0.35572192910770589</v>
      </c>
      <c r="BP7" s="44">
        <v>0.8515404735229708</v>
      </c>
      <c r="BQ7" s="44">
        <v>2.1194156029223765</v>
      </c>
      <c r="BR7" s="58">
        <v>10.352138260080199</v>
      </c>
      <c r="BT7" s="23" t="s">
        <v>174</v>
      </c>
      <c r="BU7" s="24">
        <f t="shared" si="17"/>
        <v>48.837823866414979</v>
      </c>
      <c r="BV7" s="24">
        <f t="shared" si="18"/>
        <v>3.7636629702048818</v>
      </c>
      <c r="BW7" s="24">
        <f t="shared" si="19"/>
        <v>3.919533061269636</v>
      </c>
      <c r="BX7" s="24">
        <f t="shared" si="20"/>
        <v>2.8119246949662307</v>
      </c>
      <c r="BY7" s="24">
        <f t="shared" si="21"/>
        <v>3.6020124728946801</v>
      </c>
      <c r="BZ7" s="24">
        <f t="shared" si="22"/>
        <v>1.4422805933402534</v>
      </c>
      <c r="CA7" s="24">
        <f t="shared" si="23"/>
        <v>0.77987823406016721</v>
      </c>
      <c r="CB7" s="24">
        <f t="shared" si="24"/>
        <v>0.2792790415937661</v>
      </c>
      <c r="CC7" s="24">
        <f t="shared" si="25"/>
        <v>0.69278516260794465</v>
      </c>
      <c r="CD7" s="24">
        <f t="shared" si="26"/>
        <v>1.7356423965534189</v>
      </c>
      <c r="CE7" s="24">
        <f t="shared" si="27"/>
        <v>0</v>
      </c>
      <c r="CF7" s="24">
        <f t="shared" si="28"/>
        <v>3.4362169454347113</v>
      </c>
      <c r="CG7" s="24">
        <f t="shared" si="29"/>
        <v>8.2257447894283988</v>
      </c>
      <c r="CH7" s="24">
        <f t="shared" si="30"/>
        <v>20.473215771230986</v>
      </c>
      <c r="CI7" s="58">
        <v>10.352138260080199</v>
      </c>
      <c r="CK7" s="23" t="s">
        <v>182</v>
      </c>
      <c r="CL7" s="22">
        <v>1.7164502414633127</v>
      </c>
      <c r="CM7" s="22">
        <v>6.6337772711013057E-2</v>
      </c>
      <c r="CN7" s="22">
        <v>16.176371429988702</v>
      </c>
      <c r="CO7" s="22">
        <v>7.1930694530135089</v>
      </c>
      <c r="CP7" s="22">
        <v>2.4230862351921409</v>
      </c>
      <c r="CQ7" s="22">
        <v>0.9637290902530864</v>
      </c>
      <c r="CR7" s="22">
        <v>0.19588976541433378</v>
      </c>
      <c r="CS7" s="22">
        <v>1.3801654530800016</v>
      </c>
      <c r="CT7" s="22">
        <v>0.58700070264233151</v>
      </c>
      <c r="CU7" s="22">
        <v>3.0075585089264929</v>
      </c>
      <c r="CV7" s="22">
        <v>1.4079236113932183</v>
      </c>
      <c r="CW7" s="22">
        <v>12.946887672643042</v>
      </c>
      <c r="CX7" s="22">
        <v>0.140188953776331</v>
      </c>
      <c r="CY7" s="22">
        <v>51.795341109502466</v>
      </c>
      <c r="CZ7" s="60">
        <v>10445.299637632412</v>
      </c>
    </row>
    <row r="8" spans="1:104">
      <c r="A8" t="s">
        <v>53</v>
      </c>
      <c r="B8" s="24">
        <v>1254.482145465453</v>
      </c>
      <c r="C8" s="24">
        <v>9.5789281783504894</v>
      </c>
      <c r="D8" s="24">
        <v>1201.821566139057</v>
      </c>
      <c r="E8" s="24">
        <v>79.411176609878041</v>
      </c>
      <c r="F8" s="24">
        <v>61.034397198500038</v>
      </c>
      <c r="G8" s="24">
        <v>92.806634515628687</v>
      </c>
      <c r="H8" s="24">
        <v>39.088435183462131</v>
      </c>
      <c r="I8" s="24">
        <v>16.911777125570431</v>
      </c>
      <c r="J8" s="24">
        <v>66.335750344380642</v>
      </c>
      <c r="K8" s="24">
        <v>278.4793817378212</v>
      </c>
      <c r="L8" s="24">
        <v>129.97500935991232</v>
      </c>
      <c r="M8" s="24">
        <v>813.61148059810796</v>
      </c>
      <c r="N8" s="24">
        <v>58.54953457358274</v>
      </c>
      <c r="O8" s="24">
        <v>1970.1499832614286</v>
      </c>
      <c r="P8" s="24">
        <f t="shared" si="14"/>
        <v>6072.2362002911341</v>
      </c>
      <c r="Q8" s="24">
        <f t="shared" si="15"/>
        <v>5448.6392120243581</v>
      </c>
      <c r="S8" t="s">
        <v>53</v>
      </c>
      <c r="T8" s="22">
        <f t="shared" si="16"/>
        <v>20.659310739679505</v>
      </c>
      <c r="U8" s="22">
        <f t="shared" si="0"/>
        <v>0.15774959771642655</v>
      </c>
      <c r="V8" s="22">
        <f t="shared" si="1"/>
        <v>19.792075382071527</v>
      </c>
      <c r="W8" s="22">
        <f t="shared" si="2"/>
        <v>1.3077748294124438</v>
      </c>
      <c r="X8" s="22">
        <f t="shared" si="3"/>
        <v>1.0051387196626795</v>
      </c>
      <c r="Y8" s="22">
        <f t="shared" si="4"/>
        <v>1.5283765560894857</v>
      </c>
      <c r="Z8" s="22">
        <f t="shared" si="5"/>
        <v>0.64372389172852063</v>
      </c>
      <c r="AA8" s="22">
        <f t="shared" si="6"/>
        <v>0.27850986963846358</v>
      </c>
      <c r="AB8" s="22">
        <f t="shared" si="7"/>
        <v>1.0924435110281148</v>
      </c>
      <c r="AC8" s="22">
        <f>K8/$P8*100</f>
        <v>4.5861091787646444</v>
      </c>
      <c r="AD8" s="22">
        <f t="shared" si="9"/>
        <v>2.1404801307577701</v>
      </c>
      <c r="AE8" s="22">
        <f t="shared" si="10"/>
        <v>13.398877345369062</v>
      </c>
      <c r="AF8" s="22">
        <f t="shared" si="11"/>
        <v>0.96421701400178694</v>
      </c>
      <c r="AG8" s="22">
        <f t="shared" si="12"/>
        <v>32.445213234079553</v>
      </c>
      <c r="AH8" s="24">
        <v>6072.2362002911341</v>
      </c>
      <c r="AJ8" t="s">
        <v>328</v>
      </c>
      <c r="AK8" s="22">
        <v>1.7164502414633127</v>
      </c>
      <c r="AL8" s="22">
        <v>6.6337772711013057E-2</v>
      </c>
      <c r="AM8" s="22">
        <v>16.176371429988702</v>
      </c>
      <c r="AN8" s="22">
        <v>7.1930694530135089</v>
      </c>
      <c r="AO8" s="22">
        <v>2.4230862351921409</v>
      </c>
      <c r="AP8" s="22">
        <v>0.9637290902530864</v>
      </c>
      <c r="AQ8" s="22">
        <v>0.19588976541433378</v>
      </c>
      <c r="AR8" s="22">
        <v>1.3801654530800016</v>
      </c>
      <c r="AS8" s="22">
        <v>0.58700070264233151</v>
      </c>
      <c r="AT8" s="22">
        <v>3.0075585089264929</v>
      </c>
      <c r="AU8" s="22">
        <v>1.4079236113932183</v>
      </c>
      <c r="AV8" s="22">
        <v>12.946887672643042</v>
      </c>
      <c r="AW8" s="22">
        <v>0.140188953776331</v>
      </c>
      <c r="AX8" s="22">
        <v>51.795341109502466</v>
      </c>
      <c r="AY8" s="24">
        <v>10.445299637632411</v>
      </c>
      <c r="AZ8" s="24">
        <v>9.6574872362546937</v>
      </c>
      <c r="BA8" s="24"/>
      <c r="BC8" s="25" t="s">
        <v>174</v>
      </c>
      <c r="BD8" s="45">
        <v>45.810634652762715</v>
      </c>
      <c r="BE8" s="45">
        <v>0.4617024901031529</v>
      </c>
      <c r="BF8" s="45">
        <v>50.138092784613093</v>
      </c>
      <c r="BG8" s="45">
        <v>7.7775506632205129</v>
      </c>
      <c r="BH8" s="45">
        <v>7.3881189282336983</v>
      </c>
      <c r="BI8" s="45">
        <v>9.6773266484138656</v>
      </c>
      <c r="BJ8" s="45">
        <v>2.3015082754647693</v>
      </c>
      <c r="BK8" s="45">
        <v>0.73187125064279146</v>
      </c>
      <c r="BL8" s="45">
        <v>8.2711304996300949</v>
      </c>
      <c r="BM8" s="45">
        <v>21.55975390975355</v>
      </c>
      <c r="BN8" s="45">
        <v>11.416297433901596</v>
      </c>
      <c r="BO8" s="45">
        <v>104.60020089181337</v>
      </c>
      <c r="BP8" s="45">
        <v>2.1902376053994828</v>
      </c>
      <c r="BQ8" s="45">
        <v>290.86149349595343</v>
      </c>
      <c r="BR8" s="59">
        <v>563.18591952990619</v>
      </c>
      <c r="BT8" s="25" t="s">
        <v>174</v>
      </c>
      <c r="BU8" s="24">
        <f t="shared" si="17"/>
        <v>8.1341938894710051</v>
      </c>
      <c r="BV8" s="24">
        <f t="shared" si="18"/>
        <v>8.1980474669632736E-2</v>
      </c>
      <c r="BW8" s="24">
        <f t="shared" si="19"/>
        <v>8.9025827965414308</v>
      </c>
      <c r="BX8" s="24">
        <f t="shared" si="20"/>
        <v>1.3809916749538889</v>
      </c>
      <c r="BY8" s="24">
        <f t="shared" si="21"/>
        <v>1.3118436864331755</v>
      </c>
      <c r="BZ8" s="24">
        <f t="shared" si="22"/>
        <v>1.7183182875899266</v>
      </c>
      <c r="CA8" s="24">
        <f t="shared" si="23"/>
        <v>0.40865870321932912</v>
      </c>
      <c r="CB8" s="24">
        <f t="shared" si="24"/>
        <v>0.12995197949083806</v>
      </c>
      <c r="CC8" s="24">
        <f t="shared" si="25"/>
        <v>1.468632331315038</v>
      </c>
      <c r="CD8" s="24">
        <f t="shared" si="26"/>
        <v>3.8281770126194865</v>
      </c>
      <c r="CE8" s="24">
        <f t="shared" si="27"/>
        <v>2.0270921267759734</v>
      </c>
      <c r="CF8" s="24">
        <f t="shared" si="28"/>
        <v>18.57294319061166</v>
      </c>
      <c r="CG8" s="24">
        <f t="shared" si="29"/>
        <v>0.38890134313508473</v>
      </c>
      <c r="CH8" s="24">
        <f t="shared" si="30"/>
        <v>51.645732503173527</v>
      </c>
      <c r="CI8" s="59">
        <v>563.18591952990619</v>
      </c>
      <c r="CK8" s="25" t="s">
        <v>267</v>
      </c>
      <c r="CL8" s="22">
        <v>3.8851899260581821</v>
      </c>
      <c r="CM8" s="22">
        <v>0.20936706435368346</v>
      </c>
      <c r="CN8" s="22">
        <v>13.937127283468701</v>
      </c>
      <c r="CO8" s="22">
        <v>5.6833755953986502</v>
      </c>
      <c r="CP8" s="22">
        <v>3.8731120067339511</v>
      </c>
      <c r="CQ8" s="22">
        <v>0.54646617245193607</v>
      </c>
      <c r="CR8" s="22">
        <v>8.4121197405814474E-2</v>
      </c>
      <c r="CS8" s="22">
        <v>0.90009631748525654</v>
      </c>
      <c r="CT8" s="22">
        <v>0.34447674690206231</v>
      </c>
      <c r="CU8" s="22">
        <v>1.9604628352276636</v>
      </c>
      <c r="CV8" s="22">
        <v>0.95074319050353417</v>
      </c>
      <c r="CW8" s="22">
        <v>11.507233335204683</v>
      </c>
      <c r="CX8" s="22">
        <v>1.8877119222990533</v>
      </c>
      <c r="CY8" s="22">
        <v>54.230516406506837</v>
      </c>
      <c r="CZ8" s="29">
        <v>10296.619441004364</v>
      </c>
    </row>
    <row r="9" spans="1:104">
      <c r="A9" t="s">
        <v>56</v>
      </c>
      <c r="B9" s="24">
        <v>219.32459967208712</v>
      </c>
      <c r="C9" s="24">
        <v>4.3375824782730499</v>
      </c>
      <c r="D9" s="24">
        <v>1081.7926175580126</v>
      </c>
      <c r="E9" s="24">
        <v>105.55877130673559</v>
      </c>
      <c r="F9" s="24">
        <v>77.573706108111807</v>
      </c>
      <c r="G9" s="24">
        <v>94.20873045436457</v>
      </c>
      <c r="H9" s="24">
        <v>43.731124086129263</v>
      </c>
      <c r="I9" s="24">
        <v>4.5828205840433123</v>
      </c>
      <c r="J9" s="24">
        <v>75.208333813427359</v>
      </c>
      <c r="K9" s="24">
        <v>213.04488624281734</v>
      </c>
      <c r="L9" s="24">
        <v>111.90056809073585</v>
      </c>
      <c r="M9" s="24">
        <v>617.04035496035328</v>
      </c>
      <c r="N9" s="24">
        <v>89.854811461428099</v>
      </c>
      <c r="O9" s="24">
        <v>625.62862914321011</v>
      </c>
      <c r="P9" s="24">
        <f t="shared" si="14"/>
        <v>3363.7875359597292</v>
      </c>
      <c r="Q9" s="24">
        <f t="shared" si="15"/>
        <v>2821.1110726882121</v>
      </c>
      <c r="S9" t="s">
        <v>56</v>
      </c>
      <c r="T9" s="22">
        <f t="shared" si="16"/>
        <v>6.5201680346172974</v>
      </c>
      <c r="U9" s="22">
        <f t="shared" si="0"/>
        <v>0.12894935937252902</v>
      </c>
      <c r="V9" s="22">
        <f t="shared" si="1"/>
        <v>32.15995677471836</v>
      </c>
      <c r="W9" s="22">
        <f t="shared" si="2"/>
        <v>3.1380927058646231</v>
      </c>
      <c r="X9" s="22">
        <f t="shared" si="3"/>
        <v>2.3061416715184748</v>
      </c>
      <c r="Y9" s="22">
        <f t="shared" si="4"/>
        <v>2.8006742235426496</v>
      </c>
      <c r="Z9" s="22">
        <f t="shared" si="5"/>
        <v>1.3000560712777671</v>
      </c>
      <c r="AA9" s="22">
        <f t="shared" si="6"/>
        <v>0.13623989431709985</v>
      </c>
      <c r="AB9" s="22">
        <f t="shared" si="7"/>
        <v>2.2358229528301501</v>
      </c>
      <c r="AC9" s="22">
        <f t="shared" si="8"/>
        <v>6.3334822418275314</v>
      </c>
      <c r="AD9" s="22">
        <f t="shared" si="9"/>
        <v>3.3266241370624874</v>
      </c>
      <c r="AE9" s="22">
        <f t="shared" si="10"/>
        <v>18.343618565799346</v>
      </c>
      <c r="AF9" s="22">
        <f t="shared" si="11"/>
        <v>2.671239205831454</v>
      </c>
      <c r="AG9" s="317">
        <f t="shared" si="12"/>
        <v>18.598934161420235</v>
      </c>
      <c r="AH9" s="24">
        <v>3363.7875359597292</v>
      </c>
      <c r="AJ9" t="s">
        <v>87</v>
      </c>
      <c r="AK9" s="22">
        <v>3.8851899260581821</v>
      </c>
      <c r="AL9" s="22">
        <v>0.20936706435368346</v>
      </c>
      <c r="AM9" s="22">
        <v>13.937127283468701</v>
      </c>
      <c r="AN9" s="22">
        <v>5.6833755953986502</v>
      </c>
      <c r="AO9" s="22">
        <v>3.8731120067339511</v>
      </c>
      <c r="AP9" s="22">
        <v>0.54646617245193607</v>
      </c>
      <c r="AQ9" s="22">
        <v>8.4121197405814474E-2</v>
      </c>
      <c r="AR9" s="22">
        <v>0.90009631748525654</v>
      </c>
      <c r="AS9" s="22">
        <v>0.34447674690206231</v>
      </c>
      <c r="AT9" s="22">
        <v>1.9604628352276636</v>
      </c>
      <c r="AU9" s="22">
        <v>0.95074319050353417</v>
      </c>
      <c r="AV9" s="22">
        <v>11.507233335204683</v>
      </c>
      <c r="AW9" s="22">
        <v>1.8877119222990533</v>
      </c>
      <c r="AX9" s="22">
        <v>54.230516406506837</v>
      </c>
      <c r="AY9" s="24">
        <v>10.296619441004365</v>
      </c>
      <c r="AZ9" s="24">
        <v>9.8037855015687363</v>
      </c>
      <c r="BA9" s="24"/>
      <c r="BC9" s="65" t="s">
        <v>178</v>
      </c>
      <c r="BD9" s="45">
        <v>263.0975457434468</v>
      </c>
      <c r="BE9" s="45">
        <v>1.8938360576359436</v>
      </c>
      <c r="BF9" s="45">
        <v>269.39983248331311</v>
      </c>
      <c r="BG9" s="45">
        <v>13.605410295764669</v>
      </c>
      <c r="BH9" s="45">
        <v>51.191131885803763</v>
      </c>
      <c r="BI9" s="45">
        <v>103.96081097394851</v>
      </c>
      <c r="BJ9" s="45">
        <v>14.405496248014966</v>
      </c>
      <c r="BK9" s="45">
        <v>0.31628945863329277</v>
      </c>
      <c r="BL9" s="45">
        <v>91.084243335018613</v>
      </c>
      <c r="BM9" s="45">
        <v>195.72031260465775</v>
      </c>
      <c r="BN9" s="45">
        <v>121.0157606479281</v>
      </c>
      <c r="BO9" s="45">
        <v>1253.8077958647443</v>
      </c>
      <c r="BP9" s="45">
        <v>40.852505185935314</v>
      </c>
      <c r="BQ9" s="45">
        <v>2207.2572710233403</v>
      </c>
      <c r="BR9" s="59">
        <v>4627.6082418081851</v>
      </c>
      <c r="BT9" s="65" t="s">
        <v>178</v>
      </c>
      <c r="BU9" s="24">
        <f t="shared" si="17"/>
        <v>5.6853893414418426</v>
      </c>
      <c r="BV9" s="24">
        <f t="shared" si="18"/>
        <v>4.0924727389973457E-2</v>
      </c>
      <c r="BW9" s="24">
        <f t="shared" si="19"/>
        <v>5.8215781977700036</v>
      </c>
      <c r="BX9" s="24">
        <f t="shared" si="20"/>
        <v>0.29400523088463748</v>
      </c>
      <c r="BY9" s="24">
        <f t="shared" si="21"/>
        <v>1.1062114425183367</v>
      </c>
      <c r="BZ9" s="24">
        <f t="shared" si="22"/>
        <v>2.2465343983683246</v>
      </c>
      <c r="CA9" s="24">
        <f t="shared" si="23"/>
        <v>0.31129463634947163</v>
      </c>
      <c r="CB9" s="24">
        <f t="shared" si="24"/>
        <v>6.8348365312294948E-3</v>
      </c>
      <c r="CC9" s="24">
        <f t="shared" si="25"/>
        <v>1.968279045579461</v>
      </c>
      <c r="CD9" s="24">
        <f t="shared" si="26"/>
        <v>4.2294053942686878</v>
      </c>
      <c r="CE9" s="24">
        <f t="shared" si="27"/>
        <v>2.6150822265940685</v>
      </c>
      <c r="CF9" s="24">
        <f t="shared" si="28"/>
        <v>27.09407820085551</v>
      </c>
      <c r="CG9" s="24">
        <f t="shared" si="29"/>
        <v>0.88279955975643831</v>
      </c>
      <c r="CH9" s="24">
        <f t="shared" si="30"/>
        <v>47.697582761692026</v>
      </c>
      <c r="CI9" s="59">
        <v>4627.6082418081851</v>
      </c>
      <c r="CK9" s="25" t="s">
        <v>234</v>
      </c>
      <c r="CL9" s="22">
        <v>2.1786347591830078</v>
      </c>
      <c r="CM9" s="22">
        <v>0.24615969680435429</v>
      </c>
      <c r="CN9" s="22">
        <v>8.8512043645470833</v>
      </c>
      <c r="CO9" s="22">
        <v>5.1625188248241045</v>
      </c>
      <c r="CP9" s="22">
        <v>3.2011166599218606</v>
      </c>
      <c r="CQ9" s="22">
        <v>0.97945764866123763</v>
      </c>
      <c r="CR9" s="22">
        <v>0.25383037534493025</v>
      </c>
      <c r="CS9" s="22">
        <v>1.6937178182181027</v>
      </c>
      <c r="CT9" s="22">
        <v>0.6040030267832367</v>
      </c>
      <c r="CU9" s="22">
        <v>3.6207054262182394</v>
      </c>
      <c r="CV9" s="22">
        <v>1.747985632092637</v>
      </c>
      <c r="CW9" s="22">
        <v>4.1097653246873165</v>
      </c>
      <c r="CX9" s="22">
        <v>11.118421297390803</v>
      </c>
      <c r="CY9" s="22">
        <v>56.232479145323076</v>
      </c>
      <c r="CZ9" s="29">
        <v>10123.158243273032</v>
      </c>
    </row>
    <row r="10" spans="1:104">
      <c r="A10" t="s">
        <v>58</v>
      </c>
      <c r="B10" s="24">
        <v>50.212155494456631</v>
      </c>
      <c r="C10" s="24">
        <v>6.5005317021432871</v>
      </c>
      <c r="D10" s="24">
        <v>291.88338983527171</v>
      </c>
      <c r="E10" s="24">
        <v>38.144134474762097</v>
      </c>
      <c r="F10" s="24">
        <v>71.913539946910902</v>
      </c>
      <c r="G10" s="24">
        <v>56.32246128758571</v>
      </c>
      <c r="H10" s="24">
        <v>22.296610824942046</v>
      </c>
      <c r="I10" s="24">
        <v>14.046055510519048</v>
      </c>
      <c r="J10" s="24">
        <v>41.423176210876093</v>
      </c>
      <c r="K10" s="24">
        <v>169.19081552145772</v>
      </c>
      <c r="L10" s="24">
        <v>79.570477096933814</v>
      </c>
      <c r="M10" s="24">
        <v>101.13416792690914</v>
      </c>
      <c r="N10" s="24">
        <v>289.70187679571393</v>
      </c>
      <c r="O10" s="24">
        <v>744.57021096145775</v>
      </c>
      <c r="P10" s="24">
        <f t="shared" si="14"/>
        <v>1976.9096035899397</v>
      </c>
      <c r="Q10" s="24">
        <f t="shared" si="15"/>
        <v>1594.0600071376255</v>
      </c>
      <c r="S10" t="s">
        <v>58</v>
      </c>
      <c r="T10" s="22">
        <f t="shared" si="16"/>
        <v>2.5399317906734131</v>
      </c>
      <c r="U10" s="22">
        <f t="shared" si="0"/>
        <v>0.32882291078655002</v>
      </c>
      <c r="V10" s="22">
        <f t="shared" si="1"/>
        <v>14.76463007237308</v>
      </c>
      <c r="W10" s="22">
        <f t="shared" si="2"/>
        <v>1.9294829872592467</v>
      </c>
      <c r="X10" s="22">
        <f t="shared" si="3"/>
        <v>3.6376746724443332</v>
      </c>
      <c r="Y10" s="22">
        <f t="shared" si="4"/>
        <v>2.8490155131680162</v>
      </c>
      <c r="Z10" s="22">
        <f t="shared" si="5"/>
        <v>1.1278518139854672</v>
      </c>
      <c r="AA10" s="22">
        <f t="shared" si="6"/>
        <v>0.71050570471266483</v>
      </c>
      <c r="AB10" s="22">
        <f t="shared" si="7"/>
        <v>2.0953500420886364</v>
      </c>
      <c r="AC10" s="22">
        <f t="shared" si="8"/>
        <v>8.5583486070490107</v>
      </c>
      <c r="AD10" s="22">
        <f t="shared" si="9"/>
        <v>4.0249931991042471</v>
      </c>
      <c r="AE10" s="22">
        <f t="shared" si="10"/>
        <v>5.1157709863544625</v>
      </c>
      <c r="AF10" s="22">
        <f t="shared" si="11"/>
        <v>14.654280411690756</v>
      </c>
      <c r="AG10" s="22">
        <f t="shared" si="12"/>
        <v>37.663341288310129</v>
      </c>
      <c r="AH10" s="24">
        <v>1976.9096035899397</v>
      </c>
      <c r="AJ10" t="s">
        <v>71</v>
      </c>
      <c r="AK10" s="22">
        <v>2.1786347591830078</v>
      </c>
      <c r="AL10" s="22">
        <v>0.24615969680435429</v>
      </c>
      <c r="AM10" s="22">
        <v>8.8512043645470833</v>
      </c>
      <c r="AN10" s="22">
        <v>5.1625188248241045</v>
      </c>
      <c r="AO10" s="22">
        <v>3.2011166599218606</v>
      </c>
      <c r="AP10" s="22">
        <v>0.97945764866123763</v>
      </c>
      <c r="AQ10" s="22">
        <v>0.25383037534493025</v>
      </c>
      <c r="AR10" s="22">
        <v>1.6937178182181027</v>
      </c>
      <c r="AS10" s="22">
        <v>0.6040030267832367</v>
      </c>
      <c r="AT10" s="22">
        <v>3.6207054262182394</v>
      </c>
      <c r="AU10" s="22">
        <v>1.747985632092637</v>
      </c>
      <c r="AV10" s="22">
        <v>4.1097653246873165</v>
      </c>
      <c r="AW10" s="22">
        <v>11.118421297390803</v>
      </c>
      <c r="AX10" s="22">
        <v>56.232479145323076</v>
      </c>
      <c r="AY10" s="24">
        <v>10.123158243273032</v>
      </c>
      <c r="AZ10" s="24">
        <v>9.2222275364541346</v>
      </c>
      <c r="BA10" s="24"/>
      <c r="BC10" s="25" t="s">
        <v>180</v>
      </c>
      <c r="BD10" s="45">
        <v>243.02031423334583</v>
      </c>
      <c r="BE10" s="45">
        <v>1.7559733623561919</v>
      </c>
      <c r="BF10" s="45">
        <v>158.70022207895229</v>
      </c>
      <c r="BG10" s="45">
        <v>9.6470052810273152</v>
      </c>
      <c r="BH10" s="45">
        <v>46.088654580187054</v>
      </c>
      <c r="BI10" s="45">
        <v>94.320642706293711</v>
      </c>
      <c r="BJ10" s="45">
        <v>15.244782721241801</v>
      </c>
      <c r="BK10" s="45">
        <v>0.27754389051676037</v>
      </c>
      <c r="BL10" s="45">
        <v>79.913706739944416</v>
      </c>
      <c r="BM10" s="45">
        <v>194.3170465560809</v>
      </c>
      <c r="BN10" s="45">
        <v>112.54231538352359</v>
      </c>
      <c r="BO10" s="45">
        <v>1141.5089804933239</v>
      </c>
      <c r="BP10" s="45">
        <v>23.176274862879275</v>
      </c>
      <c r="BQ10" s="45">
        <v>2271.3420236856014</v>
      </c>
      <c r="BR10" s="59">
        <v>4391.855486575274</v>
      </c>
      <c r="BT10" s="25" t="s">
        <v>180</v>
      </c>
      <c r="BU10" s="24">
        <f>BD10/$BR10*100</f>
        <v>5.5334314841686814</v>
      </c>
      <c r="BV10" s="24">
        <f t="shared" si="18"/>
        <v>3.9982494135422535E-2</v>
      </c>
      <c r="BW10" s="24">
        <f t="shared" si="19"/>
        <v>3.6135119328050838</v>
      </c>
      <c r="BX10" s="24">
        <f t="shared" si="20"/>
        <v>0.21965671025641959</v>
      </c>
      <c r="BY10" s="24">
        <f t="shared" si="21"/>
        <v>1.049411910775929</v>
      </c>
      <c r="BZ10" s="24">
        <f t="shared" si="22"/>
        <v>2.1476262822082068</v>
      </c>
      <c r="CA10" s="24">
        <f t="shared" si="23"/>
        <v>0.34711485311483992</v>
      </c>
      <c r="CB10" s="24">
        <f t="shared" si="24"/>
        <v>6.3195132755423699E-3</v>
      </c>
      <c r="CC10" s="24">
        <f t="shared" si="25"/>
        <v>1.8195887133403914</v>
      </c>
      <c r="CD10" s="24">
        <f t="shared" si="26"/>
        <v>4.4244863509297172</v>
      </c>
      <c r="CE10" s="24">
        <f t="shared" si="27"/>
        <v>2.5625231915652806</v>
      </c>
      <c r="CF10" s="24">
        <f t="shared" si="28"/>
        <v>25.991496850991819</v>
      </c>
      <c r="CG10" s="24">
        <f t="shared" si="29"/>
        <v>0.52771032502601556</v>
      </c>
      <c r="CH10" s="24">
        <f t="shared" si="30"/>
        <v>51.717139387406661</v>
      </c>
      <c r="CI10" s="59">
        <v>4391.855486575274</v>
      </c>
      <c r="CK10" s="25" t="s">
        <v>226</v>
      </c>
      <c r="CL10" s="22">
        <v>2.1265225044053389</v>
      </c>
      <c r="CM10" s="22">
        <v>6.9627051717975078E-2</v>
      </c>
      <c r="CN10" s="22">
        <v>2.4488549636337367</v>
      </c>
      <c r="CO10" s="22">
        <v>2.3824969805706009</v>
      </c>
      <c r="CP10" s="22">
        <v>1.0730766218865682</v>
      </c>
      <c r="CQ10" s="22">
        <v>0.46745642454641567</v>
      </c>
      <c r="CR10" s="22">
        <v>0.25556758205698027</v>
      </c>
      <c r="CS10" s="22">
        <v>1.3215872540983709</v>
      </c>
      <c r="CT10" s="22">
        <v>0.4004415348776712</v>
      </c>
      <c r="CU10" s="22">
        <v>3.2963786845099499</v>
      </c>
      <c r="CV10" s="22">
        <v>1.4967749863239501</v>
      </c>
      <c r="CW10" s="22">
        <v>0.88526909475996596</v>
      </c>
      <c r="CX10" s="22">
        <v>9.7470570990036602</v>
      </c>
      <c r="CY10" s="22">
        <v>74.028889217608807</v>
      </c>
      <c r="CZ10" s="59">
        <v>9683.2077668474703</v>
      </c>
    </row>
    <row r="11" spans="1:104">
      <c r="A11" t="s">
        <v>60</v>
      </c>
      <c r="B11" s="24">
        <v>26.959566137008345</v>
      </c>
      <c r="C11" s="24">
        <v>1.0512721102235671</v>
      </c>
      <c r="D11" s="24">
        <v>47.847781937578624</v>
      </c>
      <c r="E11" s="24">
        <v>60.203569456906948</v>
      </c>
      <c r="F11" s="24">
        <v>2.7936504568075775</v>
      </c>
      <c r="G11" s="24">
        <v>8.0393405564044755</v>
      </c>
      <c r="H11" s="24">
        <v>1.3496198693775876</v>
      </c>
      <c r="I11" s="24">
        <v>0.13337057342451422</v>
      </c>
      <c r="J11" s="24">
        <v>6.8048604263861607</v>
      </c>
      <c r="K11" s="24">
        <v>4.0280984660688901</v>
      </c>
      <c r="L11" s="24">
        <v>1.6467491816642297</v>
      </c>
      <c r="M11" s="24">
        <v>5.5701906316446834</v>
      </c>
      <c r="N11" s="24">
        <v>26.773444591532495</v>
      </c>
      <c r="O11" s="24">
        <v>11.811646437904237</v>
      </c>
      <c r="P11" s="24">
        <f t="shared" si="14"/>
        <v>205.01316083293236</v>
      </c>
      <c r="Q11" s="24">
        <f t="shared" si="15"/>
        <v>183.01112175960648</v>
      </c>
      <c r="S11" t="s">
        <v>60</v>
      </c>
      <c r="T11" s="22">
        <f t="shared" si="16"/>
        <v>13.150163641922488</v>
      </c>
      <c r="U11" s="22">
        <f t="shared" si="0"/>
        <v>0.5127827432894716</v>
      </c>
      <c r="V11" s="22">
        <f t="shared" si="1"/>
        <v>23.33888309569079</v>
      </c>
      <c r="W11" s="22">
        <f t="shared" si="2"/>
        <v>29.365709602403307</v>
      </c>
      <c r="X11" s="22">
        <f t="shared" si="3"/>
        <v>1.3626688381650562</v>
      </c>
      <c r="Y11" s="22">
        <f t="shared" si="4"/>
        <v>3.9213777904511353</v>
      </c>
      <c r="Z11" s="22">
        <f t="shared" si="5"/>
        <v>0.6583088928995191</v>
      </c>
      <c r="AA11" s="22">
        <f t="shared" si="6"/>
        <v>6.5054639849779924E-2</v>
      </c>
      <c r="AB11" s="22">
        <f t="shared" si="7"/>
        <v>3.3192310185059393</v>
      </c>
      <c r="AC11" s="22">
        <f t="shared" si="8"/>
        <v>1.9647999424541505</v>
      </c>
      <c r="AD11" s="22">
        <f t="shared" si="9"/>
        <v>0.80324071633927197</v>
      </c>
      <c r="AE11" s="22">
        <f t="shared" si="10"/>
        <v>2.7169917331228786</v>
      </c>
      <c r="AF11" s="22">
        <f t="shared" si="11"/>
        <v>13.059378472463285</v>
      </c>
      <c r="AG11" s="317">
        <f t="shared" si="12"/>
        <v>5.7614088724429191</v>
      </c>
      <c r="AH11" s="87">
        <v>205.01316083293236</v>
      </c>
      <c r="AJ11" t="s">
        <v>67</v>
      </c>
      <c r="AK11" s="22">
        <v>2.1265225044053389</v>
      </c>
      <c r="AL11" s="22">
        <v>6.9627051717975078E-2</v>
      </c>
      <c r="AM11" s="22">
        <v>2.4488549636337367</v>
      </c>
      <c r="AN11" s="22">
        <v>2.3824969805706009</v>
      </c>
      <c r="AO11" s="22">
        <v>1.0730766218865682</v>
      </c>
      <c r="AP11" s="22">
        <v>0.46745642454641567</v>
      </c>
      <c r="AQ11" s="22">
        <v>0.25556758205698027</v>
      </c>
      <c r="AR11" s="22">
        <v>1.3215872540983709</v>
      </c>
      <c r="AS11" s="22">
        <v>0.4004415348776712</v>
      </c>
      <c r="AT11" s="22">
        <v>3.2963786845099499</v>
      </c>
      <c r="AU11" s="22">
        <v>1.4967749863239501</v>
      </c>
      <c r="AV11" s="22">
        <v>0.88526909475996596</v>
      </c>
      <c r="AW11" s="22">
        <v>9.7470570990036602</v>
      </c>
      <c r="AX11" s="22">
        <v>74.028889217608807</v>
      </c>
      <c r="AY11" s="24">
        <v>9.6832077668474703</v>
      </c>
      <c r="AZ11" s="24">
        <v>8.9823171961112767</v>
      </c>
      <c r="BA11" s="24"/>
      <c r="BC11" s="65" t="s">
        <v>182</v>
      </c>
      <c r="BD11" s="45">
        <v>179.28837085170807</v>
      </c>
      <c r="BE11" s="45">
        <v>6.9291791325968601</v>
      </c>
      <c r="BF11" s="45">
        <v>1689.6704663586827</v>
      </c>
      <c r="BG11" s="45">
        <v>751.33765751026783</v>
      </c>
      <c r="BH11" s="45">
        <v>253.09861774404553</v>
      </c>
      <c r="BI11" s="45">
        <v>100.66439117196377</v>
      </c>
      <c r="BJ11" s="45">
        <v>20.461272956982388</v>
      </c>
      <c r="BK11" s="45">
        <v>144.16241706929313</v>
      </c>
      <c r="BL11" s="45">
        <v>61.313982265999165</v>
      </c>
      <c r="BM11" s="45">
        <v>314.14849803448175</v>
      </c>
      <c r="BN11" s="45">
        <v>147.06183987899701</v>
      </c>
      <c r="BO11" s="45">
        <v>1352.3412111552591</v>
      </c>
      <c r="BP11" s="45">
        <v>14.64315628079977</v>
      </c>
      <c r="BQ11" s="45">
        <v>5410.1785772213334</v>
      </c>
      <c r="BR11" s="59">
        <v>10445.299637632412</v>
      </c>
      <c r="BT11" s="65" t="s">
        <v>182</v>
      </c>
      <c r="BU11" s="24">
        <f t="shared" si="17"/>
        <v>1.7164502414633127</v>
      </c>
      <c r="BV11" s="24">
        <f t="shared" si="18"/>
        <v>6.6337772711013057E-2</v>
      </c>
      <c r="BW11" s="24">
        <f t="shared" si="19"/>
        <v>16.176371429988702</v>
      </c>
      <c r="BX11" s="24">
        <f t="shared" si="20"/>
        <v>7.1930694530135089</v>
      </c>
      <c r="BY11" s="24">
        <f t="shared" si="21"/>
        <v>2.4230862351921409</v>
      </c>
      <c r="BZ11" s="24">
        <f t="shared" si="22"/>
        <v>0.9637290902530864</v>
      </c>
      <c r="CA11" s="24">
        <f t="shared" si="23"/>
        <v>0.19588976541433378</v>
      </c>
      <c r="CB11" s="24">
        <f t="shared" si="24"/>
        <v>1.3801654530800016</v>
      </c>
      <c r="CC11" s="24">
        <f t="shared" si="25"/>
        <v>0.58700070264233151</v>
      </c>
      <c r="CD11" s="24">
        <f t="shared" si="26"/>
        <v>3.0075585089264929</v>
      </c>
      <c r="CE11" s="24">
        <f t="shared" si="27"/>
        <v>1.4079236113932183</v>
      </c>
      <c r="CF11" s="24">
        <f t="shared" si="28"/>
        <v>12.946887672643042</v>
      </c>
      <c r="CG11" s="24">
        <f t="shared" si="29"/>
        <v>0.140188953776331</v>
      </c>
      <c r="CH11" s="24">
        <f t="shared" si="30"/>
        <v>51.795341109502466</v>
      </c>
      <c r="CI11" s="59">
        <v>10445.299637632412</v>
      </c>
      <c r="CK11" s="25" t="s">
        <v>263</v>
      </c>
      <c r="CL11" s="22">
        <v>3.2745786830603647</v>
      </c>
      <c r="CM11" s="22">
        <v>5.0856856718782054E-2</v>
      </c>
      <c r="CN11" s="22">
        <v>9.4171887032976098</v>
      </c>
      <c r="CO11" s="22">
        <v>3.103530519373416</v>
      </c>
      <c r="CP11" s="22">
        <v>2.8269161292979472</v>
      </c>
      <c r="CQ11" s="22">
        <v>0.28700510387442096</v>
      </c>
      <c r="CR11" s="22">
        <v>6.1956693731215387E-2</v>
      </c>
      <c r="CS11" s="22">
        <v>0.9890252359311964</v>
      </c>
      <c r="CT11" s="22">
        <v>0.34830164523835594</v>
      </c>
      <c r="CU11" s="22">
        <v>1.2499616853184747</v>
      </c>
      <c r="CV11" s="22">
        <v>0.60675766892262029</v>
      </c>
      <c r="CW11" s="22">
        <v>12.900541950448735</v>
      </c>
      <c r="CX11" s="22">
        <v>3.3910570063148911E-2</v>
      </c>
      <c r="CY11" s="22">
        <v>64.8494685547237</v>
      </c>
      <c r="CZ11" s="29">
        <v>9673.0263442075884</v>
      </c>
    </row>
    <row r="12" spans="1:104">
      <c r="A12" t="s">
        <v>62</v>
      </c>
      <c r="B12" s="24">
        <v>5.2664438018247894</v>
      </c>
      <c r="C12" s="24">
        <v>0.58991025623801852</v>
      </c>
      <c r="D12" s="24">
        <v>0.94707019499326428</v>
      </c>
      <c r="E12" s="24">
        <v>0.73599033115736023</v>
      </c>
      <c r="F12" s="24">
        <v>0.72951976146478736</v>
      </c>
      <c r="G12" s="24">
        <v>0.22952176167648872</v>
      </c>
      <c r="H12" s="24">
        <v>9.2448058863066826E-2</v>
      </c>
      <c r="I12" s="24">
        <v>8.7042547671102852E-2</v>
      </c>
      <c r="J12" s="24">
        <v>3.7158019898261702E-3</v>
      </c>
      <c r="K12" s="24">
        <v>0.41888213988931211</v>
      </c>
      <c r="L12" s="24">
        <v>0.28147470120741352</v>
      </c>
      <c r="M12" s="24">
        <v>1.3991680472680521</v>
      </c>
      <c r="N12" s="24">
        <v>1.0430641511800087</v>
      </c>
      <c r="O12" s="24">
        <v>12.945676369796072</v>
      </c>
      <c r="P12" s="24">
        <f t="shared" si="14"/>
        <v>24.769927925219562</v>
      </c>
      <c r="Q12" s="24">
        <f t="shared" si="15"/>
        <v>23.656842913922354</v>
      </c>
      <c r="S12" t="s">
        <v>62</v>
      </c>
      <c r="T12" s="22">
        <f t="shared" si="16"/>
        <v>21.261441768115709</v>
      </c>
      <c r="U12" s="22">
        <f t="shared" si="0"/>
        <v>2.3815582266486937</v>
      </c>
      <c r="V12" s="22">
        <f t="shared" si="1"/>
        <v>3.8234677058910718</v>
      </c>
      <c r="W12" s="22">
        <f t="shared" si="2"/>
        <v>2.9713059052061666</v>
      </c>
      <c r="X12" s="22">
        <f t="shared" si="3"/>
        <v>2.945183222442989</v>
      </c>
      <c r="Y12" s="22">
        <f t="shared" si="4"/>
        <v>0.926614572191793</v>
      </c>
      <c r="Z12" s="22">
        <f t="shared" si="5"/>
        <v>0.3732269998611526</v>
      </c>
      <c r="AA12" s="22">
        <f t="shared" si="6"/>
        <v>0.35140412169903923</v>
      </c>
      <c r="AB12" s="22">
        <f t="shared" si="7"/>
        <v>1.500126282581112E-2</v>
      </c>
      <c r="AC12" s="22">
        <f t="shared" si="8"/>
        <v>1.691091476543322</v>
      </c>
      <c r="AD12" s="22">
        <f t="shared" si="9"/>
        <v>1.1363565612995965</v>
      </c>
      <c r="AE12" s="22">
        <f t="shared" si="10"/>
        <v>5.6486561103130457</v>
      </c>
      <c r="AF12" s="22">
        <f t="shared" si="11"/>
        <v>4.2110100373687818</v>
      </c>
      <c r="AG12" s="22">
        <f t="shared" si="12"/>
        <v>52.263682029592829</v>
      </c>
      <c r="AH12" s="87">
        <v>24.769927925219562</v>
      </c>
      <c r="AJ12" t="s">
        <v>329</v>
      </c>
      <c r="AK12" s="22">
        <v>3.4339389076231588</v>
      </c>
      <c r="AL12" s="22">
        <v>0.30446154051080992</v>
      </c>
      <c r="AM12" s="22">
        <v>14.86800089621036</v>
      </c>
      <c r="AN12" s="22">
        <v>6.2156407782039995</v>
      </c>
      <c r="AO12" s="22">
        <v>4.9228910351392114</v>
      </c>
      <c r="AP12" s="22">
        <v>0.4166965919166844</v>
      </c>
      <c r="AQ12" s="22">
        <v>5.5700297532684288E-2</v>
      </c>
      <c r="AR12" s="22">
        <v>0.83112900622933761</v>
      </c>
      <c r="AS12" s="22">
        <v>0.22751646950099694</v>
      </c>
      <c r="AT12" s="22">
        <v>1.50215617942081</v>
      </c>
      <c r="AU12" s="22">
        <v>0.75402431899615285</v>
      </c>
      <c r="AV12" s="22">
        <v>11.930870549305967</v>
      </c>
      <c r="AW12" s="22">
        <v>0.50307880714504627</v>
      </c>
      <c r="AX12" s="22">
        <v>54.033894622264789</v>
      </c>
      <c r="AY12" s="24">
        <v>8.8783692042921452</v>
      </c>
      <c r="AZ12" s="24">
        <v>8.5421255758726673</v>
      </c>
      <c r="BA12" s="24"/>
      <c r="BC12" s="65" t="s">
        <v>184</v>
      </c>
      <c r="BD12" s="45">
        <v>853.196626050541</v>
      </c>
      <c r="BE12" s="45">
        <v>17.420942246691425</v>
      </c>
      <c r="BF12" s="45">
        <v>1286.4677888393273</v>
      </c>
      <c r="BG12" s="45">
        <v>528.33672076763162</v>
      </c>
      <c r="BH12" s="45">
        <v>214.09340807060789</v>
      </c>
      <c r="BI12" s="45">
        <v>89.107179948176835</v>
      </c>
      <c r="BJ12" s="45">
        <v>28.1408841234208</v>
      </c>
      <c r="BK12" s="45">
        <v>83.043518049729727</v>
      </c>
      <c r="BL12" s="45">
        <v>59.343316792248892</v>
      </c>
      <c r="BM12" s="45">
        <v>283.89903367994611</v>
      </c>
      <c r="BN12" s="45">
        <v>133.87535401621105</v>
      </c>
      <c r="BO12" s="45">
        <v>1030.7817905225122</v>
      </c>
      <c r="BP12" s="45">
        <v>30.903145016904425</v>
      </c>
      <c r="BQ12" s="45">
        <v>3879.1109380423381</v>
      </c>
      <c r="BR12" s="59">
        <v>8517.7206461662863</v>
      </c>
      <c r="BT12" s="65" t="s">
        <v>184</v>
      </c>
      <c r="BU12" s="24">
        <f t="shared" si="17"/>
        <v>10.016724678973283</v>
      </c>
      <c r="BV12" s="24">
        <f t="shared" si="18"/>
        <v>0.20452586989375332</v>
      </c>
      <c r="BW12" s="24">
        <f t="shared" si="19"/>
        <v>15.103427809860722</v>
      </c>
      <c r="BX12" s="24">
        <f t="shared" si="20"/>
        <v>6.2027946526448838</v>
      </c>
      <c r="BY12" s="24">
        <f t="shared" si="21"/>
        <v>2.5135058657619691</v>
      </c>
      <c r="BZ12" s="24">
        <f t="shared" si="22"/>
        <v>1.0461387928739221</v>
      </c>
      <c r="CA12" s="24">
        <f t="shared" si="23"/>
        <v>0.33038045379061171</v>
      </c>
      <c r="CB12" s="24">
        <f t="shared" si="24"/>
        <v>0.97495000716073632</v>
      </c>
      <c r="CC12" s="24">
        <f t="shared" si="25"/>
        <v>0.6967041918539385</v>
      </c>
      <c r="CD12" s="24">
        <f t="shared" si="26"/>
        <v>3.3330399701207076</v>
      </c>
      <c r="CE12" s="24">
        <f t="shared" si="27"/>
        <v>1.5717274559417089</v>
      </c>
      <c r="CF12" s="24">
        <f t="shared" si="28"/>
        <v>12.10161536568417</v>
      </c>
      <c r="CG12" s="24">
        <f t="shared" si="29"/>
        <v>0.36281003217467012</v>
      </c>
      <c r="CH12" s="24">
        <f t="shared" si="30"/>
        <v>45.541654853264937</v>
      </c>
      <c r="CI12" s="59">
        <v>8517.7206461662863</v>
      </c>
      <c r="CK12" s="25" t="s">
        <v>265</v>
      </c>
      <c r="CL12" s="22">
        <v>4.1783169182690187</v>
      </c>
      <c r="CM12" s="22">
        <v>0.22271861856570846</v>
      </c>
      <c r="CN12" s="22">
        <v>10.429743542839876</v>
      </c>
      <c r="CO12" s="22">
        <v>5.3920543254107871</v>
      </c>
      <c r="CP12" s="22">
        <v>3.1774232708401953</v>
      </c>
      <c r="CQ12" s="22">
        <v>0.33741555656999711</v>
      </c>
      <c r="CR12" s="22">
        <v>7.2760324446405969E-2</v>
      </c>
      <c r="CS12" s="22">
        <v>0.97289090048908367</v>
      </c>
      <c r="CT12" s="22">
        <v>0.31386875051271279</v>
      </c>
      <c r="CU12" s="22">
        <v>1.405334759554014</v>
      </c>
      <c r="CV12" s="22">
        <v>0.68149850768782649</v>
      </c>
      <c r="CW12" s="22">
        <v>12.809623130478709</v>
      </c>
      <c r="CX12" s="22">
        <v>0.21241806607998986</v>
      </c>
      <c r="CY12" s="22">
        <v>59.793933328255669</v>
      </c>
      <c r="CZ12" s="29">
        <v>9456.6874048596765</v>
      </c>
    </row>
    <row r="13" spans="1:104">
      <c r="A13" t="s">
        <v>64</v>
      </c>
      <c r="B13" s="24">
        <v>4.9156422106592954</v>
      </c>
      <c r="C13" s="24">
        <v>0.28076004942676175</v>
      </c>
      <c r="D13" s="24">
        <v>1.9975960109275732</v>
      </c>
      <c r="E13" s="24">
        <v>0.99359076711242156</v>
      </c>
      <c r="F13" s="24">
        <v>0.41351013824702076</v>
      </c>
      <c r="G13" s="24">
        <v>0.24820839806841666</v>
      </c>
      <c r="H13" s="24">
        <v>0.10058975083056164</v>
      </c>
      <c r="I13" s="24">
        <v>0.20099588138499627</v>
      </c>
      <c r="J13" s="24">
        <v>9.4731973007775319E-2</v>
      </c>
      <c r="K13" s="24">
        <v>0.48010002240708993</v>
      </c>
      <c r="L13" s="24">
        <v>0.25059342060174916</v>
      </c>
      <c r="M13" s="24">
        <v>1.8293580545756889</v>
      </c>
      <c r="N13" s="24">
        <v>0.31141321110578907</v>
      </c>
      <c r="O13" s="24">
        <v>9.9144189935901714</v>
      </c>
      <c r="P13" s="24">
        <f t="shared" si="14"/>
        <v>22.031508881945314</v>
      </c>
      <c r="Q13" s="24">
        <f t="shared" si="15"/>
        <v>20.656289435644723</v>
      </c>
      <c r="S13" t="s">
        <v>64</v>
      </c>
      <c r="T13" s="22">
        <f t="shared" si="16"/>
        <v>22.311872677443503</v>
      </c>
      <c r="U13" s="22">
        <f t="shared" si="0"/>
        <v>1.2743568810071055</v>
      </c>
      <c r="V13" s="22">
        <f t="shared" si="1"/>
        <v>9.0669959176722159</v>
      </c>
      <c r="W13" s="22">
        <f t="shared" si="2"/>
        <v>4.5098625447604412</v>
      </c>
      <c r="X13" s="22">
        <f t="shared" si="3"/>
        <v>1.8769033953270891</v>
      </c>
      <c r="Y13" s="22">
        <f t="shared" si="4"/>
        <v>1.1266064407954459</v>
      </c>
      <c r="Z13" s="22">
        <f t="shared" si="5"/>
        <v>0.45657222739289693</v>
      </c>
      <c r="AA13" s="22">
        <f t="shared" si="6"/>
        <v>0.91231101084370647</v>
      </c>
      <c r="AB13" s="22">
        <f t="shared" si="7"/>
        <v>0.42998404473970275</v>
      </c>
      <c r="AC13" s="22">
        <f t="shared" si="8"/>
        <v>2.1791518001771046</v>
      </c>
      <c r="AD13" s="22">
        <f t="shared" si="9"/>
        <v>1.1374319477823369</v>
      </c>
      <c r="AE13" s="22">
        <f t="shared" si="10"/>
        <v>8.3033716137111089</v>
      </c>
      <c r="AF13" s="22">
        <f t="shared" si="11"/>
        <v>1.4134901643572415</v>
      </c>
      <c r="AG13" s="22">
        <f t="shared" si="12"/>
        <v>45.001089333990087</v>
      </c>
      <c r="AH13" s="87">
        <v>22.031508881945314</v>
      </c>
      <c r="AJ13" t="s">
        <v>90</v>
      </c>
      <c r="AK13" s="22">
        <v>23.793522145682608</v>
      </c>
      <c r="AL13" s="22">
        <v>5.4220058865127578</v>
      </c>
      <c r="AM13" s="22">
        <v>8.9745403430059643</v>
      </c>
      <c r="AN13" s="22">
        <v>6.8566639237902463</v>
      </c>
      <c r="AO13" s="22">
        <v>3.227961155084782</v>
      </c>
      <c r="AP13" s="22">
        <v>0.14970657799212425</v>
      </c>
      <c r="AQ13" s="22">
        <v>4.1007832011283427E-2</v>
      </c>
      <c r="AR13" s="22">
        <v>0.64891906129664467</v>
      </c>
      <c r="AS13" s="22">
        <v>0.20342998766197284</v>
      </c>
      <c r="AT13" s="22">
        <v>0.99453149413327258</v>
      </c>
      <c r="AU13" s="22">
        <v>0.50414386863413796</v>
      </c>
      <c r="AV13" s="22">
        <v>4.9855092803901941</v>
      </c>
      <c r="AW13" s="22">
        <v>7.5728774311250273</v>
      </c>
      <c r="AX13" s="22">
        <v>36.625181012678979</v>
      </c>
      <c r="AY13" s="24">
        <v>8.5234388136869406</v>
      </c>
      <c r="AZ13" s="24">
        <v>8.3067952604131037</v>
      </c>
      <c r="BA13" s="24"/>
      <c r="BC13" s="65" t="s">
        <v>186</v>
      </c>
      <c r="BD13" s="45">
        <v>1254.482145465453</v>
      </c>
      <c r="BE13" s="45">
        <v>9.5789281783504894</v>
      </c>
      <c r="BF13" s="45">
        <v>1201.821566139057</v>
      </c>
      <c r="BG13" s="45">
        <v>79.411176609878041</v>
      </c>
      <c r="BH13" s="45">
        <v>61.034397198500038</v>
      </c>
      <c r="BI13" s="45">
        <v>92.806634515628687</v>
      </c>
      <c r="BJ13" s="45">
        <v>39.088435183462131</v>
      </c>
      <c r="BK13" s="45">
        <v>16.911777125570431</v>
      </c>
      <c r="BL13" s="45">
        <v>66.335750344380642</v>
      </c>
      <c r="BM13" s="45">
        <v>278.4793817378212</v>
      </c>
      <c r="BN13" s="45">
        <v>129.97500935991232</v>
      </c>
      <c r="BO13" s="45">
        <v>813.61148059810796</v>
      </c>
      <c r="BP13" s="45">
        <v>58.54953457358274</v>
      </c>
      <c r="BQ13" s="45">
        <v>1970.1499832614286</v>
      </c>
      <c r="BR13" s="59">
        <v>6072.2362002911341</v>
      </c>
      <c r="BT13" s="65" t="s">
        <v>186</v>
      </c>
      <c r="BU13" s="24">
        <f t="shared" si="17"/>
        <v>20.659310739679505</v>
      </c>
      <c r="BV13" s="24">
        <f t="shared" si="18"/>
        <v>0.15774959771642655</v>
      </c>
      <c r="BW13" s="24">
        <f t="shared" si="19"/>
        <v>19.792075382071527</v>
      </c>
      <c r="BX13" s="24">
        <f t="shared" si="20"/>
        <v>1.3077748294124438</v>
      </c>
      <c r="BY13" s="24">
        <f t="shared" si="21"/>
        <v>1.0051387196626795</v>
      </c>
      <c r="BZ13" s="24">
        <f t="shared" si="22"/>
        <v>1.5283765560894857</v>
      </c>
      <c r="CA13" s="24">
        <f t="shared" si="23"/>
        <v>0.64372389172852063</v>
      </c>
      <c r="CB13" s="24">
        <f t="shared" si="24"/>
        <v>0.27850986963846358</v>
      </c>
      <c r="CC13" s="24">
        <f t="shared" si="25"/>
        <v>1.0924435110281148</v>
      </c>
      <c r="CD13" s="24">
        <f t="shared" si="26"/>
        <v>4.5861091787646444</v>
      </c>
      <c r="CE13" s="24">
        <f t="shared" si="27"/>
        <v>2.1404801307577701</v>
      </c>
      <c r="CF13" s="24">
        <f t="shared" si="28"/>
        <v>13.398877345369062</v>
      </c>
      <c r="CG13" s="24">
        <f t="shared" si="29"/>
        <v>0.96421701400178694</v>
      </c>
      <c r="CH13" s="24">
        <f t="shared" si="30"/>
        <v>32.445213234079553</v>
      </c>
      <c r="CI13" s="59">
        <v>6072.2362002911341</v>
      </c>
      <c r="CK13" s="25" t="s">
        <v>257</v>
      </c>
      <c r="CL13" s="22">
        <v>3.4339389076231588</v>
      </c>
      <c r="CM13" s="22">
        <v>0.30446154051080992</v>
      </c>
      <c r="CN13" s="22">
        <v>14.86800089621036</v>
      </c>
      <c r="CO13" s="22">
        <v>6.2156407782039995</v>
      </c>
      <c r="CP13" s="22">
        <v>4.9228910351392114</v>
      </c>
      <c r="CQ13" s="22">
        <v>0.4166965919166844</v>
      </c>
      <c r="CR13" s="22">
        <v>5.5700297532684288E-2</v>
      </c>
      <c r="CS13" s="22">
        <v>0.83112900622933761</v>
      </c>
      <c r="CT13" s="22">
        <v>0.22751646950099694</v>
      </c>
      <c r="CU13" s="22">
        <v>1.50215617942081</v>
      </c>
      <c r="CV13" s="22">
        <v>0.75402431899615285</v>
      </c>
      <c r="CW13" s="22">
        <v>11.930870549305967</v>
      </c>
      <c r="CX13" s="22">
        <v>0.50307880714504627</v>
      </c>
      <c r="CY13" s="22">
        <v>54.033894622264789</v>
      </c>
      <c r="CZ13" s="29">
        <v>8878.3692042921448</v>
      </c>
    </row>
    <row r="14" spans="1:104">
      <c r="A14" t="s">
        <v>67</v>
      </c>
      <c r="B14" s="24">
        <v>205.9155923103371</v>
      </c>
      <c r="C14" s="24">
        <v>6.742132079781868</v>
      </c>
      <c r="D14" s="24">
        <v>237.12771403741178</v>
      </c>
      <c r="E14" s="24">
        <v>230.7021326675189</v>
      </c>
      <c r="F14" s="24">
        <v>103.90823879474463</v>
      </c>
      <c r="G14" s="24">
        <v>45.26477680830601</v>
      </c>
      <c r="H14" s="24">
        <v>24.7471399552858</v>
      </c>
      <c r="I14" s="24">
        <v>127.97203963451966</v>
      </c>
      <c r="J14" s="24">
        <v>38.775585806957878</v>
      </c>
      <c r="K14" s="24">
        <v>319.19519680317194</v>
      </c>
      <c r="L14" s="24">
        <v>144.9358317279509</v>
      </c>
      <c r="M14" s="24">
        <v>85.722445741297321</v>
      </c>
      <c r="N14" s="24">
        <v>943.82779004978011</v>
      </c>
      <c r="O14" s="24">
        <v>7168.3711504304056</v>
      </c>
      <c r="P14" s="24">
        <f t="shared" si="14"/>
        <v>9683.2077668474703</v>
      </c>
      <c r="Q14" s="24">
        <f t="shared" si="15"/>
        <v>8982.3171961112766</v>
      </c>
      <c r="S14" t="s">
        <v>67</v>
      </c>
      <c r="T14" s="22">
        <f t="shared" si="16"/>
        <v>2.1265225044053389</v>
      </c>
      <c r="U14" s="22">
        <f t="shared" si="0"/>
        <v>6.9627051717975078E-2</v>
      </c>
      <c r="V14" s="22">
        <f t="shared" si="1"/>
        <v>2.4488549636337367</v>
      </c>
      <c r="W14" s="22">
        <f t="shared" si="2"/>
        <v>2.3824969805706009</v>
      </c>
      <c r="X14" s="22">
        <f t="shared" si="3"/>
        <v>1.0730766218865682</v>
      </c>
      <c r="Y14" s="22">
        <f t="shared" si="4"/>
        <v>0.46745642454641567</v>
      </c>
      <c r="Z14" s="22">
        <f t="shared" si="5"/>
        <v>0.25556758205698027</v>
      </c>
      <c r="AA14" s="22">
        <f t="shared" si="6"/>
        <v>1.3215872540983709</v>
      </c>
      <c r="AB14" s="22">
        <f t="shared" si="7"/>
        <v>0.4004415348776712</v>
      </c>
      <c r="AC14" s="22">
        <f t="shared" si="8"/>
        <v>3.2963786845099499</v>
      </c>
      <c r="AD14" s="22">
        <f t="shared" si="9"/>
        <v>1.4967749863239501</v>
      </c>
      <c r="AE14" s="22">
        <f t="shared" si="10"/>
        <v>0.88526909475996596</v>
      </c>
      <c r="AF14" s="22">
        <f t="shared" si="11"/>
        <v>9.7470570990036602</v>
      </c>
      <c r="AG14" s="22">
        <f t="shared" si="12"/>
        <v>74.028889217608807</v>
      </c>
      <c r="AH14" s="24">
        <v>9683.2077668474703</v>
      </c>
      <c r="AJ14" t="s">
        <v>51</v>
      </c>
      <c r="AK14" s="22">
        <v>10.016724678973283</v>
      </c>
      <c r="AL14" s="22">
        <v>0.20452586989375332</v>
      </c>
      <c r="AM14" s="22">
        <v>15.103427809860722</v>
      </c>
      <c r="AN14" s="22">
        <v>6.2027946526448838</v>
      </c>
      <c r="AO14" s="22">
        <v>2.5135058657619691</v>
      </c>
      <c r="AP14" s="22">
        <v>1.0461387928739221</v>
      </c>
      <c r="AQ14" s="22">
        <v>0.33038045379061171</v>
      </c>
      <c r="AR14" s="22">
        <v>0.97495000716073632</v>
      </c>
      <c r="AS14" s="22">
        <v>0.6967041918539385</v>
      </c>
      <c r="AT14" s="22">
        <v>3.3330399701207076</v>
      </c>
      <c r="AU14" s="22">
        <v>1.5717274559417089</v>
      </c>
      <c r="AV14" s="22">
        <v>12.10161536568417</v>
      </c>
      <c r="AW14" s="22">
        <v>0.36281003217467012</v>
      </c>
      <c r="AX14" s="22">
        <v>45.541654853264937</v>
      </c>
      <c r="AY14" s="24">
        <v>8.5177206461662855</v>
      </c>
      <c r="AZ14" s="24">
        <v>7.8403113595565541</v>
      </c>
      <c r="BA14" s="24"/>
      <c r="BC14" s="25" t="s">
        <v>188</v>
      </c>
      <c r="BD14" s="45">
        <v>846.4422201427019</v>
      </c>
      <c r="BE14" s="45">
        <v>18.699859592599417</v>
      </c>
      <c r="BF14" s="45">
        <v>1080.8193874948442</v>
      </c>
      <c r="BG14" s="45">
        <v>398.98577194669906</v>
      </c>
      <c r="BH14" s="45">
        <v>157.07905080459648</v>
      </c>
      <c r="BI14" s="45">
        <v>72.10838479266674</v>
      </c>
      <c r="BJ14" s="45">
        <v>18.53536843709519</v>
      </c>
      <c r="BK14" s="45">
        <v>55.392938580510148</v>
      </c>
      <c r="BL14" s="45">
        <v>43.24432290371827</v>
      </c>
      <c r="BM14" s="45">
        <v>203.87141864961046</v>
      </c>
      <c r="BN14" s="45">
        <v>97.759103337329066</v>
      </c>
      <c r="BO14" s="45">
        <v>864.51204607911507</v>
      </c>
      <c r="BP14" s="45">
        <v>22.441528160525419</v>
      </c>
      <c r="BQ14" s="45">
        <v>2943.1465871600844</v>
      </c>
      <c r="BR14" s="59">
        <v>6823.0379880820947</v>
      </c>
      <c r="BT14" s="25" t="s">
        <v>188</v>
      </c>
      <c r="BU14" s="24">
        <f t="shared" si="17"/>
        <v>12.405650116871628</v>
      </c>
      <c r="BV14" s="24">
        <f t="shared" si="18"/>
        <v>0.27406940464442303</v>
      </c>
      <c r="BW14" s="24">
        <f t="shared" si="19"/>
        <v>15.840735305632595</v>
      </c>
      <c r="BX14" s="24">
        <f t="shared" si="20"/>
        <v>5.8476264186659028</v>
      </c>
      <c r="BY14" s="24">
        <f t="shared" si="21"/>
        <v>2.3021863732690462</v>
      </c>
      <c r="BZ14" s="24">
        <f t="shared" si="22"/>
        <v>1.0568369239423783</v>
      </c>
      <c r="CA14" s="24">
        <f t="shared" si="23"/>
        <v>0.27165858477515736</v>
      </c>
      <c r="CB14" s="24">
        <f t="shared" si="24"/>
        <v>0.81185153412989697</v>
      </c>
      <c r="CC14" s="24">
        <f t="shared" si="25"/>
        <v>0.63379865360934229</v>
      </c>
      <c r="CD14" s="24">
        <f t="shared" si="26"/>
        <v>2.9879859822811454</v>
      </c>
      <c r="CE14" s="24">
        <f t="shared" si="27"/>
        <v>1.4327797017704782</v>
      </c>
      <c r="CF14" s="24">
        <f t="shared" si="28"/>
        <v>12.670485604640799</v>
      </c>
      <c r="CG14" s="24">
        <f t="shared" si="29"/>
        <v>0.32890815205373886</v>
      </c>
      <c r="CH14" s="24">
        <f t="shared" si="30"/>
        <v>43.135427243713487</v>
      </c>
      <c r="CI14" s="59">
        <v>6823.0379880820947</v>
      </c>
      <c r="CK14" s="25" t="s">
        <v>259</v>
      </c>
      <c r="CL14" s="22">
        <v>2.9020096511887976</v>
      </c>
      <c r="CM14" s="22">
        <v>9.3059489620847313E-2</v>
      </c>
      <c r="CN14" s="22">
        <v>8.6866908417024113</v>
      </c>
      <c r="CO14" s="22">
        <v>1.7056965461889146</v>
      </c>
      <c r="CP14" s="22">
        <v>2.4422696866142726</v>
      </c>
      <c r="CQ14" s="22">
        <v>0.30777575342027796</v>
      </c>
      <c r="CR14" s="22">
        <v>7.1298386848443723E-2</v>
      </c>
      <c r="CS14" s="22">
        <v>0.96450655625436177</v>
      </c>
      <c r="CT14" s="22">
        <v>0.3215463008128604</v>
      </c>
      <c r="CU14" s="22">
        <v>1.3911094907445438</v>
      </c>
      <c r="CV14" s="22">
        <v>0.68805459514547773</v>
      </c>
      <c r="CW14" s="22">
        <v>13.188655042797336</v>
      </c>
      <c r="CX14" s="22">
        <v>8.8948796400035765E-2</v>
      </c>
      <c r="CY14" s="22">
        <v>67.148378862261424</v>
      </c>
      <c r="CZ14" s="29">
        <v>8733.5485876714192</v>
      </c>
    </row>
    <row r="15" spans="1:104">
      <c r="A15" t="s">
        <v>69</v>
      </c>
      <c r="B15" s="24">
        <v>154.87800968453448</v>
      </c>
      <c r="C15" s="24">
        <v>1.5070765952543057</v>
      </c>
      <c r="D15" s="24">
        <v>66.924919412236903</v>
      </c>
      <c r="E15" s="24">
        <v>85.556420338411471</v>
      </c>
      <c r="F15" s="24">
        <v>1.9354381290061089</v>
      </c>
      <c r="G15" s="24">
        <v>18.726241847099718</v>
      </c>
      <c r="H15" s="24">
        <v>22.151640910430636</v>
      </c>
      <c r="I15" s="24">
        <v>0.3267575654170472</v>
      </c>
      <c r="J15" s="24">
        <v>18.482520026228332</v>
      </c>
      <c r="K15" s="24">
        <v>1.354691799390791</v>
      </c>
      <c r="L15" s="24">
        <v>49.212202187475853</v>
      </c>
      <c r="M15" s="24">
        <v>158.22317301699664</v>
      </c>
      <c r="N15" s="24">
        <v>6.6764814645092301</v>
      </c>
      <c r="O15" s="24">
        <v>21.035551510641383</v>
      </c>
      <c r="P15" s="24">
        <f t="shared" si="14"/>
        <v>606.99112448763299</v>
      </c>
      <c r="Q15" s="24">
        <f t="shared" si="15"/>
        <v>496.7370701515905</v>
      </c>
      <c r="S15" t="s">
        <v>69</v>
      </c>
      <c r="T15" s="22">
        <f t="shared" si="16"/>
        <v>25.515695936290417</v>
      </c>
      <c r="U15" s="22">
        <f>C15/$P15*100</f>
        <v>0.24828643030430528</v>
      </c>
      <c r="V15" s="22">
        <f t="shared" si="1"/>
        <v>11.025683360482226</v>
      </c>
      <c r="W15" s="22">
        <f t="shared" si="2"/>
        <v>14.095168263066526</v>
      </c>
      <c r="X15" s="22">
        <f t="shared" si="3"/>
        <v>0.31885773134489087</v>
      </c>
      <c r="Y15" s="22">
        <f t="shared" si="4"/>
        <v>3.0850931902680978</v>
      </c>
      <c r="Z15" s="22">
        <f t="shared" si="5"/>
        <v>3.6494175971895881</v>
      </c>
      <c r="AA15" s="22">
        <f t="shared" si="6"/>
        <v>5.3832346509657188E-2</v>
      </c>
      <c r="AB15" s="22">
        <f t="shared" si="7"/>
        <v>3.0449407381087501</v>
      </c>
      <c r="AC15" s="22">
        <f t="shared" si="8"/>
        <v>0.22318148400181292</v>
      </c>
      <c r="AD15" s="22">
        <f t="shared" si="9"/>
        <v>8.1075653666297587</v>
      </c>
      <c r="AE15" s="22">
        <f t="shared" si="10"/>
        <v>26.066801742868041</v>
      </c>
      <c r="AF15" s="22">
        <f t="shared" si="11"/>
        <v>1.0999306571648657</v>
      </c>
      <c r="AG15" s="317">
        <f t="shared" si="12"/>
        <v>3.465545155771049</v>
      </c>
      <c r="AH15" s="24">
        <v>606.99112448763299</v>
      </c>
      <c r="AJ15" t="s">
        <v>53</v>
      </c>
      <c r="AK15" s="22">
        <v>20.659310739679505</v>
      </c>
      <c r="AL15" s="22">
        <v>0.15774959771642655</v>
      </c>
      <c r="AM15" s="22">
        <v>19.792075382071527</v>
      </c>
      <c r="AN15" s="22">
        <v>1.3077748294124438</v>
      </c>
      <c r="AO15" s="22">
        <v>1.0051387196626795</v>
      </c>
      <c r="AP15" s="22">
        <v>1.5283765560894857</v>
      </c>
      <c r="AQ15" s="22">
        <v>0.64372389172852063</v>
      </c>
      <c r="AR15" s="22">
        <v>0.27850986963846358</v>
      </c>
      <c r="AS15" s="22">
        <v>1.0924435110281148</v>
      </c>
      <c r="AT15" s="22">
        <v>4.5861091787646444</v>
      </c>
      <c r="AU15" s="22">
        <v>2.1404801307577701</v>
      </c>
      <c r="AV15" s="22">
        <v>13.398877345369062</v>
      </c>
      <c r="AW15" s="22">
        <v>0.96421701400178694</v>
      </c>
      <c r="AX15" s="22">
        <v>32.445213234079553</v>
      </c>
      <c r="AY15" s="24">
        <v>6.0722362002911341</v>
      </c>
      <c r="AZ15" s="24">
        <v>5.4486392120243581</v>
      </c>
      <c r="BA15" s="24"/>
      <c r="BC15" s="65" t="s">
        <v>190</v>
      </c>
      <c r="BD15" s="45">
        <v>219.32459967208712</v>
      </c>
      <c r="BE15" s="45">
        <v>4.3375824782730499</v>
      </c>
      <c r="BF15" s="45">
        <v>1081.7926175580126</v>
      </c>
      <c r="BG15" s="45">
        <v>105.55877130673559</v>
      </c>
      <c r="BH15" s="45">
        <v>77.573706108111807</v>
      </c>
      <c r="BI15" s="45">
        <v>94.20873045436457</v>
      </c>
      <c r="BJ15" s="45">
        <v>43.731124086129263</v>
      </c>
      <c r="BK15" s="45">
        <v>4.5828205840433123</v>
      </c>
      <c r="BL15" s="45">
        <v>75.208333813427359</v>
      </c>
      <c r="BM15" s="45">
        <v>213.04488624281734</v>
      </c>
      <c r="BN15" s="45">
        <v>111.90056809073585</v>
      </c>
      <c r="BO15" s="45">
        <v>617.04035496035328</v>
      </c>
      <c r="BP15" s="45">
        <v>89.854811461428099</v>
      </c>
      <c r="BQ15" s="45">
        <v>625.62862914321011</v>
      </c>
      <c r="BR15" s="59">
        <v>3363.7875359597292</v>
      </c>
      <c r="BT15" s="65" t="s">
        <v>190</v>
      </c>
      <c r="BU15" s="24">
        <f t="shared" si="17"/>
        <v>6.5201680346172974</v>
      </c>
      <c r="BV15" s="24">
        <f t="shared" si="18"/>
        <v>0.12894935937252902</v>
      </c>
      <c r="BW15" s="24">
        <f t="shared" si="19"/>
        <v>32.15995677471836</v>
      </c>
      <c r="BX15" s="24">
        <f t="shared" si="20"/>
        <v>3.1380927058646231</v>
      </c>
      <c r="BY15" s="24">
        <f t="shared" si="21"/>
        <v>2.3061416715184748</v>
      </c>
      <c r="BZ15" s="24">
        <f t="shared" si="22"/>
        <v>2.8006742235426496</v>
      </c>
      <c r="CA15" s="24">
        <f t="shared" si="23"/>
        <v>1.3000560712777671</v>
      </c>
      <c r="CB15" s="24">
        <f t="shared" si="24"/>
        <v>0.13623989431709985</v>
      </c>
      <c r="CC15" s="24">
        <f t="shared" si="25"/>
        <v>2.2358229528301501</v>
      </c>
      <c r="CD15" s="24">
        <f t="shared" si="26"/>
        <v>6.3334822418275314</v>
      </c>
      <c r="CE15" s="24">
        <f t="shared" si="27"/>
        <v>3.3266241370624874</v>
      </c>
      <c r="CF15" s="24">
        <f t="shared" si="28"/>
        <v>18.343618565799346</v>
      </c>
      <c r="CG15" s="24">
        <f t="shared" si="29"/>
        <v>2.671239205831454</v>
      </c>
      <c r="CH15" s="24">
        <f t="shared" si="30"/>
        <v>18.598934161420235</v>
      </c>
      <c r="CI15" s="59">
        <v>3363.7875359597292</v>
      </c>
      <c r="CK15" s="25" t="s">
        <v>269</v>
      </c>
      <c r="CL15" s="22">
        <v>23.793522145682608</v>
      </c>
      <c r="CM15" s="22">
        <v>5.4220058865127578</v>
      </c>
      <c r="CN15" s="22">
        <v>8.9745403430059643</v>
      </c>
      <c r="CO15" s="22">
        <v>6.8566639237902463</v>
      </c>
      <c r="CP15" s="22">
        <v>3.227961155084782</v>
      </c>
      <c r="CQ15" s="22">
        <v>0.14970657799212425</v>
      </c>
      <c r="CR15" s="22">
        <v>4.1007832011283427E-2</v>
      </c>
      <c r="CS15" s="22">
        <v>0.64891906129664467</v>
      </c>
      <c r="CT15" s="22">
        <v>0.20342998766197284</v>
      </c>
      <c r="CU15" s="22">
        <v>0.99453149413327258</v>
      </c>
      <c r="CV15" s="22">
        <v>0.50414386863413796</v>
      </c>
      <c r="CW15" s="22">
        <v>4.9855092803901941</v>
      </c>
      <c r="CX15" s="22">
        <v>7.5728774311250273</v>
      </c>
      <c r="CY15" s="22">
        <v>36.625181012678979</v>
      </c>
      <c r="CZ15" s="29">
        <v>8523.4388136869402</v>
      </c>
    </row>
    <row r="16" spans="1:104">
      <c r="A16" t="s">
        <v>71</v>
      </c>
      <c r="B16" s="24">
        <v>220.54664421504623</v>
      </c>
      <c r="C16" s="24">
        <v>24.919135638665892</v>
      </c>
      <c r="D16" s="24">
        <v>896.0214242585904</v>
      </c>
      <c r="E16" s="24">
        <v>522.60994997570333</v>
      </c>
      <c r="F16" s="24">
        <v>324.05410503566617</v>
      </c>
      <c r="G16" s="24">
        <v>99.152047699818283</v>
      </c>
      <c r="H16" s="24">
        <v>25.695650565661186</v>
      </c>
      <c r="I16" s="24">
        <v>171.45773493273001</v>
      </c>
      <c r="J16" s="24">
        <v>61.144182195425842</v>
      </c>
      <c r="K16" s="24">
        <v>366.52973981884571</v>
      </c>
      <c r="L16" s="24">
        <v>176.95135160641399</v>
      </c>
      <c r="M16" s="24">
        <v>416.03804724526077</v>
      </c>
      <c r="N16" s="24">
        <v>1125.5353820886414</v>
      </c>
      <c r="O16" s="24">
        <v>5692.5028479965613</v>
      </c>
      <c r="P16" s="24">
        <f t="shared" si="14"/>
        <v>10123.158243273032</v>
      </c>
      <c r="Q16" s="24">
        <f t="shared" si="15"/>
        <v>9222.2275364541347</v>
      </c>
      <c r="S16" t="s">
        <v>71</v>
      </c>
      <c r="T16" s="22">
        <f t="shared" si="16"/>
        <v>2.1786347591830078</v>
      </c>
      <c r="U16" s="22">
        <f t="shared" si="0"/>
        <v>0.24615969680435429</v>
      </c>
      <c r="V16" s="22">
        <f t="shared" si="1"/>
        <v>8.8512043645470833</v>
      </c>
      <c r="W16" s="22">
        <f t="shared" si="2"/>
        <v>5.1625188248241045</v>
      </c>
      <c r="X16" s="22">
        <f t="shared" si="3"/>
        <v>3.2011166599218606</v>
      </c>
      <c r="Y16" s="22">
        <f t="shared" si="4"/>
        <v>0.97945764866123763</v>
      </c>
      <c r="Z16" s="22">
        <f t="shared" si="5"/>
        <v>0.25383037534493025</v>
      </c>
      <c r="AA16" s="22">
        <f t="shared" si="6"/>
        <v>1.6937178182181027</v>
      </c>
      <c r="AB16" s="22">
        <f t="shared" si="7"/>
        <v>0.6040030267832367</v>
      </c>
      <c r="AC16" s="22">
        <f t="shared" si="8"/>
        <v>3.6207054262182394</v>
      </c>
      <c r="AD16" s="22">
        <f t="shared" si="9"/>
        <v>1.747985632092637</v>
      </c>
      <c r="AE16" s="22">
        <f t="shared" si="10"/>
        <v>4.1097653246873165</v>
      </c>
      <c r="AF16" s="22">
        <f t="shared" si="11"/>
        <v>11.118421297390803</v>
      </c>
      <c r="AG16" s="22">
        <f t="shared" si="12"/>
        <v>56.232479145323076</v>
      </c>
      <c r="AH16" s="24">
        <v>10123.158243273032</v>
      </c>
      <c r="AJ16" t="s">
        <v>39</v>
      </c>
      <c r="AK16" s="22">
        <v>5.6853893414418426</v>
      </c>
      <c r="AL16" s="22">
        <v>4.0924727389973457E-2</v>
      </c>
      <c r="AM16" s="22">
        <v>5.8215781977700036</v>
      </c>
      <c r="AN16" s="22">
        <v>0.29400523088463748</v>
      </c>
      <c r="AO16" s="22">
        <v>1.1062114425183367</v>
      </c>
      <c r="AP16" s="22">
        <v>2.2465343983683246</v>
      </c>
      <c r="AQ16" s="22">
        <v>0.31129463634947163</v>
      </c>
      <c r="AR16" s="22">
        <v>6.8348365312294948E-3</v>
      </c>
      <c r="AS16" s="22">
        <v>1.968279045579461</v>
      </c>
      <c r="AT16" s="22">
        <v>4.2294053942686878</v>
      </c>
      <c r="AU16" s="22">
        <v>2.6150822265940685</v>
      </c>
      <c r="AV16" s="22">
        <v>27.09407820085551</v>
      </c>
      <c r="AW16" s="22">
        <v>0.88279955975643831</v>
      </c>
      <c r="AX16" s="22">
        <v>47.697582761692026</v>
      </c>
      <c r="AY16" s="24">
        <v>4.6276082418081854</v>
      </c>
      <c r="AZ16" s="24">
        <v>4.1011053285399841</v>
      </c>
      <c r="BA16" s="24"/>
      <c r="BC16" s="25" t="s">
        <v>193</v>
      </c>
      <c r="BD16" s="45">
        <v>41.009974817414403</v>
      </c>
      <c r="BE16" s="45">
        <v>5.4990184451269917</v>
      </c>
      <c r="BF16" s="45">
        <v>282.41802722588847</v>
      </c>
      <c r="BG16" s="45">
        <v>357.89000009348916</v>
      </c>
      <c r="BH16" s="45">
        <v>15.10759721176353</v>
      </c>
      <c r="BI16" s="45">
        <v>35.654186559554304</v>
      </c>
      <c r="BJ16" s="45">
        <v>8.2599209950115657</v>
      </c>
      <c r="BK16" s="45">
        <v>0.87475880675308826</v>
      </c>
      <c r="BL16" s="45">
        <v>31.720955194701403</v>
      </c>
      <c r="BM16" s="45">
        <v>22.550719155108879</v>
      </c>
      <c r="BN16" s="45">
        <v>7.8271790671240522</v>
      </c>
      <c r="BO16" s="45">
        <v>14.888493766301877</v>
      </c>
      <c r="BP16" s="45">
        <v>130.16196375532829</v>
      </c>
      <c r="BQ16" s="45">
        <v>46.123698878138086</v>
      </c>
      <c r="BR16" s="59">
        <v>999.98649397170402</v>
      </c>
      <c r="BT16" s="25" t="s">
        <v>193</v>
      </c>
      <c r="BU16" s="24">
        <f t="shared" si="17"/>
        <v>4.1010528706775551</v>
      </c>
      <c r="BV16" s="24">
        <f t="shared" si="18"/>
        <v>0.54990927160288172</v>
      </c>
      <c r="BW16" s="24">
        <f t="shared" si="19"/>
        <v>28.242184162327284</v>
      </c>
      <c r="BX16" s="24">
        <f t="shared" si="20"/>
        <v>35.789483383124185</v>
      </c>
      <c r="BY16" s="24">
        <f t="shared" si="21"/>
        <v>1.5107801258154812</v>
      </c>
      <c r="BZ16" s="24">
        <f t="shared" si="22"/>
        <v>3.5654668112510715</v>
      </c>
      <c r="CA16" s="24">
        <f t="shared" si="23"/>
        <v>0.82600325552449827</v>
      </c>
      <c r="CB16" s="24">
        <f t="shared" si="24"/>
        <v>8.7477062142985368E-2</v>
      </c>
      <c r="CC16" s="24">
        <f t="shared" si="25"/>
        <v>3.1721383624606228</v>
      </c>
      <c r="CD16" s="24">
        <f t="shared" si="26"/>
        <v>2.2551023729873476</v>
      </c>
      <c r="CE16" s="24">
        <f t="shared" si="27"/>
        <v>0.78272847826538072</v>
      </c>
      <c r="CF16" s="24">
        <f t="shared" si="28"/>
        <v>1.4888694853435858</v>
      </c>
      <c r="CG16" s="24">
        <f t="shared" si="29"/>
        <v>13.016372175023735</v>
      </c>
      <c r="CH16" s="24">
        <f t="shared" si="30"/>
        <v>4.6124321834533921</v>
      </c>
      <c r="CI16" s="59">
        <v>999.98649397170402</v>
      </c>
      <c r="CK16" s="25" t="s">
        <v>184</v>
      </c>
      <c r="CL16" s="22">
        <v>10.016724678973283</v>
      </c>
      <c r="CM16" s="22">
        <v>0.20452586989375332</v>
      </c>
      <c r="CN16" s="22">
        <v>15.103427809860722</v>
      </c>
      <c r="CO16" s="22">
        <v>6.2027946526448838</v>
      </c>
      <c r="CP16" s="22">
        <v>2.5135058657619691</v>
      </c>
      <c r="CQ16" s="22">
        <v>1.0461387928739221</v>
      </c>
      <c r="CR16" s="22">
        <v>0.33038045379061171</v>
      </c>
      <c r="CS16" s="22">
        <v>0.97495000716073632</v>
      </c>
      <c r="CT16" s="22">
        <v>0.6967041918539385</v>
      </c>
      <c r="CU16" s="22">
        <v>3.3330399701207076</v>
      </c>
      <c r="CV16" s="22">
        <v>1.5717274559417089</v>
      </c>
      <c r="CW16" s="22">
        <v>12.10161536568417</v>
      </c>
      <c r="CX16" s="22">
        <v>0.36281003217467012</v>
      </c>
      <c r="CY16" s="22">
        <v>45.541654853264937</v>
      </c>
      <c r="CZ16" s="59">
        <v>8517.7206461662863</v>
      </c>
    </row>
    <row r="17" spans="1:104">
      <c r="A17" t="s">
        <v>73</v>
      </c>
      <c r="B17" s="24">
        <v>193.49219336161133</v>
      </c>
      <c r="C17" s="24">
        <v>1.0587239047117816</v>
      </c>
      <c r="D17" s="24">
        <v>67.138965409993475</v>
      </c>
      <c r="E17" s="24">
        <v>9.9234214781319636</v>
      </c>
      <c r="F17" s="24">
        <v>7.8780868983082328</v>
      </c>
      <c r="G17" s="24">
        <v>31.652205535450818</v>
      </c>
      <c r="H17" s="24">
        <v>8.7257327481206541</v>
      </c>
      <c r="I17" s="24">
        <v>15.977559795127142</v>
      </c>
      <c r="J17" s="24">
        <v>29.531916839715713</v>
      </c>
      <c r="K17" s="24">
        <v>15.739376702752294</v>
      </c>
      <c r="L17" s="24">
        <v>12.35988828863522</v>
      </c>
      <c r="M17" s="24">
        <v>57.049950912991328</v>
      </c>
      <c r="N17" s="24">
        <v>27.553327036087662</v>
      </c>
      <c r="O17" s="24">
        <v>229.18229351917645</v>
      </c>
      <c r="P17" s="24">
        <f t="shared" si="14"/>
        <v>707.26364243081412</v>
      </c>
      <c r="Q17" s="24">
        <f t="shared" si="15"/>
        <v>593.27696252101225</v>
      </c>
      <c r="S17" t="s">
        <v>330</v>
      </c>
      <c r="T17" s="22">
        <f t="shared" si="16"/>
        <v>27.357859467594377</v>
      </c>
      <c r="U17" s="22">
        <f t="shared" si="0"/>
        <v>0.14969296330192003</v>
      </c>
      <c r="V17" s="22">
        <f t="shared" si="1"/>
        <v>9.4927777114686247</v>
      </c>
      <c r="W17" s="22">
        <f t="shared" si="2"/>
        <v>1.4030724729502395</v>
      </c>
      <c r="X17" s="22">
        <f t="shared" si="3"/>
        <v>1.1138826352266344</v>
      </c>
      <c r="Y17" s="22">
        <f t="shared" si="4"/>
        <v>4.4753050540905042</v>
      </c>
      <c r="Z17" s="22">
        <f t="shared" si="5"/>
        <v>1.2337312742573534</v>
      </c>
      <c r="AA17" s="22">
        <f t="shared" si="6"/>
        <v>2.2590670347783495</v>
      </c>
      <c r="AB17" s="22">
        <f t="shared" si="7"/>
        <v>4.1755174545967959</v>
      </c>
      <c r="AC17" s="22">
        <f t="shared" si="8"/>
        <v>2.2253903295038877</v>
      </c>
      <c r="AD17" s="22">
        <f t="shared" si="9"/>
        <v>1.7475644932284622</v>
      </c>
      <c r="AE17" s="22">
        <f t="shared" si="10"/>
        <v>8.0662920430795459</v>
      </c>
      <c r="AF17" s="22">
        <f t="shared" si="11"/>
        <v>3.8957646601752161</v>
      </c>
      <c r="AG17" s="22">
        <f t="shared" si="12"/>
        <v>32.404082405748078</v>
      </c>
      <c r="AH17" s="24">
        <v>707.26364243081412</v>
      </c>
      <c r="AJ17" t="s">
        <v>331</v>
      </c>
      <c r="AK17" s="22">
        <v>6.5201680346172974</v>
      </c>
      <c r="AL17" s="22">
        <v>0.12894935937252902</v>
      </c>
      <c r="AM17" s="22">
        <v>32.15995677471836</v>
      </c>
      <c r="AN17" s="22">
        <v>3.1380927058646231</v>
      </c>
      <c r="AO17" s="22">
        <v>2.3061416715184748</v>
      </c>
      <c r="AP17" s="22">
        <v>2.8006742235426496</v>
      </c>
      <c r="AQ17" s="22">
        <v>1.3000560712777671</v>
      </c>
      <c r="AR17" s="22">
        <v>0.13623989431709985</v>
      </c>
      <c r="AS17" s="22">
        <v>2.2358229528301501</v>
      </c>
      <c r="AT17" s="22">
        <v>6.3334822418275314</v>
      </c>
      <c r="AU17" s="22">
        <v>3.3266241370624874</v>
      </c>
      <c r="AV17" s="22">
        <v>18.343618565799346</v>
      </c>
      <c r="AW17" s="22">
        <v>2.671239205831454</v>
      </c>
      <c r="AX17" s="22">
        <v>18.598934161420235</v>
      </c>
      <c r="AY17" s="24">
        <v>3.3637875359597293</v>
      </c>
      <c r="AZ17" s="24">
        <v>2.821111072688212</v>
      </c>
      <c r="BA17" s="24"/>
      <c r="BC17" s="25" t="s">
        <v>195</v>
      </c>
      <c r="BD17" s="24">
        <v>10.792186027918879</v>
      </c>
      <c r="BE17" s="24">
        <v>0.63331460030657383</v>
      </c>
      <c r="BF17" s="24">
        <v>10.757117452141545</v>
      </c>
      <c r="BG17" s="24">
        <v>0.66433946107188957</v>
      </c>
      <c r="BH17" s="24">
        <v>1.0414198547212929</v>
      </c>
      <c r="BI17" s="24">
        <v>9.7334994589478878</v>
      </c>
      <c r="BJ17" s="24">
        <v>0.43758030304457096</v>
      </c>
      <c r="BK17" s="24">
        <v>8.8105100002836112E-2</v>
      </c>
      <c r="BL17" s="24">
        <v>9.6755209334164363</v>
      </c>
      <c r="BM17" s="24">
        <v>0.40620787497998284</v>
      </c>
      <c r="BN17" s="24">
        <v>0.37945361764581331</v>
      </c>
      <c r="BO17" s="24">
        <v>0.76388133644463851</v>
      </c>
      <c r="BP17" s="24">
        <v>6.3344576909992298</v>
      </c>
      <c r="BQ17" s="24">
        <v>6.2200932791073233</v>
      </c>
      <c r="BR17" s="29">
        <v>57.927176990748904</v>
      </c>
      <c r="BT17" s="25" t="s">
        <v>195</v>
      </c>
      <c r="BU17" s="24">
        <f t="shared" si="17"/>
        <v>18.630609307341896</v>
      </c>
      <c r="BV17" s="24">
        <f t="shared" si="18"/>
        <v>1.0932944313991264</v>
      </c>
      <c r="BW17" s="24">
        <f t="shared" si="19"/>
        <v>18.570070234666328</v>
      </c>
      <c r="BX17" s="24">
        <f t="shared" si="20"/>
        <v>1.1468528169048977</v>
      </c>
      <c r="BY17" s="24">
        <f t="shared" si="21"/>
        <v>1.7978087468125885</v>
      </c>
      <c r="BZ17" s="24">
        <f t="shared" si="22"/>
        <v>16.802992938016555</v>
      </c>
      <c r="CA17" s="24">
        <f t="shared" si="23"/>
        <v>0.75539725181921691</v>
      </c>
      <c r="CB17" s="24">
        <f t="shared" si="24"/>
        <v>0.15209631226618672</v>
      </c>
      <c r="CC17" s="24">
        <f t="shared" si="25"/>
        <v>16.702904294752077</v>
      </c>
      <c r="CD17" s="24">
        <f t="shared" si="26"/>
        <v>0.70123885899852345</v>
      </c>
      <c r="CE17" s="24">
        <f t="shared" si="27"/>
        <v>0.6550528393717735</v>
      </c>
      <c r="CF17" s="24">
        <f t="shared" si="28"/>
        <v>1.3186924965575866</v>
      </c>
      <c r="CG17" s="24">
        <f t="shared" si="29"/>
        <v>10.935208687989157</v>
      </c>
      <c r="CH17" s="24">
        <f t="shared" si="30"/>
        <v>10.737780783104078</v>
      </c>
      <c r="CI17" s="29">
        <v>57.927176990748904</v>
      </c>
      <c r="CK17" s="25" t="s">
        <v>271</v>
      </c>
      <c r="CL17" s="22">
        <v>15.701098460018493</v>
      </c>
      <c r="CM17" s="22">
        <v>0.61970833895473998</v>
      </c>
      <c r="CN17" s="22">
        <v>12.493509175483231</v>
      </c>
      <c r="CO17" s="22">
        <v>6.8009038273639204</v>
      </c>
      <c r="CP17" s="22">
        <v>2.5485168125526361</v>
      </c>
      <c r="CQ17" s="22">
        <v>0.30167138284195322</v>
      </c>
      <c r="CR17" s="22">
        <v>7.4852951264122281E-2</v>
      </c>
      <c r="CS17" s="22">
        <v>0.74177266519872287</v>
      </c>
      <c r="CT17" s="22">
        <v>0.37986145991925258</v>
      </c>
      <c r="CU17" s="22">
        <v>1.2503196463755533</v>
      </c>
      <c r="CV17" s="22">
        <v>0.64469273763930524</v>
      </c>
      <c r="CW17" s="22">
        <v>10.517284281383033</v>
      </c>
      <c r="CX17" s="22">
        <v>3.0079863238812696</v>
      </c>
      <c r="CY17" s="22">
        <v>44.917821937123776</v>
      </c>
      <c r="CZ17" s="29">
        <v>8464.6548365281978</v>
      </c>
    </row>
    <row r="18" spans="1:104">
      <c r="A18" t="s">
        <v>75</v>
      </c>
      <c r="B18" s="24">
        <v>5.4977812598922906</v>
      </c>
      <c r="C18" s="24">
        <v>0.22749742069558179</v>
      </c>
      <c r="D18" s="24">
        <v>2.2368150383922547</v>
      </c>
      <c r="E18" s="24">
        <v>0.94321536383734816</v>
      </c>
      <c r="F18" s="24">
        <v>0.46767799583571334</v>
      </c>
      <c r="G18" s="24">
        <v>0.30054470576416686</v>
      </c>
      <c r="H18" s="24">
        <v>0.13548486937175888</v>
      </c>
      <c r="I18" s="24">
        <v>0.21599895602765332</v>
      </c>
      <c r="J18" s="24">
        <v>0.16200039329863125</v>
      </c>
      <c r="K18" s="24">
        <v>0.66141085371625019</v>
      </c>
      <c r="L18" s="24">
        <v>0.37878788036998545</v>
      </c>
      <c r="M18" s="24">
        <v>1.8926243421063791</v>
      </c>
      <c r="N18" s="24">
        <v>1.022255244301508</v>
      </c>
      <c r="O18" s="24">
        <v>12.187540970639652</v>
      </c>
      <c r="P18" s="24">
        <f t="shared" si="14"/>
        <v>26.329635294249172</v>
      </c>
      <c r="Q18" s="24">
        <f t="shared" si="15"/>
        <v>24.475407635700726</v>
      </c>
      <c r="S18" t="s">
        <v>75</v>
      </c>
      <c r="T18" s="22">
        <f t="shared" si="16"/>
        <v>20.880582653163817</v>
      </c>
      <c r="U18" s="22">
        <f t="shared" si="0"/>
        <v>0.86403559393498697</v>
      </c>
      <c r="V18" s="22">
        <f t="shared" si="1"/>
        <v>8.4954273517066614</v>
      </c>
      <c r="W18" s="22">
        <f>E18/$P18*100</f>
        <v>3.5823335693653231</v>
      </c>
      <c r="X18" s="22">
        <f t="shared" si="3"/>
        <v>1.7762418302005951</v>
      </c>
      <c r="Y18" s="22">
        <f t="shared" si="4"/>
        <v>1.1414693078935687</v>
      </c>
      <c r="Z18" s="22">
        <f t="shared" si="5"/>
        <v>0.5145717662156567</v>
      </c>
      <c r="AA18" s="22">
        <f t="shared" si="6"/>
        <v>0.82036440540758671</v>
      </c>
      <c r="AB18" s="22">
        <f t="shared" si="7"/>
        <v>0.61527777156113828</v>
      </c>
      <c r="AC18" s="22">
        <f t="shared" si="8"/>
        <v>2.512039556661513</v>
      </c>
      <c r="AD18" s="22">
        <f t="shared" si="9"/>
        <v>1.4386370192249454</v>
      </c>
      <c r="AE18" s="22">
        <f t="shared" si="10"/>
        <v>7.1881904969635464</v>
      </c>
      <c r="AF18" s="22">
        <f t="shared" si="11"/>
        <v>3.882527170912943</v>
      </c>
      <c r="AG18" s="22">
        <f t="shared" si="12"/>
        <v>46.288301506787725</v>
      </c>
      <c r="AH18" s="87">
        <v>26.329635294249172</v>
      </c>
      <c r="AJ18" t="s">
        <v>58</v>
      </c>
      <c r="AK18" s="22">
        <v>2.5399317906734131</v>
      </c>
      <c r="AL18" s="22">
        <v>0.32882291078655002</v>
      </c>
      <c r="AM18" s="22">
        <v>14.76463007237308</v>
      </c>
      <c r="AN18" s="22">
        <v>1.9294829872592467</v>
      </c>
      <c r="AO18" s="22">
        <v>3.6376746724443332</v>
      </c>
      <c r="AP18" s="22">
        <v>2.8490155131680162</v>
      </c>
      <c r="AQ18" s="22">
        <v>1.1278518139854672</v>
      </c>
      <c r="AR18" s="22">
        <v>0.71050570471266483</v>
      </c>
      <c r="AS18" s="22">
        <v>2.0953500420886364</v>
      </c>
      <c r="AT18" s="22">
        <v>8.5583486070490107</v>
      </c>
      <c r="AU18" s="22">
        <v>4.0249931991042471</v>
      </c>
      <c r="AV18" s="22">
        <v>5.1157709863544625</v>
      </c>
      <c r="AW18" s="22">
        <v>14.654280411690756</v>
      </c>
      <c r="AX18" s="22">
        <v>37.663341288310129</v>
      </c>
      <c r="AY18" s="24">
        <v>1.9769096035899396</v>
      </c>
      <c r="AZ18" s="24">
        <v>1.5940600071376254</v>
      </c>
      <c r="BA18" s="24"/>
      <c r="BC18" s="25" t="s">
        <v>197</v>
      </c>
      <c r="BD18" s="24">
        <v>9.7628646590160493</v>
      </c>
      <c r="BE18" s="24">
        <v>0.37705635451141811</v>
      </c>
      <c r="BF18" s="24">
        <v>0.55939172652241032</v>
      </c>
      <c r="BG18" s="24">
        <v>0.34249496576007388</v>
      </c>
      <c r="BH18" s="24">
        <v>0.34149000780391081</v>
      </c>
      <c r="BI18" s="24">
        <v>0.26835634102472844</v>
      </c>
      <c r="BJ18" s="24">
        <v>0.13823236005319822</v>
      </c>
      <c r="BK18" s="24">
        <v>3.7410806939579107E-2</v>
      </c>
      <c r="BL18" s="24">
        <v>2.6665002498025498E-3</v>
      </c>
      <c r="BM18" s="24">
        <v>0.13859742553355614</v>
      </c>
      <c r="BN18" s="24">
        <v>0</v>
      </c>
      <c r="BO18" s="24">
        <v>0.29888635252919604</v>
      </c>
      <c r="BP18" s="24">
        <v>0.72788703795487841</v>
      </c>
      <c r="BQ18" s="24">
        <v>4.091981636783065</v>
      </c>
      <c r="BR18" s="29">
        <v>17.087316174681867</v>
      </c>
      <c r="BT18" s="25" t="s">
        <v>197</v>
      </c>
      <c r="BU18" s="24">
        <f t="shared" si="17"/>
        <v>57.135155452215514</v>
      </c>
      <c r="BV18" s="24">
        <f t="shared" si="18"/>
        <v>2.2066446869526497</v>
      </c>
      <c r="BW18" s="24">
        <f t="shared" si="19"/>
        <v>3.2737249127001955</v>
      </c>
      <c r="BX18" s="24">
        <f t="shared" si="20"/>
        <v>2.0043812747349161</v>
      </c>
      <c r="BY18" s="24">
        <f t="shared" si="21"/>
        <v>1.9984999651957849</v>
      </c>
      <c r="BZ18" s="24">
        <f t="shared" si="22"/>
        <v>1.5705002370258108</v>
      </c>
      <c r="CA18" s="24">
        <f t="shared" si="23"/>
        <v>0.80897642812986603</v>
      </c>
      <c r="CB18" s="24">
        <f t="shared" si="24"/>
        <v>0.21893904553021842</v>
      </c>
      <c r="CC18" s="24">
        <f t="shared" si="25"/>
        <v>1.5605143736694478E-2</v>
      </c>
      <c r="CD18" s="24">
        <f t="shared" si="26"/>
        <v>0.81111289869449932</v>
      </c>
      <c r="CE18" s="24">
        <f t="shared" si="27"/>
        <v>0</v>
      </c>
      <c r="CF18" s="24">
        <f t="shared" si="28"/>
        <v>1.7491708438804068</v>
      </c>
      <c r="CG18" s="24">
        <f t="shared" si="29"/>
        <v>4.2598090332838954</v>
      </c>
      <c r="CH18" s="24">
        <f t="shared" si="30"/>
        <v>23.94748007791955</v>
      </c>
      <c r="CI18" s="29">
        <v>17.087316174681867</v>
      </c>
      <c r="CK18" s="25" t="s">
        <v>273</v>
      </c>
      <c r="CL18" s="22">
        <v>14.011078342482843</v>
      </c>
      <c r="CM18" s="22">
        <v>0.75827659592916696</v>
      </c>
      <c r="CN18" s="22">
        <v>12.632946882251545</v>
      </c>
      <c r="CO18" s="22">
        <v>6.9983432582842857</v>
      </c>
      <c r="CP18" s="22">
        <v>3.7566057682885949</v>
      </c>
      <c r="CQ18" s="22">
        <v>0.28505185376096903</v>
      </c>
      <c r="CR18" s="22">
        <v>4.4310696054099923E-2</v>
      </c>
      <c r="CS18" s="22">
        <v>0.62448704718818215</v>
      </c>
      <c r="CT18" s="22">
        <v>0.33702270952925834</v>
      </c>
      <c r="CU18" s="22">
        <v>1.1234772734080221</v>
      </c>
      <c r="CV18" s="22">
        <v>0.59211982135181451</v>
      </c>
      <c r="CW18" s="22">
        <v>10.886420229423024</v>
      </c>
      <c r="CX18" s="22">
        <v>1.3111801858466985</v>
      </c>
      <c r="CY18" s="22">
        <v>46.638679336201491</v>
      </c>
      <c r="CZ18" s="29">
        <v>7756.1329104635161</v>
      </c>
    </row>
    <row r="19" spans="1:104">
      <c r="A19" t="s">
        <v>76</v>
      </c>
      <c r="B19" s="24">
        <v>5.4541213384435219</v>
      </c>
      <c r="C19" s="24">
        <v>1.227295277350219</v>
      </c>
      <c r="D19" s="24">
        <v>1.8124061993007381</v>
      </c>
      <c r="E19" s="24">
        <v>1.453457305317748</v>
      </c>
      <c r="F19" s="24">
        <v>1.7834468622890089</v>
      </c>
      <c r="G19" s="24">
        <v>0.24522132655376722</v>
      </c>
      <c r="H19" s="24">
        <v>0.12411857548175284</v>
      </c>
      <c r="I19" s="24">
        <v>0.14506235508717932</v>
      </c>
      <c r="J19" s="24">
        <v>0.11160716743075885</v>
      </c>
      <c r="K19" s="24">
        <v>0.67011761877014031</v>
      </c>
      <c r="L19" s="24">
        <v>0.46056670302115621</v>
      </c>
      <c r="M19" s="24">
        <v>1.4549129750552021</v>
      </c>
      <c r="N19" s="24">
        <v>2.6515599142158002</v>
      </c>
      <c r="O19" s="24">
        <v>15.844564124914845</v>
      </c>
      <c r="P19" s="24">
        <f t="shared" si="14"/>
        <v>33.438457743231837</v>
      </c>
      <c r="Q19" s="24">
        <f t="shared" si="15"/>
        <v>31.681763996887085</v>
      </c>
      <c r="S19" t="s">
        <v>76</v>
      </c>
      <c r="T19" s="22">
        <f t="shared" si="16"/>
        <v>16.310923728375219</v>
      </c>
      <c r="U19" s="22">
        <f t="shared" si="0"/>
        <v>3.6703106547987598</v>
      </c>
      <c r="V19" s="22">
        <f t="shared" si="1"/>
        <v>5.4201249747159199</v>
      </c>
      <c r="W19" s="22">
        <f t="shared" si="2"/>
        <v>4.3466637022514512</v>
      </c>
      <c r="X19" s="22">
        <f t="shared" si="3"/>
        <v>5.3335200922954957</v>
      </c>
      <c r="Y19" s="22">
        <f t="shared" si="4"/>
        <v>0.73335118633993102</v>
      </c>
      <c r="Z19" s="22">
        <f t="shared" si="5"/>
        <v>0.37118510798206672</v>
      </c>
      <c r="AA19" s="22">
        <f t="shared" si="6"/>
        <v>0.43381891653343646</v>
      </c>
      <c r="AB19" s="22">
        <f t="shared" si="7"/>
        <v>0.33376888458125398</v>
      </c>
      <c r="AC19" s="22">
        <f t="shared" si="8"/>
        <v>2.004032673743084</v>
      </c>
      <c r="AD19" s="22">
        <f t="shared" si="9"/>
        <v>1.3773562960282699</v>
      </c>
      <c r="AE19" s="22">
        <f t="shared" si="10"/>
        <v>4.3510169823836629</v>
      </c>
      <c r="AF19" s="22">
        <f t="shared" si="11"/>
        <v>7.9296716809628975</v>
      </c>
      <c r="AG19" s="22">
        <f t="shared" si="12"/>
        <v>47.384255119008557</v>
      </c>
      <c r="AH19" s="87">
        <v>33.438457743231837</v>
      </c>
      <c r="AJ19" t="s">
        <v>332</v>
      </c>
      <c r="AK19" s="22">
        <v>27.357859467594377</v>
      </c>
      <c r="AL19" s="22">
        <v>0.14969296330192003</v>
      </c>
      <c r="AM19" s="22">
        <v>9.4927777114686247</v>
      </c>
      <c r="AN19" s="22">
        <v>1.4030724729502395</v>
      </c>
      <c r="AO19" s="22">
        <v>1.1138826352266344</v>
      </c>
      <c r="AP19" s="22">
        <v>4.4753050540905042</v>
      </c>
      <c r="AQ19" s="22">
        <v>1.2337312742573534</v>
      </c>
      <c r="AR19" s="22">
        <v>2.2590670347783495</v>
      </c>
      <c r="AS19" s="22">
        <v>4.1755174545967959</v>
      </c>
      <c r="AT19" s="22">
        <v>2.2253903295038877</v>
      </c>
      <c r="AU19" s="22">
        <v>1.7475644932284622</v>
      </c>
      <c r="AV19" s="22">
        <v>8.0662920430795459</v>
      </c>
      <c r="AW19" s="22">
        <v>3.8957646601752161</v>
      </c>
      <c r="AX19" s="22">
        <v>32.404082405748078</v>
      </c>
      <c r="AY19" s="24">
        <v>0.70726364243081408</v>
      </c>
      <c r="AZ19" s="24">
        <v>0.59327696252101225</v>
      </c>
      <c r="BA19" s="24"/>
      <c r="BC19" s="65" t="s">
        <v>199</v>
      </c>
      <c r="BD19" s="45">
        <v>50.212155494456631</v>
      </c>
      <c r="BE19" s="45">
        <v>6.5005317021432871</v>
      </c>
      <c r="BF19" s="45">
        <v>291.88338983527171</v>
      </c>
      <c r="BG19" s="45">
        <v>38.144134474762097</v>
      </c>
      <c r="BH19" s="45">
        <v>71.913539946910902</v>
      </c>
      <c r="BI19" s="45">
        <v>56.32246128758571</v>
      </c>
      <c r="BJ19" s="45">
        <v>22.296610824942046</v>
      </c>
      <c r="BK19" s="45">
        <v>14.046055510519048</v>
      </c>
      <c r="BL19" s="45">
        <v>41.423176210876093</v>
      </c>
      <c r="BM19" s="45">
        <v>169.19081552145772</v>
      </c>
      <c r="BN19" s="45">
        <v>79.570477096933814</v>
      </c>
      <c r="BO19" s="45">
        <v>101.13416792690914</v>
      </c>
      <c r="BP19" s="45">
        <v>289.70187679571393</v>
      </c>
      <c r="BQ19" s="45">
        <v>744.57021096145775</v>
      </c>
      <c r="BR19" s="59">
        <v>1976.9096035899397</v>
      </c>
      <c r="BT19" s="65" t="s">
        <v>199</v>
      </c>
      <c r="BU19" s="24">
        <f t="shared" si="17"/>
        <v>2.5399317906734131</v>
      </c>
      <c r="BV19" s="24">
        <f t="shared" si="18"/>
        <v>0.32882291078655002</v>
      </c>
      <c r="BW19" s="24">
        <f t="shared" si="19"/>
        <v>14.76463007237308</v>
      </c>
      <c r="BX19" s="24">
        <f t="shared" si="20"/>
        <v>1.9294829872592467</v>
      </c>
      <c r="BY19" s="24">
        <f t="shared" si="21"/>
        <v>3.6376746724443332</v>
      </c>
      <c r="BZ19" s="24">
        <f t="shared" si="22"/>
        <v>2.8490155131680162</v>
      </c>
      <c r="CA19" s="24">
        <f t="shared" si="23"/>
        <v>1.1278518139854672</v>
      </c>
      <c r="CB19" s="24">
        <f t="shared" si="24"/>
        <v>0.71050570471266483</v>
      </c>
      <c r="CC19" s="24">
        <f t="shared" si="25"/>
        <v>2.0953500420886364</v>
      </c>
      <c r="CD19" s="24">
        <f t="shared" si="26"/>
        <v>8.5583486070490107</v>
      </c>
      <c r="CE19" s="24">
        <f t="shared" si="27"/>
        <v>4.0249931991042471</v>
      </c>
      <c r="CF19" s="24">
        <f t="shared" si="28"/>
        <v>5.1157709863544625</v>
      </c>
      <c r="CG19" s="24">
        <f t="shared" si="29"/>
        <v>14.654280411690756</v>
      </c>
      <c r="CH19" s="24">
        <f t="shared" si="30"/>
        <v>37.663341288310129</v>
      </c>
      <c r="CI19" s="59">
        <v>1976.9096035899397</v>
      </c>
      <c r="CK19" s="25" t="s">
        <v>188</v>
      </c>
      <c r="CL19" s="22">
        <v>12.405650116871628</v>
      </c>
      <c r="CM19" s="22">
        <v>0.27406940464442303</v>
      </c>
      <c r="CN19" s="22">
        <v>15.840735305632595</v>
      </c>
      <c r="CO19" s="22">
        <v>5.8476264186659028</v>
      </c>
      <c r="CP19" s="22">
        <v>2.3021863732690462</v>
      </c>
      <c r="CQ19" s="22">
        <v>1.0568369239423783</v>
      </c>
      <c r="CR19" s="22">
        <v>0.27165858477515736</v>
      </c>
      <c r="CS19" s="22">
        <v>0.81185153412989697</v>
      </c>
      <c r="CT19" s="22">
        <v>0.63379865360934229</v>
      </c>
      <c r="CU19" s="22">
        <v>2.9879859822811454</v>
      </c>
      <c r="CV19" s="22">
        <v>1.4327797017704782</v>
      </c>
      <c r="CW19" s="22">
        <v>12.670485604640799</v>
      </c>
      <c r="CX19" s="22">
        <v>0.32890815205373886</v>
      </c>
      <c r="CY19" s="22">
        <v>43.135427243713487</v>
      </c>
      <c r="CZ19" s="59">
        <v>6823.0379880820947</v>
      </c>
    </row>
    <row r="20" spans="1:104">
      <c r="A20" t="s">
        <v>78</v>
      </c>
      <c r="B20" s="24">
        <v>4.4771474274630094</v>
      </c>
      <c r="C20" s="24">
        <v>1.359671660919116</v>
      </c>
      <c r="D20" s="24">
        <v>13.92424405092647</v>
      </c>
      <c r="E20" s="24">
        <v>7.8723832248295906</v>
      </c>
      <c r="F20" s="24">
        <v>4.7818974547482833</v>
      </c>
      <c r="G20" s="24">
        <v>0.54101249719640632</v>
      </c>
      <c r="H20" s="24">
        <v>0.14271720978522004</v>
      </c>
      <c r="I20" s="24">
        <v>0.94297331623450731</v>
      </c>
      <c r="J20" s="24">
        <v>0.42588227555508373</v>
      </c>
      <c r="K20" s="24">
        <v>1.8041521040993098</v>
      </c>
      <c r="L20" s="24">
        <v>0.98404008326701253</v>
      </c>
      <c r="M20" s="24">
        <v>12.101720053886568</v>
      </c>
      <c r="N20" s="24">
        <v>2.8036821064283939</v>
      </c>
      <c r="O20" s="24">
        <v>68.659757321964108</v>
      </c>
      <c r="P20" s="24">
        <f t="shared" si="14"/>
        <v>120.82128078730307</v>
      </c>
      <c r="Q20" s="24">
        <f t="shared" si="15"/>
        <v>115.98050330116554</v>
      </c>
      <c r="S20" t="s">
        <v>78</v>
      </c>
      <c r="T20" s="22">
        <f t="shared" si="16"/>
        <v>3.7055950725639932</v>
      </c>
      <c r="U20" s="22">
        <f t="shared" si="0"/>
        <v>1.1253577615293762</v>
      </c>
      <c r="V20" s="22">
        <f t="shared" si="1"/>
        <v>11.52466184780732</v>
      </c>
      <c r="W20" s="22">
        <f t="shared" si="2"/>
        <v>6.5157256846898841</v>
      </c>
      <c r="X20" s="22">
        <f t="shared" si="3"/>
        <v>3.9578271506378582</v>
      </c>
      <c r="Y20" s="22">
        <f t="shared" si="4"/>
        <v>0.44777914426252341</v>
      </c>
      <c r="Z20" s="22">
        <f t="shared" si="5"/>
        <v>0.11812257646603096</v>
      </c>
      <c r="AA20" s="22">
        <f t="shared" si="6"/>
        <v>0.78046955808599816</v>
      </c>
      <c r="AB20" s="22">
        <f t="shared" si="7"/>
        <v>0.35248945614541033</v>
      </c>
      <c r="AC20" s="22">
        <f t="shared" si="8"/>
        <v>1.4932403400650802</v>
      </c>
      <c r="AD20" s="22">
        <f t="shared" si="9"/>
        <v>0.81445923835167933</v>
      </c>
      <c r="AE20" s="22">
        <f t="shared" si="10"/>
        <v>10.016215665840154</v>
      </c>
      <c r="AF20" s="22">
        <f t="shared" si="11"/>
        <v>2.3205201005641292</v>
      </c>
      <c r="AG20" s="22">
        <f t="shared" si="12"/>
        <v>56.827536402990575</v>
      </c>
      <c r="AH20" s="87">
        <v>120.82128078730307</v>
      </c>
      <c r="AJ20" t="s">
        <v>333</v>
      </c>
      <c r="AK20" s="22">
        <v>25.515695936290417</v>
      </c>
      <c r="AL20" s="22">
        <v>0.24828643030430528</v>
      </c>
      <c r="AM20" s="22">
        <v>11.025683360482226</v>
      </c>
      <c r="AN20" s="22">
        <v>14.095168263066526</v>
      </c>
      <c r="AO20" s="22">
        <v>0.31885773134489087</v>
      </c>
      <c r="AP20" s="22">
        <v>3.0850931902680978</v>
      </c>
      <c r="AQ20" s="22">
        <v>3.6494175971895881</v>
      </c>
      <c r="AR20" s="22">
        <v>5.3832346509657188E-2</v>
      </c>
      <c r="AS20" s="22">
        <v>3.0449407381087501</v>
      </c>
      <c r="AT20" s="22">
        <v>0.22318148400181292</v>
      </c>
      <c r="AU20" s="22">
        <v>8.1075653666297587</v>
      </c>
      <c r="AV20" s="22">
        <v>26.066801742868041</v>
      </c>
      <c r="AW20" s="22">
        <v>1.0999306571648657</v>
      </c>
      <c r="AX20" s="22">
        <v>3.465545155771049</v>
      </c>
      <c r="AY20" s="24">
        <v>0.60699112448763304</v>
      </c>
      <c r="AZ20" s="24">
        <v>0.49673707015159052</v>
      </c>
      <c r="BA20" s="24"/>
      <c r="BC20" s="25" t="s">
        <v>201</v>
      </c>
      <c r="BD20" s="45">
        <v>10.686920316515186</v>
      </c>
      <c r="BE20" s="45">
        <v>2.3401308702174028</v>
      </c>
      <c r="BF20" s="45">
        <v>1.9315326967396154</v>
      </c>
      <c r="BG20" s="45">
        <v>1.9531393718140824</v>
      </c>
      <c r="BH20" s="45">
        <v>3.3307839989551296</v>
      </c>
      <c r="BI20" s="45">
        <v>1.2664238287792835</v>
      </c>
      <c r="BJ20" s="45">
        <v>0.26104564775127703</v>
      </c>
      <c r="BK20" s="45">
        <v>4.6422462822860534E-2</v>
      </c>
      <c r="BL20" s="45">
        <v>0.52989197990563264</v>
      </c>
      <c r="BM20" s="45">
        <v>0.96140083076700844</v>
      </c>
      <c r="BN20" s="45">
        <v>0.74232250936885424</v>
      </c>
      <c r="BO20" s="45">
        <v>2.1994905889770853</v>
      </c>
      <c r="BP20" s="45">
        <v>5.5028784534653248</v>
      </c>
      <c r="BQ20" s="45">
        <v>24.215854665738814</v>
      </c>
      <c r="BR20" s="59">
        <v>55.968238221817558</v>
      </c>
      <c r="BT20" s="25" t="s">
        <v>201</v>
      </c>
      <c r="BU20" s="24">
        <f t="shared" si="17"/>
        <v>19.094616261030005</v>
      </c>
      <c r="BV20" s="24">
        <f t="shared" si="18"/>
        <v>4.1811765825874652</v>
      </c>
      <c r="BW20" s="24">
        <f t="shared" si="19"/>
        <v>3.4511229191893067</v>
      </c>
      <c r="BX20" s="24">
        <f t="shared" si="20"/>
        <v>3.4897281634509425</v>
      </c>
      <c r="BY20" s="24">
        <f t="shared" si="21"/>
        <v>5.9512039413395756</v>
      </c>
      <c r="BZ20" s="24">
        <f t="shared" si="22"/>
        <v>2.2627544997219617</v>
      </c>
      <c r="CA20" s="24">
        <f t="shared" si="23"/>
        <v>0.4664174825669537</v>
      </c>
      <c r="CB20" s="24">
        <f t="shared" si="24"/>
        <v>8.2944298941259348E-2</v>
      </c>
      <c r="CC20" s="24">
        <f t="shared" si="25"/>
        <v>0.94677266381965541</v>
      </c>
      <c r="CD20" s="24">
        <f t="shared" si="26"/>
        <v>1.7177614684898816</v>
      </c>
      <c r="CE20" s="24">
        <f t="shared" si="27"/>
        <v>1.3263281692498976</v>
      </c>
      <c r="CF20" s="24">
        <f t="shared" si="28"/>
        <v>3.9298907002573458</v>
      </c>
      <c r="CG20" s="24">
        <f t="shared" si="29"/>
        <v>9.8321452100312694</v>
      </c>
      <c r="CH20" s="24">
        <f t="shared" si="30"/>
        <v>43.267137639324474</v>
      </c>
      <c r="CI20" s="59">
        <v>55.968238221817558</v>
      </c>
      <c r="CK20" s="65" t="s">
        <v>186</v>
      </c>
      <c r="CL20" s="22">
        <v>20.659310739679505</v>
      </c>
      <c r="CM20" s="22">
        <v>0.15774959771642655</v>
      </c>
      <c r="CN20" s="22">
        <v>19.792075382071527</v>
      </c>
      <c r="CO20" s="22">
        <v>1.3077748294124438</v>
      </c>
      <c r="CP20" s="22">
        <v>1.0051387196626795</v>
      </c>
      <c r="CQ20" s="22">
        <v>1.5283765560894857</v>
      </c>
      <c r="CR20" s="22">
        <v>0.64372389172852063</v>
      </c>
      <c r="CS20" s="22">
        <v>0.27850986963846358</v>
      </c>
      <c r="CT20" s="22">
        <v>1.0924435110281148</v>
      </c>
      <c r="CU20" s="22">
        <v>4.5861091787646444</v>
      </c>
      <c r="CV20" s="22">
        <v>2.1404801307577701</v>
      </c>
      <c r="CW20" s="22">
        <v>13.398877345369062</v>
      </c>
      <c r="CX20" s="22">
        <v>0.96421701400178694</v>
      </c>
      <c r="CY20" s="22">
        <v>32.445213234079553</v>
      </c>
      <c r="CZ20" s="59">
        <v>6072.2362002911341</v>
      </c>
    </row>
    <row r="21" spans="1:104">
      <c r="A21" t="s">
        <v>81</v>
      </c>
      <c r="B21" s="24">
        <v>304.8777744686206</v>
      </c>
      <c r="C21" s="24">
        <v>27.0312196516252</v>
      </c>
      <c r="D21" s="24">
        <v>1320.0360128630207</v>
      </c>
      <c r="E21" s="24">
        <v>551.84753670148848</v>
      </c>
      <c r="F21" s="24">
        <v>437.07244162465855</v>
      </c>
      <c r="G21" s="24">
        <v>36.995861892065818</v>
      </c>
      <c r="H21" s="24">
        <v>4.9452780628409387</v>
      </c>
      <c r="I21" s="24">
        <v>73.790701737004852</v>
      </c>
      <c r="J21" s="24">
        <v>20.199752162869242</v>
      </c>
      <c r="K21" s="24">
        <v>133.36697163406865</v>
      </c>
      <c r="L21" s="24">
        <v>66.945062930627998</v>
      </c>
      <c r="M21" s="24">
        <v>1059.266736653542</v>
      </c>
      <c r="N21" s="24">
        <v>44.665193886886051</v>
      </c>
      <c r="O21" s="24">
        <v>4797.3286600228266</v>
      </c>
      <c r="P21" s="24">
        <f t="shared" si="14"/>
        <v>8878.3692042921448</v>
      </c>
      <c r="Q21" s="24">
        <f t="shared" si="15"/>
        <v>8542.1255758726675</v>
      </c>
      <c r="S21" t="s">
        <v>81</v>
      </c>
      <c r="T21" s="22">
        <f t="shared" si="16"/>
        <v>3.4339389076231588</v>
      </c>
      <c r="U21" s="22">
        <f t="shared" si="0"/>
        <v>0.30446154051080992</v>
      </c>
      <c r="V21" s="22">
        <f t="shared" si="1"/>
        <v>14.86800089621036</v>
      </c>
      <c r="W21" s="22">
        <f t="shared" si="2"/>
        <v>6.2156407782039995</v>
      </c>
      <c r="X21" s="22">
        <f t="shared" si="3"/>
        <v>4.9228910351392114</v>
      </c>
      <c r="Y21" s="22">
        <f t="shared" si="4"/>
        <v>0.4166965919166844</v>
      </c>
      <c r="Z21" s="22">
        <f t="shared" si="5"/>
        <v>5.5700297532684288E-2</v>
      </c>
      <c r="AA21" s="22">
        <f t="shared" si="6"/>
        <v>0.83112900622933761</v>
      </c>
      <c r="AB21" s="22">
        <f t="shared" si="7"/>
        <v>0.22751646950099694</v>
      </c>
      <c r="AC21" s="22">
        <f t="shared" si="8"/>
        <v>1.50215617942081</v>
      </c>
      <c r="AD21" s="22">
        <f t="shared" si="9"/>
        <v>0.75402431899615285</v>
      </c>
      <c r="AE21" s="22">
        <f t="shared" si="10"/>
        <v>11.930870549305967</v>
      </c>
      <c r="AF21" s="22">
        <f t="shared" si="11"/>
        <v>0.50307880714504627</v>
      </c>
      <c r="AG21" s="22">
        <f t="shared" si="12"/>
        <v>54.033894622264789</v>
      </c>
      <c r="AH21" s="24">
        <v>8878.3692042921448</v>
      </c>
      <c r="AJ21" t="s">
        <v>60</v>
      </c>
      <c r="AK21" s="22">
        <v>13.150163641922488</v>
      </c>
      <c r="AL21" s="22">
        <v>0.5127827432894716</v>
      </c>
      <c r="AM21" s="22">
        <v>23.33888309569079</v>
      </c>
      <c r="AN21" s="22">
        <v>29.365709602403307</v>
      </c>
      <c r="AO21" s="22">
        <v>1.3626688381650562</v>
      </c>
      <c r="AP21" s="22">
        <v>3.9213777904511353</v>
      </c>
      <c r="AQ21" s="22">
        <v>0.6583088928995191</v>
      </c>
      <c r="AR21" s="22">
        <v>6.5054639849779924E-2</v>
      </c>
      <c r="AS21" s="22">
        <v>3.3192310185059393</v>
      </c>
      <c r="AT21" s="22">
        <v>1.9647999424541505</v>
      </c>
      <c r="AU21" s="22">
        <v>0.80324071633927197</v>
      </c>
      <c r="AV21" s="22">
        <v>2.7169917331228786</v>
      </c>
      <c r="AW21" s="22">
        <v>13.059378472463285</v>
      </c>
      <c r="AX21" s="22">
        <v>5.7614088724429191</v>
      </c>
      <c r="AY21" s="24">
        <v>0.20501316083293236</v>
      </c>
      <c r="AZ21" s="24">
        <v>0.18301112175960649</v>
      </c>
      <c r="BA21" s="24"/>
      <c r="BC21" s="25" t="s">
        <v>203</v>
      </c>
      <c r="BD21" s="45">
        <v>26.959566137008345</v>
      </c>
      <c r="BE21" s="45">
        <v>1.0512721102235671</v>
      </c>
      <c r="BF21" s="45">
        <v>47.847781937578624</v>
      </c>
      <c r="BG21" s="45">
        <v>60.203569456906948</v>
      </c>
      <c r="BH21" s="45">
        <v>2.7936504568075775</v>
      </c>
      <c r="BI21" s="45">
        <v>8.0393405564044755</v>
      </c>
      <c r="BJ21" s="45">
        <v>1.3496198693775876</v>
      </c>
      <c r="BK21" s="45">
        <v>0.13337057342451422</v>
      </c>
      <c r="BL21" s="45">
        <v>6.8048604263861607</v>
      </c>
      <c r="BM21" s="45">
        <v>4.0280984660688901</v>
      </c>
      <c r="BN21" s="45">
        <v>1.6467491816642297</v>
      </c>
      <c r="BO21" s="45">
        <v>5.5701906316446834</v>
      </c>
      <c r="BP21" s="45">
        <v>26.773444591532495</v>
      </c>
      <c r="BQ21" s="45">
        <v>11.811646437904237</v>
      </c>
      <c r="BR21" s="59">
        <v>205.01316083293236</v>
      </c>
      <c r="BT21" s="25" t="s">
        <v>203</v>
      </c>
      <c r="BU21" s="24">
        <f t="shared" si="17"/>
        <v>13.150163641922488</v>
      </c>
      <c r="BV21" s="24">
        <f t="shared" ref="BV21:BV56" si="31">BE21/$BR21*100</f>
        <v>0.5127827432894716</v>
      </c>
      <c r="BW21" s="24">
        <f t="shared" ref="BW21:BW56" si="32">BF21/$BR21*100</f>
        <v>23.33888309569079</v>
      </c>
      <c r="BX21" s="24">
        <f t="shared" ref="BX21:BX56" si="33">BG21/$BR21*100</f>
        <v>29.365709602403307</v>
      </c>
      <c r="BY21" s="24">
        <f t="shared" ref="BY21:BY56" si="34">BH21/$BR21*100</f>
        <v>1.3626688381650562</v>
      </c>
      <c r="BZ21" s="24">
        <f t="shared" ref="BZ21:BZ56" si="35">BI21/$BR21*100</f>
        <v>3.9213777904511353</v>
      </c>
      <c r="CA21" s="24">
        <f t="shared" ref="CA21:CA56" si="36">BJ21/$BR21*100</f>
        <v>0.6583088928995191</v>
      </c>
      <c r="CB21" s="24">
        <f t="shared" ref="CB21:CB56" si="37">BK21/$BR21*100</f>
        <v>6.5054639849779924E-2</v>
      </c>
      <c r="CC21" s="24">
        <f t="shared" ref="CC21:CC56" si="38">BL21/$BR21*100</f>
        <v>3.3192310185059393</v>
      </c>
      <c r="CD21" s="24">
        <f t="shared" ref="CD21:CD56" si="39">BM21/$BR21*100</f>
        <v>1.9647999424541505</v>
      </c>
      <c r="CE21" s="24">
        <f t="shared" ref="CE21:CE56" si="40">BN21/$BR21*100</f>
        <v>0.80324071633927197</v>
      </c>
      <c r="CF21" s="24">
        <f t="shared" ref="CF21:CF56" si="41">BO21/$BR21*100</f>
        <v>2.7169917331228786</v>
      </c>
      <c r="CG21" s="24">
        <f t="shared" ref="CG21:CG56" si="42">BP21/$BR21*100</f>
        <v>13.059378472463285</v>
      </c>
      <c r="CH21" s="24">
        <f t="shared" ref="CH21:CH56" si="43">BQ21/$BR21*100</f>
        <v>5.7614088724429191</v>
      </c>
      <c r="CI21" s="59">
        <v>205.01316083293236</v>
      </c>
      <c r="CK21" s="65" t="s">
        <v>178</v>
      </c>
      <c r="CL21" s="22">
        <v>5.6853893414418426</v>
      </c>
      <c r="CM21" s="22">
        <v>4.0924727389973457E-2</v>
      </c>
      <c r="CN21" s="22">
        <v>5.8215781977700036</v>
      </c>
      <c r="CO21" s="22">
        <v>0.29400523088463748</v>
      </c>
      <c r="CP21" s="22">
        <v>1.1062114425183367</v>
      </c>
      <c r="CQ21" s="22">
        <v>2.2465343983683246</v>
      </c>
      <c r="CR21" s="22">
        <v>0.31129463634947163</v>
      </c>
      <c r="CS21" s="22">
        <v>6.8348365312294948E-3</v>
      </c>
      <c r="CT21" s="22">
        <v>1.968279045579461</v>
      </c>
      <c r="CU21" s="22">
        <v>4.2294053942686878</v>
      </c>
      <c r="CV21" s="22">
        <v>2.6150822265940685</v>
      </c>
      <c r="CW21" s="22">
        <v>27.09407820085551</v>
      </c>
      <c r="CX21" s="22">
        <v>0.88279955975643831</v>
      </c>
      <c r="CY21" s="22">
        <v>47.697582761692026</v>
      </c>
      <c r="CZ21" s="59">
        <v>4627.6082418081851</v>
      </c>
    </row>
    <row r="22" spans="1:104">
      <c r="A22" t="s">
        <v>83</v>
      </c>
      <c r="B22" s="24">
        <v>529.46670547872918</v>
      </c>
      <c r="C22" s="24">
        <v>5.2589433035698248</v>
      </c>
      <c r="D22" s="24">
        <v>1137.7827054862964</v>
      </c>
      <c r="E22" s="24">
        <v>455.03636437144399</v>
      </c>
      <c r="F22" s="24">
        <v>337.45264940640089</v>
      </c>
      <c r="G22" s="24">
        <v>30.944307738137521</v>
      </c>
      <c r="H22" s="24">
        <v>5.2076443252949502</v>
      </c>
      <c r="I22" s="24">
        <v>119.02594695186117</v>
      </c>
      <c r="J22" s="24">
        <v>34.77087651183755</v>
      </c>
      <c r="K22" s="24">
        <v>139.37391955134171</v>
      </c>
      <c r="L22" s="24">
        <v>67.287998949884113</v>
      </c>
      <c r="M22" s="24">
        <v>1602.1080613962251</v>
      </c>
      <c r="N22" s="24">
        <v>3.3677887025719571</v>
      </c>
      <c r="O22" s="24">
        <v>7625.6698573028953</v>
      </c>
      <c r="P22" s="24">
        <f t="shared" si="14"/>
        <v>12092.753769476491</v>
      </c>
      <c r="Q22" s="24">
        <f t="shared" si="15"/>
        <v>11696.143075448132</v>
      </c>
      <c r="S22" t="s">
        <v>83</v>
      </c>
      <c r="T22" s="22">
        <f t="shared" si="16"/>
        <v>4.3783799420043135</v>
      </c>
      <c r="U22" s="22">
        <f t="shared" si="0"/>
        <v>4.3488384894133925E-2</v>
      </c>
      <c r="V22" s="22">
        <f t="shared" si="1"/>
        <v>9.408797426754786</v>
      </c>
      <c r="W22" s="22">
        <f t="shared" si="2"/>
        <v>3.7628845591812876</v>
      </c>
      <c r="X22" s="22">
        <f t="shared" si="3"/>
        <v>2.7905360171822107</v>
      </c>
      <c r="Y22" s="22">
        <f t="shared" si="4"/>
        <v>0.25589132407743664</v>
      </c>
      <c r="Z22" s="22">
        <f t="shared" si="5"/>
        <v>4.3064172351211238E-2</v>
      </c>
      <c r="AA22" s="22">
        <f t="shared" si="6"/>
        <v>0.98427495689440425</v>
      </c>
      <c r="AB22" s="22">
        <f t="shared" si="7"/>
        <v>0.28753480947907217</v>
      </c>
      <c r="AC22" s="22">
        <f t="shared" si="8"/>
        <v>1.1525407877165053</v>
      </c>
      <c r="AD22" s="22">
        <f t="shared" si="9"/>
        <v>0.55643239110455389</v>
      </c>
      <c r="AE22" s="22">
        <f t="shared" si="10"/>
        <v>13.248496512350489</v>
      </c>
      <c r="AF22" s="22">
        <f t="shared" si="11"/>
        <v>2.7849642577463581E-2</v>
      </c>
      <c r="AG22" s="22">
        <f t="shared" si="12"/>
        <v>63.059829073432127</v>
      </c>
      <c r="AH22" s="24">
        <v>12092.753769476491</v>
      </c>
      <c r="AJ22" t="s">
        <v>78</v>
      </c>
      <c r="AK22" s="22">
        <v>3.7055950725639932</v>
      </c>
      <c r="AL22" s="22">
        <v>1.1253577615293762</v>
      </c>
      <c r="AM22" s="22">
        <v>11.52466184780732</v>
      </c>
      <c r="AN22" s="22">
        <v>6.5157256846898841</v>
      </c>
      <c r="AO22" s="22">
        <v>3.9578271506378582</v>
      </c>
      <c r="AP22" s="22">
        <v>0.44777914426252341</v>
      </c>
      <c r="AQ22" s="22">
        <v>0.11812257646603096</v>
      </c>
      <c r="AR22" s="22">
        <v>0.78046955808599816</v>
      </c>
      <c r="AS22" s="22">
        <v>0.35248945614541033</v>
      </c>
      <c r="AT22" s="22">
        <v>1.4932403400650802</v>
      </c>
      <c r="AU22" s="22">
        <v>0.81445923835167933</v>
      </c>
      <c r="AV22" s="22">
        <v>10.016215665840154</v>
      </c>
      <c r="AW22" s="22">
        <v>2.3205201005641292</v>
      </c>
      <c r="AX22" s="22">
        <v>56.827536402990575</v>
      </c>
      <c r="AY22" s="24">
        <v>0.12082128078730307</v>
      </c>
      <c r="AZ22" s="24">
        <v>0.11598050330116554</v>
      </c>
      <c r="BA22" s="24"/>
      <c r="BC22" s="25" t="s">
        <v>205</v>
      </c>
      <c r="BD22" s="24">
        <v>5.2664438018247894</v>
      </c>
      <c r="BE22" s="24">
        <v>0.58991025623801852</v>
      </c>
      <c r="BF22" s="24">
        <v>0.94707019499326428</v>
      </c>
      <c r="BG22" s="24">
        <v>0.73599033115736023</v>
      </c>
      <c r="BH22" s="24">
        <v>0.72951976146478736</v>
      </c>
      <c r="BI22" s="24">
        <v>0.22952176167648872</v>
      </c>
      <c r="BJ22" s="24">
        <v>9.2448058863066826E-2</v>
      </c>
      <c r="BK22" s="24">
        <v>8.7042547671102852E-2</v>
      </c>
      <c r="BL22" s="24">
        <v>3.7158019898261702E-3</v>
      </c>
      <c r="BM22" s="24">
        <v>0.41888213988931211</v>
      </c>
      <c r="BN22" s="24">
        <v>0.28147470120741352</v>
      </c>
      <c r="BO22" s="24">
        <v>1.3991680472680521</v>
      </c>
      <c r="BP22" s="24">
        <v>1.0430641511800087</v>
      </c>
      <c r="BQ22" s="24">
        <v>12.945676369796072</v>
      </c>
      <c r="BR22" s="29">
        <v>24.769927925219562</v>
      </c>
      <c r="BT22" s="25" t="s">
        <v>205</v>
      </c>
      <c r="BU22" s="24">
        <f t="shared" si="17"/>
        <v>21.261441768115709</v>
      </c>
      <c r="BV22" s="24">
        <f t="shared" si="31"/>
        <v>2.3815582266486937</v>
      </c>
      <c r="BW22" s="24">
        <f t="shared" si="32"/>
        <v>3.8234677058910718</v>
      </c>
      <c r="BX22" s="24">
        <f t="shared" si="33"/>
        <v>2.9713059052061666</v>
      </c>
      <c r="BY22" s="24">
        <f t="shared" si="34"/>
        <v>2.945183222442989</v>
      </c>
      <c r="BZ22" s="24">
        <f t="shared" si="35"/>
        <v>0.926614572191793</v>
      </c>
      <c r="CA22" s="24">
        <f t="shared" si="36"/>
        <v>0.3732269998611526</v>
      </c>
      <c r="CB22" s="24">
        <f t="shared" si="37"/>
        <v>0.35140412169903923</v>
      </c>
      <c r="CC22" s="24">
        <f t="shared" si="38"/>
        <v>1.500126282581112E-2</v>
      </c>
      <c r="CD22" s="24">
        <f t="shared" si="39"/>
        <v>1.691091476543322</v>
      </c>
      <c r="CE22" s="24">
        <f t="shared" si="40"/>
        <v>1.1363565612995965</v>
      </c>
      <c r="CF22" s="24">
        <f t="shared" si="41"/>
        <v>5.6486561103130457</v>
      </c>
      <c r="CG22" s="24">
        <f t="shared" si="42"/>
        <v>4.2110100373687818</v>
      </c>
      <c r="CH22" s="24">
        <f t="shared" si="43"/>
        <v>52.263682029592829</v>
      </c>
      <c r="CI22" s="29">
        <v>24.769927925219562</v>
      </c>
      <c r="CK22" s="65" t="s">
        <v>180</v>
      </c>
      <c r="CL22" s="22">
        <v>5.5334314841686814</v>
      </c>
      <c r="CM22" s="22">
        <v>3.9982494135422535E-2</v>
      </c>
      <c r="CN22" s="22">
        <v>3.6135119328050838</v>
      </c>
      <c r="CO22" s="22">
        <v>0.21965671025641959</v>
      </c>
      <c r="CP22" s="22">
        <v>1.049411910775929</v>
      </c>
      <c r="CQ22" s="22">
        <v>2.1476262822082068</v>
      </c>
      <c r="CR22" s="22">
        <v>0.34711485311483992</v>
      </c>
      <c r="CS22" s="22">
        <v>6.3195132755423699E-3</v>
      </c>
      <c r="CT22" s="22">
        <v>1.8195887133403914</v>
      </c>
      <c r="CU22" s="22">
        <v>4.4244863509297172</v>
      </c>
      <c r="CV22" s="22">
        <v>2.5625231915652806</v>
      </c>
      <c r="CW22" s="22">
        <v>25.991496850991819</v>
      </c>
      <c r="CX22" s="22">
        <v>0.52771032502601556</v>
      </c>
      <c r="CY22" s="22">
        <v>51.717139387406661</v>
      </c>
      <c r="CZ22" s="59">
        <v>4391.855486575274</v>
      </c>
    </row>
    <row r="23" spans="1:104">
      <c r="A23" t="s">
        <v>87</v>
      </c>
      <c r="B23" s="24">
        <v>400.04322124644989</v>
      </c>
      <c r="C23" s="24">
        <v>21.557729851301492</v>
      </c>
      <c r="D23" s="24">
        <v>1435.0529573871615</v>
      </c>
      <c r="E23" s="24">
        <v>585.19555646111496</v>
      </c>
      <c r="F23" s="24">
        <v>398.79960385724229</v>
      </c>
      <c r="G23" s="24">
        <v>56.267542151198484</v>
      </c>
      <c r="H23" s="24">
        <v>8.6616395660927523</v>
      </c>
      <c r="I23" s="24">
        <v>92.679492413951294</v>
      </c>
      <c r="J23" s="24">
        <v>35.46945969125715</v>
      </c>
      <c r="K23" s="24">
        <v>201.86139742571697</v>
      </c>
      <c r="L23" s="24">
        <v>97.894408187412068</v>
      </c>
      <c r="M23" s="24">
        <v>1184.8560247144203</v>
      </c>
      <c r="N23" s="24">
        <v>194.37051278160155</v>
      </c>
      <c r="O23" s="24">
        <v>5583.909895269444</v>
      </c>
      <c r="P23" s="24">
        <f t="shared" si="14"/>
        <v>10296.619441004364</v>
      </c>
      <c r="Q23" s="24">
        <f t="shared" si="15"/>
        <v>9803.7855015687364</v>
      </c>
      <c r="S23" t="s">
        <v>87</v>
      </c>
      <c r="T23" s="22">
        <f t="shared" si="16"/>
        <v>3.8851899260581821</v>
      </c>
      <c r="U23" s="22">
        <f t="shared" si="0"/>
        <v>0.20936706435368346</v>
      </c>
      <c r="V23" s="22">
        <f t="shared" si="1"/>
        <v>13.937127283468701</v>
      </c>
      <c r="W23" s="22">
        <f t="shared" si="2"/>
        <v>5.6833755953986502</v>
      </c>
      <c r="X23" s="22">
        <f t="shared" si="3"/>
        <v>3.8731120067339511</v>
      </c>
      <c r="Y23" s="22">
        <f t="shared" si="4"/>
        <v>0.54646617245193607</v>
      </c>
      <c r="Z23" s="22">
        <f t="shared" si="5"/>
        <v>8.4121197405814474E-2</v>
      </c>
      <c r="AA23" s="22">
        <f t="shared" si="6"/>
        <v>0.90009631748525654</v>
      </c>
      <c r="AB23" s="22">
        <f t="shared" si="7"/>
        <v>0.34447674690206231</v>
      </c>
      <c r="AC23" s="22">
        <f t="shared" si="8"/>
        <v>1.9604628352276636</v>
      </c>
      <c r="AD23" s="22">
        <f t="shared" si="9"/>
        <v>0.95074319050353417</v>
      </c>
      <c r="AE23" s="22">
        <f t="shared" si="10"/>
        <v>11.507233335204683</v>
      </c>
      <c r="AF23" s="22">
        <f t="shared" si="11"/>
        <v>1.8877119222990533</v>
      </c>
      <c r="AG23" s="22">
        <f t="shared" si="12"/>
        <v>54.230516406506837</v>
      </c>
      <c r="AH23" s="24">
        <v>10296.619441004364</v>
      </c>
      <c r="AJ23" t="s">
        <v>76</v>
      </c>
      <c r="AK23" s="22">
        <v>16.310923728375219</v>
      </c>
      <c r="AL23" s="22">
        <v>3.6703106547987598</v>
      </c>
      <c r="AM23" s="22">
        <v>5.4201249747159199</v>
      </c>
      <c r="AN23" s="22">
        <v>4.3466637022514512</v>
      </c>
      <c r="AO23" s="22">
        <v>5.3335200922954957</v>
      </c>
      <c r="AP23" s="22">
        <v>0.73335118633993102</v>
      </c>
      <c r="AQ23" s="22">
        <v>0.37118510798206672</v>
      </c>
      <c r="AR23" s="22">
        <v>0.43381891653343646</v>
      </c>
      <c r="AS23" s="22">
        <v>0.33376888458125398</v>
      </c>
      <c r="AT23" s="22">
        <v>2.004032673743084</v>
      </c>
      <c r="AU23" s="22">
        <v>1.3773562960282699</v>
      </c>
      <c r="AV23" s="22">
        <v>4.3510169823836629</v>
      </c>
      <c r="AW23" s="22">
        <v>7.9296716809628975</v>
      </c>
      <c r="AX23" s="22">
        <v>47.384255119008557</v>
      </c>
      <c r="AY23" s="24">
        <v>3.3438457743231835E-2</v>
      </c>
      <c r="AZ23" s="24">
        <v>3.1681763996887088E-2</v>
      </c>
      <c r="BA23" s="24"/>
      <c r="BC23" s="25" t="s">
        <v>207</v>
      </c>
      <c r="BD23" s="24">
        <v>5.1380352906406115</v>
      </c>
      <c r="BE23" s="24">
        <v>0.4140367019205084</v>
      </c>
      <c r="BF23" s="24">
        <v>1.7978687190098508</v>
      </c>
      <c r="BG23" s="24">
        <v>0.85734830118724559</v>
      </c>
      <c r="BH23" s="24">
        <v>0.71294773244368592</v>
      </c>
      <c r="BI23" s="24">
        <v>0.37634695432381288</v>
      </c>
      <c r="BJ23" s="24">
        <v>0.12076757608513365</v>
      </c>
      <c r="BK23" s="24">
        <v>0.17861579932125274</v>
      </c>
      <c r="BL23" s="24">
        <v>0.27288741507822223</v>
      </c>
      <c r="BM23" s="24">
        <v>0.9605483760299488</v>
      </c>
      <c r="BN23" s="24">
        <v>0.59665881935809106</v>
      </c>
      <c r="BO23" s="24">
        <v>4.3453392804148416</v>
      </c>
      <c r="BP23" s="24">
        <v>0.91890625687560512</v>
      </c>
      <c r="BQ23" s="24">
        <v>29.283207500599101</v>
      </c>
      <c r="BR23" s="29">
        <v>45.973514723287913</v>
      </c>
      <c r="BT23" s="25" t="s">
        <v>207</v>
      </c>
      <c r="BU23" s="24">
        <f t="shared" si="17"/>
        <v>11.176076751073236</v>
      </c>
      <c r="BV23" s="24">
        <f t="shared" si="31"/>
        <v>0.90059832147394614</v>
      </c>
      <c r="BW23" s="24">
        <f t="shared" si="32"/>
        <v>3.9106618883309769</v>
      </c>
      <c r="BX23" s="24">
        <f t="shared" si="33"/>
        <v>1.8648743876720726</v>
      </c>
      <c r="BY23" s="24">
        <f t="shared" si="34"/>
        <v>1.550779262222781</v>
      </c>
      <c r="BZ23" s="24">
        <f t="shared" si="35"/>
        <v>0.81861688537199029</v>
      </c>
      <c r="CA23" s="24">
        <f t="shared" si="36"/>
        <v>0.2626894567709846</v>
      </c>
      <c r="CB23" s="24">
        <f t="shared" si="37"/>
        <v>0.38851891223964824</v>
      </c>
      <c r="CC23" s="24">
        <f t="shared" si="38"/>
        <v>0.59357527202502736</v>
      </c>
      <c r="CD23" s="24">
        <f t="shared" si="39"/>
        <v>2.0893516230191174</v>
      </c>
      <c r="CE23" s="24">
        <f t="shared" si="40"/>
        <v>1.2978316383886419</v>
      </c>
      <c r="CF23" s="24">
        <f t="shared" si="41"/>
        <v>9.4518317917809913</v>
      </c>
      <c r="CG23" s="24">
        <f t="shared" si="42"/>
        <v>1.9987731249317175</v>
      </c>
      <c r="CH23" s="24">
        <f t="shared" si="43"/>
        <v>63.695820684698866</v>
      </c>
      <c r="CI23" s="29">
        <v>45.973514723287913</v>
      </c>
      <c r="CK23" s="65" t="s">
        <v>190</v>
      </c>
      <c r="CL23" s="22">
        <v>6.5201680346172974</v>
      </c>
      <c r="CM23" s="22">
        <v>0.12894935937252902</v>
      </c>
      <c r="CN23" s="22">
        <v>32.15995677471836</v>
      </c>
      <c r="CO23" s="22">
        <v>3.1380927058646231</v>
      </c>
      <c r="CP23" s="22">
        <v>2.3061416715184748</v>
      </c>
      <c r="CQ23" s="22">
        <v>2.8006742235426496</v>
      </c>
      <c r="CR23" s="22">
        <v>1.3000560712777671</v>
      </c>
      <c r="CS23" s="22">
        <v>0.13623989431709985</v>
      </c>
      <c r="CT23" s="22">
        <v>2.2358229528301501</v>
      </c>
      <c r="CU23" s="22">
        <v>6.3334822418275314</v>
      </c>
      <c r="CV23" s="22">
        <v>3.3266241370624874</v>
      </c>
      <c r="CW23" s="22">
        <v>18.343618565799346</v>
      </c>
      <c r="CX23" s="22">
        <v>2.671239205831454</v>
      </c>
      <c r="CY23" s="22">
        <v>18.598934161420235</v>
      </c>
      <c r="CZ23" s="59">
        <v>3363.7875359597292</v>
      </c>
    </row>
    <row r="24" spans="1:104">
      <c r="A24" t="s">
        <v>90</v>
      </c>
      <c r="B24" s="24">
        <v>2028.0263017083091</v>
      </c>
      <c r="C24" s="24">
        <v>462.14135421141907</v>
      </c>
      <c r="D24" s="24">
        <v>764.93945494576337</v>
      </c>
      <c r="E24" s="24">
        <v>584.42355420440776</v>
      </c>
      <c r="F24" s="24">
        <v>275.13329398323356</v>
      </c>
      <c r="G24" s="24">
        <v>12.760148575223228</v>
      </c>
      <c r="H24" s="24">
        <v>3.4952774703012692</v>
      </c>
      <c r="I24" s="24">
        <v>55.310219139971153</v>
      </c>
      <c r="J24" s="24">
        <v>17.339230527059147</v>
      </c>
      <c r="K24" s="24">
        <v>84.768283385296002</v>
      </c>
      <c r="L24" s="24">
        <v>42.970394175985021</v>
      </c>
      <c r="M24" s="24">
        <v>424.93683306474225</v>
      </c>
      <c r="N24" s="24">
        <v>645.46957427744906</v>
      </c>
      <c r="O24" s="24">
        <v>3121.7248940177797</v>
      </c>
      <c r="P24" s="24">
        <f t="shared" si="14"/>
        <v>8523.4388136869402</v>
      </c>
      <c r="Q24" s="24">
        <f t="shared" si="15"/>
        <v>8306.7952604131042</v>
      </c>
      <c r="S24" t="s">
        <v>90</v>
      </c>
      <c r="T24" s="22">
        <f t="shared" si="16"/>
        <v>23.793522145682608</v>
      </c>
      <c r="U24" s="22">
        <f t="shared" si="0"/>
        <v>5.4220058865127578</v>
      </c>
      <c r="V24" s="22">
        <f t="shared" si="1"/>
        <v>8.9745403430059643</v>
      </c>
      <c r="W24" s="22">
        <f t="shared" si="2"/>
        <v>6.8566639237902463</v>
      </c>
      <c r="X24" s="22">
        <f t="shared" si="3"/>
        <v>3.227961155084782</v>
      </c>
      <c r="Y24" s="22">
        <f t="shared" si="4"/>
        <v>0.14970657799212425</v>
      </c>
      <c r="Z24" s="22">
        <f t="shared" si="5"/>
        <v>4.1007832011283427E-2</v>
      </c>
      <c r="AA24" s="22">
        <f t="shared" si="6"/>
        <v>0.64891906129664467</v>
      </c>
      <c r="AB24" s="22">
        <f t="shared" si="7"/>
        <v>0.20342998766197284</v>
      </c>
      <c r="AC24" s="22">
        <f t="shared" si="8"/>
        <v>0.99453149413327258</v>
      </c>
      <c r="AD24" s="22">
        <f t="shared" si="9"/>
        <v>0.50414386863413796</v>
      </c>
      <c r="AE24" s="22">
        <f t="shared" si="10"/>
        <v>4.9855092803901941</v>
      </c>
      <c r="AF24" s="22">
        <f t="shared" si="11"/>
        <v>7.5728774311250273</v>
      </c>
      <c r="AG24" s="22">
        <f t="shared" si="12"/>
        <v>36.625181012678979</v>
      </c>
      <c r="AH24" s="24">
        <v>8523.4388136869402</v>
      </c>
      <c r="AJ24" t="s">
        <v>75</v>
      </c>
      <c r="AK24" s="22">
        <v>20.880582653163817</v>
      </c>
      <c r="AL24" s="22">
        <v>0.86403559393498697</v>
      </c>
      <c r="AM24" s="22">
        <v>8.4954273517066614</v>
      </c>
      <c r="AN24" s="22">
        <v>3.5823335693653231</v>
      </c>
      <c r="AO24" s="22">
        <v>1.7762418302005951</v>
      </c>
      <c r="AP24" s="22">
        <v>1.1414693078935687</v>
      </c>
      <c r="AQ24" s="22">
        <v>0.5145717662156567</v>
      </c>
      <c r="AR24" s="22">
        <v>0.82036440540758671</v>
      </c>
      <c r="AS24" s="22">
        <v>0.61527777156113828</v>
      </c>
      <c r="AT24" s="22">
        <v>2.512039556661513</v>
      </c>
      <c r="AU24" s="22">
        <v>1.4386370192249454</v>
      </c>
      <c r="AV24" s="22">
        <v>7.1881904969635464</v>
      </c>
      <c r="AW24" s="22">
        <v>3.882527170912943</v>
      </c>
      <c r="AX24" s="22">
        <v>46.288301506787725</v>
      </c>
      <c r="AY24" s="62">
        <v>2.6329635294249171E-2</v>
      </c>
      <c r="AZ24" s="24">
        <v>2.4475407635700726E-2</v>
      </c>
      <c r="BA24" s="24"/>
      <c r="BC24" s="25" t="s">
        <v>210</v>
      </c>
      <c r="BD24" s="24">
        <v>5.018588769723654</v>
      </c>
      <c r="BE24" s="24">
        <v>0.34451148284380601</v>
      </c>
      <c r="BF24" s="24">
        <v>1.2553882320358993</v>
      </c>
      <c r="BG24" s="24">
        <v>0.52821362437259967</v>
      </c>
      <c r="BH24" s="24">
        <v>0.5430810114779927</v>
      </c>
      <c r="BI24" s="24">
        <v>0.29758438344463228</v>
      </c>
      <c r="BJ24" s="24">
        <v>0.13853222775867866</v>
      </c>
      <c r="BK24" s="24">
        <v>0.10857237915255169</v>
      </c>
      <c r="BL24" s="24">
        <v>0.16666800648895932</v>
      </c>
      <c r="BM24" s="24">
        <v>0.74872278799978187</v>
      </c>
      <c r="BN24" s="24">
        <v>0.41157196624257403</v>
      </c>
      <c r="BO24" s="24">
        <v>1.3752366032975922</v>
      </c>
      <c r="BP24" s="24">
        <v>1.1618177844318858</v>
      </c>
      <c r="BQ24" s="24">
        <v>11.812972076540385</v>
      </c>
      <c r="BR24" s="29">
        <v>23.911461335810994</v>
      </c>
      <c r="BT24" s="25" t="s">
        <v>210</v>
      </c>
      <c r="BU24" s="24">
        <f t="shared" si="17"/>
        <v>20.988214393269082</v>
      </c>
      <c r="BV24" s="24">
        <f t="shared" si="31"/>
        <v>1.4407797081303788</v>
      </c>
      <c r="BW24" s="24">
        <f t="shared" si="32"/>
        <v>5.250152696254359</v>
      </c>
      <c r="BX24" s="24">
        <f t="shared" si="33"/>
        <v>2.2090394934646702</v>
      </c>
      <c r="BY24" s="24">
        <f t="shared" si="34"/>
        <v>2.2712163169410626</v>
      </c>
      <c r="BZ24" s="24">
        <f t="shared" si="35"/>
        <v>1.2445261260505025</v>
      </c>
      <c r="CA24" s="24">
        <f t="shared" si="36"/>
        <v>0.57935492027501434</v>
      </c>
      <c r="CB24" s="24">
        <f t="shared" si="37"/>
        <v>0.4540599908460981</v>
      </c>
      <c r="CC24" s="24">
        <f t="shared" si="38"/>
        <v>0.6970214164173606</v>
      </c>
      <c r="CD24" s="24">
        <f t="shared" si="39"/>
        <v>3.1312297374249454</v>
      </c>
      <c r="CE24" s="24">
        <f t="shared" si="40"/>
        <v>1.7212330123302977</v>
      </c>
      <c r="CF24" s="24">
        <f t="shared" si="41"/>
        <v>5.7513699559548437</v>
      </c>
      <c r="CG24" s="24">
        <f t="shared" si="42"/>
        <v>4.858832206511317</v>
      </c>
      <c r="CH24" s="24">
        <f t="shared" si="43"/>
        <v>49.402970026130063</v>
      </c>
      <c r="CI24" s="29">
        <v>23.911461335810994</v>
      </c>
      <c r="CK24" s="25" t="s">
        <v>199</v>
      </c>
      <c r="CL24" s="22">
        <v>2.5399317906734131</v>
      </c>
      <c r="CM24" s="22">
        <v>0.32882291078655002</v>
      </c>
      <c r="CN24" s="22">
        <v>14.76463007237308</v>
      </c>
      <c r="CO24" s="22">
        <v>1.9294829872592467</v>
      </c>
      <c r="CP24" s="22">
        <v>3.6376746724443332</v>
      </c>
      <c r="CQ24" s="22">
        <v>2.8490155131680162</v>
      </c>
      <c r="CR24" s="22">
        <v>1.1278518139854672</v>
      </c>
      <c r="CS24" s="22">
        <v>0.71050570471266483</v>
      </c>
      <c r="CT24" s="22">
        <v>2.0953500420886364</v>
      </c>
      <c r="CU24" s="22">
        <v>8.5583486070490107</v>
      </c>
      <c r="CV24" s="22">
        <v>4.0249931991042471</v>
      </c>
      <c r="CW24" s="22">
        <v>5.1157709863544625</v>
      </c>
      <c r="CX24" s="22">
        <v>14.654280411690756</v>
      </c>
      <c r="CY24" s="22">
        <v>37.663341288310129</v>
      </c>
      <c r="CZ24" s="59">
        <v>1976.9096035899397</v>
      </c>
    </row>
    <row r="25" spans="1:104">
      <c r="A25" t="s">
        <v>91</v>
      </c>
      <c r="B25" s="24">
        <v>2503.0447612161674</v>
      </c>
      <c r="C25" s="24">
        <v>501.07168193330398</v>
      </c>
      <c r="D25" s="24">
        <v>1429.9632864935224</v>
      </c>
      <c r="E25" s="24">
        <v>1057.881131470393</v>
      </c>
      <c r="F25" s="24">
        <v>505.89496895853097</v>
      </c>
      <c r="G25" s="24">
        <v>36.682849507590447</v>
      </c>
      <c r="H25" s="24">
        <v>5.2753709196645202</v>
      </c>
      <c r="I25" s="24">
        <v>231.78245446985741</v>
      </c>
      <c r="J25" s="24">
        <v>30.575914803396159</v>
      </c>
      <c r="K25" s="24">
        <v>137.90698550763881</v>
      </c>
      <c r="L25" s="24">
        <v>69.624029448943219</v>
      </c>
      <c r="M25" s="24">
        <v>1342.7788180635082</v>
      </c>
      <c r="N25" s="24">
        <v>115.49260496465661</v>
      </c>
      <c r="O25" s="24">
        <v>5676.1329500527117</v>
      </c>
      <c r="P25" s="24">
        <f t="shared" si="14"/>
        <v>13644.107807809884</v>
      </c>
      <c r="Q25" s="24">
        <f t="shared" si="15"/>
        <v>13132.260203152793</v>
      </c>
      <c r="S25" t="s">
        <v>91</v>
      </c>
      <c r="T25" s="22">
        <f t="shared" si="16"/>
        <v>18.3452432102847</v>
      </c>
      <c r="U25" s="22">
        <f t="shared" si="0"/>
        <v>3.6724400671071411</v>
      </c>
      <c r="V25" s="22">
        <f t="shared" si="1"/>
        <v>10.480445527372716</v>
      </c>
      <c r="W25" s="22">
        <f t="shared" si="2"/>
        <v>7.753391767139675</v>
      </c>
      <c r="X25" s="22">
        <f t="shared" si="3"/>
        <v>3.7077907627566296</v>
      </c>
      <c r="Y25" s="22">
        <f t="shared" si="4"/>
        <v>0.26885487878213038</v>
      </c>
      <c r="Z25" s="22">
        <f t="shared" si="5"/>
        <v>3.8664095842491801E-2</v>
      </c>
      <c r="AA25" s="22">
        <f t="shared" si="6"/>
        <v>1.6987732560804394</v>
      </c>
      <c r="AB25" s="22">
        <f t="shared" si="7"/>
        <v>0.22409610972067015</v>
      </c>
      <c r="AC25" s="22">
        <f t="shared" si="8"/>
        <v>1.0107438863001426</v>
      </c>
      <c r="AD25" s="22">
        <f t="shared" si="9"/>
        <v>0.51028642128648716</v>
      </c>
      <c r="AE25" s="22">
        <f t="shared" si="10"/>
        <v>9.8414556450140473</v>
      </c>
      <c r="AF25" s="22">
        <f t="shared" si="11"/>
        <v>0.84646505723553933</v>
      </c>
      <c r="AG25" s="22">
        <f t="shared" si="12"/>
        <v>41.601349315077201</v>
      </c>
      <c r="AH25" s="24">
        <v>13644.107807809884</v>
      </c>
      <c r="AJ25" t="s">
        <v>62</v>
      </c>
      <c r="AK25" s="22">
        <v>21.261441768115709</v>
      </c>
      <c r="AL25" s="22">
        <v>2.3815582266486937</v>
      </c>
      <c r="AM25" s="22">
        <v>3.8234677058910718</v>
      </c>
      <c r="AN25" s="22">
        <v>2.9713059052061666</v>
      </c>
      <c r="AO25" s="22">
        <v>2.945183222442989</v>
      </c>
      <c r="AP25" s="22">
        <v>0.926614572191793</v>
      </c>
      <c r="AQ25" s="22">
        <v>0.3732269998611526</v>
      </c>
      <c r="AR25" s="22">
        <v>0.35140412169903923</v>
      </c>
      <c r="AS25" s="22">
        <v>1.500126282581112E-2</v>
      </c>
      <c r="AT25" s="22">
        <v>1.691091476543322</v>
      </c>
      <c r="AU25" s="22">
        <v>1.1363565612995965</v>
      </c>
      <c r="AV25" s="22">
        <v>5.6486561103130457</v>
      </c>
      <c r="AW25" s="22">
        <v>4.2110100373687818</v>
      </c>
      <c r="AX25" s="22">
        <v>52.263682029592829</v>
      </c>
      <c r="AY25" s="24">
        <v>2.4769927925219561E-2</v>
      </c>
      <c r="AZ25" s="24">
        <v>2.3656842913922355E-2</v>
      </c>
      <c r="BA25" s="24"/>
      <c r="BC25" s="25" t="s">
        <v>212</v>
      </c>
      <c r="BD25" s="24">
        <v>4.9629985559706169</v>
      </c>
      <c r="BE25" s="24">
        <v>0.26804248722125745</v>
      </c>
      <c r="BF25" s="24">
        <v>0.56412564694585299</v>
      </c>
      <c r="BG25" s="24">
        <v>0.32959581718414299</v>
      </c>
      <c r="BH25" s="24">
        <v>0.33835357629480683</v>
      </c>
      <c r="BI25" s="24">
        <v>0.23348776974935689</v>
      </c>
      <c r="BJ25" s="24">
        <v>9.3680446351004948E-2</v>
      </c>
      <c r="BK25" s="24">
        <v>4.6851612087962256E-2</v>
      </c>
      <c r="BL25" s="24">
        <v>0.11324938658316756</v>
      </c>
      <c r="BM25" s="24">
        <v>0.38213542533285422</v>
      </c>
      <c r="BN25" s="24">
        <v>0.25400599515448263</v>
      </c>
      <c r="BO25" s="24">
        <v>1.7870137059158331</v>
      </c>
      <c r="BP25" s="24">
        <v>0.45880209570782554</v>
      </c>
      <c r="BQ25" s="24">
        <v>8.5614665405860322</v>
      </c>
      <c r="BR25" s="29">
        <v>18.393809061085197</v>
      </c>
      <c r="BT25" s="25" t="s">
        <v>212</v>
      </c>
      <c r="BU25" s="24">
        <f t="shared" si="17"/>
        <v>26.981896677782576</v>
      </c>
      <c r="BV25" s="24">
        <f t="shared" si="31"/>
        <v>1.4572429578403132</v>
      </c>
      <c r="BW25" s="24">
        <f t="shared" si="32"/>
        <v>3.0669321676245058</v>
      </c>
      <c r="BX25" s="24">
        <f t="shared" si="33"/>
        <v>1.791884519892355</v>
      </c>
      <c r="BY25" s="24">
        <f t="shared" si="34"/>
        <v>1.8394970567061255</v>
      </c>
      <c r="BZ25" s="24">
        <f t="shared" si="35"/>
        <v>1.2693823719380373</v>
      </c>
      <c r="CA25" s="24">
        <f t="shared" si="36"/>
        <v>0.50930422317582758</v>
      </c>
      <c r="CB25" s="24">
        <f t="shared" si="37"/>
        <v>0.25471402868416049</v>
      </c>
      <c r="CC25" s="24">
        <f t="shared" si="38"/>
        <v>0.61569295520612566</v>
      </c>
      <c r="CD25" s="24">
        <f t="shared" si="39"/>
        <v>2.0775219752678513</v>
      </c>
      <c r="CE25" s="24">
        <f t="shared" si="40"/>
        <v>1.3809319989727935</v>
      </c>
      <c r="CF25" s="24">
        <f t="shared" si="41"/>
        <v>9.7152998597583728</v>
      </c>
      <c r="CG25" s="24">
        <f t="shared" si="42"/>
        <v>2.4943289026441442</v>
      </c>
      <c r="CH25" s="24">
        <f t="shared" si="43"/>
        <v>46.545370304506811</v>
      </c>
      <c r="CI25" s="29">
        <v>18.393809061085197</v>
      </c>
      <c r="CK25" s="65" t="s">
        <v>232</v>
      </c>
      <c r="CL25" s="22">
        <v>10.102734032621353</v>
      </c>
      <c r="CM25" s="22">
        <v>0.16038868406188178</v>
      </c>
      <c r="CN25" s="22">
        <v>15.342632501202544</v>
      </c>
      <c r="CO25" s="22">
        <v>19.637450397877913</v>
      </c>
      <c r="CP25" s="22">
        <v>0.57128210806724022</v>
      </c>
      <c r="CQ25" s="22">
        <v>1.8312243604428327</v>
      </c>
      <c r="CR25" s="22">
        <v>2.4038378643969009</v>
      </c>
      <c r="CS25" s="22">
        <v>2.8876252233212441E-2</v>
      </c>
      <c r="CT25" s="22">
        <v>1.1886737224057733</v>
      </c>
      <c r="CU25" s="22">
        <v>2.6039590708329055</v>
      </c>
      <c r="CV25" s="22">
        <v>2.6024863358435004</v>
      </c>
      <c r="CW25" s="22">
        <v>12.298373608487628</v>
      </c>
      <c r="CX25" s="22">
        <v>22.229291335768426</v>
      </c>
      <c r="CY25" s="22">
        <v>8.9987897257578595</v>
      </c>
      <c r="CZ25" s="29">
        <v>1946.5845817780255</v>
      </c>
    </row>
    <row r="26" spans="1:104">
      <c r="A26" t="s">
        <v>84</v>
      </c>
      <c r="B26" s="24">
        <v>6380</v>
      </c>
      <c r="C26" s="24">
        <v>3131.3874413526</v>
      </c>
      <c r="D26" s="24">
        <v>4034.6802936499807</v>
      </c>
      <c r="E26" s="24">
        <v>7217.0672224780437</v>
      </c>
      <c r="F26" s="24">
        <v>3260.2672850588028</v>
      </c>
      <c r="G26" s="24">
        <v>128.09068295175521</v>
      </c>
      <c r="H26" s="24"/>
      <c r="I26" s="24">
        <v>1306.7450446845451</v>
      </c>
      <c r="J26" s="24">
        <v>141.19657033824322</v>
      </c>
      <c r="K26" s="24">
        <v>656.31657796491731</v>
      </c>
      <c r="L26" s="24">
        <v>212.40642929742785</v>
      </c>
      <c r="M26" s="24">
        <v>2374.7484140930819</v>
      </c>
      <c r="N26" s="24">
        <v>63.994479966120871</v>
      </c>
      <c r="O26" s="24">
        <v>11174.109726335178</v>
      </c>
      <c r="Q26" s="24">
        <f t="shared" si="15"/>
        <v>37636.254862933805</v>
      </c>
      <c r="S26" t="s">
        <v>334</v>
      </c>
      <c r="T26" s="24">
        <f t="shared" ref="T26:AF26" si="44">AVERAGE(T5:T8,T12:T14,T16:T25,T10)</f>
        <v>11.699306308596073</v>
      </c>
      <c r="U26" s="24">
        <f t="shared" si="44"/>
        <v>1.1239568139788563</v>
      </c>
      <c r="V26" s="24">
        <f t="shared" si="44"/>
        <v>10.4694727336844</v>
      </c>
      <c r="W26" s="24">
        <f t="shared" si="44"/>
        <v>4.3373924145303775</v>
      </c>
      <c r="X26" s="24">
        <f t="shared" si="44"/>
        <v>2.8047588622452966</v>
      </c>
      <c r="Y26" s="24">
        <f t="shared" si="44"/>
        <v>1.1427472041530313</v>
      </c>
      <c r="Z26" s="24">
        <f t="shared" si="44"/>
        <v>0.35825033699938647</v>
      </c>
      <c r="AA26" s="24">
        <f t="shared" si="44"/>
        <v>0.94371658826520943</v>
      </c>
      <c r="AB26" s="24">
        <f t="shared" si="44"/>
        <v>0.81407305847601519</v>
      </c>
      <c r="AC26" s="24">
        <f t="shared" si="44"/>
        <v>2.7420515071861171</v>
      </c>
      <c r="AD26" s="24">
        <f t="shared" si="44"/>
        <v>1.4406890549248756</v>
      </c>
      <c r="AE26" s="24">
        <f t="shared" si="44"/>
        <v>9.4855317902727769</v>
      </c>
      <c r="AF26" s="24">
        <f t="shared" si="44"/>
        <v>4.0200411690287661</v>
      </c>
      <c r="AG26" s="24">
        <f>AVERAGE(AG5:AG8,AG12:AG14,AG16:AG25,AG10)</f>
        <v>48.618012157658825</v>
      </c>
      <c r="AJ26" t="s">
        <v>64</v>
      </c>
      <c r="AK26" s="22">
        <v>22.311872677443503</v>
      </c>
      <c r="AL26" s="22">
        <v>1.2743568810071055</v>
      </c>
      <c r="AM26" s="22">
        <v>9.0669959176722159</v>
      </c>
      <c r="AN26" s="22">
        <v>4.5098625447604412</v>
      </c>
      <c r="AO26" s="22">
        <v>1.8769033953270891</v>
      </c>
      <c r="AP26" s="22">
        <v>1.1266064407954459</v>
      </c>
      <c r="AQ26" s="22">
        <v>0.45657222739289693</v>
      </c>
      <c r="AR26" s="22">
        <v>0.91231101084370647</v>
      </c>
      <c r="AS26" s="22">
        <v>0.42998404473970275</v>
      </c>
      <c r="AT26" s="22">
        <v>2.1791518001771046</v>
      </c>
      <c r="AU26" s="22">
        <v>1.1374319477823369</v>
      </c>
      <c r="AV26" s="22">
        <v>8.3033716137111089</v>
      </c>
      <c r="AW26" s="22">
        <v>1.4134901643572415</v>
      </c>
      <c r="AX26" s="22">
        <v>45.001089333990087</v>
      </c>
      <c r="AY26" s="24">
        <v>2.2031508881945314E-2</v>
      </c>
      <c r="AZ26" s="24">
        <v>2.0656289435644723E-2</v>
      </c>
      <c r="BA26" s="24"/>
      <c r="BC26" s="25" t="s">
        <v>214</v>
      </c>
      <c r="BD26" s="24">
        <v>4.9129719814108119</v>
      </c>
      <c r="BE26" s="24">
        <v>0.24285272570705971</v>
      </c>
      <c r="BF26" s="24">
        <v>0.41364410676078001</v>
      </c>
      <c r="BG26" s="24">
        <v>0.29057736101287923</v>
      </c>
      <c r="BH26" s="24">
        <v>0.26560146762381126</v>
      </c>
      <c r="BI26" s="24">
        <v>0.15002504385429286</v>
      </c>
      <c r="BJ26" s="24">
        <v>7.6951923321066151E-2</v>
      </c>
      <c r="BK26" s="24">
        <v>3.829636615445791E-2</v>
      </c>
      <c r="BL26" s="24">
        <v>5.0326230601247128E-2</v>
      </c>
      <c r="BM26" s="24">
        <v>0.16536796220394212</v>
      </c>
      <c r="BN26" s="24">
        <v>0</v>
      </c>
      <c r="BO26" s="24">
        <v>0.50742772766739541</v>
      </c>
      <c r="BP26" s="24">
        <v>0.43123673642156585</v>
      </c>
      <c r="BQ26" s="24">
        <v>4.2869511189440583</v>
      </c>
      <c r="BR26" s="29">
        <v>11.832230751683369</v>
      </c>
      <c r="BT26" s="25" t="s">
        <v>214</v>
      </c>
      <c r="BU26" s="24">
        <f t="shared" si="17"/>
        <v>41.521941927238402</v>
      </c>
      <c r="BV26" s="24">
        <f t="shared" si="31"/>
        <v>2.0524677958339268</v>
      </c>
      <c r="BW26" s="24">
        <f t="shared" si="32"/>
        <v>3.4959097353804647</v>
      </c>
      <c r="BX26" s="24">
        <f t="shared" si="33"/>
        <v>2.4558121550455634</v>
      </c>
      <c r="BY26" s="24">
        <f t="shared" si="34"/>
        <v>2.2447285993473729</v>
      </c>
      <c r="BZ26" s="24">
        <f t="shared" si="35"/>
        <v>1.2679354130492158</v>
      </c>
      <c r="CA26" s="24">
        <f t="shared" si="36"/>
        <v>0.6503585413098727</v>
      </c>
      <c r="CB26" s="24">
        <f t="shared" si="37"/>
        <v>0.32366142072583814</v>
      </c>
      <c r="CC26" s="24">
        <f t="shared" si="38"/>
        <v>0.42533172025982691</v>
      </c>
      <c r="CD26" s="24">
        <f t="shared" si="39"/>
        <v>1.3976059601475848</v>
      </c>
      <c r="CE26" s="24">
        <f t="shared" si="40"/>
        <v>0</v>
      </c>
      <c r="CF26" s="24">
        <f t="shared" si="41"/>
        <v>4.288521229145263</v>
      </c>
      <c r="CG26" s="24">
        <f t="shared" si="42"/>
        <v>3.6445936989541377</v>
      </c>
      <c r="CH26" s="24">
        <f t="shared" si="43"/>
        <v>36.231131803562526</v>
      </c>
      <c r="CI26" s="29">
        <v>11.832230751683369</v>
      </c>
      <c r="CK26" s="65" t="s">
        <v>228</v>
      </c>
      <c r="CL26" s="22">
        <v>22.910189523996628</v>
      </c>
      <c r="CM26" s="22">
        <v>0.12433187328231782</v>
      </c>
      <c r="CN26" s="22">
        <v>5.1649441854291407</v>
      </c>
      <c r="CO26" s="22">
        <v>2.0554228244085002</v>
      </c>
      <c r="CP26" s="22">
        <v>1.4144187322246309</v>
      </c>
      <c r="CQ26" s="22">
        <v>1.0114611591629095</v>
      </c>
      <c r="CR26" s="22">
        <v>0.67779362292673417</v>
      </c>
      <c r="CS26" s="22">
        <v>0.62457890698164265</v>
      </c>
      <c r="CT26" s="22">
        <v>1.225226891166004</v>
      </c>
      <c r="CU26" s="22">
        <v>1.9964484348933529</v>
      </c>
      <c r="CV26" s="22">
        <v>2.7124939165569883</v>
      </c>
      <c r="CW26" s="22">
        <v>1.3690886306053058</v>
      </c>
      <c r="CX26" s="22">
        <v>14.214646715532236</v>
      </c>
      <c r="CY26" s="22">
        <v>44.498954582833605</v>
      </c>
      <c r="CZ26" s="29">
        <v>1329.6081408206694</v>
      </c>
    </row>
    <row r="27" spans="1:104">
      <c r="BC27" s="25" t="s">
        <v>216</v>
      </c>
      <c r="BD27" s="24">
        <v>5.1556335828058142</v>
      </c>
      <c r="BE27" s="24">
        <v>0.45254974144791121</v>
      </c>
      <c r="BF27" s="24">
        <v>0.5107496242717382</v>
      </c>
      <c r="BG27" s="24">
        <v>0.43726277134981123</v>
      </c>
      <c r="BH27" s="24">
        <v>0.51178225621481277</v>
      </c>
      <c r="BI27" s="24">
        <v>0.14646141753151046</v>
      </c>
      <c r="BJ27" s="24">
        <v>8.5308830131410857E-2</v>
      </c>
      <c r="BK27" s="24">
        <v>3.7257031597149111E-2</v>
      </c>
      <c r="BL27" s="24">
        <v>4.1231575411812396E-2</v>
      </c>
      <c r="BM27" s="24">
        <v>0.19453074008079524</v>
      </c>
      <c r="BN27" s="24">
        <v>0.13087980582360534</v>
      </c>
      <c r="BO27" s="24">
        <v>0.49335708665204331</v>
      </c>
      <c r="BP27" s="24">
        <v>0.80900306484078943</v>
      </c>
      <c r="BQ27" s="24">
        <v>3.6766607793751218</v>
      </c>
      <c r="BR27" s="29">
        <v>12.682668307534325</v>
      </c>
      <c r="BT27" s="25" t="s">
        <v>216</v>
      </c>
      <c r="BU27" s="24">
        <f t="shared" si="17"/>
        <v>40.651016472164883</v>
      </c>
      <c r="BV27" s="24">
        <f t="shared" si="31"/>
        <v>3.5682533870184669</v>
      </c>
      <c r="BW27" s="24">
        <f t="shared" si="32"/>
        <v>4.0271464323349049</v>
      </c>
      <c r="BX27" s="24">
        <f t="shared" si="33"/>
        <v>3.4477190504938844</v>
      </c>
      <c r="BY27" s="24">
        <f t="shared" si="34"/>
        <v>4.0352885040033808</v>
      </c>
      <c r="BZ27" s="24">
        <f t="shared" si="35"/>
        <v>1.1548154850387669</v>
      </c>
      <c r="CA27" s="24">
        <f t="shared" si="36"/>
        <v>0.67264102523860769</v>
      </c>
      <c r="CB27" s="24">
        <f t="shared" si="37"/>
        <v>0.29376335242494694</v>
      </c>
      <c r="CC27" s="24">
        <f t="shared" si="38"/>
        <v>0.32510174051716051</v>
      </c>
      <c r="CD27" s="24">
        <f t="shared" si="39"/>
        <v>1.5338313307873186</v>
      </c>
      <c r="CE27" s="24">
        <f t="shared" si="40"/>
        <v>1.031957965390093</v>
      </c>
      <c r="CF27" s="24">
        <f t="shared" si="41"/>
        <v>3.890010167331722</v>
      </c>
      <c r="CG27" s="24">
        <f t="shared" si="42"/>
        <v>6.3788080333236286</v>
      </c>
      <c r="CH27" s="24">
        <f t="shared" si="43"/>
        <v>28.989647053932238</v>
      </c>
      <c r="CI27" s="29">
        <v>12.682668307534325</v>
      </c>
      <c r="CK27" s="65" t="s">
        <v>193</v>
      </c>
      <c r="CL27" s="22">
        <v>4.1010528706775551</v>
      </c>
      <c r="CM27" s="22">
        <v>0.54990927160288172</v>
      </c>
      <c r="CN27" s="22">
        <v>28.242184162327284</v>
      </c>
      <c r="CO27" s="22">
        <v>35.789483383124185</v>
      </c>
      <c r="CP27" s="22">
        <v>1.5107801258154812</v>
      </c>
      <c r="CQ27" s="22">
        <v>3.5654668112510715</v>
      </c>
      <c r="CR27" s="22">
        <v>0.82600325552449827</v>
      </c>
      <c r="CS27" s="22">
        <v>8.7477062142985368E-2</v>
      </c>
      <c r="CT27" s="22">
        <v>3.1721383624606228</v>
      </c>
      <c r="CU27" s="22">
        <v>2.2551023729873476</v>
      </c>
      <c r="CV27" s="22">
        <v>0.78272847826538072</v>
      </c>
      <c r="CW27" s="22">
        <v>1.4888694853435858</v>
      </c>
      <c r="CX27" s="22">
        <v>13.016372175023735</v>
      </c>
      <c r="CY27" s="22">
        <v>4.6124321834533921</v>
      </c>
      <c r="CZ27" s="59">
        <v>999.98649397170402</v>
      </c>
    </row>
    <row r="28" spans="1:104">
      <c r="BC28" s="25" t="s">
        <v>218</v>
      </c>
      <c r="BD28" s="24">
        <v>4.9750573165831193</v>
      </c>
      <c r="BE28" s="24">
        <v>0.24753138041604397</v>
      </c>
      <c r="BF28" s="24">
        <v>2.5771630435151711</v>
      </c>
      <c r="BG28" s="24">
        <v>1.2291934998662739</v>
      </c>
      <c r="BH28" s="24">
        <v>0.55155873401303801</v>
      </c>
      <c r="BI28" s="24">
        <v>0.28024046539239916</v>
      </c>
      <c r="BJ28" s="24">
        <v>0.11081910191497213</v>
      </c>
      <c r="BK28" s="24">
        <v>0.26207586763656437</v>
      </c>
      <c r="BL28" s="24">
        <v>0.12257469729485249</v>
      </c>
      <c r="BM28" s="24">
        <v>0.56056855460296562</v>
      </c>
      <c r="BN28" s="24">
        <v>0.31379113582970808</v>
      </c>
      <c r="BO28" s="24">
        <v>2.2555835623278773</v>
      </c>
      <c r="BP28" s="24">
        <v>0.36942080328946997</v>
      </c>
      <c r="BQ28" s="24">
        <v>12.977399793852687</v>
      </c>
      <c r="BR28" s="29">
        <v>26.832977956535146</v>
      </c>
      <c r="BT28" s="25" t="s">
        <v>218</v>
      </c>
      <c r="BU28" s="24">
        <f t="shared" si="17"/>
        <v>18.540831825084286</v>
      </c>
      <c r="BV28" s="24">
        <f t="shared" si="31"/>
        <v>0.92248941141383056</v>
      </c>
      <c r="BW28" s="24">
        <f t="shared" si="32"/>
        <v>9.6044615237627973</v>
      </c>
      <c r="BX28" s="24">
        <f t="shared" si="33"/>
        <v>4.5809060099753296</v>
      </c>
      <c r="BY28" s="24">
        <f t="shared" si="34"/>
        <v>2.055525610711078</v>
      </c>
      <c r="BZ28" s="24">
        <f t="shared" si="35"/>
        <v>1.0443882369163087</v>
      </c>
      <c r="CA28" s="24">
        <f t="shared" si="36"/>
        <v>0.41299591157746335</v>
      </c>
      <c r="CB28" s="24">
        <f t="shared" si="37"/>
        <v>0.9766931872454957</v>
      </c>
      <c r="CC28" s="24">
        <f t="shared" si="38"/>
        <v>0.4568061640172873</v>
      </c>
      <c r="CD28" s="24">
        <f t="shared" si="39"/>
        <v>2.0891030265481203</v>
      </c>
      <c r="CE28" s="24">
        <f t="shared" si="40"/>
        <v>1.1694234472893628</v>
      </c>
      <c r="CF28" s="24">
        <f t="shared" si="41"/>
        <v>8.4060128025355159</v>
      </c>
      <c r="CG28" s="24">
        <f t="shared" si="42"/>
        <v>1.3767417238886743</v>
      </c>
      <c r="CH28" s="24">
        <f t="shared" si="43"/>
        <v>48.363621119034441</v>
      </c>
      <c r="CI28" s="29">
        <v>26.832977956535146</v>
      </c>
      <c r="CK28" s="25" t="s">
        <v>236</v>
      </c>
      <c r="CL28" s="22">
        <v>27.357859467594377</v>
      </c>
      <c r="CM28" s="22">
        <v>0.14969296330192003</v>
      </c>
      <c r="CN28" s="22">
        <v>9.4927777114686247</v>
      </c>
      <c r="CO28" s="22">
        <v>1.4030724729502395</v>
      </c>
      <c r="CP28" s="22">
        <v>1.1138826352266344</v>
      </c>
      <c r="CQ28" s="22">
        <v>4.4753050540905042</v>
      </c>
      <c r="CR28" s="22">
        <v>1.2337312742573534</v>
      </c>
      <c r="CS28" s="22">
        <v>2.2590670347783495</v>
      </c>
      <c r="CT28" s="22">
        <v>4.1755174545967959</v>
      </c>
      <c r="CU28" s="22">
        <v>2.2253903295038877</v>
      </c>
      <c r="CV28" s="22">
        <v>1.7475644932284622</v>
      </c>
      <c r="CW28" s="22">
        <v>8.0662920430795459</v>
      </c>
      <c r="CX28" s="22">
        <v>3.8957646601752161</v>
      </c>
      <c r="CY28" s="22">
        <v>32.404082405748078</v>
      </c>
      <c r="CZ28" s="59">
        <v>707.26364243081412</v>
      </c>
    </row>
    <row r="29" spans="1:104">
      <c r="B29" s="21"/>
      <c r="T29" s="21"/>
      <c r="AK29" s="21"/>
      <c r="BC29" s="25" t="s">
        <v>220</v>
      </c>
      <c r="BD29" s="24">
        <v>4.9610937256095822</v>
      </c>
      <c r="BE29" s="24">
        <v>0.22750758613734753</v>
      </c>
      <c r="BF29" s="24">
        <v>0.58621597110363999</v>
      </c>
      <c r="BG29" s="24">
        <v>0.24330199445356124</v>
      </c>
      <c r="BH29" s="24">
        <v>0.22738723628674823</v>
      </c>
      <c r="BI29" s="24">
        <v>0.1763854922336355</v>
      </c>
      <c r="BJ29" s="24">
        <v>3.7492591162243427E-3</v>
      </c>
      <c r="BK29" s="24">
        <v>3.912022722967346E-3</v>
      </c>
      <c r="BL29" s="24">
        <v>6.9665633354940595E-2</v>
      </c>
      <c r="BM29" s="24">
        <v>0.16824087045686112</v>
      </c>
      <c r="BN29" s="24">
        <v>0</v>
      </c>
      <c r="BO29" s="24">
        <v>0.46160260852504703</v>
      </c>
      <c r="BP29" s="24">
        <v>0.48723561227914325</v>
      </c>
      <c r="BQ29" s="24">
        <v>4.290196748205628</v>
      </c>
      <c r="BR29" s="29">
        <v>11.906494760485327</v>
      </c>
      <c r="BT29" s="25" t="s">
        <v>220</v>
      </c>
      <c r="BU29" s="24">
        <f t="shared" si="17"/>
        <v>41.667122233776219</v>
      </c>
      <c r="BV29" s="24">
        <f t="shared" si="31"/>
        <v>1.9107855898310913</v>
      </c>
      <c r="BW29" s="24">
        <f t="shared" si="32"/>
        <v>4.9234974935624543</v>
      </c>
      <c r="BX29" s="24">
        <f t="shared" si="33"/>
        <v>2.0434393106275039</v>
      </c>
      <c r="BY29" s="24">
        <f t="shared" si="34"/>
        <v>1.9097747982167641</v>
      </c>
      <c r="BZ29" s="24">
        <f t="shared" si="35"/>
        <v>1.4814224990802058</v>
      </c>
      <c r="CA29" s="24">
        <f t="shared" si="36"/>
        <v>3.148919301310403E-2</v>
      </c>
      <c r="CB29" s="24">
        <f t="shared" si="37"/>
        <v>3.2856208327159138E-2</v>
      </c>
      <c r="CC29" s="24">
        <f t="shared" si="38"/>
        <v>0.58510615219975048</v>
      </c>
      <c r="CD29" s="24">
        <f t="shared" si="39"/>
        <v>1.4130176331594284</v>
      </c>
      <c r="CE29" s="24">
        <f t="shared" si="40"/>
        <v>0</v>
      </c>
      <c r="CF29" s="24">
        <f t="shared" si="41"/>
        <v>3.876897590859322</v>
      </c>
      <c r="CG29" s="24">
        <f t="shared" si="42"/>
        <v>4.0921834854045898</v>
      </c>
      <c r="CH29" s="24">
        <f t="shared" si="43"/>
        <v>36.032407811942406</v>
      </c>
      <c r="CI29" s="29">
        <v>11.906494760485327</v>
      </c>
      <c r="CK29" s="25" t="s">
        <v>230</v>
      </c>
      <c r="CL29" s="22">
        <v>25.515695936290417</v>
      </c>
      <c r="CM29" s="22">
        <v>0.24828643030430528</v>
      </c>
      <c r="CN29" s="22">
        <v>11.025683360482226</v>
      </c>
      <c r="CO29" s="22">
        <v>14.095168263066526</v>
      </c>
      <c r="CP29" s="22">
        <v>0.31885773134489087</v>
      </c>
      <c r="CQ29" s="22">
        <v>3.0850931902680978</v>
      </c>
      <c r="CR29" s="22">
        <v>3.6494175971895881</v>
      </c>
      <c r="CS29" s="22">
        <v>5.3832346509657188E-2</v>
      </c>
      <c r="CT29" s="22">
        <v>3.0449407381087501</v>
      </c>
      <c r="CU29" s="22">
        <v>0.22318148400181292</v>
      </c>
      <c r="CV29" s="22">
        <v>8.1075653666297587</v>
      </c>
      <c r="CW29" s="22">
        <v>26.066801742868041</v>
      </c>
      <c r="CX29" s="22">
        <v>1.0999306571648657</v>
      </c>
      <c r="CY29" s="22">
        <v>3.465545155771049</v>
      </c>
      <c r="CZ29" s="29">
        <v>606.99112448763299</v>
      </c>
    </row>
    <row r="30" spans="1:104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BC30" s="25" t="s">
        <v>222</v>
      </c>
      <c r="BD30" s="24">
        <v>5.0062187904139002</v>
      </c>
      <c r="BE30" s="24">
        <v>0.20498145191905598</v>
      </c>
      <c r="BF30" s="24">
        <v>1.8724526113942235</v>
      </c>
      <c r="BG30" s="24">
        <v>0.85610009475527515</v>
      </c>
      <c r="BH30" s="24">
        <v>0.39822609223548039</v>
      </c>
      <c r="BI30" s="24">
        <v>0.27737361599605853</v>
      </c>
      <c r="BJ30" s="24">
        <v>0.11149646404224922</v>
      </c>
      <c r="BK30" s="24">
        <v>0.17705303436567191</v>
      </c>
      <c r="BL30" s="24">
        <v>0.13045962336943526</v>
      </c>
      <c r="BM30" s="24">
        <v>0.56848851720295535</v>
      </c>
      <c r="BN30" s="24">
        <v>0.29908833249449479</v>
      </c>
      <c r="BO30" s="24">
        <v>1.781011293328272</v>
      </c>
      <c r="BP30" s="24">
        <v>0.31922782926449489</v>
      </c>
      <c r="BQ30" s="24">
        <v>8.2072730081509118</v>
      </c>
      <c r="BR30" s="29">
        <v>20.209450758932476</v>
      </c>
      <c r="BT30" s="25" t="s">
        <v>222</v>
      </c>
      <c r="BU30" s="24">
        <f t="shared" si="17"/>
        <v>24.771671680395254</v>
      </c>
      <c r="BV30" s="24">
        <f t="shared" si="31"/>
        <v>1.0142851201854419</v>
      </c>
      <c r="BW30" s="24">
        <f t="shared" si="32"/>
        <v>9.2652325574291456</v>
      </c>
      <c r="BX30" s="24">
        <f t="shared" si="33"/>
        <v>4.2361373644797506</v>
      </c>
      <c r="BY30" s="24">
        <f t="shared" si="34"/>
        <v>1.9704943839676909</v>
      </c>
      <c r="BZ30" s="24">
        <f t="shared" si="35"/>
        <v>1.3724945784261888</v>
      </c>
      <c r="CA30" s="24">
        <f t="shared" si="36"/>
        <v>0.55170457313377674</v>
      </c>
      <c r="CB30" s="24">
        <f t="shared" si="37"/>
        <v>0.87609028309398929</v>
      </c>
      <c r="CC30" s="24">
        <f t="shared" si="38"/>
        <v>0.64553769880051171</v>
      </c>
      <c r="CD30" s="24">
        <f t="shared" si="39"/>
        <v>2.8129835094686393</v>
      </c>
      <c r="CE30" s="24">
        <f t="shared" si="40"/>
        <v>1.4799429042488907</v>
      </c>
      <c r="CF30" s="24">
        <f t="shared" si="41"/>
        <v>8.8127644564564616</v>
      </c>
      <c r="CG30" s="24">
        <f t="shared" si="42"/>
        <v>1.5795967593201306</v>
      </c>
      <c r="CH30" s="24">
        <f t="shared" si="43"/>
        <v>40.611064130594137</v>
      </c>
      <c r="CI30" s="29">
        <v>20.209450758932476</v>
      </c>
      <c r="CK30" s="65" t="s">
        <v>174</v>
      </c>
      <c r="CL30" s="22">
        <v>8.1341938894710051</v>
      </c>
      <c r="CM30" s="22">
        <v>8.1980474669632736E-2</v>
      </c>
      <c r="CN30" s="22">
        <v>8.9025827965414308</v>
      </c>
      <c r="CO30" s="22">
        <v>1.3809916749538889</v>
      </c>
      <c r="CP30" s="22">
        <v>1.3118436864331755</v>
      </c>
      <c r="CQ30" s="22">
        <v>1.7183182875899266</v>
      </c>
      <c r="CR30" s="22">
        <v>0.40865870321932912</v>
      </c>
      <c r="CS30" s="22">
        <v>0.12995197949083806</v>
      </c>
      <c r="CT30" s="22">
        <v>1.468632331315038</v>
      </c>
      <c r="CU30" s="22">
        <v>3.8281770126194865</v>
      </c>
      <c r="CV30" s="22">
        <v>2.0270921267759734</v>
      </c>
      <c r="CW30" s="22">
        <v>18.57294319061166</v>
      </c>
      <c r="CX30" s="22">
        <v>0.38890134313508473</v>
      </c>
      <c r="CY30" s="22">
        <v>51.645732503173527</v>
      </c>
      <c r="CZ30" s="59">
        <v>563.18591952990619</v>
      </c>
    </row>
    <row r="31" spans="1:104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4"/>
      <c r="AK31" s="22"/>
      <c r="AL31" s="22"/>
      <c r="AM31" s="22"/>
      <c r="AN31" s="22"/>
      <c r="AO31" s="22"/>
      <c r="AT31" s="22"/>
      <c r="AU31" s="22"/>
      <c r="AV31" s="22"/>
      <c r="AW31" s="22"/>
      <c r="AX31" s="22"/>
      <c r="AY31" s="24"/>
      <c r="BC31" s="26" t="s">
        <v>224</v>
      </c>
      <c r="BD31" s="31">
        <v>4.9156422106592954</v>
      </c>
      <c r="BE31" s="31">
        <v>0.28076004942676175</v>
      </c>
      <c r="BF31" s="31">
        <v>1.9975960109275732</v>
      </c>
      <c r="BG31" s="31">
        <v>0.99359076711242156</v>
      </c>
      <c r="BH31" s="31">
        <v>0.41351013824702076</v>
      </c>
      <c r="BI31" s="31">
        <v>0.24820839806841666</v>
      </c>
      <c r="BJ31" s="31">
        <v>0.10058975083056164</v>
      </c>
      <c r="BK31" s="31">
        <v>0.20099588138499627</v>
      </c>
      <c r="BL31" s="31">
        <v>9.4731973007775319E-2</v>
      </c>
      <c r="BM31" s="31">
        <v>0.48010002240708993</v>
      </c>
      <c r="BN31" s="31">
        <v>0.25059342060174916</v>
      </c>
      <c r="BO31" s="31">
        <v>1.8293580545756889</v>
      </c>
      <c r="BP31" s="31">
        <v>0.31141321110578907</v>
      </c>
      <c r="BQ31" s="31">
        <v>9.9144189935901714</v>
      </c>
      <c r="BR31" s="32">
        <v>22.031508881945314</v>
      </c>
      <c r="BT31" s="26" t="s">
        <v>224</v>
      </c>
      <c r="BU31" s="24">
        <f t="shared" si="17"/>
        <v>22.311872677443503</v>
      </c>
      <c r="BV31" s="24">
        <f t="shared" si="31"/>
        <v>1.2743568810071055</v>
      </c>
      <c r="BW31" s="24">
        <f t="shared" si="32"/>
        <v>9.0669959176722159</v>
      </c>
      <c r="BX31" s="24">
        <f t="shared" si="33"/>
        <v>4.5098625447604412</v>
      </c>
      <c r="BY31" s="24">
        <f t="shared" si="34"/>
        <v>1.8769033953270891</v>
      </c>
      <c r="BZ31" s="24">
        <f t="shared" si="35"/>
        <v>1.1266064407954459</v>
      </c>
      <c r="CA31" s="24">
        <f t="shared" si="36"/>
        <v>0.45657222739289693</v>
      </c>
      <c r="CB31" s="24">
        <f t="shared" si="37"/>
        <v>0.91231101084370647</v>
      </c>
      <c r="CC31" s="24">
        <f t="shared" si="38"/>
        <v>0.42998404473970275</v>
      </c>
      <c r="CD31" s="24">
        <f t="shared" si="39"/>
        <v>2.1791518001771046</v>
      </c>
      <c r="CE31" s="24">
        <f t="shared" si="40"/>
        <v>1.1374319477823369</v>
      </c>
      <c r="CF31" s="24">
        <f t="shared" si="41"/>
        <v>8.3033716137111089</v>
      </c>
      <c r="CG31" s="24">
        <f t="shared" si="42"/>
        <v>1.4134901643572415</v>
      </c>
      <c r="CH31" s="24">
        <f t="shared" si="43"/>
        <v>45.001089333990087</v>
      </c>
      <c r="CI31" s="32">
        <v>22.031508881945314</v>
      </c>
      <c r="CK31" s="26" t="s">
        <v>238</v>
      </c>
      <c r="CL31" s="22">
        <v>13.887037659449797</v>
      </c>
      <c r="CM31" s="22">
        <v>0.14324658743068269</v>
      </c>
      <c r="CN31" s="22">
        <v>3.4007859150872677</v>
      </c>
      <c r="CO31" s="22">
        <v>1.709230744639477</v>
      </c>
      <c r="CP31" s="22">
        <v>0.85685174088528782</v>
      </c>
      <c r="CQ31" s="22">
        <v>2.881413138259532</v>
      </c>
      <c r="CR31" s="22">
        <v>0.64323464522061946</v>
      </c>
      <c r="CS31" s="22">
        <v>2.1006349578160251</v>
      </c>
      <c r="CT31" s="22">
        <v>1.9458242810598447</v>
      </c>
      <c r="CU31" s="22">
        <v>4.6065095790136619</v>
      </c>
      <c r="CV31" s="22">
        <v>2.4514255495384032</v>
      </c>
      <c r="CW31" s="22">
        <v>9.333132881244266</v>
      </c>
      <c r="CX31" s="22">
        <v>3.1548765754436667</v>
      </c>
      <c r="CY31" s="22">
        <v>52.885795744911455</v>
      </c>
      <c r="CZ31" s="32">
        <v>305.70133444855048</v>
      </c>
    </row>
    <row r="32" spans="1:104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4"/>
      <c r="AK32" s="22"/>
      <c r="AL32" s="22"/>
      <c r="AM32" s="22"/>
      <c r="AN32" s="22"/>
      <c r="AO32" s="22"/>
      <c r="AT32" s="22"/>
      <c r="AU32" s="22"/>
      <c r="AV32" s="22"/>
      <c r="AW32" s="22"/>
      <c r="AX32" s="22"/>
      <c r="AY32" s="24"/>
      <c r="BC32" s="65" t="s">
        <v>226</v>
      </c>
      <c r="BD32" s="45">
        <v>205.9155923103371</v>
      </c>
      <c r="BE32" s="45">
        <v>6.742132079781868</v>
      </c>
      <c r="BF32" s="45">
        <v>237.12771403741178</v>
      </c>
      <c r="BG32" s="45">
        <v>230.7021326675189</v>
      </c>
      <c r="BH32" s="45">
        <v>103.90823879474463</v>
      </c>
      <c r="BI32" s="45">
        <v>45.26477680830601</v>
      </c>
      <c r="BJ32" s="45">
        <v>24.7471399552858</v>
      </c>
      <c r="BK32" s="45">
        <v>127.97203963451966</v>
      </c>
      <c r="BL32" s="45">
        <v>38.775585806957878</v>
      </c>
      <c r="BM32" s="45">
        <v>319.19519680317194</v>
      </c>
      <c r="BN32" s="45">
        <v>144.9358317279509</v>
      </c>
      <c r="BO32" s="45">
        <v>85.722445741297321</v>
      </c>
      <c r="BP32" s="45">
        <v>943.82779004978011</v>
      </c>
      <c r="BQ32" s="45">
        <v>7168.3711504304056</v>
      </c>
      <c r="BR32" s="59">
        <v>9683.2077668474703</v>
      </c>
      <c r="BT32" s="65" t="s">
        <v>226</v>
      </c>
      <c r="BU32" s="24">
        <f t="shared" si="17"/>
        <v>2.1265225044053389</v>
      </c>
      <c r="BV32" s="24">
        <f t="shared" si="31"/>
        <v>6.9627051717975078E-2</v>
      </c>
      <c r="BW32" s="24">
        <f t="shared" si="32"/>
        <v>2.4488549636337367</v>
      </c>
      <c r="BX32" s="24">
        <f t="shared" si="33"/>
        <v>2.3824969805706009</v>
      </c>
      <c r="BY32" s="24">
        <f t="shared" si="34"/>
        <v>1.0730766218865682</v>
      </c>
      <c r="BZ32" s="24">
        <f t="shared" si="35"/>
        <v>0.46745642454641567</v>
      </c>
      <c r="CA32" s="24">
        <f t="shared" si="36"/>
        <v>0.25556758205698027</v>
      </c>
      <c r="CB32" s="24">
        <f t="shared" si="37"/>
        <v>1.3215872540983709</v>
      </c>
      <c r="CC32" s="24">
        <f t="shared" si="38"/>
        <v>0.4004415348776712</v>
      </c>
      <c r="CD32" s="24">
        <f t="shared" si="39"/>
        <v>3.2963786845099499</v>
      </c>
      <c r="CE32" s="24">
        <f t="shared" si="40"/>
        <v>1.4967749863239501</v>
      </c>
      <c r="CF32" s="24">
        <f t="shared" si="41"/>
        <v>0.88526909475996596</v>
      </c>
      <c r="CG32" s="24">
        <f t="shared" si="42"/>
        <v>9.7470570990036602</v>
      </c>
      <c r="CH32" s="24">
        <f t="shared" si="43"/>
        <v>74.028889217608807</v>
      </c>
      <c r="CI32" s="59">
        <v>9683.2077668474703</v>
      </c>
      <c r="CK32" s="65" t="s">
        <v>203</v>
      </c>
      <c r="CL32" s="22">
        <v>13.150163641922488</v>
      </c>
      <c r="CM32" s="22">
        <v>0.5127827432894716</v>
      </c>
      <c r="CN32" s="22">
        <v>23.33888309569079</v>
      </c>
      <c r="CO32" s="22">
        <v>29.365709602403307</v>
      </c>
      <c r="CP32" s="22">
        <v>1.3626688381650562</v>
      </c>
      <c r="CQ32" s="22">
        <v>3.9213777904511353</v>
      </c>
      <c r="CR32" s="22">
        <v>0.6583088928995191</v>
      </c>
      <c r="CS32" s="22">
        <v>6.5054639849779924E-2</v>
      </c>
      <c r="CT32" s="22">
        <v>3.3192310185059393</v>
      </c>
      <c r="CU32" s="22">
        <v>1.9647999424541505</v>
      </c>
      <c r="CV32" s="22">
        <v>0.80324071633927197</v>
      </c>
      <c r="CW32" s="22">
        <v>2.7169917331228786</v>
      </c>
      <c r="CX32" s="22">
        <v>13.059378472463285</v>
      </c>
      <c r="CY32" s="22">
        <v>5.7614088724429191</v>
      </c>
      <c r="CZ32" s="59">
        <v>205.01316083293236</v>
      </c>
    </row>
    <row r="33" spans="2:104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4"/>
      <c r="AK33" s="22"/>
      <c r="AL33" s="22"/>
      <c r="AM33" s="22"/>
      <c r="AN33" s="22"/>
      <c r="AO33" s="22"/>
      <c r="AT33" s="22"/>
      <c r="AU33" s="22"/>
      <c r="AV33" s="22"/>
      <c r="AW33" s="22"/>
      <c r="AX33" s="22"/>
      <c r="AY33" s="24"/>
      <c r="BC33" s="25" t="s">
        <v>228</v>
      </c>
      <c r="BD33" s="45">
        <v>304.61574498850337</v>
      </c>
      <c r="BE33" s="45">
        <v>1.6531267087965367</v>
      </c>
      <c r="BF33" s="45">
        <v>68.673518358309664</v>
      </c>
      <c r="BG33" s="45">
        <v>27.329069201621554</v>
      </c>
      <c r="BH33" s="45">
        <v>18.806226608951196</v>
      </c>
      <c r="BI33" s="45">
        <v>13.448469913469152</v>
      </c>
      <c r="BJ33" s="45">
        <v>9.0119991883972084</v>
      </c>
      <c r="BK33" s="45">
        <v>8.3044519930766771</v>
      </c>
      <c r="BL33" s="45">
        <v>16.290716488467194</v>
      </c>
      <c r="BM33" s="45">
        <v>26.54494091762886</v>
      </c>
      <c r="BN33" s="45">
        <v>36.065539933807131</v>
      </c>
      <c r="BO33" s="45">
        <v>18.203513887578371</v>
      </c>
      <c r="BP33" s="45">
        <v>188.99909991861452</v>
      </c>
      <c r="BQ33" s="45">
        <v>591.66172271344794</v>
      </c>
      <c r="BR33" s="59">
        <v>1329.6081408206694</v>
      </c>
      <c r="BT33" s="25" t="s">
        <v>228</v>
      </c>
      <c r="BU33" s="24">
        <f t="shared" si="17"/>
        <v>22.910189523996628</v>
      </c>
      <c r="BV33" s="24">
        <f t="shared" si="31"/>
        <v>0.12433187328231782</v>
      </c>
      <c r="BW33" s="24">
        <f t="shared" si="32"/>
        <v>5.1649441854291407</v>
      </c>
      <c r="BX33" s="24">
        <f t="shared" si="33"/>
        <v>2.0554228244085002</v>
      </c>
      <c r="BY33" s="24">
        <f t="shared" si="34"/>
        <v>1.4144187322246309</v>
      </c>
      <c r="BZ33" s="24">
        <f t="shared" si="35"/>
        <v>1.0114611591629095</v>
      </c>
      <c r="CA33" s="24">
        <f t="shared" si="36"/>
        <v>0.67779362292673417</v>
      </c>
      <c r="CB33" s="24">
        <f t="shared" si="37"/>
        <v>0.62457890698164265</v>
      </c>
      <c r="CC33" s="24">
        <f t="shared" si="38"/>
        <v>1.225226891166004</v>
      </c>
      <c r="CD33" s="24">
        <f t="shared" si="39"/>
        <v>1.9964484348933529</v>
      </c>
      <c r="CE33" s="24">
        <f t="shared" si="40"/>
        <v>2.7124939165569883</v>
      </c>
      <c r="CF33" s="24">
        <f t="shared" si="41"/>
        <v>1.3690886306053058</v>
      </c>
      <c r="CG33" s="24">
        <f t="shared" si="42"/>
        <v>14.214646715532236</v>
      </c>
      <c r="CH33" s="24">
        <f t="shared" si="43"/>
        <v>44.498954582833605</v>
      </c>
      <c r="CI33" s="59">
        <v>1329.6081408206694</v>
      </c>
      <c r="CK33" s="65" t="s">
        <v>172</v>
      </c>
      <c r="CL33" s="22">
        <v>3.7055950725639932</v>
      </c>
      <c r="CM33" s="22">
        <v>1.1253577615293762</v>
      </c>
      <c r="CN33" s="22">
        <v>11.52466184780732</v>
      </c>
      <c r="CO33" s="22">
        <v>6.5157256846898841</v>
      </c>
      <c r="CP33" s="22">
        <v>3.9578271506378582</v>
      </c>
      <c r="CQ33" s="22">
        <v>0.44777914426252341</v>
      </c>
      <c r="CR33" s="22">
        <v>0.11812257646603096</v>
      </c>
      <c r="CS33" s="22">
        <v>0.78046955808599816</v>
      </c>
      <c r="CT33" s="22">
        <v>0.35248945614541033</v>
      </c>
      <c r="CU33" s="22">
        <v>1.4932403400650802</v>
      </c>
      <c r="CV33" s="22">
        <v>0.81445923835167933</v>
      </c>
      <c r="CW33" s="22">
        <v>10.016215665840154</v>
      </c>
      <c r="CX33" s="22">
        <v>2.3205201005641292</v>
      </c>
      <c r="CY33" s="22">
        <v>56.827536402990575</v>
      </c>
      <c r="CZ33" s="59">
        <v>120.82128078730307</v>
      </c>
    </row>
    <row r="34" spans="2:10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4"/>
      <c r="AK34" s="22"/>
      <c r="AL34" s="22"/>
      <c r="AM34" s="22"/>
      <c r="AN34" s="22"/>
      <c r="AO34" s="22"/>
      <c r="AT34" s="22"/>
      <c r="AU34" s="22"/>
      <c r="AV34" s="22"/>
      <c r="AW34" s="22"/>
      <c r="AX34" s="22"/>
      <c r="AY34" s="24"/>
      <c r="BC34" s="65" t="s">
        <v>230</v>
      </c>
      <c r="BD34" s="45">
        <v>154.87800968453448</v>
      </c>
      <c r="BE34" s="45">
        <v>1.5070765952543057</v>
      </c>
      <c r="BF34" s="45">
        <v>66.924919412236903</v>
      </c>
      <c r="BG34" s="45">
        <v>85.556420338411471</v>
      </c>
      <c r="BH34" s="45">
        <v>1.9354381290061089</v>
      </c>
      <c r="BI34" s="45">
        <v>18.726241847099718</v>
      </c>
      <c r="BJ34" s="45">
        <v>22.151640910430636</v>
      </c>
      <c r="BK34" s="45">
        <v>0.3267575654170472</v>
      </c>
      <c r="BL34" s="45">
        <v>18.482520026228332</v>
      </c>
      <c r="BM34" s="45">
        <v>1.354691799390791</v>
      </c>
      <c r="BN34" s="45">
        <v>49.212202187475853</v>
      </c>
      <c r="BO34" s="45">
        <v>158.22317301699664</v>
      </c>
      <c r="BP34" s="45">
        <v>6.6764814645092301</v>
      </c>
      <c r="BQ34" s="45">
        <v>21.035551510641383</v>
      </c>
      <c r="BR34" s="59">
        <v>606.99112448763299</v>
      </c>
      <c r="BT34" s="65" t="s">
        <v>230</v>
      </c>
      <c r="BU34" s="24">
        <f t="shared" si="17"/>
        <v>25.515695936290417</v>
      </c>
      <c r="BV34" s="24">
        <f t="shared" si="31"/>
        <v>0.24828643030430528</v>
      </c>
      <c r="BW34" s="24">
        <f t="shared" si="32"/>
        <v>11.025683360482226</v>
      </c>
      <c r="BX34" s="24">
        <f t="shared" si="33"/>
        <v>14.095168263066526</v>
      </c>
      <c r="BY34" s="24">
        <f t="shared" si="34"/>
        <v>0.31885773134489087</v>
      </c>
      <c r="BZ34" s="24">
        <f t="shared" si="35"/>
        <v>3.0850931902680978</v>
      </c>
      <c r="CA34" s="24">
        <f t="shared" si="36"/>
        <v>3.6494175971895881</v>
      </c>
      <c r="CB34" s="24">
        <f t="shared" si="37"/>
        <v>5.3832346509657188E-2</v>
      </c>
      <c r="CC34" s="24">
        <f t="shared" si="38"/>
        <v>3.0449407381087501</v>
      </c>
      <c r="CD34" s="24">
        <f t="shared" si="39"/>
        <v>0.22318148400181292</v>
      </c>
      <c r="CE34" s="24">
        <f t="shared" si="40"/>
        <v>8.1075653666297587</v>
      </c>
      <c r="CF34" s="24">
        <f t="shared" si="41"/>
        <v>26.066801742868041</v>
      </c>
      <c r="CG34" s="24">
        <f t="shared" si="42"/>
        <v>1.0999306571648657</v>
      </c>
      <c r="CH34" s="24">
        <f t="shared" si="43"/>
        <v>3.465545155771049</v>
      </c>
      <c r="CI34" s="59">
        <v>606.99112448763299</v>
      </c>
      <c r="CK34" s="25" t="s">
        <v>254</v>
      </c>
      <c r="CL34" s="22">
        <v>3.7055950725639932</v>
      </c>
      <c r="CM34" s="22">
        <v>1.1253577615293762</v>
      </c>
      <c r="CN34" s="22">
        <v>11.52466184780732</v>
      </c>
      <c r="CO34" s="22">
        <v>6.5157256846898841</v>
      </c>
      <c r="CP34" s="22">
        <v>3.9578271506378582</v>
      </c>
      <c r="CQ34" s="22">
        <v>0.44777914426252341</v>
      </c>
      <c r="CR34" s="22">
        <v>0.11812257646603096</v>
      </c>
      <c r="CS34" s="22">
        <v>0.78046955808599816</v>
      </c>
      <c r="CT34" s="22">
        <v>0.35248945614541033</v>
      </c>
      <c r="CU34" s="22">
        <v>1.4932403400650802</v>
      </c>
      <c r="CV34" s="22">
        <v>0.81445923835167933</v>
      </c>
      <c r="CW34" s="22">
        <v>10.016215665840154</v>
      </c>
      <c r="CX34" s="22">
        <v>2.3205201005641292</v>
      </c>
      <c r="CY34" s="22">
        <v>56.827536402990575</v>
      </c>
      <c r="CZ34" s="29">
        <v>120.82128078730307</v>
      </c>
    </row>
    <row r="35" spans="2:104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4"/>
      <c r="AK35" s="22"/>
      <c r="AL35" s="22"/>
      <c r="AM35" s="22"/>
      <c r="AN35" s="22"/>
      <c r="AO35" s="22"/>
      <c r="AT35" s="22"/>
      <c r="AU35" s="22"/>
      <c r="AV35" s="22"/>
      <c r="AW35" s="22"/>
      <c r="AX35" s="22"/>
      <c r="AY35" s="24"/>
      <c r="BC35" s="25" t="s">
        <v>232</v>
      </c>
      <c r="BD35" s="45">
        <v>196.6582630170486</v>
      </c>
      <c r="BE35" s="45">
        <v>3.1221013948652598</v>
      </c>
      <c r="BF35" s="45">
        <v>298.65731870727296</v>
      </c>
      <c r="BG35" s="45">
        <v>382.25958169939901</v>
      </c>
      <c r="BH35" s="45">
        <v>11.120489434093376</v>
      </c>
      <c r="BI35" s="45">
        <v>35.646331058143431</v>
      </c>
      <c r="BJ35" s="45">
        <v>46.792737239292236</v>
      </c>
      <c r="BK35" s="45">
        <v>0.56210067376704609</v>
      </c>
      <c r="BL35" s="45">
        <v>23.138539407997712</v>
      </c>
      <c r="BM35" s="45">
        <v>50.688265788643676</v>
      </c>
      <c r="BN35" s="45">
        <v>50.659597756409468</v>
      </c>
      <c r="BO35" s="45">
        <v>239.39824447227795</v>
      </c>
      <c r="BP35" s="45">
        <v>432.71195778058672</v>
      </c>
      <c r="BQ35" s="45">
        <v>175.16905334822755</v>
      </c>
      <c r="BR35" s="59">
        <v>1946.5845817780255</v>
      </c>
      <c r="BT35" s="25" t="s">
        <v>232</v>
      </c>
      <c r="BU35" s="24">
        <f t="shared" si="17"/>
        <v>10.102734032621353</v>
      </c>
      <c r="BV35" s="24">
        <f t="shared" si="31"/>
        <v>0.16038868406188178</v>
      </c>
      <c r="BW35" s="24">
        <f t="shared" si="32"/>
        <v>15.342632501202544</v>
      </c>
      <c r="BX35" s="24">
        <f t="shared" si="33"/>
        <v>19.637450397877913</v>
      </c>
      <c r="BY35" s="24">
        <f t="shared" si="34"/>
        <v>0.57128210806724022</v>
      </c>
      <c r="BZ35" s="24">
        <f t="shared" si="35"/>
        <v>1.8312243604428327</v>
      </c>
      <c r="CA35" s="24">
        <f t="shared" si="36"/>
        <v>2.4038378643969009</v>
      </c>
      <c r="CB35" s="24">
        <f t="shared" si="37"/>
        <v>2.8876252233212441E-2</v>
      </c>
      <c r="CC35" s="24">
        <f t="shared" si="38"/>
        <v>1.1886737224057733</v>
      </c>
      <c r="CD35" s="24">
        <f t="shared" si="39"/>
        <v>2.6039590708329055</v>
      </c>
      <c r="CE35" s="24">
        <f t="shared" si="40"/>
        <v>2.6024863358435004</v>
      </c>
      <c r="CF35" s="24">
        <f t="shared" si="41"/>
        <v>12.298373608487628</v>
      </c>
      <c r="CG35" s="24">
        <f t="shared" si="42"/>
        <v>22.229291335768426</v>
      </c>
      <c r="CH35" s="24">
        <f t="shared" si="43"/>
        <v>8.9987897257578595</v>
      </c>
      <c r="CI35" s="59">
        <v>1946.5845817780255</v>
      </c>
      <c r="CK35" s="65" t="s">
        <v>169</v>
      </c>
      <c r="CL35" s="22">
        <v>8.8521010037795271</v>
      </c>
      <c r="CM35" s="22">
        <v>2.3699199149596271</v>
      </c>
      <c r="CN35" s="22">
        <v>6.7983561650341624</v>
      </c>
      <c r="CO35" s="22">
        <v>4.3815333886557521</v>
      </c>
      <c r="CP35" s="22">
        <v>4.6311799191869012</v>
      </c>
      <c r="CQ35" s="22">
        <v>0.38892956060858436</v>
      </c>
      <c r="CR35" s="22">
        <v>0.14704922789582803</v>
      </c>
      <c r="CS35" s="22">
        <v>0.70271174694767735</v>
      </c>
      <c r="CT35" s="22">
        <v>0.25124344518203645</v>
      </c>
      <c r="CU35" s="22">
        <v>1.3825565665741437</v>
      </c>
      <c r="CV35" s="22">
        <v>0.87274709580192933</v>
      </c>
      <c r="CW35" s="22">
        <v>8.7743417439674847</v>
      </c>
      <c r="CX35" s="22">
        <v>4.2981402862933571</v>
      </c>
      <c r="CY35" s="22">
        <v>56.149189935112986</v>
      </c>
      <c r="CZ35" s="59">
        <v>67.39807390416118</v>
      </c>
    </row>
    <row r="36" spans="2:104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4"/>
      <c r="AK36" s="22"/>
      <c r="AL36" s="22"/>
      <c r="AM36" s="22"/>
      <c r="AN36" s="22"/>
      <c r="AO36" s="22"/>
      <c r="AT36" s="22"/>
      <c r="AU36" s="22"/>
      <c r="AV36" s="22"/>
      <c r="AW36" s="22"/>
      <c r="AX36" s="22"/>
      <c r="AY36" s="24"/>
      <c r="BC36" s="65" t="s">
        <v>234</v>
      </c>
      <c r="BD36" s="45">
        <v>220.54664421504623</v>
      </c>
      <c r="BE36" s="45">
        <v>24.919135638665892</v>
      </c>
      <c r="BF36" s="45">
        <v>896.0214242585904</v>
      </c>
      <c r="BG36" s="45">
        <v>522.60994997570333</v>
      </c>
      <c r="BH36" s="45">
        <v>324.05410503566617</v>
      </c>
      <c r="BI36" s="45">
        <v>99.152047699818283</v>
      </c>
      <c r="BJ36" s="45">
        <v>25.695650565661186</v>
      </c>
      <c r="BK36" s="45">
        <v>171.45773493273001</v>
      </c>
      <c r="BL36" s="45">
        <v>61.144182195425842</v>
      </c>
      <c r="BM36" s="45">
        <v>366.52973981884571</v>
      </c>
      <c r="BN36" s="45">
        <v>176.95135160641399</v>
      </c>
      <c r="BO36" s="45">
        <v>416.03804724526077</v>
      </c>
      <c r="BP36" s="45">
        <v>1125.5353820886414</v>
      </c>
      <c r="BQ36" s="45">
        <v>5692.5028479965613</v>
      </c>
      <c r="BR36" s="59">
        <v>10123.158243273032</v>
      </c>
      <c r="BT36" s="65" t="s">
        <v>234</v>
      </c>
      <c r="BU36" s="24">
        <f t="shared" si="17"/>
        <v>2.1786347591830078</v>
      </c>
      <c r="BV36" s="24">
        <f t="shared" si="31"/>
        <v>0.24615969680435429</v>
      </c>
      <c r="BW36" s="24">
        <f t="shared" si="32"/>
        <v>8.8512043645470833</v>
      </c>
      <c r="BX36" s="24">
        <f t="shared" si="33"/>
        <v>5.1625188248241045</v>
      </c>
      <c r="BY36" s="24">
        <f t="shared" si="34"/>
        <v>3.2011166599218606</v>
      </c>
      <c r="BZ36" s="24">
        <f t="shared" si="35"/>
        <v>0.97945764866123763</v>
      </c>
      <c r="CA36" s="24">
        <f t="shared" si="36"/>
        <v>0.25383037534493025</v>
      </c>
      <c r="CB36" s="24">
        <f t="shared" si="37"/>
        <v>1.6937178182181027</v>
      </c>
      <c r="CC36" s="24">
        <f t="shared" si="38"/>
        <v>0.6040030267832367</v>
      </c>
      <c r="CD36" s="24">
        <f t="shared" si="39"/>
        <v>3.6207054262182394</v>
      </c>
      <c r="CE36" s="24">
        <f t="shared" si="40"/>
        <v>1.747985632092637</v>
      </c>
      <c r="CF36" s="24">
        <f t="shared" si="41"/>
        <v>4.1097653246873165</v>
      </c>
      <c r="CG36" s="24">
        <f t="shared" si="42"/>
        <v>11.118421297390803</v>
      </c>
      <c r="CH36" s="24">
        <f t="shared" si="43"/>
        <v>56.232479145323076</v>
      </c>
      <c r="CI36" s="59">
        <v>10123.158243273032</v>
      </c>
      <c r="CK36" s="25" t="s">
        <v>195</v>
      </c>
      <c r="CL36" s="22">
        <v>18.630609307341896</v>
      </c>
      <c r="CM36" s="22">
        <v>1.0932944313991264</v>
      </c>
      <c r="CN36" s="22">
        <v>18.570070234666328</v>
      </c>
      <c r="CO36" s="22">
        <v>1.1468528169048977</v>
      </c>
      <c r="CP36" s="22">
        <v>1.7978087468125885</v>
      </c>
      <c r="CQ36" s="22">
        <v>16.802992938016555</v>
      </c>
      <c r="CR36" s="22">
        <v>0.75539725181921691</v>
      </c>
      <c r="CS36" s="22">
        <v>0.15209631226618672</v>
      </c>
      <c r="CT36" s="22">
        <v>16.702904294752077</v>
      </c>
      <c r="CU36" s="22">
        <v>0.70123885899852345</v>
      </c>
      <c r="CV36" s="22">
        <v>0.6550528393717735</v>
      </c>
      <c r="CW36" s="22">
        <v>1.3186924965575866</v>
      </c>
      <c r="CX36" s="22">
        <v>10.935208687989157</v>
      </c>
      <c r="CY36" s="22">
        <v>10.737780783104078</v>
      </c>
      <c r="CZ36" s="59">
        <v>57.927176990748904</v>
      </c>
    </row>
    <row r="37" spans="2:104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4"/>
      <c r="AK37" s="22"/>
      <c r="AL37" s="22"/>
      <c r="AM37" s="22"/>
      <c r="AN37" s="22"/>
      <c r="AO37" s="22"/>
      <c r="AT37" s="22"/>
      <c r="AU37" s="22"/>
      <c r="AV37" s="22"/>
      <c r="AW37" s="22"/>
      <c r="AX37" s="22"/>
      <c r="AY37" s="24"/>
      <c r="BC37" s="65" t="s">
        <v>236</v>
      </c>
      <c r="BD37" s="45">
        <v>193.49219336161133</v>
      </c>
      <c r="BE37" s="45">
        <v>1.0587239047117816</v>
      </c>
      <c r="BF37" s="45">
        <v>67.138965409993475</v>
      </c>
      <c r="BG37" s="45">
        <v>9.9234214781319636</v>
      </c>
      <c r="BH37" s="45">
        <v>7.8780868983082328</v>
      </c>
      <c r="BI37" s="45">
        <v>31.652205535450818</v>
      </c>
      <c r="BJ37" s="45">
        <v>8.7257327481206541</v>
      </c>
      <c r="BK37" s="45">
        <v>15.977559795127142</v>
      </c>
      <c r="BL37" s="45">
        <v>29.531916839715713</v>
      </c>
      <c r="BM37" s="45">
        <v>15.739376702752294</v>
      </c>
      <c r="BN37" s="45">
        <v>12.35988828863522</v>
      </c>
      <c r="BO37" s="45">
        <v>57.049950912991328</v>
      </c>
      <c r="BP37" s="45">
        <v>27.553327036087662</v>
      </c>
      <c r="BQ37" s="45">
        <v>229.18229351917645</v>
      </c>
      <c r="BR37" s="59">
        <v>707.26364243081412</v>
      </c>
      <c r="BT37" s="65" t="s">
        <v>236</v>
      </c>
      <c r="BU37" s="24">
        <f t="shared" si="17"/>
        <v>27.357859467594377</v>
      </c>
      <c r="BV37" s="24">
        <f t="shared" si="31"/>
        <v>0.14969296330192003</v>
      </c>
      <c r="BW37" s="24">
        <f t="shared" si="32"/>
        <v>9.4927777114686247</v>
      </c>
      <c r="BX37" s="24">
        <f t="shared" si="33"/>
        <v>1.4030724729502395</v>
      </c>
      <c r="BY37" s="24">
        <f t="shared" si="34"/>
        <v>1.1138826352266344</v>
      </c>
      <c r="BZ37" s="24">
        <f t="shared" si="35"/>
        <v>4.4753050540905042</v>
      </c>
      <c r="CA37" s="24">
        <f t="shared" si="36"/>
        <v>1.2337312742573534</v>
      </c>
      <c r="CB37" s="24">
        <f t="shared" si="37"/>
        <v>2.2590670347783495</v>
      </c>
      <c r="CC37" s="24">
        <f t="shared" si="38"/>
        <v>4.1755174545967959</v>
      </c>
      <c r="CD37" s="24">
        <f t="shared" si="39"/>
        <v>2.2253903295038877</v>
      </c>
      <c r="CE37" s="24">
        <f t="shared" si="40"/>
        <v>1.7475644932284622</v>
      </c>
      <c r="CF37" s="24">
        <f t="shared" si="41"/>
        <v>8.0662920430795459</v>
      </c>
      <c r="CG37" s="24">
        <f t="shared" si="42"/>
        <v>3.8957646601752161</v>
      </c>
      <c r="CH37" s="24">
        <f t="shared" si="43"/>
        <v>32.404082405748078</v>
      </c>
      <c r="CI37" s="59">
        <v>707.26364243081412</v>
      </c>
      <c r="CK37" s="65" t="s">
        <v>201</v>
      </c>
      <c r="CL37" s="22">
        <v>19.094616261030005</v>
      </c>
      <c r="CM37" s="22">
        <v>4.1811765825874652</v>
      </c>
      <c r="CN37" s="22">
        <v>3.4511229191893067</v>
      </c>
      <c r="CO37" s="22">
        <v>3.4897281634509425</v>
      </c>
      <c r="CP37" s="22">
        <v>5.9512039413395756</v>
      </c>
      <c r="CQ37" s="22">
        <v>2.2627544997219617</v>
      </c>
      <c r="CR37" s="22">
        <v>0.4664174825669537</v>
      </c>
      <c r="CS37" s="22">
        <v>8.2944298941259348E-2</v>
      </c>
      <c r="CT37" s="22">
        <v>0.94677266381965541</v>
      </c>
      <c r="CU37" s="22">
        <v>1.7177614684898816</v>
      </c>
      <c r="CV37" s="22">
        <v>1.3263281692498976</v>
      </c>
      <c r="CW37" s="22">
        <v>3.9298907002573458</v>
      </c>
      <c r="CX37" s="22">
        <v>9.8321452100312694</v>
      </c>
      <c r="CY37" s="22">
        <v>43.267137639324474</v>
      </c>
      <c r="CZ37" s="59">
        <v>55.968238221817558</v>
      </c>
    </row>
    <row r="38" spans="2:104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4"/>
      <c r="AK38" s="22"/>
      <c r="AL38" s="22"/>
      <c r="AM38" s="22"/>
      <c r="AN38" s="22"/>
      <c r="AO38" s="22"/>
      <c r="AT38" s="22"/>
      <c r="AU38" s="22"/>
      <c r="AV38" s="22"/>
      <c r="AW38" s="22"/>
      <c r="AX38" s="22"/>
      <c r="AY38" s="24"/>
      <c r="BC38" s="25" t="s">
        <v>238</v>
      </c>
      <c r="BD38" s="45">
        <v>42.452859440310782</v>
      </c>
      <c r="BE38" s="45">
        <v>0.4379067293276066</v>
      </c>
      <c r="BF38" s="45">
        <v>10.396247924160127</v>
      </c>
      <c r="BG38" s="45">
        <v>5.2251411951677778</v>
      </c>
      <c r="BH38" s="45">
        <v>2.6194072061319607</v>
      </c>
      <c r="BI38" s="45">
        <v>8.8085184146352464</v>
      </c>
      <c r="BJ38" s="45">
        <v>1.966376894074833</v>
      </c>
      <c r="BK38" s="45">
        <v>6.4216690979363333</v>
      </c>
      <c r="BL38" s="45">
        <v>5.948410793223859</v>
      </c>
      <c r="BM38" s="45">
        <v>14.082161254545069</v>
      </c>
      <c r="BN38" s="45">
        <v>7.4940406179516108</v>
      </c>
      <c r="BO38" s="45">
        <v>28.53151176382017</v>
      </c>
      <c r="BP38" s="45">
        <v>9.6444997913360186</v>
      </c>
      <c r="BQ38" s="45">
        <v>161.67258332592905</v>
      </c>
      <c r="BR38" s="59">
        <v>305.70133444855048</v>
      </c>
      <c r="BT38" s="25" t="s">
        <v>238</v>
      </c>
      <c r="BU38" s="24">
        <f t="shared" si="17"/>
        <v>13.887037659449797</v>
      </c>
      <c r="BV38" s="24">
        <f t="shared" si="31"/>
        <v>0.14324658743068269</v>
      </c>
      <c r="BW38" s="24">
        <f t="shared" si="32"/>
        <v>3.4007859150872677</v>
      </c>
      <c r="BX38" s="24">
        <f t="shared" si="33"/>
        <v>1.709230744639477</v>
      </c>
      <c r="BY38" s="24">
        <f t="shared" si="34"/>
        <v>0.85685174088528782</v>
      </c>
      <c r="BZ38" s="24">
        <f t="shared" si="35"/>
        <v>2.881413138259532</v>
      </c>
      <c r="CA38" s="24">
        <f t="shared" si="36"/>
        <v>0.64323464522061946</v>
      </c>
      <c r="CB38" s="24">
        <f t="shared" si="37"/>
        <v>2.1006349578160251</v>
      </c>
      <c r="CC38" s="24">
        <f t="shared" si="38"/>
        <v>1.9458242810598447</v>
      </c>
      <c r="CD38" s="24">
        <f t="shared" si="39"/>
        <v>4.6065095790136619</v>
      </c>
      <c r="CE38" s="24">
        <f t="shared" si="40"/>
        <v>2.4514255495384032</v>
      </c>
      <c r="CF38" s="24">
        <f t="shared" si="41"/>
        <v>9.333132881244266</v>
      </c>
      <c r="CG38" s="24">
        <f t="shared" si="42"/>
        <v>3.1548765754436667</v>
      </c>
      <c r="CH38" s="24">
        <f t="shared" si="43"/>
        <v>52.885795744911455</v>
      </c>
      <c r="CI38" s="59">
        <v>305.70133444855048</v>
      </c>
      <c r="CK38" s="65" t="s">
        <v>207</v>
      </c>
      <c r="CL38" s="22">
        <v>11.176076751073236</v>
      </c>
      <c r="CM38" s="22">
        <v>0.90059832147394614</v>
      </c>
      <c r="CN38" s="22">
        <v>3.9106618883309769</v>
      </c>
      <c r="CO38" s="22">
        <v>1.8648743876720726</v>
      </c>
      <c r="CP38" s="22">
        <v>1.550779262222781</v>
      </c>
      <c r="CQ38" s="22">
        <v>0.81861688537199029</v>
      </c>
      <c r="CR38" s="22">
        <v>0.2626894567709846</v>
      </c>
      <c r="CS38" s="22">
        <v>0.38851891223964824</v>
      </c>
      <c r="CT38" s="22">
        <v>0.59357527202502736</v>
      </c>
      <c r="CU38" s="22">
        <v>2.0893516230191174</v>
      </c>
      <c r="CV38" s="22">
        <v>1.2978316383886419</v>
      </c>
      <c r="CW38" s="22">
        <v>9.4518317917809913</v>
      </c>
      <c r="CX38" s="22">
        <v>1.9987731249317175</v>
      </c>
      <c r="CY38" s="22">
        <v>63.695820684698866</v>
      </c>
      <c r="CZ38" s="59">
        <v>45.973514723287913</v>
      </c>
    </row>
    <row r="39" spans="2:104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4"/>
      <c r="AK39" s="22"/>
      <c r="AL39" s="22"/>
      <c r="AM39" s="22"/>
      <c r="AN39" s="22"/>
      <c r="AO39" s="22"/>
      <c r="AT39" s="22"/>
      <c r="AU39" s="22"/>
      <c r="AV39" s="22"/>
      <c r="AW39" s="22"/>
      <c r="AX39" s="22"/>
      <c r="AY39" s="24"/>
      <c r="BC39" s="25" t="s">
        <v>240</v>
      </c>
      <c r="BD39" s="24">
        <v>5.4977812598922906</v>
      </c>
      <c r="BE39" s="24">
        <v>0.22749742069558179</v>
      </c>
      <c r="BF39" s="24">
        <v>2.2368150383922547</v>
      </c>
      <c r="BG39" s="24">
        <v>0.94321536383734816</v>
      </c>
      <c r="BH39" s="24">
        <v>0.46767799583571334</v>
      </c>
      <c r="BI39" s="24">
        <v>0.30054470576416686</v>
      </c>
      <c r="BJ39" s="24">
        <v>0.13548486937175888</v>
      </c>
      <c r="BK39" s="24">
        <v>0.21599895602765332</v>
      </c>
      <c r="BL39" s="24">
        <v>0.16200039329863125</v>
      </c>
      <c r="BM39" s="24">
        <v>0.66141085371625019</v>
      </c>
      <c r="BN39" s="24">
        <v>0.37878788036998545</v>
      </c>
      <c r="BO39" s="24">
        <v>1.8926243421063791</v>
      </c>
      <c r="BP39" s="24">
        <v>1.022255244301508</v>
      </c>
      <c r="BQ39" s="24">
        <v>12.187540970639652</v>
      </c>
      <c r="BR39" s="29">
        <v>26.329635294249172</v>
      </c>
      <c r="BT39" s="25" t="s">
        <v>240</v>
      </c>
      <c r="BU39" s="24">
        <f t="shared" si="17"/>
        <v>20.880582653163817</v>
      </c>
      <c r="BV39" s="24">
        <f t="shared" si="31"/>
        <v>0.86403559393498697</v>
      </c>
      <c r="BW39" s="24">
        <f t="shared" si="32"/>
        <v>8.4954273517066614</v>
      </c>
      <c r="BX39" s="24">
        <f t="shared" si="33"/>
        <v>3.5823335693653231</v>
      </c>
      <c r="BY39" s="24">
        <f t="shared" si="34"/>
        <v>1.7762418302005951</v>
      </c>
      <c r="BZ39" s="24">
        <f t="shared" si="35"/>
        <v>1.1414693078935687</v>
      </c>
      <c r="CA39" s="24">
        <f t="shared" si="36"/>
        <v>0.5145717662156567</v>
      </c>
      <c r="CB39" s="24">
        <f t="shared" si="37"/>
        <v>0.82036440540758671</v>
      </c>
      <c r="CC39" s="24">
        <f t="shared" si="38"/>
        <v>0.61527777156113828</v>
      </c>
      <c r="CD39" s="24">
        <f t="shared" si="39"/>
        <v>2.512039556661513</v>
      </c>
      <c r="CE39" s="24">
        <f t="shared" si="40"/>
        <v>1.4386370192249454</v>
      </c>
      <c r="CF39" s="24">
        <f t="shared" si="41"/>
        <v>7.1881904969635464</v>
      </c>
      <c r="CG39" s="24">
        <f t="shared" si="42"/>
        <v>3.882527170912943</v>
      </c>
      <c r="CH39" s="24">
        <f t="shared" si="43"/>
        <v>46.288301506787725</v>
      </c>
      <c r="CI39" s="29">
        <v>26.329635294249172</v>
      </c>
      <c r="CK39" s="25" t="s">
        <v>250</v>
      </c>
      <c r="CL39" s="22">
        <v>12.384611938484095</v>
      </c>
      <c r="CM39" s="22">
        <v>0.94049390244930542</v>
      </c>
      <c r="CN39" s="22">
        <v>7.9105860352763111</v>
      </c>
      <c r="CO39" s="22">
        <v>4.5832862644506873</v>
      </c>
      <c r="CP39" s="22">
        <v>3.1526237731073365</v>
      </c>
      <c r="CQ39" s="22">
        <v>1.342872141426162</v>
      </c>
      <c r="CR39" s="22">
        <v>0.45994045514740622</v>
      </c>
      <c r="CS39" s="22">
        <v>1.3669488747452549</v>
      </c>
      <c r="CT39" s="22">
        <v>0.73230438713185553</v>
      </c>
      <c r="CU39" s="22">
        <v>3.8498322106430836</v>
      </c>
      <c r="CV39" s="22">
        <v>1.9759255193032652</v>
      </c>
      <c r="CW39" s="22">
        <v>3.9906859514686492</v>
      </c>
      <c r="CX39" s="22">
        <v>9.0841485478980282</v>
      </c>
      <c r="CY39" s="22">
        <v>48.225739998468555</v>
      </c>
      <c r="CZ39" s="29">
        <v>40.869824758328221</v>
      </c>
    </row>
    <row r="40" spans="2:104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4"/>
      <c r="AK40" s="22"/>
      <c r="AL40" s="22"/>
      <c r="AM40" s="22"/>
      <c r="AN40" s="22"/>
      <c r="AO40" s="22"/>
      <c r="AT40" s="22"/>
      <c r="AU40" s="22"/>
      <c r="AV40" s="22"/>
      <c r="AW40" s="22"/>
      <c r="AX40" s="22"/>
      <c r="AY40" s="24"/>
      <c r="BC40" s="25" t="s">
        <v>242</v>
      </c>
      <c r="BD40" s="24">
        <v>6.2150273180993114</v>
      </c>
      <c r="BE40" s="24">
        <v>0.23121118994107398</v>
      </c>
      <c r="BF40" s="24">
        <v>0.88173363759641588</v>
      </c>
      <c r="BG40" s="24">
        <v>0.61885934349170668</v>
      </c>
      <c r="BH40" s="24">
        <v>0.36872093397032757</v>
      </c>
      <c r="BI40" s="24">
        <v>0.2516114091819554</v>
      </c>
      <c r="BJ40" s="24">
        <v>0.14076423243224198</v>
      </c>
      <c r="BK40" s="24">
        <v>0.27755972642936722</v>
      </c>
      <c r="BL40" s="24">
        <v>0.13587820383409888</v>
      </c>
      <c r="BM40" s="24">
        <v>0.76504326193058336</v>
      </c>
      <c r="BN40" s="24">
        <v>0.40339933197694988</v>
      </c>
      <c r="BO40" s="24">
        <v>0.46777474452466339</v>
      </c>
      <c r="BP40" s="24">
        <v>2.0969888542967325</v>
      </c>
      <c r="BQ40" s="24">
        <v>15.626522295104753</v>
      </c>
      <c r="BR40" s="29">
        <v>28.481094482810178</v>
      </c>
      <c r="BT40" s="25" t="s">
        <v>242</v>
      </c>
      <c r="BU40" s="24">
        <f t="shared" si="17"/>
        <v>21.821588780060413</v>
      </c>
      <c r="BV40" s="24">
        <f t="shared" si="31"/>
        <v>0.81180584573609682</v>
      </c>
      <c r="BW40" s="24">
        <f t="shared" si="32"/>
        <v>3.0958558777598522</v>
      </c>
      <c r="BX40" s="24">
        <f t="shared" si="33"/>
        <v>2.1728776745753944</v>
      </c>
      <c r="BY40" s="24">
        <f t="shared" si="34"/>
        <v>1.2946164487915655</v>
      </c>
      <c r="BZ40" s="24">
        <f t="shared" si="35"/>
        <v>0.88343307640026247</v>
      </c>
      <c r="CA40" s="24">
        <f t="shared" si="36"/>
        <v>0.49423744061942748</v>
      </c>
      <c r="CB40" s="24">
        <f t="shared" si="37"/>
        <v>0.97454023965577918</v>
      </c>
      <c r="CC40" s="24">
        <f t="shared" si="38"/>
        <v>0.47708210060574902</v>
      </c>
      <c r="CD40" s="24">
        <f t="shared" si="39"/>
        <v>2.6861441802818598</v>
      </c>
      <c r="CE40" s="24">
        <f t="shared" si="40"/>
        <v>1.4163758075393569</v>
      </c>
      <c r="CF40" s="24">
        <f t="shared" si="41"/>
        <v>1.642404384448743</v>
      </c>
      <c r="CG40" s="24">
        <f t="shared" si="42"/>
        <v>7.3627397133996189</v>
      </c>
      <c r="CH40" s="24">
        <f t="shared" si="43"/>
        <v>54.866298430125894</v>
      </c>
      <c r="CI40" s="29">
        <v>28.481094482810178</v>
      </c>
      <c r="CK40" s="25" t="s">
        <v>246</v>
      </c>
      <c r="CL40" s="22">
        <v>16.310923728375219</v>
      </c>
      <c r="CM40" s="22">
        <v>3.6703106547987598</v>
      </c>
      <c r="CN40" s="22">
        <v>5.4201249747159199</v>
      </c>
      <c r="CO40" s="22">
        <v>4.3466637022514512</v>
      </c>
      <c r="CP40" s="22">
        <v>5.3335200922954957</v>
      </c>
      <c r="CQ40" s="22">
        <v>0.73335118633993102</v>
      </c>
      <c r="CR40" s="22">
        <v>0.37118510798206672</v>
      </c>
      <c r="CS40" s="22">
        <v>0.43381891653343646</v>
      </c>
      <c r="CT40" s="22">
        <v>0.33376888458125398</v>
      </c>
      <c r="CU40" s="22">
        <v>2.004032673743084</v>
      </c>
      <c r="CV40" s="22">
        <v>1.3773562960282699</v>
      </c>
      <c r="CW40" s="22">
        <v>4.3510169823836629</v>
      </c>
      <c r="CX40" s="22">
        <v>7.9296716809628975</v>
      </c>
      <c r="CY40" s="22">
        <v>47.384255119008557</v>
      </c>
      <c r="CZ40" s="29">
        <v>33.438457743231837</v>
      </c>
    </row>
    <row r="41" spans="2:104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4"/>
      <c r="AK41" s="22"/>
      <c r="AL41" s="22"/>
      <c r="AM41" s="22"/>
      <c r="AN41" s="22"/>
      <c r="AO41" s="22"/>
      <c r="AT41" s="22"/>
      <c r="AU41" s="22"/>
      <c r="AV41" s="22"/>
      <c r="AW41" s="22"/>
      <c r="AX41" s="22"/>
      <c r="AY41" s="24"/>
      <c r="BC41" s="25" t="s">
        <v>244</v>
      </c>
      <c r="BD41" s="24">
        <v>5.3111540470089897</v>
      </c>
      <c r="BE41" s="24">
        <v>0.19589168729236831</v>
      </c>
      <c r="BF41" s="24">
        <v>0.93918907335522961</v>
      </c>
      <c r="BG41" s="24">
        <v>0.31877231911302956</v>
      </c>
      <c r="BH41" s="24">
        <v>0.26429798439080021</v>
      </c>
      <c r="BI41" s="24">
        <v>0.32343609142645763</v>
      </c>
      <c r="BJ41" s="24">
        <v>0.15683406264661082</v>
      </c>
      <c r="BK41" s="24">
        <v>0.10173491748476789</v>
      </c>
      <c r="BL41" s="24">
        <v>0.23292996009398714</v>
      </c>
      <c r="BM41" s="24">
        <v>0.45921359536109613</v>
      </c>
      <c r="BN41" s="24">
        <v>0.43356965889729399</v>
      </c>
      <c r="BO41" s="24">
        <v>1.2572462873431416</v>
      </c>
      <c r="BP41" s="24">
        <v>1.3601680101463489</v>
      </c>
      <c r="BQ41" s="24">
        <v>8.433111201871661</v>
      </c>
      <c r="BR41" s="29">
        <v>19.78754889643178</v>
      </c>
      <c r="BT41" s="25" t="s">
        <v>244</v>
      </c>
      <c r="BU41" s="24">
        <f t="shared" si="17"/>
        <v>26.840889060123725</v>
      </c>
      <c r="BV41" s="24">
        <f t="shared" si="31"/>
        <v>0.9899744951619186</v>
      </c>
      <c r="BW41" s="24">
        <f t="shared" si="32"/>
        <v>4.7463638789774025</v>
      </c>
      <c r="BX41" s="24">
        <f t="shared" si="33"/>
        <v>1.6109742585172468</v>
      </c>
      <c r="BY41" s="24">
        <f t="shared" si="34"/>
        <v>1.3356782377349432</v>
      </c>
      <c r="BZ41" s="24">
        <f t="shared" si="35"/>
        <v>1.6345434854985081</v>
      </c>
      <c r="CA41" s="24">
        <f t="shared" si="36"/>
        <v>0.79258964042227664</v>
      </c>
      <c r="CB41" s="24">
        <f t="shared" si="37"/>
        <v>0.51413602572632633</v>
      </c>
      <c r="CC41" s="24">
        <f t="shared" si="38"/>
        <v>1.1771541857616867</v>
      </c>
      <c r="CD41" s="24">
        <f t="shared" si="39"/>
        <v>2.320719952555137</v>
      </c>
      <c r="CE41" s="24">
        <f t="shared" si="40"/>
        <v>2.1911236261075171</v>
      </c>
      <c r="CF41" s="24">
        <f t="shared" si="41"/>
        <v>6.3537242228614605</v>
      </c>
      <c r="CG41" s="24">
        <f t="shared" si="42"/>
        <v>6.8738579864817071</v>
      </c>
      <c r="CH41" s="24">
        <f t="shared" si="43"/>
        <v>42.618270944070161</v>
      </c>
      <c r="CI41" s="29">
        <v>19.78754889643178</v>
      </c>
      <c r="CK41" s="25" t="s">
        <v>242</v>
      </c>
      <c r="CL41" s="22">
        <v>21.821588780060413</v>
      </c>
      <c r="CM41" s="22">
        <v>0.81180584573609682</v>
      </c>
      <c r="CN41" s="22">
        <v>3.0958558777598522</v>
      </c>
      <c r="CO41" s="22">
        <v>2.1728776745753944</v>
      </c>
      <c r="CP41" s="22">
        <v>1.2946164487915655</v>
      </c>
      <c r="CQ41" s="22">
        <v>0.88343307640026247</v>
      </c>
      <c r="CR41" s="22">
        <v>0.49423744061942748</v>
      </c>
      <c r="CS41" s="22">
        <v>0.97454023965577918</v>
      </c>
      <c r="CT41" s="22">
        <v>0.47708210060574902</v>
      </c>
      <c r="CU41" s="22">
        <v>2.6861441802818598</v>
      </c>
      <c r="CV41" s="22">
        <v>1.4163758075393569</v>
      </c>
      <c r="CW41" s="22">
        <v>1.642404384448743</v>
      </c>
      <c r="CX41" s="22">
        <v>7.3627397133996189</v>
      </c>
      <c r="CY41" s="22">
        <v>54.866298430125894</v>
      </c>
      <c r="CZ41" s="29">
        <v>28.481094482810178</v>
      </c>
    </row>
    <row r="42" spans="2:104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4"/>
      <c r="AK42" s="22"/>
      <c r="AL42" s="22"/>
      <c r="AM42" s="22"/>
      <c r="AN42" s="22"/>
      <c r="AO42" s="22"/>
      <c r="AT42" s="22"/>
      <c r="AU42" s="22"/>
      <c r="AV42" s="22"/>
      <c r="AW42" s="22"/>
      <c r="AX42" s="22"/>
      <c r="AY42" s="24"/>
      <c r="BC42" s="25" t="s">
        <v>246</v>
      </c>
      <c r="BD42" s="24">
        <v>5.4541213384435219</v>
      </c>
      <c r="BE42" s="24">
        <v>1.227295277350219</v>
      </c>
      <c r="BF42" s="24">
        <v>1.8124061993007381</v>
      </c>
      <c r="BG42" s="24">
        <v>1.453457305317748</v>
      </c>
      <c r="BH42" s="24">
        <v>1.7834468622890089</v>
      </c>
      <c r="BI42" s="24">
        <v>0.24522132655376722</v>
      </c>
      <c r="BJ42" s="24">
        <v>0.12411857548175284</v>
      </c>
      <c r="BK42" s="24">
        <v>0.14506235508717932</v>
      </c>
      <c r="BL42" s="24">
        <v>0.11160716743075885</v>
      </c>
      <c r="BM42" s="24">
        <v>0.67011761877014031</v>
      </c>
      <c r="BN42" s="24">
        <v>0.46056670302115621</v>
      </c>
      <c r="BO42" s="24">
        <v>1.4549129750552021</v>
      </c>
      <c r="BP42" s="24">
        <v>2.6515599142158002</v>
      </c>
      <c r="BQ42" s="24">
        <v>15.844564124914845</v>
      </c>
      <c r="BR42" s="29">
        <v>33.438457743231837</v>
      </c>
      <c r="BT42" s="25" t="s">
        <v>246</v>
      </c>
      <c r="BU42" s="24">
        <f t="shared" si="17"/>
        <v>16.310923728375219</v>
      </c>
      <c r="BV42" s="24">
        <f t="shared" si="31"/>
        <v>3.6703106547987598</v>
      </c>
      <c r="BW42" s="24">
        <f t="shared" si="32"/>
        <v>5.4201249747159199</v>
      </c>
      <c r="BX42" s="24">
        <f t="shared" si="33"/>
        <v>4.3466637022514512</v>
      </c>
      <c r="BY42" s="24">
        <f t="shared" si="34"/>
        <v>5.3335200922954957</v>
      </c>
      <c r="BZ42" s="24">
        <f t="shared" si="35"/>
        <v>0.73335118633993102</v>
      </c>
      <c r="CA42" s="24">
        <f t="shared" si="36"/>
        <v>0.37118510798206672</v>
      </c>
      <c r="CB42" s="24">
        <f t="shared" si="37"/>
        <v>0.43381891653343646</v>
      </c>
      <c r="CC42" s="24">
        <f t="shared" si="38"/>
        <v>0.33376888458125398</v>
      </c>
      <c r="CD42" s="24">
        <f t="shared" si="39"/>
        <v>2.004032673743084</v>
      </c>
      <c r="CE42" s="24">
        <f t="shared" si="40"/>
        <v>1.3773562960282699</v>
      </c>
      <c r="CF42" s="24">
        <f t="shared" si="41"/>
        <v>4.3510169823836629</v>
      </c>
      <c r="CG42" s="24">
        <f t="shared" si="42"/>
        <v>7.9296716809628975</v>
      </c>
      <c r="CH42" s="24">
        <f t="shared" si="43"/>
        <v>47.384255119008557</v>
      </c>
      <c r="CI42" s="29">
        <v>33.438457743231837</v>
      </c>
      <c r="CK42" s="65" t="s">
        <v>218</v>
      </c>
      <c r="CL42" s="22">
        <v>18.540831825084286</v>
      </c>
      <c r="CM42" s="22">
        <v>0.92248941141383056</v>
      </c>
      <c r="CN42" s="22">
        <v>9.6044615237627973</v>
      </c>
      <c r="CO42" s="22">
        <v>4.5809060099753296</v>
      </c>
      <c r="CP42" s="22">
        <v>2.055525610711078</v>
      </c>
      <c r="CQ42" s="22">
        <v>1.0443882369163087</v>
      </c>
      <c r="CR42" s="22">
        <v>0.41299591157746335</v>
      </c>
      <c r="CS42" s="22">
        <v>0.9766931872454957</v>
      </c>
      <c r="CT42" s="22">
        <v>0.4568061640172873</v>
      </c>
      <c r="CU42" s="22">
        <v>2.0891030265481203</v>
      </c>
      <c r="CV42" s="22">
        <v>1.1694234472893628</v>
      </c>
      <c r="CW42" s="22">
        <v>8.4060128025355159</v>
      </c>
      <c r="CX42" s="22">
        <v>1.3767417238886743</v>
      </c>
      <c r="CY42" s="22">
        <v>48.363621119034441</v>
      </c>
      <c r="CZ42" s="59">
        <v>26.832977956535146</v>
      </c>
    </row>
    <row r="43" spans="2:104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4"/>
      <c r="AK43" s="22"/>
      <c r="AL43" s="22"/>
      <c r="AM43" s="22"/>
      <c r="AN43" s="22"/>
      <c r="AO43" s="22"/>
      <c r="AT43" s="22"/>
      <c r="AU43" s="22"/>
      <c r="AV43" s="22"/>
      <c r="AW43" s="22"/>
      <c r="AX43" s="22"/>
      <c r="AY43" s="24"/>
      <c r="BC43" s="25" t="s">
        <v>248</v>
      </c>
      <c r="BD43" s="24">
        <v>5.0839826585564047</v>
      </c>
      <c r="BE43" s="24">
        <v>0.56736272071367377</v>
      </c>
      <c r="BF43" s="24">
        <v>0.41077381009881742</v>
      </c>
      <c r="BG43" s="24">
        <v>0.48718762181276548</v>
      </c>
      <c r="BH43" s="24">
        <v>0.60137231435177707</v>
      </c>
      <c r="BI43" s="24">
        <v>0.15053529860022344</v>
      </c>
      <c r="BJ43" s="24">
        <v>8.5967940517931912E-2</v>
      </c>
      <c r="BK43" s="24">
        <v>0.12052843822652036</v>
      </c>
      <c r="BL43" s="24">
        <v>5.3017566371902497E-2</v>
      </c>
      <c r="BM43" s="24">
        <v>0.25428836477163602</v>
      </c>
      <c r="BN43" s="24">
        <v>0.18145280306449349</v>
      </c>
      <c r="BO43" s="24">
        <v>0.18001929734659644</v>
      </c>
      <c r="BP43" s="24">
        <v>1.2530120401316702</v>
      </c>
      <c r="BQ43" s="24">
        <v>6.1132994912766261</v>
      </c>
      <c r="BR43" s="29">
        <v>15.542800365841039</v>
      </c>
      <c r="BT43" s="25" t="s">
        <v>248</v>
      </c>
      <c r="BU43" s="24">
        <f t="shared" si="17"/>
        <v>32.709566737598031</v>
      </c>
      <c r="BV43" s="24">
        <f t="shared" si="31"/>
        <v>3.650324956631283</v>
      </c>
      <c r="BW43" s="24">
        <f t="shared" si="32"/>
        <v>2.642855858855329</v>
      </c>
      <c r="BX43" s="24">
        <f t="shared" si="33"/>
        <v>3.1344906345414749</v>
      </c>
      <c r="BY43" s="24">
        <f t="shared" si="34"/>
        <v>3.8691374797133351</v>
      </c>
      <c r="BZ43" s="24">
        <f t="shared" si="35"/>
        <v>0.96852108408379334</v>
      </c>
      <c r="CA43" s="24">
        <f t="shared" si="36"/>
        <v>0.55310457893332199</v>
      </c>
      <c r="CB43" s="24">
        <f t="shared" si="37"/>
        <v>0.77546153453408539</v>
      </c>
      <c r="CC43" s="24">
        <f t="shared" si="38"/>
        <v>0.34110691203639903</v>
      </c>
      <c r="CD43" s="24">
        <f t="shared" si="39"/>
        <v>1.6360524409133799</v>
      </c>
      <c r="CE43" s="24">
        <f t="shared" si="40"/>
        <v>1.1674395784126439</v>
      </c>
      <c r="CF43" s="24">
        <f t="shared" si="41"/>
        <v>1.158216621904449</v>
      </c>
      <c r="CG43" s="24">
        <f t="shared" si="42"/>
        <v>8.0616877952409336</v>
      </c>
      <c r="CH43" s="24">
        <f t="shared" si="43"/>
        <v>39.332033786601542</v>
      </c>
      <c r="CI43" s="29">
        <v>15.542800365841039</v>
      </c>
      <c r="CK43" s="25" t="s">
        <v>240</v>
      </c>
      <c r="CL43" s="22">
        <v>20.880582653163817</v>
      </c>
      <c r="CM43" s="22">
        <v>0.86403559393498697</v>
      </c>
      <c r="CN43" s="22">
        <v>8.4954273517066614</v>
      </c>
      <c r="CO43" s="22">
        <v>3.5823335693653231</v>
      </c>
      <c r="CP43" s="22">
        <v>1.7762418302005951</v>
      </c>
      <c r="CQ43" s="22">
        <v>1.1414693078935687</v>
      </c>
      <c r="CR43" s="22">
        <v>0.5145717662156567</v>
      </c>
      <c r="CS43" s="22">
        <v>0.82036440540758671</v>
      </c>
      <c r="CT43" s="22">
        <v>0.61527777156113828</v>
      </c>
      <c r="CU43" s="22">
        <v>2.512039556661513</v>
      </c>
      <c r="CV43" s="22">
        <v>1.4386370192249454</v>
      </c>
      <c r="CW43" s="22">
        <v>7.1881904969635464</v>
      </c>
      <c r="CX43" s="22">
        <v>3.882527170912943</v>
      </c>
      <c r="CY43" s="22">
        <v>46.288301506787725</v>
      </c>
      <c r="CZ43" s="29">
        <v>26.329635294249172</v>
      </c>
    </row>
    <row r="44" spans="2:10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4"/>
      <c r="AK44" s="22"/>
      <c r="AL44" s="22"/>
      <c r="AM44" s="22"/>
      <c r="AN44" s="22"/>
      <c r="AO44" s="22"/>
      <c r="AT44" s="22"/>
      <c r="AU44" s="22"/>
      <c r="AV44" s="22"/>
      <c r="AW44" s="22"/>
      <c r="AX44" s="22"/>
      <c r="AY44" s="24"/>
      <c r="BC44" s="25" t="s">
        <v>250</v>
      </c>
      <c r="BD44" s="24">
        <v>5.0615691962574454</v>
      </c>
      <c r="BE44" s="24">
        <v>0.3843782097937935</v>
      </c>
      <c r="BF44" s="24">
        <v>3.2330426499742124</v>
      </c>
      <c r="BG44" s="24">
        <v>1.8731810644535236</v>
      </c>
      <c r="BH44" s="24">
        <v>1.2884718113583635</v>
      </c>
      <c r="BI44" s="24">
        <v>0.5488294909292819</v>
      </c>
      <c r="BJ44" s="24">
        <v>0.18797685801140213</v>
      </c>
      <c r="BK44" s="24">
        <v>0.55866960964432522</v>
      </c>
      <c r="BL44" s="24">
        <v>0.29929151971833884</v>
      </c>
      <c r="BM44" s="24">
        <v>1.5734196779795018</v>
      </c>
      <c r="BN44" s="24">
        <v>0.80755729709433133</v>
      </c>
      <c r="BO44" s="24">
        <v>1.6309863550204602</v>
      </c>
      <c r="BP44" s="24">
        <v>3.7126755923121419</v>
      </c>
      <c r="BQ44" s="24">
        <v>19.709775425781096</v>
      </c>
      <c r="BR44" s="29">
        <v>40.869824758328221</v>
      </c>
      <c r="BT44" s="25" t="s">
        <v>250</v>
      </c>
      <c r="BU44" s="24">
        <f t="shared" si="17"/>
        <v>12.384611938484095</v>
      </c>
      <c r="BV44" s="24">
        <f t="shared" si="31"/>
        <v>0.94049390244930542</v>
      </c>
      <c r="BW44" s="24">
        <f t="shared" si="32"/>
        <v>7.9105860352763111</v>
      </c>
      <c r="BX44" s="24">
        <f t="shared" si="33"/>
        <v>4.5832862644506873</v>
      </c>
      <c r="BY44" s="24">
        <f t="shared" si="34"/>
        <v>3.1526237731073365</v>
      </c>
      <c r="BZ44" s="24">
        <f t="shared" si="35"/>
        <v>1.342872141426162</v>
      </c>
      <c r="CA44" s="24">
        <f t="shared" si="36"/>
        <v>0.45994045514740622</v>
      </c>
      <c r="CB44" s="24">
        <f t="shared" si="37"/>
        <v>1.3669488747452549</v>
      </c>
      <c r="CC44" s="24">
        <f t="shared" si="38"/>
        <v>0.73230438713185553</v>
      </c>
      <c r="CD44" s="24">
        <f t="shared" si="39"/>
        <v>3.8498322106430836</v>
      </c>
      <c r="CE44" s="24">
        <f t="shared" si="40"/>
        <v>1.9759255193032652</v>
      </c>
      <c r="CF44" s="24">
        <f t="shared" si="41"/>
        <v>3.9906859514686492</v>
      </c>
      <c r="CG44" s="24">
        <f t="shared" si="42"/>
        <v>9.0841485478980282</v>
      </c>
      <c r="CH44" s="24">
        <f t="shared" si="43"/>
        <v>48.225739998468555</v>
      </c>
      <c r="CI44" s="29">
        <v>40.869824758328221</v>
      </c>
      <c r="CK44" s="25" t="s">
        <v>205</v>
      </c>
      <c r="CL44" s="22">
        <v>21.261441768115709</v>
      </c>
      <c r="CM44" s="22">
        <v>2.3815582266486937</v>
      </c>
      <c r="CN44" s="22">
        <v>3.8234677058910718</v>
      </c>
      <c r="CO44" s="22">
        <v>2.9713059052061666</v>
      </c>
      <c r="CP44" s="22">
        <v>2.945183222442989</v>
      </c>
      <c r="CQ44" s="22">
        <v>0.926614572191793</v>
      </c>
      <c r="CR44" s="22">
        <v>0.3732269998611526</v>
      </c>
      <c r="CS44" s="22">
        <v>0.35140412169903923</v>
      </c>
      <c r="CT44" s="22">
        <v>1.500126282581112E-2</v>
      </c>
      <c r="CU44" s="22">
        <v>1.691091476543322</v>
      </c>
      <c r="CV44" s="22">
        <v>1.1363565612995965</v>
      </c>
      <c r="CW44" s="22">
        <v>5.6486561103130457</v>
      </c>
      <c r="CX44" s="22">
        <v>4.2110100373687818</v>
      </c>
      <c r="CY44" s="22">
        <v>52.263682029592829</v>
      </c>
      <c r="CZ44" s="59">
        <v>24.769927925219562</v>
      </c>
    </row>
    <row r="45" spans="2:104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4"/>
      <c r="AK45" s="22"/>
      <c r="AL45" s="22"/>
      <c r="AM45" s="22"/>
      <c r="AN45" s="22"/>
      <c r="AO45" s="22"/>
      <c r="AT45" s="22"/>
      <c r="AU45" s="22"/>
      <c r="AV45" s="22"/>
      <c r="AW45" s="22"/>
      <c r="AX45" s="22"/>
      <c r="AY45" s="24"/>
      <c r="BC45" s="25" t="s">
        <v>252</v>
      </c>
      <c r="BD45" s="24">
        <v>5.048706508708773</v>
      </c>
      <c r="BE45" s="24">
        <v>0.40156345824326811</v>
      </c>
      <c r="BF45" s="24">
        <v>0.53805929533526664</v>
      </c>
      <c r="BG45" s="24">
        <v>0.30190140131357446</v>
      </c>
      <c r="BH45" s="24">
        <v>0.33013889177182315</v>
      </c>
      <c r="BI45" s="24">
        <v>0.29978760964378193</v>
      </c>
      <c r="BJ45" s="24">
        <v>0.11395353994951796</v>
      </c>
      <c r="BK45" s="24">
        <v>0.11189315952336841</v>
      </c>
      <c r="BL45" s="24">
        <v>0.17823478823027544</v>
      </c>
      <c r="BM45" s="24">
        <v>0.30743412122174119</v>
      </c>
      <c r="BN45" s="24">
        <v>0.20837471384370429</v>
      </c>
      <c r="BO45" s="24">
        <v>1.1340942060535126</v>
      </c>
      <c r="BP45" s="24">
        <v>0.71271490592723663</v>
      </c>
      <c r="BQ45" s="24">
        <v>5.409437319155507</v>
      </c>
      <c r="BR45" s="29">
        <v>15.096293918921351</v>
      </c>
      <c r="BT45" s="25" t="s">
        <v>252</v>
      </c>
      <c r="BU45" s="24">
        <f t="shared" si="17"/>
        <v>33.443350638402976</v>
      </c>
      <c r="BV45" s="24">
        <f t="shared" si="31"/>
        <v>2.660013513250147</v>
      </c>
      <c r="BW45" s="24">
        <f t="shared" si="32"/>
        <v>3.5641813694477378</v>
      </c>
      <c r="BX45" s="24">
        <f t="shared" si="33"/>
        <v>1.9998378604379061</v>
      </c>
      <c r="BY45" s="24">
        <f t="shared" si="34"/>
        <v>2.1868870170713528</v>
      </c>
      <c r="BZ45" s="24">
        <f t="shared" si="35"/>
        <v>1.9858358035016461</v>
      </c>
      <c r="CA45" s="24">
        <f t="shared" si="36"/>
        <v>0.7548444708451999</v>
      </c>
      <c r="CB45" s="24">
        <f t="shared" si="37"/>
        <v>0.74119621759035892</v>
      </c>
      <c r="CC45" s="24">
        <f t="shared" si="38"/>
        <v>1.1806526104190382</v>
      </c>
      <c r="CD45" s="24">
        <f t="shared" si="39"/>
        <v>2.0364873847375895</v>
      </c>
      <c r="CE45" s="24">
        <f t="shared" si="40"/>
        <v>1.3803037683476218</v>
      </c>
      <c r="CF45" s="24">
        <f t="shared" si="41"/>
        <v>7.5124014684959519</v>
      </c>
      <c r="CG45" s="24">
        <f t="shared" si="42"/>
        <v>4.7211249976653944</v>
      </c>
      <c r="CH45" s="24">
        <f t="shared" si="43"/>
        <v>35.832882879787078</v>
      </c>
      <c r="CI45" s="29">
        <v>15.096293918921351</v>
      </c>
      <c r="CK45" s="65" t="s">
        <v>210</v>
      </c>
      <c r="CL45" s="22">
        <v>20.988214393269082</v>
      </c>
      <c r="CM45" s="22">
        <v>1.4407797081303788</v>
      </c>
      <c r="CN45" s="22">
        <v>5.250152696254359</v>
      </c>
      <c r="CO45" s="22">
        <v>2.2090394934646702</v>
      </c>
      <c r="CP45" s="22">
        <v>2.2712163169410626</v>
      </c>
      <c r="CQ45" s="22">
        <v>1.2445261260505025</v>
      </c>
      <c r="CR45" s="22">
        <v>0.57935492027501434</v>
      </c>
      <c r="CS45" s="22">
        <v>0.4540599908460981</v>
      </c>
      <c r="CT45" s="22">
        <v>0.6970214164173606</v>
      </c>
      <c r="CU45" s="22">
        <v>3.1312297374249454</v>
      </c>
      <c r="CV45" s="22">
        <v>1.7212330123302977</v>
      </c>
      <c r="CW45" s="22">
        <v>5.7513699559548437</v>
      </c>
      <c r="CX45" s="22">
        <v>4.858832206511317</v>
      </c>
      <c r="CY45" s="22">
        <v>49.402970026130063</v>
      </c>
      <c r="CZ45" s="59">
        <v>23.911461335810994</v>
      </c>
    </row>
    <row r="46" spans="2:104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4"/>
      <c r="AK46" s="22"/>
      <c r="AL46" s="22"/>
      <c r="AM46" s="22"/>
      <c r="AN46" s="22"/>
      <c r="AO46" s="22"/>
      <c r="AT46" s="22"/>
      <c r="AU46" s="22"/>
      <c r="AV46" s="22"/>
      <c r="AW46" s="22"/>
      <c r="AX46" s="22"/>
      <c r="AY46" s="24"/>
      <c r="BC46" s="25" t="s">
        <v>254</v>
      </c>
      <c r="BD46" s="24">
        <v>4.4771474274630094</v>
      </c>
      <c r="BE46" s="24">
        <v>1.359671660919116</v>
      </c>
      <c r="BF46" s="24">
        <v>13.92424405092647</v>
      </c>
      <c r="BG46" s="24">
        <v>7.8723832248295906</v>
      </c>
      <c r="BH46" s="24">
        <v>4.7818974547482833</v>
      </c>
      <c r="BI46" s="24">
        <v>0.54101249719640632</v>
      </c>
      <c r="BJ46" s="24">
        <v>0.14271720978522004</v>
      </c>
      <c r="BK46" s="24">
        <v>0.94297331623450731</v>
      </c>
      <c r="BL46" s="24">
        <v>0.42588227555508373</v>
      </c>
      <c r="BM46" s="24">
        <v>1.8041521040993098</v>
      </c>
      <c r="BN46" s="24">
        <v>0.98404008326701253</v>
      </c>
      <c r="BO46" s="24">
        <v>12.101720053886568</v>
      </c>
      <c r="BP46" s="24">
        <v>2.8036821064283939</v>
      </c>
      <c r="BQ46" s="24">
        <v>68.659757321964108</v>
      </c>
      <c r="BR46" s="29">
        <v>120.82128078730307</v>
      </c>
      <c r="BT46" s="25" t="s">
        <v>254</v>
      </c>
      <c r="BU46" s="24">
        <f t="shared" si="17"/>
        <v>3.7055950725639932</v>
      </c>
      <c r="BV46" s="24">
        <f t="shared" si="31"/>
        <v>1.1253577615293762</v>
      </c>
      <c r="BW46" s="24">
        <f t="shared" si="32"/>
        <v>11.52466184780732</v>
      </c>
      <c r="BX46" s="24">
        <f t="shared" si="33"/>
        <v>6.5157256846898841</v>
      </c>
      <c r="BY46" s="24">
        <f t="shared" si="34"/>
        <v>3.9578271506378582</v>
      </c>
      <c r="BZ46" s="24">
        <f t="shared" si="35"/>
        <v>0.44777914426252341</v>
      </c>
      <c r="CA46" s="24">
        <f t="shared" si="36"/>
        <v>0.11812257646603096</v>
      </c>
      <c r="CB46" s="24">
        <f t="shared" si="37"/>
        <v>0.78046955808599816</v>
      </c>
      <c r="CC46" s="24">
        <f t="shared" si="38"/>
        <v>0.35248945614541033</v>
      </c>
      <c r="CD46" s="24">
        <f t="shared" si="39"/>
        <v>1.4932403400650802</v>
      </c>
      <c r="CE46" s="24">
        <f t="shared" si="40"/>
        <v>0.81445923835167933</v>
      </c>
      <c r="CF46" s="24">
        <f t="shared" si="41"/>
        <v>10.016215665840154</v>
      </c>
      <c r="CG46" s="24">
        <f t="shared" si="42"/>
        <v>2.3205201005641292</v>
      </c>
      <c r="CH46" s="24">
        <f t="shared" si="43"/>
        <v>56.827536402990575</v>
      </c>
      <c r="CI46" s="29">
        <v>120.82128078730307</v>
      </c>
      <c r="CK46" s="25" t="s">
        <v>224</v>
      </c>
      <c r="CL46" s="22">
        <v>22.311872677443503</v>
      </c>
      <c r="CM46" s="22">
        <v>1.2743568810071055</v>
      </c>
      <c r="CN46" s="22">
        <v>9.0669959176722159</v>
      </c>
      <c r="CO46" s="22">
        <v>4.5098625447604412</v>
      </c>
      <c r="CP46" s="22">
        <v>1.8769033953270891</v>
      </c>
      <c r="CQ46" s="22">
        <v>1.1266064407954459</v>
      </c>
      <c r="CR46" s="22">
        <v>0.45657222739289693</v>
      </c>
      <c r="CS46" s="22">
        <v>0.91231101084370647</v>
      </c>
      <c r="CT46" s="22">
        <v>0.42998404473970275</v>
      </c>
      <c r="CU46" s="22">
        <v>2.1791518001771046</v>
      </c>
      <c r="CV46" s="22">
        <v>1.1374319477823369</v>
      </c>
      <c r="CW46" s="22">
        <v>8.3033716137111089</v>
      </c>
      <c r="CX46" s="22">
        <v>1.4134901643572415</v>
      </c>
      <c r="CY46" s="22">
        <v>45.001089333990087</v>
      </c>
      <c r="CZ46" s="59">
        <v>22.031508881945314</v>
      </c>
    </row>
    <row r="47" spans="2:104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4"/>
      <c r="AK47" s="22"/>
      <c r="AL47" s="22"/>
      <c r="AM47" s="22"/>
      <c r="AN47" s="22"/>
      <c r="AO47" s="22"/>
      <c r="AT47" s="22"/>
      <c r="AU47" s="22"/>
      <c r="AV47" s="22"/>
      <c r="AW47" s="22"/>
      <c r="AX47" s="22"/>
      <c r="AY47" s="24"/>
      <c r="BC47" s="64" t="s">
        <v>257</v>
      </c>
      <c r="BD47" s="46">
        <v>304.8777744686206</v>
      </c>
      <c r="BE47" s="46">
        <v>27.0312196516252</v>
      </c>
      <c r="BF47" s="46">
        <v>1320.0360128630207</v>
      </c>
      <c r="BG47" s="46">
        <v>551.84753670148848</v>
      </c>
      <c r="BH47" s="46">
        <v>437.07244162465855</v>
      </c>
      <c r="BI47" s="46">
        <v>36.995861892065818</v>
      </c>
      <c r="BJ47" s="46">
        <v>4.9452780628409387</v>
      </c>
      <c r="BK47" s="46">
        <v>73.790701737004852</v>
      </c>
      <c r="BL47" s="46">
        <v>20.199752162869242</v>
      </c>
      <c r="BM47" s="46">
        <v>133.36697163406865</v>
      </c>
      <c r="BN47" s="46">
        <v>66.945062930627998</v>
      </c>
      <c r="BO47" s="46">
        <v>1059.266736653542</v>
      </c>
      <c r="BP47" s="46">
        <v>44.665193886886051</v>
      </c>
      <c r="BQ47" s="46">
        <v>4797.3286600228266</v>
      </c>
      <c r="BR47" s="60">
        <v>8878.3692042921448</v>
      </c>
      <c r="BT47" s="64" t="s">
        <v>257</v>
      </c>
      <c r="BU47" s="24">
        <f t="shared" si="17"/>
        <v>3.4339389076231588</v>
      </c>
      <c r="BV47" s="24">
        <f t="shared" si="31"/>
        <v>0.30446154051080992</v>
      </c>
      <c r="BW47" s="24">
        <f t="shared" si="32"/>
        <v>14.86800089621036</v>
      </c>
      <c r="BX47" s="24">
        <f t="shared" si="33"/>
        <v>6.2156407782039995</v>
      </c>
      <c r="BY47" s="24">
        <f t="shared" si="34"/>
        <v>4.9228910351392114</v>
      </c>
      <c r="BZ47" s="24">
        <f t="shared" si="35"/>
        <v>0.4166965919166844</v>
      </c>
      <c r="CA47" s="24">
        <f t="shared" si="36"/>
        <v>5.5700297532684288E-2</v>
      </c>
      <c r="CB47" s="24">
        <f t="shared" si="37"/>
        <v>0.83112900622933761</v>
      </c>
      <c r="CC47" s="24">
        <f t="shared" si="38"/>
        <v>0.22751646950099694</v>
      </c>
      <c r="CD47" s="24">
        <f t="shared" si="39"/>
        <v>1.50215617942081</v>
      </c>
      <c r="CE47" s="24">
        <f t="shared" si="40"/>
        <v>0.75402431899615285</v>
      </c>
      <c r="CF47" s="24">
        <f t="shared" si="41"/>
        <v>11.930870549305967</v>
      </c>
      <c r="CG47" s="24">
        <f t="shared" si="42"/>
        <v>0.50307880714504627</v>
      </c>
      <c r="CH47" s="24">
        <f t="shared" si="43"/>
        <v>54.033894622264789</v>
      </c>
      <c r="CI47" s="60">
        <v>8878.3692042921448</v>
      </c>
      <c r="CK47" s="23" t="s">
        <v>222</v>
      </c>
      <c r="CL47" s="22">
        <v>24.771671680395254</v>
      </c>
      <c r="CM47" s="22">
        <v>1.0142851201854419</v>
      </c>
      <c r="CN47" s="22">
        <v>9.2652325574291456</v>
      </c>
      <c r="CO47" s="22">
        <v>4.2361373644797506</v>
      </c>
      <c r="CP47" s="22">
        <v>1.9704943839676909</v>
      </c>
      <c r="CQ47" s="22">
        <v>1.3724945784261888</v>
      </c>
      <c r="CR47" s="22">
        <v>0.55170457313377674</v>
      </c>
      <c r="CS47" s="22">
        <v>0.87609028309398929</v>
      </c>
      <c r="CT47" s="22">
        <v>0.64553769880051171</v>
      </c>
      <c r="CU47" s="22">
        <v>2.8129835094686393</v>
      </c>
      <c r="CV47" s="22">
        <v>1.4799429042488907</v>
      </c>
      <c r="CW47" s="22">
        <v>8.8127644564564616</v>
      </c>
      <c r="CX47" s="22">
        <v>1.5795967593201306</v>
      </c>
      <c r="CY47" s="22">
        <v>40.611064130594137</v>
      </c>
      <c r="CZ47" s="60">
        <v>20.209450758932476</v>
      </c>
    </row>
    <row r="48" spans="2:104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4"/>
      <c r="AK48" s="22"/>
      <c r="AL48" s="22"/>
      <c r="AM48" s="22"/>
      <c r="AN48" s="22"/>
      <c r="AO48" s="22"/>
      <c r="AT48" s="22"/>
      <c r="AU48" s="22"/>
      <c r="AV48" s="22"/>
      <c r="AW48" s="22"/>
      <c r="AX48" s="22"/>
      <c r="AY48" s="24"/>
      <c r="BC48" s="25" t="s">
        <v>259</v>
      </c>
      <c r="BD48" s="45">
        <v>253.44842290548752</v>
      </c>
      <c r="BE48" s="45">
        <v>8.1273957414757412</v>
      </c>
      <c r="BF48" s="45">
        <v>758.65636532088354</v>
      </c>
      <c r="BG48" s="45">
        <v>148.96783661964213</v>
      </c>
      <c r="BH48" s="45">
        <v>213.29680972242801</v>
      </c>
      <c r="BI48" s="45">
        <v>26.879744966031755</v>
      </c>
      <c r="BJ48" s="45">
        <v>6.2268792576347609</v>
      </c>
      <c r="BK48" s="45">
        <v>84.235648721751048</v>
      </c>
      <c r="BL48" s="45">
        <v>28.082402413351261</v>
      </c>
      <c r="BM48" s="45">
        <v>121.49322328188319</v>
      </c>
      <c r="BN48" s="45">
        <v>60.091582376736177</v>
      </c>
      <c r="BO48" s="45">
        <v>1151.8375962230823</v>
      </c>
      <c r="BP48" s="45">
        <v>7.7683863517460496</v>
      </c>
      <c r="BQ48" s="45">
        <v>5864.4362937692867</v>
      </c>
      <c r="BR48" s="59">
        <v>8733.5485876714192</v>
      </c>
      <c r="BT48" s="25" t="s">
        <v>259</v>
      </c>
      <c r="BU48" s="24">
        <f t="shared" si="17"/>
        <v>2.9020096511887976</v>
      </c>
      <c r="BV48" s="24">
        <f t="shared" si="31"/>
        <v>9.3059489620847313E-2</v>
      </c>
      <c r="BW48" s="24">
        <f t="shared" si="32"/>
        <v>8.6866908417024113</v>
      </c>
      <c r="BX48" s="24">
        <f t="shared" si="33"/>
        <v>1.7056965461889146</v>
      </c>
      <c r="BY48" s="24">
        <f t="shared" si="34"/>
        <v>2.4422696866142726</v>
      </c>
      <c r="BZ48" s="24">
        <f t="shared" si="35"/>
        <v>0.30777575342027796</v>
      </c>
      <c r="CA48" s="24">
        <f t="shared" si="36"/>
        <v>7.1298386848443723E-2</v>
      </c>
      <c r="CB48" s="24">
        <f t="shared" si="37"/>
        <v>0.96450655625436177</v>
      </c>
      <c r="CC48" s="24">
        <f t="shared" si="38"/>
        <v>0.3215463008128604</v>
      </c>
      <c r="CD48" s="24">
        <f t="shared" si="39"/>
        <v>1.3911094907445438</v>
      </c>
      <c r="CE48" s="24">
        <f t="shared" si="40"/>
        <v>0.68805459514547773</v>
      </c>
      <c r="CF48" s="24">
        <f t="shared" si="41"/>
        <v>13.188655042797336</v>
      </c>
      <c r="CG48" s="24">
        <f t="shared" si="42"/>
        <v>8.8948796400035765E-2</v>
      </c>
      <c r="CH48" s="24">
        <f t="shared" si="43"/>
        <v>67.148378862261424</v>
      </c>
      <c r="CI48" s="59">
        <v>8733.5485876714192</v>
      </c>
      <c r="CK48" s="25" t="s">
        <v>244</v>
      </c>
      <c r="CL48" s="22">
        <v>26.840889060123725</v>
      </c>
      <c r="CM48" s="22">
        <v>0.9899744951619186</v>
      </c>
      <c r="CN48" s="22">
        <v>4.7463638789774025</v>
      </c>
      <c r="CO48" s="22">
        <v>1.6109742585172468</v>
      </c>
      <c r="CP48" s="22">
        <v>1.3356782377349432</v>
      </c>
      <c r="CQ48" s="22">
        <v>1.6345434854985081</v>
      </c>
      <c r="CR48" s="22">
        <v>0.79258964042227664</v>
      </c>
      <c r="CS48" s="22">
        <v>0.51413602572632633</v>
      </c>
      <c r="CT48" s="22">
        <v>1.1771541857616867</v>
      </c>
      <c r="CU48" s="22">
        <v>2.320719952555137</v>
      </c>
      <c r="CV48" s="22">
        <v>2.1911236261075171</v>
      </c>
      <c r="CW48" s="22">
        <v>6.3537242228614605</v>
      </c>
      <c r="CX48" s="22">
        <v>6.8738579864817071</v>
      </c>
      <c r="CY48" s="22">
        <v>42.618270944070161</v>
      </c>
      <c r="CZ48" s="29">
        <v>19.78754889643178</v>
      </c>
    </row>
    <row r="49" spans="1:104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4"/>
      <c r="AK49" s="22"/>
      <c r="AL49" s="22"/>
      <c r="AM49" s="22"/>
      <c r="AN49" s="22"/>
      <c r="AO49" s="22"/>
      <c r="AT49" s="22"/>
      <c r="AU49" s="22"/>
      <c r="AV49" s="22"/>
      <c r="AW49" s="22"/>
      <c r="AX49" s="22"/>
      <c r="AY49" s="24"/>
      <c r="BC49" s="65" t="s">
        <v>261</v>
      </c>
      <c r="BD49" s="45">
        <v>529.46670547872918</v>
      </c>
      <c r="BE49" s="45">
        <v>5.2589433035698248</v>
      </c>
      <c r="BF49" s="45">
        <v>1137.7827054862964</v>
      </c>
      <c r="BG49" s="45">
        <v>455.03636437144399</v>
      </c>
      <c r="BH49" s="45">
        <v>337.45264940640089</v>
      </c>
      <c r="BI49" s="45">
        <v>30.944307738137521</v>
      </c>
      <c r="BJ49" s="45">
        <v>5.2076443252949502</v>
      </c>
      <c r="BK49" s="45">
        <v>119.02594695186117</v>
      </c>
      <c r="BL49" s="45">
        <v>34.77087651183755</v>
      </c>
      <c r="BM49" s="45">
        <v>139.37391955134171</v>
      </c>
      <c r="BN49" s="45">
        <v>67.287998949884113</v>
      </c>
      <c r="BO49" s="45">
        <v>1602.1080613962251</v>
      </c>
      <c r="BP49" s="45">
        <v>3.3677887025719571</v>
      </c>
      <c r="BQ49" s="45">
        <v>7625.6698573028953</v>
      </c>
      <c r="BR49" s="59">
        <v>12092.753769476491</v>
      </c>
      <c r="BT49" s="65" t="s">
        <v>261</v>
      </c>
      <c r="BU49" s="24">
        <f t="shared" si="17"/>
        <v>4.3783799420043135</v>
      </c>
      <c r="BV49" s="24">
        <f t="shared" si="31"/>
        <v>4.3488384894133925E-2</v>
      </c>
      <c r="BW49" s="24">
        <f t="shared" si="32"/>
        <v>9.408797426754786</v>
      </c>
      <c r="BX49" s="24">
        <f t="shared" si="33"/>
        <v>3.7628845591812876</v>
      </c>
      <c r="BY49" s="24">
        <f t="shared" si="34"/>
        <v>2.7905360171822107</v>
      </c>
      <c r="BZ49" s="24">
        <f t="shared" si="35"/>
        <v>0.25589132407743664</v>
      </c>
      <c r="CA49" s="24">
        <f t="shared" si="36"/>
        <v>4.3064172351211238E-2</v>
      </c>
      <c r="CB49" s="24">
        <f t="shared" si="37"/>
        <v>0.98427495689440425</v>
      </c>
      <c r="CC49" s="24">
        <f t="shared" si="38"/>
        <v>0.28753480947907217</v>
      </c>
      <c r="CD49" s="24">
        <f t="shared" si="39"/>
        <v>1.1525407877165053</v>
      </c>
      <c r="CE49" s="24">
        <f t="shared" si="40"/>
        <v>0.55643239110455389</v>
      </c>
      <c r="CF49" s="24">
        <f t="shared" si="41"/>
        <v>13.248496512350489</v>
      </c>
      <c r="CG49" s="24">
        <f t="shared" si="42"/>
        <v>2.7849642577463581E-2</v>
      </c>
      <c r="CH49" s="24">
        <f t="shared" si="43"/>
        <v>63.059829073432127</v>
      </c>
      <c r="CI49" s="59">
        <v>12092.753769476491</v>
      </c>
      <c r="CK49" s="25" t="s">
        <v>212</v>
      </c>
      <c r="CL49" s="22">
        <v>26.981896677782576</v>
      </c>
      <c r="CM49" s="22">
        <v>1.4572429578403132</v>
      </c>
      <c r="CN49" s="22">
        <v>3.0669321676245058</v>
      </c>
      <c r="CO49" s="22">
        <v>1.791884519892355</v>
      </c>
      <c r="CP49" s="22">
        <v>1.8394970567061255</v>
      </c>
      <c r="CQ49" s="22">
        <v>1.2693823719380373</v>
      </c>
      <c r="CR49" s="22">
        <v>0.50930422317582758</v>
      </c>
      <c r="CS49" s="22">
        <v>0.25471402868416049</v>
      </c>
      <c r="CT49" s="22">
        <v>0.61569295520612566</v>
      </c>
      <c r="CU49" s="22">
        <v>2.0775219752678513</v>
      </c>
      <c r="CV49" s="22">
        <v>1.3809319989727935</v>
      </c>
      <c r="CW49" s="22">
        <v>9.7152998597583728</v>
      </c>
      <c r="CX49" s="22">
        <v>2.4943289026441442</v>
      </c>
      <c r="CY49" s="22">
        <v>46.545370304506811</v>
      </c>
      <c r="CZ49" s="59">
        <v>18.393809061085197</v>
      </c>
    </row>
    <row r="50" spans="1:10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4"/>
      <c r="AK50" s="22"/>
      <c r="AL50" s="22"/>
      <c r="AM50" s="22"/>
      <c r="AN50" s="22"/>
      <c r="AO50" s="22"/>
      <c r="AT50" s="22"/>
      <c r="AU50" s="22"/>
      <c r="AV50" s="22"/>
      <c r="AW50" s="22"/>
      <c r="AX50" s="22"/>
      <c r="AY50" s="24"/>
      <c r="BC50" s="25" t="s">
        <v>263</v>
      </c>
      <c r="BD50" s="45">
        <v>316.75085867423502</v>
      </c>
      <c r="BE50" s="45">
        <v>4.9193971482436947</v>
      </c>
      <c r="BF50" s="45">
        <v>910.92714415371881</v>
      </c>
      <c r="BG50" s="45">
        <v>300.20532473951312</v>
      </c>
      <c r="BH50" s="45">
        <v>273.44834191564388</v>
      </c>
      <c r="BI50" s="45">
        <v>27.76207930699309</v>
      </c>
      <c r="BJ50" s="45">
        <v>5.9930873066204757</v>
      </c>
      <c r="BK50" s="45">
        <v>95.668671622485888</v>
      </c>
      <c r="BL50" s="45">
        <v>33.691309901214623</v>
      </c>
      <c r="BM50" s="45">
        <v>120.90912311335721</v>
      </c>
      <c r="BN50" s="45">
        <v>58.69182916038492</v>
      </c>
      <c r="BO50" s="45">
        <v>1247.8728214124576</v>
      </c>
      <c r="BP50" s="45">
        <v>3.2801783756793661</v>
      </c>
      <c r="BQ50" s="45">
        <v>6272.90617737704</v>
      </c>
      <c r="BR50" s="59">
        <v>9673.0263442075884</v>
      </c>
      <c r="BT50" s="25" t="s">
        <v>263</v>
      </c>
      <c r="BU50" s="24">
        <f t="shared" si="17"/>
        <v>3.2745786830603647</v>
      </c>
      <c r="BV50" s="24">
        <f t="shared" si="31"/>
        <v>5.0856856718782054E-2</v>
      </c>
      <c r="BW50" s="24">
        <f t="shared" si="32"/>
        <v>9.4171887032976098</v>
      </c>
      <c r="BX50" s="24">
        <f t="shared" si="33"/>
        <v>3.103530519373416</v>
      </c>
      <c r="BY50" s="24">
        <f t="shared" si="34"/>
        <v>2.8269161292979472</v>
      </c>
      <c r="BZ50" s="24">
        <f t="shared" si="35"/>
        <v>0.28700510387442096</v>
      </c>
      <c r="CA50" s="24">
        <f t="shared" si="36"/>
        <v>6.1956693731215387E-2</v>
      </c>
      <c r="CB50" s="24">
        <f t="shared" si="37"/>
        <v>0.9890252359311964</v>
      </c>
      <c r="CC50" s="24">
        <f t="shared" si="38"/>
        <v>0.34830164523835594</v>
      </c>
      <c r="CD50" s="24">
        <f t="shared" si="39"/>
        <v>1.2499616853184747</v>
      </c>
      <c r="CE50" s="24">
        <f t="shared" si="40"/>
        <v>0.60675766892262029</v>
      </c>
      <c r="CF50" s="24">
        <f t="shared" si="41"/>
        <v>12.900541950448735</v>
      </c>
      <c r="CG50" s="24">
        <f t="shared" si="42"/>
        <v>3.3910570063148911E-2</v>
      </c>
      <c r="CH50" s="24">
        <f t="shared" si="43"/>
        <v>64.8494685547237</v>
      </c>
      <c r="CI50" s="59">
        <v>9673.0263442075884</v>
      </c>
      <c r="CK50" s="25" t="s">
        <v>197</v>
      </c>
      <c r="CL50" s="22">
        <v>57.135155452215514</v>
      </c>
      <c r="CM50" s="22">
        <v>2.2066446869526497</v>
      </c>
      <c r="CN50" s="22">
        <v>3.2737249127001955</v>
      </c>
      <c r="CO50" s="22">
        <v>2.0043812747349161</v>
      </c>
      <c r="CP50" s="22">
        <v>1.9984999651957849</v>
      </c>
      <c r="CQ50" s="22">
        <v>1.5705002370258108</v>
      </c>
      <c r="CR50" s="22">
        <v>0.80897642812986603</v>
      </c>
      <c r="CS50" s="22">
        <v>0.21893904553021842</v>
      </c>
      <c r="CT50" s="22">
        <v>1.5605143736694478E-2</v>
      </c>
      <c r="CU50" s="22">
        <v>0.81111289869449932</v>
      </c>
      <c r="CV50" s="22">
        <v>0</v>
      </c>
      <c r="CW50" s="22">
        <v>1.7491708438804068</v>
      </c>
      <c r="CX50" s="22">
        <v>4.2598090332838954</v>
      </c>
      <c r="CY50" s="22">
        <v>23.94748007791955</v>
      </c>
      <c r="CZ50" s="59">
        <v>17.087316174681867</v>
      </c>
    </row>
    <row r="51" spans="1:104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4"/>
      <c r="AK51" s="22"/>
      <c r="AL51" s="22"/>
      <c r="AM51" s="22"/>
      <c r="AN51" s="22"/>
      <c r="AO51" s="22"/>
      <c r="AT51" s="22"/>
      <c r="AU51" s="22"/>
      <c r="AV51" s="22"/>
      <c r="AW51" s="22"/>
      <c r="AX51" s="22"/>
      <c r="AY51" s="24"/>
      <c r="BC51" s="25" t="s">
        <v>265</v>
      </c>
      <c r="BD51" s="45">
        <v>395.13036974506724</v>
      </c>
      <c r="BE51" s="45">
        <v>21.061803550180819</v>
      </c>
      <c r="BF51" s="45">
        <v>986.30824397490403</v>
      </c>
      <c r="BG51" s="45">
        <v>509.90972225431324</v>
      </c>
      <c r="BH51" s="45">
        <v>300.47898625262513</v>
      </c>
      <c r="BI51" s="45">
        <v>31.908334440192093</v>
      </c>
      <c r="BJ51" s="45">
        <v>6.8807164376583083</v>
      </c>
      <c r="BK51" s="45">
        <v>92.003251249577062</v>
      </c>
      <c r="BL51" s="45">
        <v>29.681586597526152</v>
      </c>
      <c r="BM51" s="45">
        <v>132.89811520285946</v>
      </c>
      <c r="BN51" s="45">
        <v>64.447183540821342</v>
      </c>
      <c r="BO51" s="45">
        <v>1211.3660171899719</v>
      </c>
      <c r="BP51" s="45">
        <v>20.087712500632904</v>
      </c>
      <c r="BQ51" s="45">
        <v>5654.5253619233463</v>
      </c>
      <c r="BR51" s="59">
        <v>9456.6874048596765</v>
      </c>
      <c r="BT51" s="25" t="s">
        <v>265</v>
      </c>
      <c r="BU51" s="24">
        <f t="shared" si="17"/>
        <v>4.1783169182690187</v>
      </c>
      <c r="BV51" s="24">
        <f t="shared" si="31"/>
        <v>0.22271861856570846</v>
      </c>
      <c r="BW51" s="24">
        <f t="shared" si="32"/>
        <v>10.429743542839876</v>
      </c>
      <c r="BX51" s="24">
        <f t="shared" si="33"/>
        <v>5.3920543254107871</v>
      </c>
      <c r="BY51" s="24">
        <f t="shared" si="34"/>
        <v>3.1774232708401953</v>
      </c>
      <c r="BZ51" s="24">
        <f t="shared" si="35"/>
        <v>0.33741555656999711</v>
      </c>
      <c r="CA51" s="24">
        <f t="shared" si="36"/>
        <v>7.2760324446405969E-2</v>
      </c>
      <c r="CB51" s="24">
        <f t="shared" si="37"/>
        <v>0.97289090048908367</v>
      </c>
      <c r="CC51" s="24">
        <f t="shared" si="38"/>
        <v>0.31386875051271279</v>
      </c>
      <c r="CD51" s="24">
        <f t="shared" si="39"/>
        <v>1.405334759554014</v>
      </c>
      <c r="CE51" s="24">
        <f t="shared" si="40"/>
        <v>0.68149850768782649</v>
      </c>
      <c r="CF51" s="24">
        <f t="shared" si="41"/>
        <v>12.809623130478709</v>
      </c>
      <c r="CG51" s="24">
        <f t="shared" si="42"/>
        <v>0.21241806607998986</v>
      </c>
      <c r="CH51" s="24">
        <f t="shared" si="43"/>
        <v>59.793933328255669</v>
      </c>
      <c r="CI51" s="59">
        <v>9456.6874048596765</v>
      </c>
      <c r="CK51" s="25" t="s">
        <v>248</v>
      </c>
      <c r="CL51" s="22">
        <v>32.709566737598031</v>
      </c>
      <c r="CM51" s="22">
        <v>3.650324956631283</v>
      </c>
      <c r="CN51" s="22">
        <v>2.642855858855329</v>
      </c>
      <c r="CO51" s="22">
        <v>3.1344906345414749</v>
      </c>
      <c r="CP51" s="22">
        <v>3.8691374797133351</v>
      </c>
      <c r="CQ51" s="22">
        <v>0.96852108408379334</v>
      </c>
      <c r="CR51" s="22">
        <v>0.55310457893332199</v>
      </c>
      <c r="CS51" s="22">
        <v>0.77546153453408539</v>
      </c>
      <c r="CT51" s="22">
        <v>0.34110691203639903</v>
      </c>
      <c r="CU51" s="22">
        <v>1.6360524409133799</v>
      </c>
      <c r="CV51" s="22">
        <v>1.1674395784126439</v>
      </c>
      <c r="CW51" s="22">
        <v>1.158216621904449</v>
      </c>
      <c r="CX51" s="22">
        <v>8.0616877952409336</v>
      </c>
      <c r="CY51" s="22">
        <v>39.332033786601542</v>
      </c>
      <c r="CZ51" s="29">
        <v>15.542800365841039</v>
      </c>
    </row>
    <row r="52" spans="1:104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Q52" s="24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4"/>
      <c r="AK52" s="22"/>
      <c r="AL52" s="22"/>
      <c r="AM52" s="22"/>
      <c r="AN52" s="22"/>
      <c r="AO52" s="22"/>
      <c r="AT52" s="22"/>
      <c r="AU52" s="22"/>
      <c r="AV52" s="22"/>
      <c r="AW52" s="22"/>
      <c r="AX52" s="22"/>
      <c r="AY52" s="24"/>
      <c r="BC52" s="65" t="s">
        <v>267</v>
      </c>
      <c r="BD52" s="45">
        <v>400.04322124644989</v>
      </c>
      <c r="BE52" s="45">
        <v>21.557729851301492</v>
      </c>
      <c r="BF52" s="45">
        <v>1435.0529573871615</v>
      </c>
      <c r="BG52" s="45">
        <v>585.19555646111496</v>
      </c>
      <c r="BH52" s="45">
        <v>398.79960385724229</v>
      </c>
      <c r="BI52" s="45">
        <v>56.267542151198484</v>
      </c>
      <c r="BJ52" s="45">
        <v>8.6616395660927523</v>
      </c>
      <c r="BK52" s="45">
        <v>92.679492413951294</v>
      </c>
      <c r="BL52" s="45">
        <v>35.46945969125715</v>
      </c>
      <c r="BM52" s="45">
        <v>201.86139742571697</v>
      </c>
      <c r="BN52" s="45">
        <v>97.894408187412068</v>
      </c>
      <c r="BO52" s="45">
        <v>1184.8560247144203</v>
      </c>
      <c r="BP52" s="45">
        <v>194.37051278160155</v>
      </c>
      <c r="BQ52" s="45">
        <v>5583.909895269444</v>
      </c>
      <c r="BR52" s="59">
        <v>10296.619441004364</v>
      </c>
      <c r="BT52" s="65" t="s">
        <v>267</v>
      </c>
      <c r="BU52" s="24">
        <f t="shared" si="17"/>
        <v>3.8851899260581821</v>
      </c>
      <c r="BV52" s="24">
        <f t="shared" si="31"/>
        <v>0.20936706435368346</v>
      </c>
      <c r="BW52" s="24">
        <f t="shared" si="32"/>
        <v>13.937127283468701</v>
      </c>
      <c r="BX52" s="24">
        <f t="shared" si="33"/>
        <v>5.6833755953986502</v>
      </c>
      <c r="BY52" s="24">
        <f t="shared" si="34"/>
        <v>3.8731120067339511</v>
      </c>
      <c r="BZ52" s="24">
        <f t="shared" si="35"/>
        <v>0.54646617245193607</v>
      </c>
      <c r="CA52" s="24">
        <f t="shared" si="36"/>
        <v>8.4121197405814474E-2</v>
      </c>
      <c r="CB52" s="24">
        <f t="shared" si="37"/>
        <v>0.90009631748525654</v>
      </c>
      <c r="CC52" s="24">
        <f t="shared" si="38"/>
        <v>0.34447674690206231</v>
      </c>
      <c r="CD52" s="24">
        <f t="shared" si="39"/>
        <v>1.9604628352276636</v>
      </c>
      <c r="CE52" s="24">
        <f t="shared" si="40"/>
        <v>0.95074319050353417</v>
      </c>
      <c r="CF52" s="24">
        <f t="shared" si="41"/>
        <v>11.507233335204683</v>
      </c>
      <c r="CG52" s="24">
        <f t="shared" si="42"/>
        <v>1.8877119222990533</v>
      </c>
      <c r="CH52" s="24">
        <f t="shared" si="43"/>
        <v>54.230516406506837</v>
      </c>
      <c r="CI52" s="59">
        <v>10296.619441004364</v>
      </c>
      <c r="CK52" s="25" t="s">
        <v>252</v>
      </c>
      <c r="CL52" s="22">
        <v>33.443350638402976</v>
      </c>
      <c r="CM52" s="22">
        <v>2.660013513250147</v>
      </c>
      <c r="CN52" s="22">
        <v>3.5641813694477378</v>
      </c>
      <c r="CO52" s="22">
        <v>1.9998378604379061</v>
      </c>
      <c r="CP52" s="22">
        <v>2.1868870170713528</v>
      </c>
      <c r="CQ52" s="22">
        <v>1.9858358035016461</v>
      </c>
      <c r="CR52" s="22">
        <v>0.7548444708451999</v>
      </c>
      <c r="CS52" s="22">
        <v>0.74119621759035892</v>
      </c>
      <c r="CT52" s="22">
        <v>1.1806526104190382</v>
      </c>
      <c r="CU52" s="22">
        <v>2.0364873847375895</v>
      </c>
      <c r="CV52" s="22">
        <v>1.3803037683476218</v>
      </c>
      <c r="CW52" s="22">
        <v>7.5124014684959519</v>
      </c>
      <c r="CX52" s="22">
        <v>4.7211249976653944</v>
      </c>
      <c r="CY52" s="22">
        <v>35.832882879787078</v>
      </c>
      <c r="CZ52" s="29">
        <v>15.096293918921351</v>
      </c>
    </row>
    <row r="53" spans="1:104"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BC53" s="65" t="s">
        <v>269</v>
      </c>
      <c r="BD53" s="45">
        <v>2028.0263017083091</v>
      </c>
      <c r="BE53" s="45">
        <v>462.14135421141907</v>
      </c>
      <c r="BF53" s="45">
        <v>764.93945494576337</v>
      </c>
      <c r="BG53" s="45">
        <v>584.42355420440776</v>
      </c>
      <c r="BH53" s="45">
        <v>275.13329398323356</v>
      </c>
      <c r="BI53" s="45">
        <v>12.760148575223228</v>
      </c>
      <c r="BJ53" s="45">
        <v>3.4952774703012692</v>
      </c>
      <c r="BK53" s="45">
        <v>55.310219139971153</v>
      </c>
      <c r="BL53" s="45">
        <v>17.339230527059147</v>
      </c>
      <c r="BM53" s="45">
        <v>84.768283385296002</v>
      </c>
      <c r="BN53" s="45">
        <v>42.970394175985021</v>
      </c>
      <c r="BO53" s="45">
        <v>424.93683306474225</v>
      </c>
      <c r="BP53" s="45">
        <v>645.46957427744906</v>
      </c>
      <c r="BQ53" s="45">
        <v>3121.7248940177797</v>
      </c>
      <c r="BR53" s="59">
        <v>8523.4388136869402</v>
      </c>
      <c r="BT53" s="65" t="s">
        <v>269</v>
      </c>
      <c r="BU53" s="24">
        <f t="shared" si="17"/>
        <v>23.793522145682608</v>
      </c>
      <c r="BV53" s="24">
        <f t="shared" si="31"/>
        <v>5.4220058865127578</v>
      </c>
      <c r="BW53" s="24">
        <f t="shared" si="32"/>
        <v>8.9745403430059643</v>
      </c>
      <c r="BX53" s="24">
        <f t="shared" si="33"/>
        <v>6.8566639237902463</v>
      </c>
      <c r="BY53" s="24">
        <f t="shared" si="34"/>
        <v>3.227961155084782</v>
      </c>
      <c r="BZ53" s="24">
        <f t="shared" si="35"/>
        <v>0.14970657799212425</v>
      </c>
      <c r="CA53" s="24">
        <f t="shared" si="36"/>
        <v>4.1007832011283427E-2</v>
      </c>
      <c r="CB53" s="24">
        <f t="shared" si="37"/>
        <v>0.64891906129664467</v>
      </c>
      <c r="CC53" s="24">
        <f t="shared" si="38"/>
        <v>0.20342998766197284</v>
      </c>
      <c r="CD53" s="24">
        <f t="shared" si="39"/>
        <v>0.99453149413327258</v>
      </c>
      <c r="CE53" s="24">
        <f t="shared" si="40"/>
        <v>0.50414386863413796</v>
      </c>
      <c r="CF53" s="24">
        <f t="shared" si="41"/>
        <v>4.9855092803901941</v>
      </c>
      <c r="CG53" s="24">
        <f t="shared" si="42"/>
        <v>7.5728774311250273</v>
      </c>
      <c r="CH53" s="24">
        <f t="shared" si="43"/>
        <v>36.625181012678979</v>
      </c>
      <c r="CI53" s="59">
        <v>8523.4388136869402</v>
      </c>
      <c r="CK53" s="25" t="s">
        <v>216</v>
      </c>
      <c r="CL53" s="22">
        <v>40.651016472164883</v>
      </c>
      <c r="CM53" s="22">
        <v>3.5682533870184669</v>
      </c>
      <c r="CN53" s="22">
        <v>4.0271464323349049</v>
      </c>
      <c r="CO53" s="22">
        <v>3.4477190504938844</v>
      </c>
      <c r="CP53" s="22">
        <v>4.0352885040033808</v>
      </c>
      <c r="CQ53" s="22">
        <v>1.1548154850387669</v>
      </c>
      <c r="CR53" s="22">
        <v>0.67264102523860769</v>
      </c>
      <c r="CS53" s="22">
        <v>0.29376335242494694</v>
      </c>
      <c r="CT53" s="22">
        <v>0.32510174051716051</v>
      </c>
      <c r="CU53" s="22">
        <v>1.5338313307873186</v>
      </c>
      <c r="CV53" s="22">
        <v>1.031957965390093</v>
      </c>
      <c r="CW53" s="22">
        <v>3.890010167331722</v>
      </c>
      <c r="CX53" s="22">
        <v>6.3788080333236286</v>
      </c>
      <c r="CY53" s="22">
        <v>28.989647053932238</v>
      </c>
      <c r="CZ53" s="59">
        <v>12.682668307534325</v>
      </c>
    </row>
    <row r="54" spans="1:104">
      <c r="BC54" s="25" t="s">
        <v>271</v>
      </c>
      <c r="BD54" s="45">
        <v>1329.0437901840096</v>
      </c>
      <c r="BE54" s="45">
        <v>52.456171885700961</v>
      </c>
      <c r="BF54" s="45">
        <v>1057.5324286746354</v>
      </c>
      <c r="BG54" s="45">
        <v>575.67303475059134</v>
      </c>
      <c r="BH54" s="45">
        <v>215.72315163347099</v>
      </c>
      <c r="BI54" s="45">
        <v>25.53544129815289</v>
      </c>
      <c r="BJ54" s="45">
        <v>6.3360439594626214</v>
      </c>
      <c r="BK54" s="45">
        <v>62.788495780787812</v>
      </c>
      <c r="BL54" s="45">
        <v>32.153961439161634</v>
      </c>
      <c r="BM54" s="45">
        <v>105.83524241899052</v>
      </c>
      <c r="BN54" s="45">
        <v>54.571014997331496</v>
      </c>
      <c r="BO54" s="45">
        <v>890.2518125955088</v>
      </c>
      <c r="BP54" s="45">
        <v>254.61565984652265</v>
      </c>
      <c r="BQ54" s="45">
        <v>3802.1385870638715</v>
      </c>
      <c r="BR54" s="59">
        <v>8464.6548365281978</v>
      </c>
      <c r="BT54" s="25" t="s">
        <v>271</v>
      </c>
      <c r="BU54" s="24">
        <f t="shared" si="17"/>
        <v>15.701098460018493</v>
      </c>
      <c r="BV54" s="24">
        <f t="shared" si="31"/>
        <v>0.61970833895473998</v>
      </c>
      <c r="BW54" s="24">
        <f t="shared" si="32"/>
        <v>12.493509175483231</v>
      </c>
      <c r="BX54" s="24">
        <f t="shared" si="33"/>
        <v>6.8009038273639204</v>
      </c>
      <c r="BY54" s="24">
        <f t="shared" si="34"/>
        <v>2.5485168125526361</v>
      </c>
      <c r="BZ54" s="24">
        <f t="shared" si="35"/>
        <v>0.30167138284195322</v>
      </c>
      <c r="CA54" s="24">
        <f t="shared" si="36"/>
        <v>7.4852951264122281E-2</v>
      </c>
      <c r="CB54" s="24">
        <f t="shared" si="37"/>
        <v>0.74177266519872287</v>
      </c>
      <c r="CC54" s="24">
        <f t="shared" si="38"/>
        <v>0.37986145991925258</v>
      </c>
      <c r="CD54" s="24">
        <f t="shared" si="39"/>
        <v>1.2503196463755533</v>
      </c>
      <c r="CE54" s="24">
        <f t="shared" si="40"/>
        <v>0.64469273763930524</v>
      </c>
      <c r="CF54" s="24">
        <f t="shared" si="41"/>
        <v>10.517284281383033</v>
      </c>
      <c r="CG54" s="24">
        <f t="shared" si="42"/>
        <v>3.0079863238812696</v>
      </c>
      <c r="CH54" s="24">
        <f t="shared" si="43"/>
        <v>44.917821937123776</v>
      </c>
      <c r="CI54" s="59">
        <v>8464.6548365281978</v>
      </c>
      <c r="CK54" s="65" t="s">
        <v>220</v>
      </c>
      <c r="CL54" s="22">
        <v>41.667122233776219</v>
      </c>
      <c r="CM54" s="22">
        <v>1.9107855898310913</v>
      </c>
      <c r="CN54" s="22">
        <v>4.9234974935624543</v>
      </c>
      <c r="CO54" s="22">
        <v>2.0434393106275039</v>
      </c>
      <c r="CP54" s="22">
        <v>1.9097747982167641</v>
      </c>
      <c r="CQ54" s="22">
        <v>1.4814224990802058</v>
      </c>
      <c r="CR54" s="22">
        <v>3.148919301310403E-2</v>
      </c>
      <c r="CS54" s="22">
        <v>3.2856208327159138E-2</v>
      </c>
      <c r="CT54" s="22">
        <v>0.58510615219975048</v>
      </c>
      <c r="CU54" s="22">
        <v>1.4130176331594284</v>
      </c>
      <c r="CV54" s="22">
        <v>0</v>
      </c>
      <c r="CW54" s="22">
        <v>3.876897590859322</v>
      </c>
      <c r="CX54" s="22">
        <v>4.0921834854045898</v>
      </c>
      <c r="CY54" s="22">
        <v>36.032407811942406</v>
      </c>
      <c r="CZ54" s="59">
        <v>11.906494760485327</v>
      </c>
    </row>
    <row r="55" spans="1:104">
      <c r="BC55" s="25" t="s">
        <v>273</v>
      </c>
      <c r="BD55" s="45">
        <v>1086.717858432138</v>
      </c>
      <c r="BE55" s="45">
        <v>58.812940609204574</v>
      </c>
      <c r="BF55" s="45">
        <v>979.82815069568665</v>
      </c>
      <c r="BG55" s="45">
        <v>542.80080464299226</v>
      </c>
      <c r="BH55" s="45">
        <v>291.36733631060252</v>
      </c>
      <c r="BI55" s="45">
        <v>22.109000641440854</v>
      </c>
      <c r="BJ55" s="45">
        <v>3.4367964795075023</v>
      </c>
      <c r="BK55" s="45">
        <v>48.436045388544422</v>
      </c>
      <c r="BL55" s="45">
        <v>26.139929289534667</v>
      </c>
      <c r="BM55" s="45">
        <v>87.138390544377771</v>
      </c>
      <c r="BN55" s="45">
        <v>45.92560033324586</v>
      </c>
      <c r="BO55" s="45">
        <v>844.36522218563687</v>
      </c>
      <c r="BP55" s="45">
        <v>101.69687790993247</v>
      </c>
      <c r="BQ55" s="45">
        <v>3617.3579570006714</v>
      </c>
      <c r="BR55" s="59">
        <v>7756.1329104635161</v>
      </c>
      <c r="BT55" s="25" t="s">
        <v>273</v>
      </c>
      <c r="BU55" s="24">
        <f t="shared" si="17"/>
        <v>14.011078342482843</v>
      </c>
      <c r="BV55" s="24">
        <f t="shared" si="31"/>
        <v>0.75827659592916696</v>
      </c>
      <c r="BW55" s="24">
        <f t="shared" si="32"/>
        <v>12.632946882251545</v>
      </c>
      <c r="BX55" s="24">
        <f t="shared" si="33"/>
        <v>6.9983432582842857</v>
      </c>
      <c r="BY55" s="24">
        <f t="shared" si="34"/>
        <v>3.7566057682885949</v>
      </c>
      <c r="BZ55" s="24">
        <f t="shared" si="35"/>
        <v>0.28505185376096903</v>
      </c>
      <c r="CA55" s="24">
        <f t="shared" si="36"/>
        <v>4.4310696054099923E-2</v>
      </c>
      <c r="CB55" s="24">
        <f t="shared" si="37"/>
        <v>0.62448704718818215</v>
      </c>
      <c r="CC55" s="24">
        <f t="shared" si="38"/>
        <v>0.33702270952925834</v>
      </c>
      <c r="CD55" s="24">
        <f t="shared" si="39"/>
        <v>1.1234772734080221</v>
      </c>
      <c r="CE55" s="24">
        <f t="shared" si="40"/>
        <v>0.59211982135181451</v>
      </c>
      <c r="CF55" s="24">
        <f t="shared" si="41"/>
        <v>10.886420229423024</v>
      </c>
      <c r="CG55" s="24">
        <f t="shared" si="42"/>
        <v>1.3111801858466985</v>
      </c>
      <c r="CH55" s="24">
        <f t="shared" si="43"/>
        <v>46.638679336201491</v>
      </c>
      <c r="CI55" s="59">
        <v>7756.1329104635161</v>
      </c>
      <c r="CK55" s="25" t="s">
        <v>214</v>
      </c>
      <c r="CL55" s="22">
        <v>41.521941927238402</v>
      </c>
      <c r="CM55" s="22">
        <v>2.0524677958339268</v>
      </c>
      <c r="CN55" s="22">
        <v>3.4959097353804647</v>
      </c>
      <c r="CO55" s="22">
        <v>2.4558121550455634</v>
      </c>
      <c r="CP55" s="22">
        <v>2.2447285993473729</v>
      </c>
      <c r="CQ55" s="22">
        <v>1.2679354130492158</v>
      </c>
      <c r="CR55" s="22">
        <v>0.6503585413098727</v>
      </c>
      <c r="CS55" s="22">
        <v>0.32366142072583814</v>
      </c>
      <c r="CT55" s="22">
        <v>0.42533172025982691</v>
      </c>
      <c r="CU55" s="22">
        <v>1.3976059601475848</v>
      </c>
      <c r="CV55" s="22">
        <v>0</v>
      </c>
      <c r="CW55" s="22">
        <v>4.288521229145263</v>
      </c>
      <c r="CX55" s="22">
        <v>3.6445936989541377</v>
      </c>
      <c r="CY55" s="22">
        <v>36.231131803562526</v>
      </c>
      <c r="CZ55" s="59">
        <v>11.832230751683369</v>
      </c>
    </row>
    <row r="56" spans="1:104">
      <c r="A56" s="22"/>
      <c r="B56" s="22"/>
      <c r="C56" s="22"/>
      <c r="D56" s="22"/>
      <c r="BC56" s="66" t="s">
        <v>275</v>
      </c>
      <c r="BD56" s="47">
        <v>2503.0447612161674</v>
      </c>
      <c r="BE56" s="47">
        <v>501.07168193330398</v>
      </c>
      <c r="BF56" s="47">
        <v>1429.9632864935224</v>
      </c>
      <c r="BG56" s="47">
        <v>1057.881131470393</v>
      </c>
      <c r="BH56" s="47">
        <v>505.89496895853097</v>
      </c>
      <c r="BI56" s="47">
        <v>36.682849507590447</v>
      </c>
      <c r="BJ56" s="47">
        <v>5.2753709196645202</v>
      </c>
      <c r="BK56" s="47">
        <v>231.78245446985741</v>
      </c>
      <c r="BL56" s="47">
        <v>30.575914803396159</v>
      </c>
      <c r="BM56" s="47">
        <v>137.90698550763881</v>
      </c>
      <c r="BN56" s="47">
        <v>69.624029448943219</v>
      </c>
      <c r="BO56" s="47">
        <v>1342.7788180635082</v>
      </c>
      <c r="BP56" s="47">
        <v>115.49260496465661</v>
      </c>
      <c r="BQ56" s="47">
        <v>5676.1329500527117</v>
      </c>
      <c r="BR56" s="61">
        <v>13644.107807809884</v>
      </c>
      <c r="BT56" s="66" t="s">
        <v>275</v>
      </c>
      <c r="BU56" s="24">
        <f t="shared" si="17"/>
        <v>18.3452432102847</v>
      </c>
      <c r="BV56" s="24">
        <f t="shared" si="31"/>
        <v>3.6724400671071411</v>
      </c>
      <c r="BW56" s="24">
        <f t="shared" si="32"/>
        <v>10.480445527372716</v>
      </c>
      <c r="BX56" s="24">
        <f t="shared" si="33"/>
        <v>7.753391767139675</v>
      </c>
      <c r="BY56" s="24">
        <f t="shared" si="34"/>
        <v>3.7077907627566296</v>
      </c>
      <c r="BZ56" s="24">
        <f t="shared" si="35"/>
        <v>0.26885487878213038</v>
      </c>
      <c r="CA56" s="24">
        <f t="shared" si="36"/>
        <v>3.8664095842491801E-2</v>
      </c>
      <c r="CB56" s="24">
        <f t="shared" si="37"/>
        <v>1.6987732560804394</v>
      </c>
      <c r="CC56" s="24">
        <f t="shared" si="38"/>
        <v>0.22409610972067015</v>
      </c>
      <c r="CD56" s="24">
        <f t="shared" si="39"/>
        <v>1.0107438863001426</v>
      </c>
      <c r="CE56" s="24">
        <f t="shared" si="40"/>
        <v>0.51028642128648716</v>
      </c>
      <c r="CF56" s="24">
        <f t="shared" si="41"/>
        <v>9.8414556450140473</v>
      </c>
      <c r="CG56" s="24">
        <f t="shared" si="42"/>
        <v>0.84646505723553933</v>
      </c>
      <c r="CH56" s="24">
        <f t="shared" si="43"/>
        <v>41.601349315077201</v>
      </c>
      <c r="CI56" s="61">
        <v>13644.107807809884</v>
      </c>
      <c r="CK56" s="66" t="s">
        <v>174</v>
      </c>
      <c r="CL56" s="22">
        <v>48.837823866414979</v>
      </c>
      <c r="CM56" s="22">
        <v>3.7636629702048818</v>
      </c>
      <c r="CN56" s="22">
        <v>3.919533061269636</v>
      </c>
      <c r="CO56" s="22">
        <v>2.8119246949662307</v>
      </c>
      <c r="CP56" s="22">
        <v>3.6020124728946801</v>
      </c>
      <c r="CQ56" s="22">
        <v>1.4422805933402534</v>
      </c>
      <c r="CR56" s="22">
        <v>0.77987823406016721</v>
      </c>
      <c r="CS56" s="22">
        <v>0.2792790415937661</v>
      </c>
      <c r="CT56" s="22">
        <v>0.69278516260794465</v>
      </c>
      <c r="CU56" s="22">
        <v>1.7356423965534189</v>
      </c>
      <c r="CV56" s="22">
        <v>0</v>
      </c>
      <c r="CW56" s="22">
        <v>3.4362169454347113</v>
      </c>
      <c r="CX56" s="22">
        <v>8.2257447894283988</v>
      </c>
      <c r="CY56" s="22">
        <v>20.473215771230986</v>
      </c>
      <c r="CZ56" s="61">
        <v>10.352138260080199</v>
      </c>
    </row>
    <row r="57" spans="1:104">
      <c r="B57" s="24"/>
      <c r="C57" s="24"/>
      <c r="D57" s="43"/>
    </row>
    <row r="58" spans="1:104">
      <c r="B58" s="24"/>
      <c r="C58" s="24"/>
      <c r="D58" s="43"/>
    </row>
    <row r="59" spans="1:104">
      <c r="B59" s="24"/>
      <c r="C59" s="24"/>
      <c r="D59" s="43"/>
    </row>
    <row r="60" spans="1:104">
      <c r="B60" s="24"/>
      <c r="C60" s="24"/>
      <c r="D60" s="43"/>
    </row>
    <row r="61" spans="1:104">
      <c r="B61" s="24"/>
      <c r="C61" s="24"/>
      <c r="D61" s="43"/>
    </row>
    <row r="62" spans="1:104">
      <c r="B62" s="24"/>
      <c r="C62" s="24"/>
      <c r="D62" s="43"/>
    </row>
    <row r="63" spans="1:104">
      <c r="B63" s="24"/>
      <c r="C63" s="24"/>
      <c r="D63" s="43"/>
    </row>
    <row r="64" spans="1:104">
      <c r="B64" s="24"/>
      <c r="C64" s="24"/>
      <c r="D64" s="43"/>
    </row>
    <row r="65" spans="2:4">
      <c r="B65" s="24"/>
      <c r="C65" s="24"/>
      <c r="D65" s="43"/>
    </row>
    <row r="66" spans="2:4">
      <c r="B66" s="24"/>
      <c r="C66" s="24"/>
      <c r="D66" s="43"/>
    </row>
    <row r="67" spans="2:4">
      <c r="B67" s="24"/>
      <c r="C67" s="24"/>
      <c r="D67" s="43"/>
    </row>
    <row r="68" spans="2:4">
      <c r="B68" s="24"/>
      <c r="C68" s="24"/>
      <c r="D68" s="43"/>
    </row>
    <row r="69" spans="2:4">
      <c r="B69" s="24"/>
      <c r="C69" s="24"/>
      <c r="D69" s="43"/>
    </row>
    <row r="70" spans="2:4">
      <c r="B70" s="24"/>
      <c r="C70" s="24"/>
      <c r="D70" s="43"/>
    </row>
    <row r="71" spans="2:4">
      <c r="B71" s="24"/>
      <c r="C71" s="24"/>
      <c r="D71" s="43"/>
    </row>
    <row r="72" spans="2:4">
      <c r="B72" s="24"/>
      <c r="C72" s="24"/>
      <c r="D72" s="43"/>
    </row>
    <row r="73" spans="2:4">
      <c r="B73" s="24"/>
      <c r="C73" s="24"/>
      <c r="D73" s="43"/>
    </row>
    <row r="74" spans="2:4">
      <c r="B74" s="24"/>
      <c r="C74" s="24"/>
      <c r="D74" s="43"/>
    </row>
    <row r="75" spans="2:4">
      <c r="B75" s="24"/>
      <c r="C75" s="24"/>
      <c r="D75" s="43"/>
    </row>
    <row r="76" spans="2:4">
      <c r="B76" s="24"/>
      <c r="C76" s="24"/>
      <c r="D76" s="43"/>
    </row>
    <row r="77" spans="2:4">
      <c r="B77" s="24"/>
      <c r="C77" s="24"/>
      <c r="D77" s="43"/>
    </row>
  </sheetData>
  <sortState xmlns:xlrd2="http://schemas.microsoft.com/office/spreadsheetml/2017/richdata2" ref="AJ31:AY52">
    <sortCondition descending="1" ref="AY31:AY5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9833-9188-4C75-965A-58838F099586}">
  <sheetPr>
    <tabColor theme="9" tint="0.59999389629810485"/>
  </sheetPr>
  <dimension ref="A1:L70"/>
  <sheetViews>
    <sheetView zoomScale="110" zoomScaleNormal="110" workbookViewId="0">
      <selection activeCell="P53" sqref="P53"/>
    </sheetView>
  </sheetViews>
  <sheetFormatPr defaultRowHeight="15"/>
  <cols>
    <col min="1" max="1" width="6.140625" customWidth="1"/>
    <col min="2" max="2" width="7.85546875" style="3" customWidth="1"/>
    <col min="3" max="3" width="8.85546875"/>
    <col min="12" max="12" width="11.42578125" customWidth="1"/>
  </cols>
  <sheetData>
    <row r="1" spans="1:12">
      <c r="A1" s="27"/>
      <c r="B1" s="52"/>
      <c r="C1" s="27" t="s">
        <v>133</v>
      </c>
      <c r="D1" s="27" t="s">
        <v>133</v>
      </c>
    </row>
    <row r="2" spans="1:12">
      <c r="A2" t="s">
        <v>0</v>
      </c>
      <c r="B2" s="51" t="s">
        <v>139</v>
      </c>
      <c r="C2" t="s">
        <v>335</v>
      </c>
      <c r="D2" t="s">
        <v>336</v>
      </c>
    </row>
    <row r="3" spans="1:12">
      <c r="A3" s="27" t="s">
        <v>7</v>
      </c>
      <c r="B3" s="52">
        <v>8.5</v>
      </c>
      <c r="C3" s="44">
        <v>15</v>
      </c>
      <c r="D3" s="173">
        <v>1.0352138260080199E-2</v>
      </c>
    </row>
    <row r="4" spans="1:12">
      <c r="B4" s="3">
        <v>10.5</v>
      </c>
      <c r="C4" s="24">
        <v>26</v>
      </c>
      <c r="D4" s="173">
        <v>0.56318591952990615</v>
      </c>
    </row>
    <row r="5" spans="1:12" ht="15.75">
      <c r="B5" s="3">
        <v>12</v>
      </c>
      <c r="C5" s="24">
        <v>23</v>
      </c>
      <c r="D5" s="173">
        <v>4.6276082418081854</v>
      </c>
      <c r="L5" s="229"/>
    </row>
    <row r="6" spans="1:12">
      <c r="B6" s="3">
        <v>13.5</v>
      </c>
      <c r="C6" s="24">
        <v>9</v>
      </c>
      <c r="D6" s="173">
        <v>4.3918554865752739</v>
      </c>
    </row>
    <row r="7" spans="1:12">
      <c r="B7" s="3">
        <v>15.5</v>
      </c>
      <c r="C7" s="24">
        <v>0</v>
      </c>
      <c r="D7" s="173">
        <v>10.445299637632411</v>
      </c>
      <c r="H7" t="s">
        <v>337</v>
      </c>
      <c r="I7" t="s">
        <v>338</v>
      </c>
    </row>
    <row r="8" spans="1:12">
      <c r="B8" s="3">
        <v>17</v>
      </c>
      <c r="C8" s="24">
        <v>1</v>
      </c>
      <c r="D8" s="173">
        <v>8.5177206461662855</v>
      </c>
      <c r="H8" s="315" t="s">
        <v>339</v>
      </c>
      <c r="I8" t="s">
        <v>340</v>
      </c>
    </row>
    <row r="9" spans="1:12">
      <c r="B9" s="3">
        <v>19</v>
      </c>
      <c r="C9" s="24">
        <v>9</v>
      </c>
      <c r="D9" s="173">
        <v>6.0722362002911341</v>
      </c>
    </row>
    <row r="10" spans="1:12">
      <c r="B10" s="3">
        <v>19.5</v>
      </c>
      <c r="C10" s="24">
        <v>2</v>
      </c>
      <c r="D10" s="173">
        <v>6.8230379880820946</v>
      </c>
    </row>
    <row r="11" spans="1:12">
      <c r="B11" s="3">
        <v>20.5</v>
      </c>
      <c r="C11" s="24">
        <v>5</v>
      </c>
      <c r="D11" s="173">
        <v>3.3637875359597293</v>
      </c>
    </row>
    <row r="12" spans="1:12">
      <c r="B12" s="3">
        <v>22.5</v>
      </c>
      <c r="C12" s="24">
        <v>120</v>
      </c>
      <c r="D12" s="173">
        <v>0.99998649397170403</v>
      </c>
    </row>
    <row r="13" spans="1:12">
      <c r="B13" s="3">
        <v>24</v>
      </c>
      <c r="C13" s="24">
        <v>123</v>
      </c>
      <c r="D13" s="173">
        <v>5.7927176990748903E-2</v>
      </c>
    </row>
    <row r="14" spans="1:12">
      <c r="B14" s="3">
        <v>26</v>
      </c>
      <c r="C14" s="24">
        <v>124</v>
      </c>
      <c r="D14" s="173">
        <v>1.7087316174681868E-2</v>
      </c>
    </row>
    <row r="15" spans="1:12">
      <c r="B15" s="3">
        <v>28</v>
      </c>
      <c r="C15" s="24">
        <v>79</v>
      </c>
      <c r="D15" s="173">
        <v>1.9769096035899396</v>
      </c>
    </row>
    <row r="16" spans="1:12">
      <c r="B16" s="3">
        <v>29.5</v>
      </c>
      <c r="C16" s="24">
        <v>67</v>
      </c>
      <c r="D16" s="173">
        <v>5.5968238221817561E-2</v>
      </c>
    </row>
    <row r="17" spans="1:4">
      <c r="B17" s="3">
        <v>31</v>
      </c>
      <c r="C17" s="24">
        <v>127</v>
      </c>
      <c r="D17" s="173">
        <v>0.20501316083293236</v>
      </c>
    </row>
    <row r="18" spans="1:4">
      <c r="B18" s="3">
        <v>45</v>
      </c>
      <c r="C18" s="24">
        <v>237</v>
      </c>
      <c r="D18" s="173">
        <v>2.4769927925219561E-2</v>
      </c>
    </row>
    <row r="19" spans="1:4">
      <c r="B19" s="3">
        <v>49.5</v>
      </c>
      <c r="C19" s="24">
        <v>85</v>
      </c>
      <c r="D19" s="173">
        <v>4.5973514723287916E-2</v>
      </c>
    </row>
    <row r="20" spans="1:4">
      <c r="B20" s="3">
        <v>51</v>
      </c>
      <c r="C20" s="24">
        <v>85</v>
      </c>
      <c r="D20" s="173">
        <v>2.3911461335810996E-2</v>
      </c>
    </row>
    <row r="21" spans="1:4">
      <c r="B21" s="3">
        <v>53</v>
      </c>
      <c r="C21" s="24">
        <v>94</v>
      </c>
      <c r="D21" s="173">
        <v>1.8393809061085196E-2</v>
      </c>
    </row>
    <row r="22" spans="1:4">
      <c r="B22" s="3">
        <v>54.5</v>
      </c>
      <c r="C22" s="24">
        <v>65</v>
      </c>
      <c r="D22" s="173">
        <v>1.1832230751683369E-2</v>
      </c>
    </row>
    <row r="23" spans="1:4">
      <c r="B23" s="3">
        <v>55</v>
      </c>
      <c r="C23" s="24">
        <v>84</v>
      </c>
      <c r="D23" s="173">
        <v>1.2682668307534326E-2</v>
      </c>
    </row>
    <row r="24" spans="1:4">
      <c r="B24" s="3">
        <v>56.5</v>
      </c>
      <c r="C24" s="24">
        <v>75</v>
      </c>
      <c r="D24" s="173">
        <v>2.6832977956535147E-2</v>
      </c>
    </row>
    <row r="25" spans="1:4">
      <c r="B25" s="3">
        <v>58</v>
      </c>
      <c r="C25" s="24">
        <v>181</v>
      </c>
      <c r="D25" s="173">
        <v>1.1906494760485326E-2</v>
      </c>
    </row>
    <row r="26" spans="1:4">
      <c r="B26" s="3">
        <v>59.5</v>
      </c>
      <c r="C26" s="24">
        <v>153</v>
      </c>
      <c r="D26" s="173">
        <v>2.0209450758932476E-2</v>
      </c>
    </row>
    <row r="27" spans="1:4">
      <c r="A27" s="30"/>
      <c r="B27" s="54">
        <v>64</v>
      </c>
      <c r="C27" s="31">
        <v>39</v>
      </c>
      <c r="D27" s="173">
        <v>2.2031508881945314E-2</v>
      </c>
    </row>
    <row r="28" spans="1:4">
      <c r="A28" t="s">
        <v>11</v>
      </c>
      <c r="B28" s="3">
        <v>7</v>
      </c>
      <c r="C28" s="24">
        <v>176</v>
      </c>
      <c r="D28" s="173">
        <v>9.6832077668474703</v>
      </c>
    </row>
    <row r="29" spans="1:4">
      <c r="B29" s="3">
        <v>8.5</v>
      </c>
      <c r="C29" s="24">
        <v>101</v>
      </c>
      <c r="D29" s="173">
        <v>1.3296081408206695</v>
      </c>
    </row>
    <row r="30" spans="1:4">
      <c r="B30" s="3">
        <v>10.5</v>
      </c>
      <c r="C30" s="24">
        <v>42</v>
      </c>
      <c r="D30" s="173">
        <v>0.60699112448763304</v>
      </c>
    </row>
    <row r="31" spans="1:4">
      <c r="B31" s="3">
        <v>12</v>
      </c>
      <c r="C31" s="24">
        <v>29</v>
      </c>
      <c r="D31" s="173">
        <v>1.9465845817780254</v>
      </c>
    </row>
    <row r="32" spans="1:4">
      <c r="B32" s="3">
        <v>14</v>
      </c>
      <c r="C32" s="24">
        <v>88</v>
      </c>
      <c r="D32" s="173">
        <v>10.123158243273032</v>
      </c>
    </row>
    <row r="33" spans="1:10">
      <c r="B33" s="3">
        <v>15.5</v>
      </c>
      <c r="C33" s="24">
        <v>136</v>
      </c>
      <c r="D33" s="173">
        <v>0.70726364243081408</v>
      </c>
    </row>
    <row r="34" spans="1:10">
      <c r="B34" s="3">
        <v>17</v>
      </c>
      <c r="C34" s="24">
        <v>204</v>
      </c>
      <c r="D34" s="173">
        <v>0.30570133444855047</v>
      </c>
    </row>
    <row r="35" spans="1:10">
      <c r="B35" s="3">
        <v>20</v>
      </c>
      <c r="C35" s="24">
        <v>169</v>
      </c>
      <c r="D35" s="173">
        <v>2.6329635294249171E-2</v>
      </c>
    </row>
    <row r="36" spans="1:10">
      <c r="B36" s="3">
        <v>23.5</v>
      </c>
      <c r="C36" s="24">
        <v>204</v>
      </c>
      <c r="D36" s="173">
        <v>2.8481094482810179E-2</v>
      </c>
    </row>
    <row r="37" spans="1:10">
      <c r="B37" s="3">
        <v>26</v>
      </c>
      <c r="C37" s="24">
        <v>169</v>
      </c>
      <c r="D37" s="173">
        <v>1.9787548896431778E-2</v>
      </c>
    </row>
    <row r="38" spans="1:10">
      <c r="B38" s="3">
        <v>43</v>
      </c>
      <c r="C38" s="24">
        <v>141</v>
      </c>
      <c r="D38" s="173">
        <v>3.3438457743231835E-2</v>
      </c>
    </row>
    <row r="39" spans="1:10">
      <c r="B39" s="3">
        <v>50</v>
      </c>
      <c r="C39" s="24">
        <v>97</v>
      </c>
      <c r="D39" s="173">
        <v>1.5542800365841039E-2</v>
      </c>
    </row>
    <row r="40" spans="1:10">
      <c r="B40" s="3">
        <v>55.5</v>
      </c>
      <c r="C40" s="24">
        <v>102</v>
      </c>
      <c r="D40" s="173">
        <v>4.0869824758328219E-2</v>
      </c>
    </row>
    <row r="41" spans="1:10">
      <c r="B41" s="3">
        <v>60</v>
      </c>
      <c r="C41" s="24">
        <v>74</v>
      </c>
      <c r="D41" s="173">
        <v>1.5096293918921351E-2</v>
      </c>
    </row>
    <row r="42" spans="1:10">
      <c r="B42" s="3">
        <v>65.5</v>
      </c>
      <c r="C42" s="24">
        <v>209</v>
      </c>
      <c r="D42" s="173">
        <v>0.12082128078730307</v>
      </c>
    </row>
    <row r="43" spans="1:10">
      <c r="A43" s="27" t="s">
        <v>14</v>
      </c>
      <c r="B43" s="52">
        <v>15.5</v>
      </c>
      <c r="C43" s="44">
        <v>11</v>
      </c>
      <c r="D43" s="173">
        <v>8.8783692042921452</v>
      </c>
      <c r="H43" s="324" t="s">
        <v>341</v>
      </c>
      <c r="I43" t="s">
        <v>342</v>
      </c>
      <c r="J43">
        <v>5000</v>
      </c>
    </row>
    <row r="44" spans="1:10">
      <c r="B44" s="3">
        <v>17</v>
      </c>
      <c r="C44" s="24">
        <v>1.2</v>
      </c>
      <c r="D44" s="173">
        <v>8.7335485876714198</v>
      </c>
      <c r="H44" s="324" t="s">
        <v>343</v>
      </c>
      <c r="I44" t="s">
        <v>344</v>
      </c>
      <c r="J44">
        <v>3900</v>
      </c>
    </row>
    <row r="45" spans="1:10">
      <c r="B45" s="3">
        <v>19</v>
      </c>
      <c r="C45" s="24">
        <v>0</v>
      </c>
      <c r="D45" s="173">
        <v>12.09275376947649</v>
      </c>
      <c r="H45" s="324" t="s">
        <v>345</v>
      </c>
      <c r="I45" t="s">
        <v>346</v>
      </c>
      <c r="J45">
        <v>3700</v>
      </c>
    </row>
    <row r="46" spans="1:10">
      <c r="B46" s="3">
        <v>20.5</v>
      </c>
      <c r="C46" s="24">
        <v>5</v>
      </c>
      <c r="D46" s="173">
        <v>9.6730263442075888</v>
      </c>
      <c r="H46" s="324" t="s">
        <v>347</v>
      </c>
      <c r="I46" t="s">
        <v>348</v>
      </c>
    </row>
    <row r="47" spans="1:10">
      <c r="B47" s="3">
        <v>22.5</v>
      </c>
      <c r="C47" s="24">
        <v>1</v>
      </c>
      <c r="D47" s="173">
        <v>9.456687404859677</v>
      </c>
      <c r="H47" s="324" t="s">
        <v>349</v>
      </c>
      <c r="I47" t="s">
        <v>350</v>
      </c>
      <c r="J47">
        <v>870</v>
      </c>
    </row>
    <row r="48" spans="1:10">
      <c r="B48" s="3">
        <v>26</v>
      </c>
      <c r="C48" s="24">
        <v>13.7</v>
      </c>
      <c r="D48" s="173">
        <v>10.296619441004365</v>
      </c>
      <c r="H48" s="324" t="s">
        <v>351</v>
      </c>
      <c r="I48" t="s">
        <v>352</v>
      </c>
    </row>
    <row r="49" spans="1:10">
      <c r="B49" s="3">
        <v>39</v>
      </c>
      <c r="C49" s="24">
        <v>10</v>
      </c>
      <c r="D49" s="173">
        <v>8.5234388136869406</v>
      </c>
      <c r="H49" s="324" t="s">
        <v>353</v>
      </c>
      <c r="I49" t="s">
        <v>354</v>
      </c>
      <c r="J49">
        <v>5100</v>
      </c>
    </row>
    <row r="50" spans="1:10">
      <c r="B50" s="3">
        <v>41</v>
      </c>
      <c r="C50" s="24">
        <v>16</v>
      </c>
      <c r="D50" s="173">
        <v>8.4646548365281973</v>
      </c>
    </row>
    <row r="51" spans="1:10">
      <c r="B51" s="3">
        <v>43.5</v>
      </c>
      <c r="C51" s="24">
        <v>81</v>
      </c>
      <c r="D51" s="173">
        <v>7.7561329104635162</v>
      </c>
    </row>
    <row r="52" spans="1:10">
      <c r="A52" s="30"/>
      <c r="B52" s="54">
        <v>46</v>
      </c>
      <c r="C52" s="31">
        <v>28</v>
      </c>
      <c r="D52" s="173">
        <v>13.644107807809883</v>
      </c>
    </row>
    <row r="55" spans="1:10">
      <c r="B55" s="3" t="s">
        <v>355</v>
      </c>
      <c r="C55" t="s">
        <v>356</v>
      </c>
      <c r="D55" t="s">
        <v>357</v>
      </c>
    </row>
    <row r="56" spans="1:10">
      <c r="B56" s="324" t="s">
        <v>341</v>
      </c>
      <c r="C56">
        <v>10</v>
      </c>
      <c r="D56">
        <v>5000</v>
      </c>
    </row>
    <row r="57" spans="1:10">
      <c r="B57" s="324" t="s">
        <v>343</v>
      </c>
      <c r="C57">
        <v>11</v>
      </c>
      <c r="D57">
        <v>3900</v>
      </c>
    </row>
    <row r="58" spans="1:10">
      <c r="B58" s="324" t="s">
        <v>345</v>
      </c>
      <c r="C58">
        <v>12</v>
      </c>
      <c r="D58">
        <v>3700</v>
      </c>
    </row>
    <row r="59" spans="1:10">
      <c r="B59" s="324" t="s">
        <v>347</v>
      </c>
      <c r="C59">
        <v>23</v>
      </c>
      <c r="D59">
        <v>1200</v>
      </c>
    </row>
    <row r="60" spans="1:10">
      <c r="B60" s="324" t="s">
        <v>349</v>
      </c>
      <c r="C60">
        <v>24.5</v>
      </c>
      <c r="D60">
        <v>870</v>
      </c>
    </row>
    <row r="61" spans="1:10">
      <c r="B61" s="324" t="s">
        <v>351</v>
      </c>
      <c r="C61">
        <v>27</v>
      </c>
      <c r="D61">
        <v>1600</v>
      </c>
    </row>
    <row r="62" spans="1:10">
      <c r="B62" s="324" t="s">
        <v>353</v>
      </c>
      <c r="C62">
        <v>32.5</v>
      </c>
      <c r="D62">
        <v>5100</v>
      </c>
    </row>
    <row r="64" spans="1:10">
      <c r="B64" s="315" t="s">
        <v>358</v>
      </c>
      <c r="C64">
        <v>13.5</v>
      </c>
      <c r="D64">
        <v>2000</v>
      </c>
    </row>
    <row r="65" spans="2:4">
      <c r="B65" s="315" t="s">
        <v>359</v>
      </c>
      <c r="C65">
        <v>26.5</v>
      </c>
      <c r="D65">
        <v>17000</v>
      </c>
    </row>
    <row r="66" spans="2:4">
      <c r="B66" s="315" t="s">
        <v>360</v>
      </c>
      <c r="C66">
        <v>39</v>
      </c>
      <c r="D66">
        <v>4600</v>
      </c>
    </row>
    <row r="67" spans="2:4">
      <c r="B67" s="315" t="s">
        <v>361</v>
      </c>
      <c r="C67">
        <v>40</v>
      </c>
      <c r="D67">
        <v>5300</v>
      </c>
    </row>
    <row r="68" spans="2:4">
      <c r="B68" s="315" t="s">
        <v>362</v>
      </c>
      <c r="C68">
        <v>46</v>
      </c>
      <c r="D68">
        <v>8700</v>
      </c>
    </row>
    <row r="69" spans="2:4">
      <c r="B69" s="315" t="s">
        <v>337</v>
      </c>
      <c r="C69">
        <v>56</v>
      </c>
      <c r="D69">
        <v>7200</v>
      </c>
    </row>
    <row r="70" spans="2:4">
      <c r="B70" s="315" t="s">
        <v>339</v>
      </c>
      <c r="C70">
        <v>64</v>
      </c>
      <c r="D70">
        <v>3700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F089-F041-4F15-AE75-76FAC9E55BCD}">
  <sheetPr>
    <tabColor theme="4"/>
  </sheetPr>
  <dimension ref="A1:AW109"/>
  <sheetViews>
    <sheetView topLeftCell="AA1" zoomScale="90" zoomScaleNormal="90" workbookViewId="0">
      <pane ySplit="2" topLeftCell="A3" activePane="bottomLeft" state="frozen"/>
      <selection pane="bottomLeft" activeCell="AR9" sqref="AR9"/>
    </sheetView>
  </sheetViews>
  <sheetFormatPr defaultRowHeight="15"/>
  <cols>
    <col min="1" max="1" width="12.140625" customWidth="1"/>
    <col min="2" max="2" width="16.28515625" customWidth="1"/>
    <col min="3" max="4" width="11" customWidth="1"/>
    <col min="5" max="5" width="8.85546875" bestFit="1" customWidth="1"/>
    <col min="6" max="6" width="11.7109375" bestFit="1" customWidth="1"/>
    <col min="7" max="7" width="10.5703125" customWidth="1"/>
    <col min="8" max="8" width="8.5703125" customWidth="1"/>
    <col min="9" max="9" width="9.42578125" bestFit="1" customWidth="1"/>
    <col min="10" max="11" width="8.85546875"/>
    <col min="32" max="32" width="24" style="21" customWidth="1"/>
    <col min="33" max="40" width="8.85546875" style="1"/>
    <col min="43" max="43" width="10.140625" customWidth="1"/>
  </cols>
  <sheetData>
    <row r="1" spans="1:40">
      <c r="A1" s="23"/>
      <c r="B1" s="27" t="s">
        <v>363</v>
      </c>
      <c r="C1" s="27"/>
      <c r="D1" s="27" t="s">
        <v>133</v>
      </c>
      <c r="E1" s="27" t="s">
        <v>133</v>
      </c>
      <c r="F1" s="27" t="s">
        <v>135</v>
      </c>
      <c r="G1" s="27" t="s">
        <v>364</v>
      </c>
      <c r="H1" s="27" t="s">
        <v>134</v>
      </c>
      <c r="I1" t="s">
        <v>135</v>
      </c>
      <c r="AF1" s="249" t="s">
        <v>365</v>
      </c>
      <c r="AG1" s="250" t="s">
        <v>37</v>
      </c>
      <c r="AH1" s="251" t="s">
        <v>31</v>
      </c>
      <c r="AI1" s="250" t="s">
        <v>84</v>
      </c>
      <c r="AJ1" s="250" t="s">
        <v>366</v>
      </c>
      <c r="AK1" s="251" t="s">
        <v>367</v>
      </c>
      <c r="AL1" s="250">
        <v>37</v>
      </c>
      <c r="AM1" s="250">
        <v>60</v>
      </c>
      <c r="AN1" s="252" t="s">
        <v>43</v>
      </c>
    </row>
    <row r="2" spans="1:40" ht="45">
      <c r="A2" s="25" t="s">
        <v>137</v>
      </c>
      <c r="C2" s="604" t="s">
        <v>368</v>
      </c>
      <c r="D2" t="s">
        <v>369</v>
      </c>
      <c r="E2" t="s">
        <v>123</v>
      </c>
      <c r="F2" t="s">
        <v>147</v>
      </c>
      <c r="G2" t="s">
        <v>370</v>
      </c>
      <c r="H2" t="s">
        <v>371</v>
      </c>
      <c r="I2" s="42" t="s">
        <v>121</v>
      </c>
      <c r="J2" s="36"/>
      <c r="AF2" s="253" t="s">
        <v>372</v>
      </c>
      <c r="AG2" s="254" t="s">
        <v>102</v>
      </c>
      <c r="AH2" s="255" t="s">
        <v>104</v>
      </c>
      <c r="AI2" s="254">
        <v>45</v>
      </c>
      <c r="AJ2" s="254" t="s">
        <v>93</v>
      </c>
      <c r="AK2" s="255" t="s">
        <v>106</v>
      </c>
      <c r="AL2" s="254">
        <v>25</v>
      </c>
      <c r="AM2" s="254" t="s">
        <v>97</v>
      </c>
      <c r="AN2" s="256" t="s">
        <v>100</v>
      </c>
    </row>
    <row r="3" spans="1:40">
      <c r="A3" s="23" t="s">
        <v>168</v>
      </c>
      <c r="B3" s="49" t="s">
        <v>169</v>
      </c>
      <c r="C3" s="604">
        <v>154.3896</v>
      </c>
      <c r="D3" s="28">
        <v>203.226</v>
      </c>
      <c r="E3" s="28">
        <v>0.10686666666666667</v>
      </c>
      <c r="F3" s="28">
        <v>3.3376885514834205E-2</v>
      </c>
      <c r="G3" s="28">
        <v>12.0744701119241</v>
      </c>
      <c r="H3" s="28">
        <v>1.1771842314565599</v>
      </c>
      <c r="I3" s="58">
        <v>67.39807390416118</v>
      </c>
      <c r="AF3" s="257" t="s">
        <v>373</v>
      </c>
      <c r="AG3" s="258"/>
      <c r="AH3" s="259"/>
      <c r="AI3" s="258"/>
      <c r="AJ3" s="258"/>
      <c r="AK3" s="259"/>
      <c r="AL3" s="258"/>
      <c r="AM3" s="258"/>
      <c r="AN3" s="260"/>
    </row>
    <row r="4" spans="1:40">
      <c r="A4" s="25" t="s">
        <v>171</v>
      </c>
      <c r="B4" s="48" t="s">
        <v>172</v>
      </c>
      <c r="C4" s="604">
        <v>149.2576</v>
      </c>
      <c r="D4" s="22">
        <v>166.47200000000001</v>
      </c>
      <c r="E4" s="22">
        <v>0.28497777777777783</v>
      </c>
      <c r="F4" s="22">
        <v>6.1851790924956351E-2</v>
      </c>
      <c r="G4" s="22">
        <v>5.4826296935321297</v>
      </c>
      <c r="H4" s="22">
        <v>0.77835240642361303</v>
      </c>
      <c r="I4" s="29">
        <v>120.82128078730307</v>
      </c>
      <c r="AF4" s="261" t="s">
        <v>4</v>
      </c>
      <c r="AG4" s="262">
        <v>7.08</v>
      </c>
      <c r="AH4" s="263">
        <v>7.17</v>
      </c>
      <c r="AI4" s="262">
        <v>7.35</v>
      </c>
      <c r="AJ4" s="262">
        <v>7.26</v>
      </c>
      <c r="AK4" s="263">
        <v>7.36</v>
      </c>
      <c r="AL4" s="262">
        <v>7.1</v>
      </c>
      <c r="AM4" s="262">
        <v>7.35</v>
      </c>
      <c r="AN4" s="264">
        <v>7.38</v>
      </c>
    </row>
    <row r="5" spans="1:40">
      <c r="A5" s="23" t="s">
        <v>173</v>
      </c>
      <c r="B5" s="27" t="s">
        <v>174</v>
      </c>
      <c r="C5" s="604">
        <v>134.1534</v>
      </c>
      <c r="D5" s="28">
        <v>15</v>
      </c>
      <c r="E5" s="28">
        <v>0.39184444444444444</v>
      </c>
      <c r="F5" s="28">
        <v>1047.6268494764397</v>
      </c>
      <c r="G5" s="28">
        <v>2.87694866756945</v>
      </c>
      <c r="H5" s="28">
        <v>0.58795062857681801</v>
      </c>
      <c r="I5" s="58">
        <v>10.352138260080199</v>
      </c>
      <c r="AF5" s="261" t="s">
        <v>374</v>
      </c>
      <c r="AG5" s="265">
        <v>1080</v>
      </c>
      <c r="AH5" s="266">
        <v>983</v>
      </c>
      <c r="AI5" s="265">
        <v>1459</v>
      </c>
      <c r="AJ5" s="265">
        <v>1541</v>
      </c>
      <c r="AK5" s="266">
        <v>1619</v>
      </c>
      <c r="AL5" s="265">
        <v>1037</v>
      </c>
      <c r="AM5" s="265">
        <v>805</v>
      </c>
      <c r="AN5" s="267">
        <v>1221</v>
      </c>
    </row>
    <row r="6" spans="1:40">
      <c r="A6" s="25" t="s">
        <v>176</v>
      </c>
      <c r="B6" t="s">
        <v>375</v>
      </c>
      <c r="C6" s="604">
        <v>115.3802</v>
      </c>
      <c r="D6" s="22">
        <v>26</v>
      </c>
      <c r="E6" s="22">
        <v>0.12467777777777779</v>
      </c>
      <c r="F6" s="22">
        <v>280.35698276614306</v>
      </c>
      <c r="G6" s="22">
        <v>3.24179532767866</v>
      </c>
      <c r="H6" s="22">
        <v>0.61862026418945504</v>
      </c>
      <c r="I6" s="29">
        <v>563.18591952990619</v>
      </c>
      <c r="AF6" s="261" t="s">
        <v>376</v>
      </c>
      <c r="AG6" s="265">
        <v>14.7</v>
      </c>
      <c r="AH6" s="266">
        <v>14.3</v>
      </c>
      <c r="AI6" s="265">
        <v>13.2</v>
      </c>
      <c r="AJ6" s="265">
        <v>13.4</v>
      </c>
      <c r="AK6" s="266">
        <v>12.5</v>
      </c>
      <c r="AL6" s="265">
        <v>11.9</v>
      </c>
      <c r="AM6" s="265">
        <v>13.8</v>
      </c>
      <c r="AN6" s="267">
        <v>12.6</v>
      </c>
    </row>
    <row r="7" spans="1:40">
      <c r="A7" s="25" t="s">
        <v>177</v>
      </c>
      <c r="B7" s="48" t="s">
        <v>178</v>
      </c>
      <c r="C7" s="604">
        <v>158.13720000000001</v>
      </c>
      <c r="D7" s="22">
        <v>23</v>
      </c>
      <c r="E7" s="22">
        <v>8.9055555555555554E-2</v>
      </c>
      <c r="F7" s="22">
        <v>748.39467233856874</v>
      </c>
      <c r="G7" s="22">
        <v>2.9641369233805599</v>
      </c>
      <c r="H7" s="22">
        <v>0.196744319617042</v>
      </c>
      <c r="I7" s="59">
        <v>4627.6082418081851</v>
      </c>
      <c r="AF7" s="261" t="s">
        <v>377</v>
      </c>
      <c r="AG7" s="265">
        <v>-106</v>
      </c>
      <c r="AH7" s="266">
        <v>-116</v>
      </c>
      <c r="AI7" s="265">
        <v>-336</v>
      </c>
      <c r="AJ7" s="265">
        <v>-158</v>
      </c>
      <c r="AK7" s="266">
        <v>-150</v>
      </c>
      <c r="AL7" s="265">
        <v>-36</v>
      </c>
      <c r="AM7" s="265">
        <v>-135</v>
      </c>
      <c r="AN7" s="267">
        <v>-195</v>
      </c>
    </row>
    <row r="8" spans="1:40">
      <c r="A8" s="25" t="s">
        <v>179</v>
      </c>
      <c r="B8" t="s">
        <v>180</v>
      </c>
      <c r="C8" s="604">
        <v>166.68440000000001</v>
      </c>
      <c r="D8" s="22">
        <v>9</v>
      </c>
      <c r="E8" s="22">
        <v>7.1244444444444457E-2</v>
      </c>
      <c r="F8" s="22">
        <v>742.90993935427571</v>
      </c>
      <c r="G8" s="22">
        <v>3.8366324151128102</v>
      </c>
      <c r="H8" s="22">
        <v>0.14980383623836399</v>
      </c>
      <c r="I8" s="59">
        <v>4391.855486575274</v>
      </c>
      <c r="AF8" s="253" t="s">
        <v>378</v>
      </c>
      <c r="AG8" s="254">
        <v>7.0000000000000007E-2</v>
      </c>
      <c r="AH8" s="255">
        <v>0.12</v>
      </c>
      <c r="AI8" s="254">
        <v>0.03</v>
      </c>
      <c r="AJ8" s="254">
        <v>0.05</v>
      </c>
      <c r="AK8" s="255">
        <v>0.05</v>
      </c>
      <c r="AL8" s="254">
        <v>0.1</v>
      </c>
      <c r="AM8" s="254">
        <v>0.18</v>
      </c>
      <c r="AN8" s="256">
        <v>0.08</v>
      </c>
    </row>
    <row r="9" spans="1:40">
      <c r="A9" s="25" t="s">
        <v>181</v>
      </c>
      <c r="B9" s="48" t="s">
        <v>182</v>
      </c>
      <c r="C9" s="604">
        <v>197.54599999999999</v>
      </c>
      <c r="D9" s="22">
        <v>0</v>
      </c>
      <c r="E9" s="22">
        <v>3.5622222222222229E-2</v>
      </c>
      <c r="F9" s="22">
        <v>2022.2096247818497</v>
      </c>
      <c r="G9" s="22">
        <v>1.1262627950833</v>
      </c>
      <c r="H9" s="22">
        <v>0.39475386461465001</v>
      </c>
      <c r="I9" s="59">
        <v>10445.299637632412</v>
      </c>
      <c r="AF9" s="268" t="s">
        <v>379</v>
      </c>
      <c r="AG9" s="269">
        <v>1.2E-2</v>
      </c>
      <c r="AH9" s="270">
        <v>3.2000000000000001E-2</v>
      </c>
      <c r="AI9" s="269">
        <v>3.8820000000000001</v>
      </c>
      <c r="AJ9" s="269">
        <v>0.216</v>
      </c>
      <c r="AK9" s="270">
        <v>4.3999999999999997E-2</v>
      </c>
      <c r="AL9" s="269">
        <v>8.4000000000000005E-2</v>
      </c>
      <c r="AM9" s="269">
        <v>8.2000000000000003E-2</v>
      </c>
      <c r="AN9" s="271">
        <v>0.13800000000000001</v>
      </c>
    </row>
    <row r="10" spans="1:40" ht="30">
      <c r="A10" s="25" t="s">
        <v>183</v>
      </c>
      <c r="B10" s="48" t="s">
        <v>184</v>
      </c>
      <c r="C10" s="604">
        <v>236.5592</v>
      </c>
      <c r="D10" s="22">
        <v>1</v>
      </c>
      <c r="E10" s="22">
        <v>0.30278888888888889</v>
      </c>
      <c r="F10" s="22">
        <v>200.41414288830714</v>
      </c>
      <c r="G10" s="22">
        <v>1.12915831935543</v>
      </c>
      <c r="H10" s="22">
        <v>0.44477020295779102</v>
      </c>
      <c r="I10" s="59">
        <v>8517.7206461662863</v>
      </c>
      <c r="AF10" s="272" t="s">
        <v>380</v>
      </c>
      <c r="AG10" s="273">
        <v>3.4224999999999999</v>
      </c>
      <c r="AH10" s="274">
        <v>3.0714999999999999</v>
      </c>
      <c r="AI10" s="273">
        <v>27.125</v>
      </c>
      <c r="AJ10" s="273">
        <v>5.2765000000000004</v>
      </c>
      <c r="AK10" s="274">
        <v>7.9550000000000001</v>
      </c>
      <c r="AL10" s="273">
        <v>7.9145000000000003</v>
      </c>
      <c r="AM10" s="273">
        <v>4.1114999999999995</v>
      </c>
      <c r="AN10" s="275">
        <v>87.23</v>
      </c>
    </row>
    <row r="11" spans="1:40">
      <c r="A11" s="25" t="s">
        <v>185</v>
      </c>
      <c r="B11" s="48" t="s">
        <v>186</v>
      </c>
      <c r="C11" s="604">
        <v>232.68940000000001</v>
      </c>
      <c r="D11" s="22">
        <v>9</v>
      </c>
      <c r="E11" s="22">
        <v>6.4476222222222228</v>
      </c>
      <c r="F11" s="22">
        <v>122.34953839441535</v>
      </c>
      <c r="G11" s="22">
        <v>0.156013410008567</v>
      </c>
      <c r="H11" s="22">
        <v>0.46739132789608401</v>
      </c>
      <c r="I11" s="59">
        <v>6072.2362002911341</v>
      </c>
      <c r="AF11" s="276" t="s">
        <v>381</v>
      </c>
      <c r="AG11" s="265"/>
      <c r="AH11" s="266"/>
      <c r="AI11" s="265"/>
      <c r="AJ11" s="265"/>
      <c r="AK11" s="266"/>
      <c r="AL11" s="265"/>
      <c r="AM11" s="265"/>
      <c r="AN11" s="267"/>
    </row>
    <row r="12" spans="1:40">
      <c r="A12" s="25" t="s">
        <v>187</v>
      </c>
      <c r="B12" t="s">
        <v>188</v>
      </c>
      <c r="C12" s="604">
        <v>197.55520000000001</v>
      </c>
      <c r="D12" s="22">
        <v>2</v>
      </c>
      <c r="E12" s="22">
        <v>7.1244444444444457E-2</v>
      </c>
      <c r="F12" s="22">
        <v>214.54732853403144</v>
      </c>
      <c r="G12" s="22">
        <v>5.0502472914271399</v>
      </c>
      <c r="H12" s="22">
        <v>0.43748106040795198</v>
      </c>
      <c r="I12" s="59">
        <v>6823.0379880820947</v>
      </c>
      <c r="AF12" s="277" t="s">
        <v>382</v>
      </c>
      <c r="AG12" s="278">
        <v>3.1300000000000001E-2</v>
      </c>
      <c r="AH12" s="279">
        <v>0.01</v>
      </c>
      <c r="AI12" s="278">
        <v>2.4E-2</v>
      </c>
      <c r="AJ12" s="278">
        <v>0.1452</v>
      </c>
      <c r="AK12" s="279">
        <v>6.3500000000000001E-2</v>
      </c>
      <c r="AL12" s="278">
        <v>6.9699999999999998E-2</v>
      </c>
      <c r="AM12" s="278">
        <v>3.4099999999999998E-2</v>
      </c>
      <c r="AN12" s="280">
        <v>2.0199999999999999E-2</v>
      </c>
    </row>
    <row r="13" spans="1:40">
      <c r="A13" s="25" t="s">
        <v>189</v>
      </c>
      <c r="B13" s="48" t="s">
        <v>190</v>
      </c>
      <c r="C13" s="604">
        <v>232.77940000000001</v>
      </c>
      <c r="D13" s="22">
        <v>5</v>
      </c>
      <c r="E13" s="22">
        <v>9.4755111111111106</v>
      </c>
      <c r="F13" s="22">
        <v>91.05513743455495</v>
      </c>
      <c r="G13" s="22">
        <v>4.0728365462998503E-2</v>
      </c>
      <c r="H13" s="22">
        <v>0.67691496817247698</v>
      </c>
      <c r="I13" s="59">
        <v>3363.7875359597292</v>
      </c>
      <c r="AF13" s="277" t="s">
        <v>383</v>
      </c>
      <c r="AG13" s="262">
        <v>68.9512</v>
      </c>
      <c r="AH13" s="263">
        <v>57.530200000000001</v>
      </c>
      <c r="AI13" s="262">
        <v>79.837100000000007</v>
      </c>
      <c r="AJ13" s="262">
        <v>85.699100000000001</v>
      </c>
      <c r="AK13" s="263">
        <v>76.413700000000006</v>
      </c>
      <c r="AL13" s="262">
        <v>54.496600000000001</v>
      </c>
      <c r="AM13" s="262">
        <v>60.538200000000003</v>
      </c>
      <c r="AN13" s="281">
        <v>151.42850000000001</v>
      </c>
    </row>
    <row r="14" spans="1:40">
      <c r="A14" s="25" t="s">
        <v>192</v>
      </c>
      <c r="B14" t="s">
        <v>193</v>
      </c>
      <c r="C14" s="604">
        <v>228.57560000000001</v>
      </c>
      <c r="D14" s="22">
        <v>120</v>
      </c>
      <c r="E14" s="22">
        <v>20.518399999999996</v>
      </c>
      <c r="F14" s="22">
        <v>8.0699847294938891</v>
      </c>
      <c r="G14" s="22">
        <v>9.9684669011121899E-2</v>
      </c>
      <c r="H14" s="22">
        <v>0.89554027608513298</v>
      </c>
      <c r="I14" s="59">
        <v>999.98649397170402</v>
      </c>
      <c r="AF14" s="277" t="s">
        <v>384</v>
      </c>
      <c r="AG14" s="278">
        <v>0.26650000000000001</v>
      </c>
      <c r="AH14" s="279">
        <v>0.18690000000000001</v>
      </c>
      <c r="AI14" s="278">
        <v>0.25719999999999998</v>
      </c>
      <c r="AJ14" s="278">
        <v>0.28339999999999999</v>
      </c>
      <c r="AK14" s="279">
        <v>0.2477</v>
      </c>
      <c r="AL14" s="278">
        <v>0.15620000000000001</v>
      </c>
      <c r="AM14" s="278">
        <v>0.1595</v>
      </c>
      <c r="AN14" s="280">
        <v>0.2046</v>
      </c>
    </row>
    <row r="15" spans="1:40">
      <c r="A15" s="25" t="s">
        <v>194</v>
      </c>
      <c r="B15" t="s">
        <v>195</v>
      </c>
      <c r="C15" s="604">
        <v>211.53120000000001</v>
      </c>
      <c r="D15" s="22">
        <v>123</v>
      </c>
      <c r="E15" s="22">
        <v>0.83712222222222221</v>
      </c>
      <c r="F15" s="22">
        <v>6.6780909031413618</v>
      </c>
      <c r="G15" s="22">
        <v>3.9949253808153902</v>
      </c>
      <c r="H15" s="22">
        <v>3.0511156297776999E-2</v>
      </c>
      <c r="I15" s="29">
        <v>57.927176990748904</v>
      </c>
      <c r="AF15" s="277" t="s">
        <v>385</v>
      </c>
      <c r="AG15" s="278" t="s">
        <v>386</v>
      </c>
      <c r="AH15" s="279" t="s">
        <v>386</v>
      </c>
      <c r="AI15" s="278" t="s">
        <v>386</v>
      </c>
      <c r="AJ15" s="278" t="s">
        <v>386</v>
      </c>
      <c r="AK15" s="279" t="s">
        <v>386</v>
      </c>
      <c r="AL15" s="278" t="s">
        <v>386</v>
      </c>
      <c r="AM15" s="278" t="s">
        <v>386</v>
      </c>
      <c r="AN15" s="280" t="s">
        <v>386</v>
      </c>
    </row>
    <row r="16" spans="1:40">
      <c r="A16" s="25" t="s">
        <v>196</v>
      </c>
      <c r="B16" t="s">
        <v>197</v>
      </c>
      <c r="C16" s="604">
        <v>185.51759999999999</v>
      </c>
      <c r="D16" s="22">
        <v>124</v>
      </c>
      <c r="E16" s="22">
        <v>5.3433333333333333E-2</v>
      </c>
      <c r="F16" s="22">
        <v>5.7532563699825472</v>
      </c>
      <c r="G16" s="22">
        <v>2.3019177945171601</v>
      </c>
      <c r="H16" s="22">
        <v>0.69876607110616695</v>
      </c>
      <c r="I16" s="29">
        <v>17.087316174681867</v>
      </c>
      <c r="AF16" s="277" t="s">
        <v>387</v>
      </c>
      <c r="AG16" s="278" t="s">
        <v>388</v>
      </c>
      <c r="AH16" s="279" t="s">
        <v>389</v>
      </c>
      <c r="AI16" s="278" t="s">
        <v>389</v>
      </c>
      <c r="AJ16" s="278" t="s">
        <v>389</v>
      </c>
      <c r="AK16" s="279" t="s">
        <v>389</v>
      </c>
      <c r="AL16" s="278">
        <v>0.47</v>
      </c>
      <c r="AM16" s="278" t="s">
        <v>389</v>
      </c>
      <c r="AN16" s="280" t="s">
        <v>389</v>
      </c>
    </row>
    <row r="17" spans="1:40">
      <c r="A17" s="25" t="s">
        <v>198</v>
      </c>
      <c r="B17" s="48" t="s">
        <v>199</v>
      </c>
      <c r="C17" s="604">
        <v>196.5942</v>
      </c>
      <c r="D17" s="22">
        <v>79</v>
      </c>
      <c r="E17" s="22">
        <v>15.477855555555553</v>
      </c>
      <c r="F17" s="22">
        <v>6.6195299520069808</v>
      </c>
      <c r="G17" s="22">
        <v>0.113612295106787</v>
      </c>
      <c r="H17" s="22">
        <v>0.70182098929139902</v>
      </c>
      <c r="I17" s="59">
        <v>1976.9096035899397</v>
      </c>
      <c r="AF17" s="277" t="s">
        <v>390</v>
      </c>
      <c r="AG17" s="262">
        <v>73.385099999999994</v>
      </c>
      <c r="AH17" s="263">
        <v>63.985799999999998</v>
      </c>
      <c r="AI17" s="278" t="s">
        <v>391</v>
      </c>
      <c r="AJ17" s="282">
        <v>255.7567</v>
      </c>
      <c r="AK17" s="283">
        <v>227.3176</v>
      </c>
      <c r="AL17" s="282">
        <v>111.2124</v>
      </c>
      <c r="AM17" s="262">
        <v>31.1539</v>
      </c>
      <c r="AN17" s="264">
        <v>21.032</v>
      </c>
    </row>
    <row r="18" spans="1:40">
      <c r="A18" s="25" t="s">
        <v>200</v>
      </c>
      <c r="B18" t="s">
        <v>201</v>
      </c>
      <c r="C18" s="604">
        <v>180.8184</v>
      </c>
      <c r="D18" s="22">
        <v>67</v>
      </c>
      <c r="E18" s="22">
        <v>7.1244444444444457E-2</v>
      </c>
      <c r="F18" s="22">
        <v>6.2338846640488645</v>
      </c>
      <c r="G18" s="22">
        <v>3.4858349749339501</v>
      </c>
      <c r="H18" s="22">
        <v>0.39923933656759802</v>
      </c>
      <c r="I18" s="29">
        <v>55.968238221817558</v>
      </c>
      <c r="AF18" s="284" t="s">
        <v>392</v>
      </c>
      <c r="AG18" s="269" t="s">
        <v>393</v>
      </c>
      <c r="AH18" s="270" t="s">
        <v>393</v>
      </c>
      <c r="AI18" s="269" t="s">
        <v>393</v>
      </c>
      <c r="AJ18" s="269" t="s">
        <v>393</v>
      </c>
      <c r="AK18" s="285">
        <v>1.8372999999999999</v>
      </c>
      <c r="AL18" s="286">
        <v>1.143</v>
      </c>
      <c r="AM18" s="269" t="s">
        <v>393</v>
      </c>
      <c r="AN18" s="271" t="s">
        <v>393</v>
      </c>
    </row>
    <row r="19" spans="1:40">
      <c r="A19" s="25" t="s">
        <v>202</v>
      </c>
      <c r="B19" t="s">
        <v>203</v>
      </c>
      <c r="C19" s="604">
        <v>207.2</v>
      </c>
      <c r="D19" s="22">
        <v>127</v>
      </c>
      <c r="E19" s="22">
        <v>4.9514888888888899</v>
      </c>
      <c r="F19" s="22">
        <v>6.941615183246074</v>
      </c>
      <c r="G19" s="22">
        <v>3.1863076334926901</v>
      </c>
      <c r="H19" s="22">
        <v>0.46118889690845799</v>
      </c>
      <c r="I19" s="29">
        <v>205.01316083293236</v>
      </c>
      <c r="AF19" s="276" t="s">
        <v>394</v>
      </c>
      <c r="AG19" s="265"/>
      <c r="AH19" s="266"/>
      <c r="AI19" s="265"/>
      <c r="AJ19" s="265"/>
      <c r="AK19" s="266"/>
      <c r="AL19" s="265"/>
      <c r="AM19" s="265"/>
      <c r="AN19" s="267"/>
    </row>
    <row r="20" spans="1:40">
      <c r="A20" s="25" t="s">
        <v>204</v>
      </c>
      <c r="B20" s="318" t="s">
        <v>205</v>
      </c>
      <c r="C20" s="604">
        <v>173.26240000000001</v>
      </c>
      <c r="D20" s="320">
        <v>237</v>
      </c>
      <c r="E20" s="22">
        <v>5.3433333333333333E-2</v>
      </c>
      <c r="F20" s="22">
        <v>8.2842321116928428</v>
      </c>
      <c r="G20" s="320">
        <v>9.9551880568739506</v>
      </c>
      <c r="H20" s="22">
        <v>0.46410682178795398</v>
      </c>
      <c r="I20" s="29">
        <v>24.769927925219562</v>
      </c>
      <c r="AF20" s="277" t="s">
        <v>395</v>
      </c>
      <c r="AG20" s="278">
        <v>1.9699999999999999E-2</v>
      </c>
      <c r="AH20" s="279" t="s">
        <v>386</v>
      </c>
      <c r="AI20" s="278" t="s">
        <v>386</v>
      </c>
      <c r="AJ20" s="278" t="s">
        <v>386</v>
      </c>
      <c r="AK20" s="279">
        <v>1.2200000000000001E-2</v>
      </c>
      <c r="AL20" s="278" t="s">
        <v>386</v>
      </c>
      <c r="AM20" s="278" t="s">
        <v>386</v>
      </c>
      <c r="AN20" s="280" t="s">
        <v>386</v>
      </c>
    </row>
    <row r="21" spans="1:40">
      <c r="A21" s="25" t="s">
        <v>206</v>
      </c>
      <c r="B21" t="s">
        <v>207</v>
      </c>
      <c r="C21" s="604">
        <v>134.16849999999999</v>
      </c>
      <c r="D21" s="22">
        <v>85</v>
      </c>
      <c r="E21" s="22">
        <v>5.3433333333333333E-2</v>
      </c>
      <c r="F21" s="22">
        <v>4.3385094895287946</v>
      </c>
      <c r="G21" s="22">
        <v>9.5745828978454792</v>
      </c>
      <c r="H21" s="22">
        <v>0.49690910259973903</v>
      </c>
      <c r="I21" s="29">
        <v>45.973514723287913</v>
      </c>
      <c r="AF21" s="277" t="s">
        <v>396</v>
      </c>
      <c r="AG21" s="262">
        <v>47.794800000000002</v>
      </c>
      <c r="AH21" s="263">
        <v>35.299399999999999</v>
      </c>
      <c r="AI21" s="262">
        <v>64.698899999999995</v>
      </c>
      <c r="AJ21" s="262">
        <v>66.675200000000004</v>
      </c>
      <c r="AK21" s="263">
        <v>71.645799999999994</v>
      </c>
      <c r="AL21" s="262">
        <v>54.522599999999997</v>
      </c>
      <c r="AM21" s="262">
        <v>36.209400000000002</v>
      </c>
      <c r="AN21" s="281">
        <v>108.41249999999999</v>
      </c>
    </row>
    <row r="22" spans="1:40">
      <c r="A22" s="25" t="s">
        <v>209</v>
      </c>
      <c r="B22" t="s">
        <v>210</v>
      </c>
      <c r="C22" s="604">
        <v>134.36420000000001</v>
      </c>
      <c r="D22" s="22">
        <v>85</v>
      </c>
      <c r="E22" s="22">
        <v>7.1244444444444457E-2</v>
      </c>
      <c r="F22" s="22">
        <v>4.9262614746945905</v>
      </c>
      <c r="G22" s="22">
        <v>12.4930829277627</v>
      </c>
      <c r="H22" s="22">
        <v>0.46350808143627498</v>
      </c>
      <c r="I22" s="29">
        <v>23.911461335810994</v>
      </c>
      <c r="AF22" s="277" t="s">
        <v>397</v>
      </c>
      <c r="AG22" s="262">
        <v>1.2322</v>
      </c>
      <c r="AH22" s="263">
        <v>1.1813</v>
      </c>
      <c r="AI22" s="262">
        <v>31.0259</v>
      </c>
      <c r="AJ22" s="262">
        <v>10.456200000000001</v>
      </c>
      <c r="AK22" s="263">
        <v>23.4209</v>
      </c>
      <c r="AL22" s="262">
        <v>8.3754000000000008</v>
      </c>
      <c r="AM22" s="262">
        <v>7.5023999999999997</v>
      </c>
      <c r="AN22" s="264">
        <v>9.6109000000000009</v>
      </c>
    </row>
    <row r="23" spans="1:40">
      <c r="A23" s="25" t="s">
        <v>211</v>
      </c>
      <c r="B23" t="s">
        <v>212</v>
      </c>
      <c r="C23" s="604">
        <v>137.02160000000001</v>
      </c>
      <c r="D23" s="22">
        <v>94</v>
      </c>
      <c r="E23" s="22">
        <v>5.3433333333333333E-2</v>
      </c>
      <c r="F23" s="22">
        <v>4.6548814572425838</v>
      </c>
      <c r="G23" s="22">
        <v>9.28571163287479</v>
      </c>
      <c r="H23" s="22">
        <v>0.52354663576432403</v>
      </c>
      <c r="I23" s="29">
        <v>18.393809061085197</v>
      </c>
      <c r="AF23" s="277" t="s">
        <v>398</v>
      </c>
      <c r="AG23" s="262">
        <v>16.875</v>
      </c>
      <c r="AH23" s="263">
        <v>9.0975000000000001</v>
      </c>
      <c r="AI23" s="262">
        <v>16.8231</v>
      </c>
      <c r="AJ23" s="262">
        <v>13.584199999999999</v>
      </c>
      <c r="AK23" s="263">
        <v>14.429399999999999</v>
      </c>
      <c r="AL23" s="262">
        <v>5.4238999999999997</v>
      </c>
      <c r="AM23" s="262">
        <v>5.3311999999999999</v>
      </c>
      <c r="AN23" s="264">
        <v>6.2789000000000001</v>
      </c>
    </row>
    <row r="24" spans="1:40">
      <c r="A24" s="25" t="s">
        <v>213</v>
      </c>
      <c r="B24" t="s">
        <v>214</v>
      </c>
      <c r="C24" s="604">
        <v>125.67189999999999</v>
      </c>
      <c r="D24" s="22">
        <v>65</v>
      </c>
      <c r="E24" s="22">
        <v>5.3433333333333333E-2</v>
      </c>
      <c r="F24" s="22">
        <v>4.3120856457242569</v>
      </c>
      <c r="G24" s="22">
        <v>9.3655630683361597</v>
      </c>
      <c r="H24" s="22">
        <v>0.53797012101596398</v>
      </c>
      <c r="I24" s="29">
        <v>11.832230751683369</v>
      </c>
      <c r="AF24" s="277" t="s">
        <v>399</v>
      </c>
      <c r="AG24" s="262">
        <v>12.900499999999999</v>
      </c>
      <c r="AH24" s="263">
        <v>15.064500000000001</v>
      </c>
      <c r="AI24" s="262">
        <v>19.804500000000001</v>
      </c>
      <c r="AJ24" s="262">
        <v>17.988600000000002</v>
      </c>
      <c r="AK24" s="263">
        <v>21.104099999999999</v>
      </c>
      <c r="AL24" s="262">
        <v>14.208299999999999</v>
      </c>
      <c r="AM24" s="262">
        <v>10.268800000000001</v>
      </c>
      <c r="AN24" s="264">
        <v>12.009</v>
      </c>
    </row>
    <row r="25" spans="1:40">
      <c r="A25" s="25" t="s">
        <v>215</v>
      </c>
      <c r="B25" t="s">
        <v>216</v>
      </c>
      <c r="C25" s="604">
        <v>123.8518</v>
      </c>
      <c r="D25" s="22">
        <v>84</v>
      </c>
      <c r="E25" s="22">
        <v>0.12467777777777779</v>
      </c>
      <c r="F25" s="22">
        <v>4.6206018760907499</v>
      </c>
      <c r="G25" s="22">
        <v>10.230692226240899</v>
      </c>
      <c r="H25" s="22">
        <v>0.36033871303818099</v>
      </c>
      <c r="I25" s="29">
        <v>12.682668307534325</v>
      </c>
      <c r="AF25" s="284" t="s">
        <v>400</v>
      </c>
      <c r="AG25" s="287">
        <v>134.1764</v>
      </c>
      <c r="AH25" s="288">
        <v>109.4658</v>
      </c>
      <c r="AI25" s="287">
        <v>148.25239999999999</v>
      </c>
      <c r="AJ25" s="287">
        <v>213.46279999999999</v>
      </c>
      <c r="AK25" s="288">
        <v>209.61340000000001</v>
      </c>
      <c r="AL25" s="287">
        <v>137.66659999999999</v>
      </c>
      <c r="AM25" s="286">
        <v>99.005399999999995</v>
      </c>
      <c r="AN25" s="289">
        <v>111.8436</v>
      </c>
    </row>
    <row r="26" spans="1:40">
      <c r="A26" s="25" t="s">
        <v>217</v>
      </c>
      <c r="B26" t="s">
        <v>218</v>
      </c>
      <c r="C26" s="604">
        <v>134.36750000000001</v>
      </c>
      <c r="D26" s="22">
        <v>75</v>
      </c>
      <c r="E26" s="22">
        <v>5.3433333333333333E-2</v>
      </c>
      <c r="F26" s="22">
        <v>4.2406698516579402</v>
      </c>
      <c r="G26" s="22">
        <v>8.2793653906467508</v>
      </c>
      <c r="H26" s="22">
        <v>0.42526390949921899</v>
      </c>
      <c r="I26" s="29">
        <v>26.832977956535146</v>
      </c>
      <c r="AF26" s="276" t="s">
        <v>401</v>
      </c>
      <c r="AG26" s="265"/>
      <c r="AH26" s="266"/>
      <c r="AI26" s="265"/>
      <c r="AJ26" s="265"/>
      <c r="AK26" s="266"/>
      <c r="AL26" s="265"/>
      <c r="AM26" s="265"/>
      <c r="AN26" s="267"/>
    </row>
    <row r="27" spans="1:40">
      <c r="A27" s="25" t="s">
        <v>219</v>
      </c>
      <c r="B27" t="s">
        <v>220</v>
      </c>
      <c r="C27" s="604">
        <v>81.578599999999994</v>
      </c>
      <c r="D27" s="22">
        <v>181</v>
      </c>
      <c r="E27" s="22">
        <v>3.5622222222222229E-2</v>
      </c>
      <c r="F27" s="22">
        <v>1.5097298865619548</v>
      </c>
      <c r="G27" s="22">
        <v>3.2365833105944701</v>
      </c>
      <c r="H27" s="22">
        <v>0.61010908890698301</v>
      </c>
      <c r="I27" s="29">
        <v>11.906494760485327</v>
      </c>
      <c r="AF27" s="290" t="s">
        <v>402</v>
      </c>
      <c r="AG27" s="291" t="s">
        <v>403</v>
      </c>
      <c r="AH27" s="292" t="s">
        <v>404</v>
      </c>
      <c r="AI27" s="291" t="s">
        <v>389</v>
      </c>
      <c r="AJ27" s="291" t="s">
        <v>405</v>
      </c>
      <c r="AK27" s="292" t="s">
        <v>406</v>
      </c>
      <c r="AL27" s="291" t="s">
        <v>391</v>
      </c>
      <c r="AM27" s="291" t="s">
        <v>407</v>
      </c>
      <c r="AN27" s="293" t="s">
        <v>408</v>
      </c>
    </row>
    <row r="28" spans="1:40">
      <c r="A28" s="25" t="s">
        <v>221</v>
      </c>
      <c r="B28" t="s">
        <v>222</v>
      </c>
      <c r="C28" s="604">
        <v>102.5089</v>
      </c>
      <c r="D28" s="22">
        <v>153</v>
      </c>
      <c r="E28" s="22">
        <v>3.5622222222222229E-2</v>
      </c>
      <c r="F28" s="22">
        <v>1.444027356020942</v>
      </c>
      <c r="G28" s="22">
        <v>2.9302530797751398</v>
      </c>
      <c r="H28" s="22">
        <v>0.703691213795412</v>
      </c>
      <c r="I28" s="29">
        <v>20.209450758932476</v>
      </c>
      <c r="AF28" s="290" t="s">
        <v>409</v>
      </c>
      <c r="AG28" s="291">
        <v>0.145787</v>
      </c>
      <c r="AH28" s="292">
        <v>1.8825000000000001E-2</v>
      </c>
      <c r="AI28" s="291">
        <v>0.13431000000000001</v>
      </c>
      <c r="AJ28" s="291">
        <v>0.112246</v>
      </c>
      <c r="AK28" s="292">
        <v>0.17393400000000001</v>
      </c>
      <c r="AL28" s="291">
        <v>0.20362</v>
      </c>
      <c r="AM28" s="291">
        <v>3.8663000000000003E-2</v>
      </c>
      <c r="AN28" s="293">
        <v>4.7781999999999998E-2</v>
      </c>
    </row>
    <row r="29" spans="1:40">
      <c r="A29" s="26" t="s">
        <v>223</v>
      </c>
      <c r="B29" s="319" t="s">
        <v>224</v>
      </c>
      <c r="C29" s="604">
        <v>85.765600000000006</v>
      </c>
      <c r="D29" s="321">
        <v>39</v>
      </c>
      <c r="E29" s="69">
        <v>5.3433333333333333E-2</v>
      </c>
      <c r="F29" s="69">
        <v>21.539003490401392</v>
      </c>
      <c r="G29" s="321">
        <v>5.5635663777949604</v>
      </c>
      <c r="H29" s="69">
        <v>0.67963978612487197</v>
      </c>
      <c r="I29" s="32">
        <v>22.031508881945314</v>
      </c>
      <c r="AF29" s="290" t="s">
        <v>410</v>
      </c>
      <c r="AG29" s="291">
        <v>0.32915899999999998</v>
      </c>
      <c r="AH29" s="292">
        <v>0.27039000000000002</v>
      </c>
      <c r="AI29" s="291">
        <v>0.31063800000000003</v>
      </c>
      <c r="AJ29" s="291">
        <v>0.226634</v>
      </c>
      <c r="AK29" s="292">
        <v>0.443297</v>
      </c>
      <c r="AL29" s="291">
        <v>0.197856</v>
      </c>
      <c r="AM29" s="291">
        <v>0.17080600000000001</v>
      </c>
      <c r="AN29" s="293">
        <v>0.17428299999999999</v>
      </c>
    </row>
    <row r="30" spans="1:40">
      <c r="A30" s="25" t="s">
        <v>225</v>
      </c>
      <c r="B30" s="48" t="s">
        <v>226</v>
      </c>
      <c r="C30" s="604">
        <v>217.15209999999999</v>
      </c>
      <c r="D30" s="22">
        <v>176</v>
      </c>
      <c r="E30" s="22">
        <v>0.62338888888888899</v>
      </c>
      <c r="F30" s="22">
        <v>1.8668088568935424</v>
      </c>
      <c r="G30" s="22">
        <v>11.082864877668699</v>
      </c>
      <c r="H30" s="22">
        <v>0.62776146491174201</v>
      </c>
      <c r="I30" s="59">
        <v>9683.2077668474703</v>
      </c>
      <c r="AF30" s="290" t="s">
        <v>411</v>
      </c>
      <c r="AG30" s="291" t="s">
        <v>412</v>
      </c>
      <c r="AH30" s="292" t="s">
        <v>413</v>
      </c>
      <c r="AI30" s="291" t="s">
        <v>414</v>
      </c>
      <c r="AJ30" s="291" t="s">
        <v>415</v>
      </c>
      <c r="AK30" s="292" t="s">
        <v>416</v>
      </c>
      <c r="AL30" s="291" t="s">
        <v>417</v>
      </c>
      <c r="AM30" s="291" t="s">
        <v>418</v>
      </c>
      <c r="AN30" s="293" t="s">
        <v>419</v>
      </c>
    </row>
    <row r="31" spans="1:40">
      <c r="A31" s="25" t="s">
        <v>227</v>
      </c>
      <c r="B31" t="s">
        <v>228</v>
      </c>
      <c r="C31" s="604">
        <v>223.66130000000001</v>
      </c>
      <c r="D31" s="22">
        <v>101</v>
      </c>
      <c r="E31" s="22">
        <v>0.26716666666666661</v>
      </c>
      <c r="F31" s="22">
        <v>1.4690228839441533</v>
      </c>
      <c r="G31" s="22">
        <v>6.8814461681478001</v>
      </c>
      <c r="H31" s="22">
        <v>0.71619651647447702</v>
      </c>
      <c r="I31" s="59">
        <v>1329.6081408206694</v>
      </c>
      <c r="AF31" s="290" t="s">
        <v>400</v>
      </c>
      <c r="AG31" s="294">
        <v>154.41999999999999</v>
      </c>
      <c r="AH31" s="295">
        <v>153.03700000000001</v>
      </c>
      <c r="AI31" s="294">
        <v>171.84200000000001</v>
      </c>
      <c r="AJ31" s="294">
        <v>232.01300000000001</v>
      </c>
      <c r="AK31" s="295">
        <v>215.17599999999999</v>
      </c>
      <c r="AL31" s="294">
        <v>143.989</v>
      </c>
      <c r="AM31" s="294">
        <v>98.991</v>
      </c>
      <c r="AN31" s="296">
        <v>120.414</v>
      </c>
    </row>
    <row r="32" spans="1:40">
      <c r="A32" s="25" t="s">
        <v>229</v>
      </c>
      <c r="B32" s="48" t="s">
        <v>230</v>
      </c>
      <c r="C32" s="604">
        <v>221.1052</v>
      </c>
      <c r="D32" s="22">
        <v>42</v>
      </c>
      <c r="E32" s="22">
        <v>0.23154444444444441</v>
      </c>
      <c r="F32" s="22">
        <v>1.7268339005235598</v>
      </c>
      <c r="G32" s="22">
        <v>6.4321751667865703</v>
      </c>
      <c r="H32" s="22">
        <v>0.51059962649233603</v>
      </c>
      <c r="I32" s="29">
        <v>606.99112448763299</v>
      </c>
      <c r="AF32" s="290" t="s">
        <v>420</v>
      </c>
      <c r="AG32" s="297">
        <v>6.9670000000000001E-3</v>
      </c>
      <c r="AH32" s="298">
        <v>6.5700000000000003E-3</v>
      </c>
      <c r="AI32" s="297">
        <v>7.2529999999999999E-3</v>
      </c>
      <c r="AJ32" s="297">
        <v>6.7889999999999999E-3</v>
      </c>
      <c r="AK32" s="298">
        <v>6.672E-3</v>
      </c>
      <c r="AL32" s="297">
        <v>6.7930000000000004E-3</v>
      </c>
      <c r="AM32" s="297">
        <v>6.6259999999999999E-3</v>
      </c>
      <c r="AN32" s="299">
        <v>6.4980000000000003E-3</v>
      </c>
    </row>
    <row r="33" spans="1:49">
      <c r="A33" s="25" t="s">
        <v>231</v>
      </c>
      <c r="B33" t="s">
        <v>232</v>
      </c>
      <c r="C33" s="604">
        <v>207.51179999999999</v>
      </c>
      <c r="D33" s="22">
        <v>29</v>
      </c>
      <c r="E33" s="22">
        <v>0.19592222222222222</v>
      </c>
      <c r="F33" s="22">
        <v>0.90340979493891793</v>
      </c>
      <c r="G33" s="22">
        <v>4.6566704177515899</v>
      </c>
      <c r="H33" s="22">
        <v>1.1679238937693499</v>
      </c>
      <c r="I33" s="59">
        <v>1946.5845817780255</v>
      </c>
      <c r="AF33" s="290" t="s">
        <v>421</v>
      </c>
      <c r="AG33" s="300">
        <v>54.051000000000002</v>
      </c>
      <c r="AH33" s="301">
        <v>37.142000000000003</v>
      </c>
      <c r="AI33" s="300">
        <v>63.609000000000002</v>
      </c>
      <c r="AJ33" s="300">
        <v>54.271999999999998</v>
      </c>
      <c r="AK33" s="301">
        <v>43.408000000000001</v>
      </c>
      <c r="AL33" s="300">
        <v>30.613</v>
      </c>
      <c r="AM33" s="300">
        <v>48.356000000000002</v>
      </c>
      <c r="AN33" s="302">
        <v>149.607</v>
      </c>
    </row>
    <row r="34" spans="1:49">
      <c r="A34" s="25" t="s">
        <v>233</v>
      </c>
      <c r="B34" s="48" t="s">
        <v>234</v>
      </c>
      <c r="C34" s="604">
        <v>200.15940000000001</v>
      </c>
      <c r="D34" s="22">
        <v>88</v>
      </c>
      <c r="E34" s="22">
        <v>1.1933444444444445</v>
      </c>
      <c r="F34" s="22">
        <v>2.4502758944153578</v>
      </c>
      <c r="G34" s="22">
        <v>1.6005894160555101</v>
      </c>
      <c r="H34" s="22">
        <v>1.0853119418153701</v>
      </c>
      <c r="I34" s="59">
        <v>10123.158243273032</v>
      </c>
      <c r="AF34" s="290" t="s">
        <v>422</v>
      </c>
      <c r="AG34" s="297">
        <v>4.6979999999999999E-3</v>
      </c>
      <c r="AH34" s="298">
        <v>4.5240000000000002E-3</v>
      </c>
      <c r="AI34" s="297">
        <v>3.2460000000000002E-3</v>
      </c>
      <c r="AJ34" s="297">
        <v>4.725E-3</v>
      </c>
      <c r="AK34" s="298">
        <v>4.2709999999999996E-3</v>
      </c>
      <c r="AL34" s="297">
        <v>6.6049999999999998E-3</v>
      </c>
      <c r="AM34" s="297">
        <v>4.4140000000000004E-3</v>
      </c>
      <c r="AN34" s="299">
        <v>3.9690000000000003E-3</v>
      </c>
      <c r="AW34" s="330"/>
    </row>
    <row r="35" spans="1:49">
      <c r="A35" s="25" t="s">
        <v>235</v>
      </c>
      <c r="B35" s="48" t="s">
        <v>236</v>
      </c>
      <c r="C35" s="604">
        <v>197.72489999999999</v>
      </c>
      <c r="D35" s="22">
        <v>136</v>
      </c>
      <c r="E35" s="22">
        <v>0.10686666666666667</v>
      </c>
      <c r="F35" s="22">
        <v>912.20107918848146</v>
      </c>
      <c r="G35" s="22">
        <v>2.0326463153345502</v>
      </c>
      <c r="H35" s="22">
        <v>1.3445663786947799</v>
      </c>
      <c r="I35" s="29">
        <v>707.26364243081412</v>
      </c>
      <c r="AF35" s="290" t="s">
        <v>423</v>
      </c>
      <c r="AG35" s="291" t="s">
        <v>417</v>
      </c>
      <c r="AH35" s="292" t="s">
        <v>418</v>
      </c>
      <c r="AI35" s="291" t="s">
        <v>416</v>
      </c>
      <c r="AJ35" s="291" t="s">
        <v>424</v>
      </c>
      <c r="AK35" s="292" t="s">
        <v>425</v>
      </c>
      <c r="AL35" s="291" t="s">
        <v>419</v>
      </c>
      <c r="AM35" s="291" t="s">
        <v>415</v>
      </c>
      <c r="AN35" s="293" t="s">
        <v>426</v>
      </c>
    </row>
    <row r="36" spans="1:49">
      <c r="A36" s="25" t="s">
        <v>237</v>
      </c>
      <c r="B36" t="s">
        <v>238</v>
      </c>
      <c r="C36" s="604">
        <v>158.11529999999999</v>
      </c>
      <c r="D36" s="22">
        <v>204</v>
      </c>
      <c r="E36" s="22">
        <v>8.9055555555555554E-2</v>
      </c>
      <c r="F36" s="22">
        <v>15.235845506108204</v>
      </c>
      <c r="G36" s="22">
        <v>4.0587019959145696</v>
      </c>
      <c r="H36" s="22">
        <v>0.91956714965754005</v>
      </c>
      <c r="I36" s="29">
        <v>305.70133444855048</v>
      </c>
      <c r="AF36" s="290" t="s">
        <v>427</v>
      </c>
      <c r="AG36" s="291" t="s">
        <v>386</v>
      </c>
      <c r="AH36" s="292" t="s">
        <v>428</v>
      </c>
      <c r="AI36" s="291" t="s">
        <v>429</v>
      </c>
      <c r="AJ36" s="291" t="s">
        <v>430</v>
      </c>
      <c r="AK36" s="292" t="s">
        <v>431</v>
      </c>
      <c r="AL36" s="291" t="s">
        <v>432</v>
      </c>
      <c r="AM36" s="291" t="s">
        <v>433</v>
      </c>
      <c r="AN36" s="293" t="s">
        <v>434</v>
      </c>
    </row>
    <row r="37" spans="1:49">
      <c r="A37" s="25" t="s">
        <v>239</v>
      </c>
      <c r="B37" s="318" t="s">
        <v>240</v>
      </c>
      <c r="C37" s="604">
        <v>141.48859999999999</v>
      </c>
      <c r="D37" s="320">
        <v>169</v>
      </c>
      <c r="E37" s="22">
        <v>3.5622222222222229E-2</v>
      </c>
      <c r="F37" s="22">
        <v>3.9964278359511334</v>
      </c>
      <c r="G37" s="320">
        <v>14.889529466079001</v>
      </c>
      <c r="H37" s="22">
        <v>1.65358823793106</v>
      </c>
      <c r="I37" s="29">
        <v>26.329635294249172</v>
      </c>
      <c r="AF37" s="290" t="s">
        <v>435</v>
      </c>
      <c r="AG37" s="291">
        <v>6.9809999999999999</v>
      </c>
      <c r="AH37" s="292">
        <v>6.835</v>
      </c>
      <c r="AI37" s="291">
        <v>0.14102899999999999</v>
      </c>
      <c r="AJ37" s="291">
        <v>6.98</v>
      </c>
      <c r="AK37" s="292">
        <v>2.0760000000000001</v>
      </c>
      <c r="AL37" s="291">
        <v>0.822407</v>
      </c>
      <c r="AM37" s="291">
        <v>2.79</v>
      </c>
      <c r="AN37" s="293">
        <v>1.764</v>
      </c>
    </row>
    <row r="38" spans="1:49">
      <c r="A38" s="25" t="s">
        <v>241</v>
      </c>
      <c r="B38" t="s">
        <v>242</v>
      </c>
      <c r="C38" s="604">
        <v>143.4068</v>
      </c>
      <c r="D38" s="22">
        <v>204</v>
      </c>
      <c r="E38" s="22">
        <v>5.3433333333333333E-2</v>
      </c>
      <c r="F38" s="22">
        <v>2.4731289485165791</v>
      </c>
      <c r="G38" s="22">
        <v>15.026182223749601</v>
      </c>
      <c r="H38" s="22">
        <v>1.4641103789172401</v>
      </c>
      <c r="I38" s="29">
        <v>28.481094482810178</v>
      </c>
      <c r="AF38" s="290" t="s">
        <v>398</v>
      </c>
      <c r="AG38" s="291">
        <v>11.208</v>
      </c>
      <c r="AH38" s="292">
        <v>4.4160000000000004</v>
      </c>
      <c r="AI38" s="291">
        <v>11.528</v>
      </c>
      <c r="AJ38" s="291">
        <v>9.3970000000000002</v>
      </c>
      <c r="AK38" s="292">
        <v>10.106</v>
      </c>
      <c r="AL38" s="291">
        <v>0.65650500000000001</v>
      </c>
      <c r="AM38" s="291">
        <v>0.13878499999999999</v>
      </c>
      <c r="AN38" s="293">
        <v>2.2170000000000001</v>
      </c>
    </row>
    <row r="39" spans="1:49">
      <c r="A39" s="25" t="s">
        <v>243</v>
      </c>
      <c r="B39" t="s">
        <v>244</v>
      </c>
      <c r="C39" s="604">
        <v>148.04990000000001</v>
      </c>
      <c r="D39" s="22">
        <v>169</v>
      </c>
      <c r="E39" s="22">
        <v>7.1244444444444457E-2</v>
      </c>
      <c r="F39" s="22">
        <v>2.2338860383944157</v>
      </c>
      <c r="G39" s="22">
        <v>11.6569911158049</v>
      </c>
      <c r="H39" s="22">
        <v>1.26282141564323</v>
      </c>
      <c r="I39" s="29">
        <v>19.78754889643178</v>
      </c>
      <c r="AF39" s="290" t="s">
        <v>395</v>
      </c>
      <c r="AG39" s="297">
        <v>7.247E-3</v>
      </c>
      <c r="AH39" s="298">
        <v>8.8819999999999993E-3</v>
      </c>
      <c r="AI39" s="297">
        <v>9.5449999999999997E-3</v>
      </c>
      <c r="AJ39" s="297">
        <v>1.3842E-2</v>
      </c>
      <c r="AK39" s="298">
        <v>1.9273999999999999E-2</v>
      </c>
      <c r="AL39" s="297">
        <v>9.3589999999999993E-3</v>
      </c>
      <c r="AM39" s="297">
        <v>6.9249999999999997E-3</v>
      </c>
      <c r="AN39" s="299">
        <v>9.3650000000000001E-3</v>
      </c>
    </row>
    <row r="40" spans="1:49">
      <c r="A40" s="25" t="s">
        <v>245</v>
      </c>
      <c r="B40" t="s">
        <v>246</v>
      </c>
      <c r="C40" s="604">
        <v>126.02379999999999</v>
      </c>
      <c r="D40" s="22">
        <v>141</v>
      </c>
      <c r="E40" s="22">
        <v>8.9055555555555554E-2</v>
      </c>
      <c r="F40" s="22">
        <v>2.0396350785340314</v>
      </c>
      <c r="G40" s="22">
        <v>9.0513954763816606</v>
      </c>
      <c r="H40" s="22">
        <v>0.59165561802057098</v>
      </c>
      <c r="I40" s="29">
        <v>33.438457743231837</v>
      </c>
      <c r="AF40" s="290" t="s">
        <v>399</v>
      </c>
      <c r="AG40" s="300">
        <v>12.359</v>
      </c>
      <c r="AH40" s="301">
        <v>14.49</v>
      </c>
      <c r="AI40" s="300">
        <v>18.344999999999999</v>
      </c>
      <c r="AJ40" s="300">
        <v>17.375</v>
      </c>
      <c r="AK40" s="301">
        <v>20.245999999999999</v>
      </c>
      <c r="AL40" s="300">
        <v>13.949</v>
      </c>
      <c r="AM40" s="300">
        <v>9.9260000000000002</v>
      </c>
      <c r="AN40" s="302">
        <v>12.17</v>
      </c>
    </row>
    <row r="41" spans="1:49">
      <c r="A41" s="25" t="s">
        <v>247</v>
      </c>
      <c r="B41" t="s">
        <v>248</v>
      </c>
      <c r="C41" s="604">
        <v>112.0116</v>
      </c>
      <c r="D41" s="22">
        <v>97</v>
      </c>
      <c r="E41" s="22">
        <v>0.12467777777777779</v>
      </c>
      <c r="F41" s="22">
        <v>2.5038377399650962</v>
      </c>
      <c r="G41" s="22">
        <v>8.9653113300044396</v>
      </c>
      <c r="H41" s="22">
        <v>0.36521838199233198</v>
      </c>
      <c r="I41" s="29">
        <v>15.542800365841039</v>
      </c>
      <c r="AF41" s="290" t="s">
        <v>436</v>
      </c>
      <c r="AG41" s="291">
        <v>1.6639999999999999</v>
      </c>
      <c r="AH41" s="292">
        <v>0.501718</v>
      </c>
      <c r="AI41" s="291">
        <v>0.23283300000000001</v>
      </c>
      <c r="AJ41" s="291">
        <v>1.4810000000000001</v>
      </c>
      <c r="AK41" s="292">
        <v>0.70364300000000002</v>
      </c>
      <c r="AL41" s="291">
        <v>1.177</v>
      </c>
      <c r="AM41" s="291">
        <v>0.327046</v>
      </c>
      <c r="AN41" s="293">
        <v>0.44472099999999998</v>
      </c>
    </row>
    <row r="42" spans="1:49">
      <c r="A42" s="25" t="s">
        <v>249</v>
      </c>
      <c r="B42" t="s">
        <v>250</v>
      </c>
      <c r="C42" s="604">
        <v>122.78660000000001</v>
      </c>
      <c r="D42" s="22">
        <v>102</v>
      </c>
      <c r="E42" s="22">
        <v>7.1244444444444457E-2</v>
      </c>
      <c r="F42" s="22">
        <v>2.3124434118673647</v>
      </c>
      <c r="G42" s="22">
        <v>10.7675128515474</v>
      </c>
      <c r="H42" s="22">
        <v>0.56462842055957596</v>
      </c>
      <c r="I42" s="29">
        <v>40.869824758328221</v>
      </c>
      <c r="AF42" s="290" t="s">
        <v>437</v>
      </c>
      <c r="AG42" s="297">
        <v>1.482E-3</v>
      </c>
      <c r="AH42" s="298">
        <v>2.647E-3</v>
      </c>
      <c r="AI42" s="297">
        <v>4.5589999999999997E-3</v>
      </c>
      <c r="AJ42" s="297">
        <v>1.5560000000000001E-3</v>
      </c>
      <c r="AK42" s="298">
        <v>2.941E-3</v>
      </c>
      <c r="AL42" s="297">
        <v>1.9059999999999999E-3</v>
      </c>
      <c r="AM42" s="297">
        <v>2.5600000000000002E-3</v>
      </c>
      <c r="AN42" s="299">
        <v>7.4279999999999997E-3</v>
      </c>
    </row>
    <row r="43" spans="1:49">
      <c r="A43" s="25" t="s">
        <v>251</v>
      </c>
      <c r="B43" t="s">
        <v>252</v>
      </c>
      <c r="C43" s="604">
        <v>110.3134</v>
      </c>
      <c r="D43" s="22">
        <v>74</v>
      </c>
      <c r="E43" s="22">
        <v>0.10686666666666667</v>
      </c>
      <c r="F43" s="22">
        <v>1.3590425610820245</v>
      </c>
      <c r="G43" s="22">
        <v>6.18194213218543</v>
      </c>
      <c r="H43" s="22">
        <v>0.50261468689298805</v>
      </c>
      <c r="I43" s="29">
        <v>15.096293918921351</v>
      </c>
      <c r="AF43" s="290" t="s">
        <v>396</v>
      </c>
      <c r="AG43" s="300">
        <v>46.295999999999999</v>
      </c>
      <c r="AH43" s="301">
        <v>33.863999999999997</v>
      </c>
      <c r="AI43" s="300">
        <v>61.561</v>
      </c>
      <c r="AJ43" s="300">
        <v>65.718999999999994</v>
      </c>
      <c r="AK43" s="301">
        <v>70.105000000000004</v>
      </c>
      <c r="AL43" s="300">
        <v>54.033999999999999</v>
      </c>
      <c r="AM43" s="300">
        <v>33.457999999999998</v>
      </c>
      <c r="AN43" s="302">
        <v>116.03100000000001</v>
      </c>
    </row>
    <row r="44" spans="1:49">
      <c r="A44" s="25" t="s">
        <v>253</v>
      </c>
      <c r="B44" s="318" t="s">
        <v>254</v>
      </c>
      <c r="C44" s="604">
        <v>98.995000000000005</v>
      </c>
      <c r="D44" s="320">
        <v>209</v>
      </c>
      <c r="E44" s="22">
        <v>3.5622222222222229E-2</v>
      </c>
      <c r="F44" s="22">
        <v>1.9817882853403139</v>
      </c>
      <c r="G44" s="320">
        <v>8.5161466416858307</v>
      </c>
      <c r="H44" s="22">
        <v>0.490738894384318</v>
      </c>
      <c r="I44" s="29">
        <v>120.82128078730307</v>
      </c>
      <c r="AF44" s="290" t="s">
        <v>438</v>
      </c>
      <c r="AG44" s="297">
        <v>7.3790000000000001E-3</v>
      </c>
      <c r="AH44" s="298">
        <v>4.7540000000000004E-3</v>
      </c>
      <c r="AI44" s="297">
        <v>5.6059999999999999E-3</v>
      </c>
      <c r="AJ44" s="297">
        <v>5.4539999999999996E-3</v>
      </c>
      <c r="AK44" s="298">
        <v>4.5979999999999997E-3</v>
      </c>
      <c r="AL44" s="297">
        <v>7.4780000000000003E-3</v>
      </c>
      <c r="AM44" s="297">
        <v>5.6610000000000002E-3</v>
      </c>
      <c r="AN44" s="299">
        <v>5.3759999999999997E-3</v>
      </c>
    </row>
    <row r="45" spans="1:49">
      <c r="A45" s="23" t="s">
        <v>256</v>
      </c>
      <c r="B45" s="49" t="s">
        <v>257</v>
      </c>
      <c r="C45" s="604">
        <v>133.2286</v>
      </c>
      <c r="D45" s="28">
        <v>11</v>
      </c>
      <c r="E45" s="28">
        <v>19.253811111111112</v>
      </c>
      <c r="F45" s="28">
        <v>102.24456404886561</v>
      </c>
      <c r="G45" s="28">
        <v>2.7283535104929601E-2</v>
      </c>
      <c r="H45" s="28">
        <v>0.12930630159745499</v>
      </c>
      <c r="I45" s="60">
        <v>8878.3692042921448</v>
      </c>
      <c r="AF45" s="290" t="s">
        <v>439</v>
      </c>
      <c r="AG45" s="291">
        <v>0.188526</v>
      </c>
      <c r="AH45" s="292">
        <v>0.100451</v>
      </c>
      <c r="AI45" s="291">
        <v>0.47913099999999997</v>
      </c>
      <c r="AJ45" s="291">
        <v>0.83398600000000001</v>
      </c>
      <c r="AK45" s="292">
        <v>1.66</v>
      </c>
      <c r="AL45" s="291">
        <v>0.74132699999999996</v>
      </c>
      <c r="AM45" s="291">
        <v>0.62282899999999997</v>
      </c>
      <c r="AN45" s="293">
        <v>0.27059800000000001</v>
      </c>
    </row>
    <row r="46" spans="1:49">
      <c r="A46" s="25" t="s">
        <v>258</v>
      </c>
      <c r="B46" t="s">
        <v>259</v>
      </c>
      <c r="C46" s="604">
        <v>135.67140000000001</v>
      </c>
      <c r="D46" s="22">
        <v>1.2</v>
      </c>
      <c r="E46" s="22">
        <v>0.51652222222222222</v>
      </c>
      <c r="F46" s="22">
        <v>55.040152486910976</v>
      </c>
      <c r="G46" s="22">
        <v>1.0927633839825399</v>
      </c>
      <c r="H46" s="22">
        <v>9.0331121420479499E-2</v>
      </c>
      <c r="I46" s="59">
        <v>8733.5485876714192</v>
      </c>
      <c r="AF46" s="290" t="s">
        <v>440</v>
      </c>
      <c r="AG46" s="297">
        <v>5.8310000000000002E-3</v>
      </c>
      <c r="AH46" s="298">
        <v>3.8739999999999998E-3</v>
      </c>
      <c r="AI46" s="297">
        <v>5.1799999999999997E-3</v>
      </c>
      <c r="AJ46" s="297" t="s">
        <v>418</v>
      </c>
      <c r="AK46" s="298">
        <v>1.8990000000000001E-3</v>
      </c>
      <c r="AL46" s="297">
        <v>4.3059999999999999E-3</v>
      </c>
      <c r="AM46" s="297">
        <v>7.2309999999999996E-3</v>
      </c>
      <c r="AN46" s="299" t="s">
        <v>417</v>
      </c>
    </row>
    <row r="47" spans="1:49">
      <c r="A47" s="25" t="s">
        <v>260</v>
      </c>
      <c r="B47" s="48" t="s">
        <v>261</v>
      </c>
      <c r="C47" s="604">
        <v>159.8878</v>
      </c>
      <c r="D47" s="22">
        <v>0</v>
      </c>
      <c r="E47" s="22">
        <v>0.40965555555555555</v>
      </c>
      <c r="F47" s="22">
        <v>305.7952886125654</v>
      </c>
      <c r="G47" s="22">
        <v>0.61339781005528504</v>
      </c>
      <c r="H47" s="22">
        <v>0.12714461551751</v>
      </c>
      <c r="I47" s="59">
        <v>12092.753769476491</v>
      </c>
      <c r="AF47" s="290" t="s">
        <v>441</v>
      </c>
      <c r="AG47" s="300">
        <v>31.81</v>
      </c>
      <c r="AH47" s="301">
        <v>26.739000000000001</v>
      </c>
      <c r="AI47" s="300">
        <v>117.825</v>
      </c>
      <c r="AJ47" s="300">
        <v>104.851</v>
      </c>
      <c r="AK47" s="301">
        <v>93.066999999999993</v>
      </c>
      <c r="AL47" s="300">
        <v>48.125</v>
      </c>
      <c r="AM47" s="300">
        <v>14.076000000000001</v>
      </c>
      <c r="AN47" s="302">
        <v>9.0399999999999991</v>
      </c>
    </row>
    <row r="48" spans="1:49">
      <c r="A48" s="25" t="s">
        <v>262</v>
      </c>
      <c r="B48" t="s">
        <v>263</v>
      </c>
      <c r="C48" s="604">
        <v>163.43620000000001</v>
      </c>
      <c r="D48" s="22">
        <v>5</v>
      </c>
      <c r="E48" s="22">
        <v>3.8472000000000004</v>
      </c>
      <c r="F48" s="22">
        <v>347.80920026178006</v>
      </c>
      <c r="G48" s="22">
        <v>0.45767494549029902</v>
      </c>
      <c r="H48" s="22">
        <v>0.13116728619058299</v>
      </c>
      <c r="I48" s="59">
        <v>9673.0263442075884</v>
      </c>
      <c r="AF48" s="290" t="s">
        <v>442</v>
      </c>
      <c r="AG48" s="297">
        <v>6.5649999999999997E-3</v>
      </c>
      <c r="AH48" s="298">
        <v>3.7569999999999999E-3</v>
      </c>
      <c r="AI48" s="297">
        <v>2.7469999999999999E-3</v>
      </c>
      <c r="AJ48" s="297">
        <v>4.5310000000000003E-3</v>
      </c>
      <c r="AK48" s="298">
        <v>6.0369999999999998E-3</v>
      </c>
      <c r="AL48" s="297">
        <v>3.2169999999999998E-3</v>
      </c>
      <c r="AM48" s="297">
        <v>9.9600000000000001E-3</v>
      </c>
      <c r="AN48" s="299">
        <v>7.8239999999999994E-3</v>
      </c>
    </row>
    <row r="49" spans="1:40">
      <c r="A49" s="25" t="s">
        <v>264</v>
      </c>
      <c r="B49" t="s">
        <v>265</v>
      </c>
      <c r="C49" s="604">
        <v>169.12479999999999</v>
      </c>
      <c r="D49" s="22">
        <v>1</v>
      </c>
      <c r="E49" s="22">
        <v>2.6894777777777779</v>
      </c>
      <c r="F49" s="22">
        <v>389.07324607329838</v>
      </c>
      <c r="G49" s="22">
        <v>0.6288479208094</v>
      </c>
      <c r="H49" s="22">
        <v>0.16985787244172901</v>
      </c>
      <c r="I49" s="59">
        <v>9456.6874048596765</v>
      </c>
      <c r="AF49" s="290" t="s">
        <v>443</v>
      </c>
      <c r="AG49" s="291" t="s">
        <v>444</v>
      </c>
      <c r="AH49" s="292" t="s">
        <v>412</v>
      </c>
      <c r="AI49" s="291" t="s">
        <v>413</v>
      </c>
      <c r="AJ49" s="291" t="s">
        <v>419</v>
      </c>
      <c r="AK49" s="292" t="s">
        <v>418</v>
      </c>
      <c r="AL49" s="291" t="s">
        <v>414</v>
      </c>
      <c r="AM49" s="291" t="s">
        <v>417</v>
      </c>
      <c r="AN49" s="293" t="s">
        <v>416</v>
      </c>
    </row>
    <row r="50" spans="1:40">
      <c r="A50" s="25" t="s">
        <v>266</v>
      </c>
      <c r="B50" s="48" t="s">
        <v>267</v>
      </c>
      <c r="C50" s="604">
        <v>153.78620000000001</v>
      </c>
      <c r="D50" s="22">
        <v>13.7</v>
      </c>
      <c r="E50" s="22">
        <v>27.660655555555561</v>
      </c>
      <c r="F50" s="22">
        <v>41.79823595113438</v>
      </c>
      <c r="G50" s="22">
        <v>2.0818129596617899E-2</v>
      </c>
      <c r="H50" s="22">
        <v>9.6375289518495999E-2</v>
      </c>
      <c r="I50" s="59">
        <v>10296.619441004364</v>
      </c>
      <c r="AF50" s="290" t="s">
        <v>445</v>
      </c>
      <c r="AG50" s="291">
        <v>6.6520000000000001</v>
      </c>
      <c r="AH50" s="292">
        <v>8.7970000000000006</v>
      </c>
      <c r="AI50" s="291">
        <v>7.18</v>
      </c>
      <c r="AJ50" s="291">
        <v>7.9820000000000002</v>
      </c>
      <c r="AK50" s="292">
        <v>7.444</v>
      </c>
      <c r="AL50" s="291">
        <v>8.9480000000000004</v>
      </c>
      <c r="AM50" s="291">
        <v>7.8310000000000004</v>
      </c>
      <c r="AN50" s="293">
        <v>8.4130000000000003</v>
      </c>
    </row>
    <row r="51" spans="1:40">
      <c r="A51" s="25" t="s">
        <v>268</v>
      </c>
      <c r="B51" s="48" t="s">
        <v>269</v>
      </c>
      <c r="C51" s="604">
        <v>72.044600000000003</v>
      </c>
      <c r="D51" s="22">
        <v>10</v>
      </c>
      <c r="E51" s="22">
        <v>0.30278888888888889</v>
      </c>
      <c r="F51" s="22">
        <v>75.343662739965083</v>
      </c>
      <c r="G51" s="22">
        <v>2.2401960591924999</v>
      </c>
      <c r="H51" s="22">
        <v>0.22796088340665399</v>
      </c>
      <c r="I51" s="59">
        <v>8523.4388136869402</v>
      </c>
      <c r="AF51" s="290" t="s">
        <v>446</v>
      </c>
      <c r="AG51" s="291">
        <v>0.46667999999999998</v>
      </c>
      <c r="AH51" s="292">
        <v>0.53740699999999997</v>
      </c>
      <c r="AI51" s="291">
        <v>0.63300299999999998</v>
      </c>
      <c r="AJ51" s="291">
        <v>0.64739500000000005</v>
      </c>
      <c r="AK51" s="292">
        <v>0.77678000000000003</v>
      </c>
      <c r="AL51" s="291">
        <v>0.51215500000000003</v>
      </c>
      <c r="AM51" s="291">
        <v>0.33246599999999998</v>
      </c>
      <c r="AN51" s="293">
        <v>0.46254299999999998</v>
      </c>
    </row>
    <row r="52" spans="1:40">
      <c r="A52" s="25" t="s">
        <v>270</v>
      </c>
      <c r="B52" t="s">
        <v>271</v>
      </c>
      <c r="C52" s="604">
        <v>121.032</v>
      </c>
      <c r="D52" s="22">
        <v>16</v>
      </c>
      <c r="E52" s="22">
        <v>3.5622222222222229E-2</v>
      </c>
      <c r="F52" s="22">
        <v>58.449542495636997</v>
      </c>
      <c r="G52" s="22">
        <v>6.5133711426805201</v>
      </c>
      <c r="H52" s="22">
        <v>0.233758166536749</v>
      </c>
      <c r="I52" s="59">
        <v>8464.6548365281978</v>
      </c>
      <c r="AF52" s="290" t="s">
        <v>447</v>
      </c>
      <c r="AG52" s="291" t="s">
        <v>428</v>
      </c>
      <c r="AH52" s="292" t="s">
        <v>429</v>
      </c>
      <c r="AI52" s="291" t="s">
        <v>432</v>
      </c>
      <c r="AJ52" s="291" t="s">
        <v>448</v>
      </c>
      <c r="AK52" s="292" t="s">
        <v>434</v>
      </c>
      <c r="AL52" s="291" t="s">
        <v>433</v>
      </c>
      <c r="AM52" s="291" t="s">
        <v>431</v>
      </c>
      <c r="AN52" s="293" t="s">
        <v>430</v>
      </c>
    </row>
    <row r="53" spans="1:40">
      <c r="A53" s="25" t="s">
        <v>272</v>
      </c>
      <c r="B53" t="s">
        <v>273</v>
      </c>
      <c r="C53" s="604">
        <v>108.1644</v>
      </c>
      <c r="D53" s="22">
        <v>81</v>
      </c>
      <c r="E53" s="22">
        <v>5.3433333333333333E-2</v>
      </c>
      <c r="F53" s="22">
        <v>148.35202901396158</v>
      </c>
      <c r="G53" s="22">
        <v>7.3592826012287098</v>
      </c>
      <c r="H53" s="22">
        <v>0.22997358351199401</v>
      </c>
      <c r="I53" s="59">
        <v>7756.1329104635161</v>
      </c>
      <c r="AF53" s="290" t="s">
        <v>449</v>
      </c>
      <c r="AG53" s="291" t="s">
        <v>428</v>
      </c>
      <c r="AH53" s="292" t="s">
        <v>429</v>
      </c>
      <c r="AI53" s="291" t="s">
        <v>432</v>
      </c>
      <c r="AJ53" s="291" t="s">
        <v>448</v>
      </c>
      <c r="AK53" s="292" t="s">
        <v>434</v>
      </c>
      <c r="AL53" s="291" t="s">
        <v>433</v>
      </c>
      <c r="AM53" s="291" t="s">
        <v>431</v>
      </c>
      <c r="AN53" s="293" t="s">
        <v>430</v>
      </c>
    </row>
    <row r="54" spans="1:40">
      <c r="A54" s="26" t="s">
        <v>274</v>
      </c>
      <c r="B54" s="50" t="s">
        <v>275</v>
      </c>
      <c r="C54" s="604">
        <v>160.83199999999999</v>
      </c>
      <c r="D54" s="69">
        <v>28</v>
      </c>
      <c r="E54" s="69">
        <v>7.1244444444444457E-2</v>
      </c>
      <c r="F54" s="69">
        <v>125.85962467277484</v>
      </c>
      <c r="G54" s="69">
        <v>7.56683640329714</v>
      </c>
      <c r="H54" s="69">
        <v>0.380396275218917</v>
      </c>
      <c r="I54" s="61">
        <v>13644.107807809884</v>
      </c>
      <c r="AF54" s="290" t="s">
        <v>450</v>
      </c>
      <c r="AG54" s="291" t="s">
        <v>417</v>
      </c>
      <c r="AH54" s="292" t="s">
        <v>418</v>
      </c>
      <c r="AI54" s="291" t="s">
        <v>416</v>
      </c>
      <c r="AJ54" s="291" t="s">
        <v>424</v>
      </c>
      <c r="AK54" s="292" t="s">
        <v>425</v>
      </c>
      <c r="AL54" s="291" t="s">
        <v>419</v>
      </c>
      <c r="AM54" s="291" t="s">
        <v>415</v>
      </c>
      <c r="AN54" s="293" t="s">
        <v>426</v>
      </c>
    </row>
    <row r="55" spans="1:40">
      <c r="A55" t="s">
        <v>276</v>
      </c>
      <c r="B55" t="s">
        <v>37</v>
      </c>
      <c r="C55" t="s">
        <v>451</v>
      </c>
      <c r="D55" s="22">
        <v>73.382599999999996</v>
      </c>
      <c r="E55" s="22">
        <v>0.71058715095986025</v>
      </c>
      <c r="F55" s="22">
        <v>7.1244444444444457E-2</v>
      </c>
      <c r="G55" s="22">
        <v>6.1733439068308797</v>
      </c>
      <c r="H55" s="22">
        <v>1.45271677735758</v>
      </c>
      <c r="I55" s="22">
        <v>47.508619294298057</v>
      </c>
      <c r="AF55" s="290" t="s">
        <v>452</v>
      </c>
      <c r="AG55" s="297">
        <v>9.8420000000000001E-3</v>
      </c>
      <c r="AH55" s="298">
        <v>1.5021E-2</v>
      </c>
      <c r="AI55" s="297">
        <v>8.1609999999999999E-3</v>
      </c>
      <c r="AJ55" s="297">
        <v>8.6859999999999993E-3</v>
      </c>
      <c r="AK55" s="298">
        <v>8.9440000000000006E-3</v>
      </c>
      <c r="AL55" s="297">
        <v>1.2344000000000001E-2</v>
      </c>
      <c r="AM55" s="297">
        <v>9.3589999999999993E-3</v>
      </c>
      <c r="AN55" s="299">
        <v>8.6660000000000001E-3</v>
      </c>
    </row>
    <row r="56" spans="1:40" ht="15.75" thickBot="1">
      <c r="A56" t="s">
        <v>279</v>
      </c>
      <c r="B56" t="s">
        <v>31</v>
      </c>
      <c r="C56" t="s">
        <v>453</v>
      </c>
      <c r="D56" s="22">
        <v>59.534999999999997</v>
      </c>
      <c r="E56" s="22">
        <v>2.7030878054101217</v>
      </c>
      <c r="F56" s="22">
        <v>8.9055555555555554E-2</v>
      </c>
      <c r="G56" s="22">
        <v>6.3048705677367796</v>
      </c>
      <c r="H56" s="22">
        <v>0.46886655994586302</v>
      </c>
      <c r="I56" s="22">
        <v>23.889350852157701</v>
      </c>
      <c r="AF56" s="303" t="s">
        <v>454</v>
      </c>
      <c r="AG56" s="304">
        <v>1.1207E-2</v>
      </c>
      <c r="AH56" s="305">
        <v>1.1050000000000001E-2</v>
      </c>
      <c r="AI56" s="304">
        <v>1.0163E-2</v>
      </c>
      <c r="AJ56" s="304">
        <v>9.6270000000000001E-3</v>
      </c>
      <c r="AK56" s="305">
        <v>1.0370000000000001E-2</v>
      </c>
      <c r="AL56" s="304">
        <v>9.8840000000000004E-3</v>
      </c>
      <c r="AM56" s="304">
        <v>9.1719999999999996E-3</v>
      </c>
      <c r="AN56" s="306">
        <v>1.0047E-2</v>
      </c>
    </row>
    <row r="57" spans="1:40">
      <c r="A57" t="s">
        <v>285</v>
      </c>
      <c r="B57" t="s">
        <v>72</v>
      </c>
      <c r="D57" s="22">
        <v>261.85309999999998</v>
      </c>
      <c r="E57" s="22">
        <v>10.986605759162304</v>
      </c>
      <c r="F57" s="22">
        <v>0.23154444444444441</v>
      </c>
      <c r="G57" s="22">
        <v>6.6746441761463497</v>
      </c>
      <c r="H57" s="22">
        <v>1.47161998532086</v>
      </c>
      <c r="I57" s="22">
        <v>222.06277929408722</v>
      </c>
    </row>
    <row r="58" spans="1:40">
      <c r="A58" t="s">
        <v>288</v>
      </c>
      <c r="B58" t="s">
        <v>54</v>
      </c>
      <c r="D58" s="22">
        <v>204.14240000000001</v>
      </c>
      <c r="E58" s="22">
        <v>2.8709149214659679</v>
      </c>
      <c r="F58" s="22">
        <v>0.10686666666666667</v>
      </c>
      <c r="G58" s="22">
        <v>1.72249975069776</v>
      </c>
      <c r="H58" s="22">
        <v>0.60391235375463503</v>
      </c>
      <c r="I58" s="22">
        <v>33.86986131742173</v>
      </c>
    </row>
    <row r="59" spans="1:40">
      <c r="A59" t="s">
        <v>290</v>
      </c>
      <c r="B59" s="51">
        <v>37</v>
      </c>
      <c r="C59" s="51"/>
      <c r="D59" s="22">
        <v>106.5976</v>
      </c>
      <c r="E59" s="22">
        <v>7.3786798429319367</v>
      </c>
      <c r="F59" s="22">
        <v>0.12467777777777779</v>
      </c>
      <c r="G59" s="22">
        <v>1.1176989587758901</v>
      </c>
      <c r="H59" s="22">
        <v>1.0376308797773299</v>
      </c>
      <c r="I59" s="22">
        <v>21.2315322354847</v>
      </c>
    </row>
    <row r="60" spans="1:40">
      <c r="A60" t="s">
        <v>293</v>
      </c>
      <c r="B60" s="51">
        <v>60</v>
      </c>
      <c r="C60" s="51"/>
      <c r="D60" s="22">
        <v>25.608799999999999</v>
      </c>
      <c r="E60" s="22">
        <v>9.0676633726003484</v>
      </c>
      <c r="F60" s="22">
        <v>0.10686666666666667</v>
      </c>
      <c r="G60" s="22">
        <v>2.60451622173799</v>
      </c>
      <c r="H60" s="22">
        <v>0.30793863515479702</v>
      </c>
      <c r="I60" s="22">
        <v>18.82460595644519</v>
      </c>
    </row>
    <row r="61" spans="1:40">
      <c r="A61" t="s">
        <v>296</v>
      </c>
      <c r="B61" t="s">
        <v>43</v>
      </c>
      <c r="D61" s="22" t="s">
        <v>299</v>
      </c>
      <c r="E61" s="22">
        <v>14.740219895287956</v>
      </c>
      <c r="F61" s="22">
        <v>8.9055555555555554E-2</v>
      </c>
      <c r="G61" s="22">
        <v>3.0075226368572801</v>
      </c>
      <c r="H61" s="22">
        <v>0.35527614883592101</v>
      </c>
      <c r="I61" s="22">
        <v>28.035082671620174</v>
      </c>
    </row>
    <row r="62" spans="1:40">
      <c r="C62" t="s">
        <v>334</v>
      </c>
      <c r="D62" s="28">
        <f>MAX(D3:D61)</f>
        <v>261.85309999999998</v>
      </c>
      <c r="E62" s="28">
        <f>AVERAGE(E7:E12,E30,E34,E45:E54)</f>
        <v>3.537484567901235</v>
      </c>
      <c r="F62" s="28">
        <f>AVERAGE(F7:F12,F30,F34,F45:F54)</f>
        <v>316.93932652220286</v>
      </c>
      <c r="G62" s="28">
        <f t="shared" ref="G62:H62" si="0">AVERAGE(G7:G12,G30,G34,G45:G54)</f>
        <v>2.9703542988627749</v>
      </c>
      <c r="H62" s="28">
        <f t="shared" si="0"/>
        <v>0.31223830076775344</v>
      </c>
      <c r="I62" s="23" t="s">
        <v>455</v>
      </c>
    </row>
    <row r="63" spans="1:40">
      <c r="D63" s="22"/>
      <c r="E63" s="22"/>
    </row>
    <row r="64" spans="1:40">
      <c r="D64" s="22"/>
      <c r="E64" s="22"/>
    </row>
    <row r="65" spans="4:5">
      <c r="D65" s="22"/>
      <c r="E65" s="22"/>
    </row>
    <row r="66" spans="4:5">
      <c r="D66" s="22"/>
      <c r="E66" s="22"/>
    </row>
    <row r="67" spans="4:5">
      <c r="D67" s="22"/>
      <c r="E67" s="22"/>
    </row>
    <row r="68" spans="4:5">
      <c r="D68" s="22"/>
      <c r="E68" s="22"/>
    </row>
    <row r="69" spans="4:5">
      <c r="D69" s="22"/>
      <c r="E69" s="22"/>
    </row>
    <row r="70" spans="4:5">
      <c r="D70" s="22"/>
      <c r="E70" s="22"/>
    </row>
    <row r="71" spans="4:5">
      <c r="D71" s="22"/>
      <c r="E71" s="22"/>
    </row>
    <row r="72" spans="4:5">
      <c r="D72" s="22"/>
      <c r="E72" s="22"/>
    </row>
    <row r="73" spans="4:5">
      <c r="D73" s="22"/>
      <c r="E73" s="22"/>
    </row>
    <row r="74" spans="4:5">
      <c r="D74" s="22"/>
      <c r="E74" s="22"/>
    </row>
    <row r="75" spans="4:5">
      <c r="D75" s="22"/>
      <c r="E75" s="69"/>
    </row>
    <row r="76" spans="4:5">
      <c r="D76" s="22"/>
      <c r="E76" s="22"/>
    </row>
    <row r="77" spans="4:5">
      <c r="D77" s="69"/>
      <c r="E77" s="22"/>
    </row>
    <row r="78" spans="4:5">
      <c r="D78" s="22"/>
      <c r="E78" s="22"/>
    </row>
    <row r="79" spans="4:5">
      <c r="D79" s="22"/>
      <c r="E79" s="22"/>
    </row>
    <row r="80" spans="4:5">
      <c r="D80" s="22"/>
      <c r="E80" s="22"/>
    </row>
    <row r="81" spans="4:5">
      <c r="D81" s="22"/>
      <c r="E81" s="22"/>
    </row>
    <row r="82" spans="4:5">
      <c r="D82" s="22"/>
      <c r="E82" s="22"/>
    </row>
    <row r="83" spans="4:5">
      <c r="D83" s="22"/>
      <c r="E83" s="22"/>
    </row>
    <row r="84" spans="4:5">
      <c r="D84" s="22"/>
      <c r="E84" s="22"/>
    </row>
    <row r="85" spans="4:5">
      <c r="D85" s="22"/>
      <c r="E85" s="22"/>
    </row>
    <row r="86" spans="4:5">
      <c r="D86" s="22"/>
      <c r="E86" s="22"/>
    </row>
    <row r="87" spans="4:5">
      <c r="D87" s="22"/>
      <c r="E87" s="22"/>
    </row>
    <row r="88" spans="4:5">
      <c r="D88" s="22"/>
      <c r="E88" s="22"/>
    </row>
    <row r="89" spans="4:5">
      <c r="D89" s="22"/>
      <c r="E89" s="22"/>
    </row>
    <row r="90" spans="4:5">
      <c r="D90" s="22"/>
      <c r="E90" s="22"/>
    </row>
    <row r="91" spans="4:5">
      <c r="D91" s="22"/>
      <c r="E91" s="28"/>
    </row>
    <row r="92" spans="4:5">
      <c r="D92" s="22"/>
      <c r="E92" s="22"/>
    </row>
    <row r="93" spans="4:5">
      <c r="D93" s="28"/>
      <c r="E93" s="22"/>
    </row>
    <row r="94" spans="4:5">
      <c r="D94" s="22"/>
      <c r="E94" s="22"/>
    </row>
    <row r="95" spans="4:5">
      <c r="D95" s="22"/>
      <c r="E95" s="22"/>
    </row>
    <row r="96" spans="4:5">
      <c r="D96" s="22"/>
      <c r="E96" s="22"/>
    </row>
    <row r="97" spans="4:5">
      <c r="D97" s="22"/>
      <c r="E97" s="22"/>
    </row>
    <row r="98" spans="4:5">
      <c r="D98" s="22"/>
      <c r="E98" s="22"/>
    </row>
    <row r="99" spans="4:5">
      <c r="D99" s="22"/>
      <c r="E99" s="22"/>
    </row>
    <row r="100" spans="4:5">
      <c r="D100" s="22"/>
      <c r="E100" s="69"/>
    </row>
    <row r="101" spans="4:5">
      <c r="D101" s="22"/>
      <c r="E101" s="22"/>
    </row>
    <row r="102" spans="4:5">
      <c r="D102" s="69"/>
      <c r="E102" s="22"/>
    </row>
    <row r="103" spans="4:5">
      <c r="D103" s="22"/>
      <c r="E103" s="22"/>
    </row>
    <row r="104" spans="4:5">
      <c r="D104" s="22"/>
      <c r="E104" s="22">
        <v>0.23154444444444441</v>
      </c>
    </row>
    <row r="105" spans="4:5">
      <c r="D105" s="22"/>
      <c r="E105" s="22">
        <v>0.10686666666666667</v>
      </c>
    </row>
    <row r="106" spans="4:5">
      <c r="D106" s="22"/>
      <c r="E106" s="22">
        <v>0.12467777777777779</v>
      </c>
    </row>
    <row r="107" spans="4:5">
      <c r="D107" s="22"/>
      <c r="E107" s="22">
        <v>0.10686666666666667</v>
      </c>
    </row>
    <row r="108" spans="4:5">
      <c r="D108" s="22"/>
      <c r="E108" s="22">
        <v>8.9055555555555554E-2</v>
      </c>
    </row>
    <row r="109" spans="4:5">
      <c r="D109" s="22"/>
    </row>
  </sheetData>
  <conditionalFormatting sqref="H3:H61">
    <cfRule type="top10" dxfId="415" priority="297" percent="1" rank="10"/>
  </conditionalFormatting>
  <conditionalFormatting sqref="G3:G61">
    <cfRule type="top10" dxfId="414" priority="299" percent="1" rank="10"/>
  </conditionalFormatting>
  <conditionalFormatting sqref="F3:F61">
    <cfRule type="top10" dxfId="413" priority="301" percent="1" rank="10"/>
  </conditionalFormatting>
  <conditionalFormatting sqref="E3:E61">
    <cfRule type="top10" dxfId="412" priority="303" percent="1" rank="10"/>
  </conditionalFormatting>
  <conditionalFormatting sqref="C5:C11 C13:C19 C51:C54">
    <cfRule type="cellIs" dxfId="411" priority="130" operator="lessThan">
      <formula>#REF!</formula>
    </cfRule>
  </conditionalFormatting>
  <conditionalFormatting sqref="C5:C11 C13:C19 C51:C54">
    <cfRule type="cellIs" dxfId="410" priority="127" operator="between">
      <formula>10</formula>
      <formula>100</formula>
    </cfRule>
    <cfRule type="cellIs" dxfId="409" priority="128" operator="greaterThan">
      <formula>100</formula>
    </cfRule>
    <cfRule type="cellIs" dxfId="408" priority="129" operator="lessThan">
      <formula>#REF!</formula>
    </cfRule>
  </conditionalFormatting>
  <conditionalFormatting sqref="C5:C11 C13:C19 C51:C54">
    <cfRule type="cellIs" dxfId="407" priority="126" operator="lessThan">
      <formula>#REF!</formula>
    </cfRule>
  </conditionalFormatting>
  <conditionalFormatting sqref="C5:C11 C13:C19 C51:C54">
    <cfRule type="cellIs" dxfId="406" priority="125" operator="lessThan">
      <formula>10</formula>
    </cfRule>
  </conditionalFormatting>
  <conditionalFormatting sqref="C5:C11 C13:C19 C51:C54">
    <cfRule type="cellIs" dxfId="405" priority="124" operator="lessThan">
      <formula>#REF!</formula>
    </cfRule>
  </conditionalFormatting>
  <conditionalFormatting sqref="C5:C11 C13:C19 C51:C54">
    <cfRule type="cellIs" dxfId="404" priority="118" operator="lessThan">
      <formula>#REF!</formula>
    </cfRule>
  </conditionalFormatting>
  <conditionalFormatting sqref="C5:C11 C13:C19 C51:C54">
    <cfRule type="cellIs" dxfId="403" priority="117" operator="lessThan">
      <formula>#REF!</formula>
    </cfRule>
  </conditionalFormatting>
  <conditionalFormatting sqref="C12">
    <cfRule type="cellIs" dxfId="402" priority="116" operator="lessThan">
      <formula>#REF!</formula>
    </cfRule>
  </conditionalFormatting>
  <conditionalFormatting sqref="C12">
    <cfRule type="cellIs" dxfId="401" priority="113" operator="between">
      <formula>10</formula>
      <formula>100</formula>
    </cfRule>
    <cfRule type="cellIs" dxfId="400" priority="114" operator="greaterThan">
      <formula>100</formula>
    </cfRule>
    <cfRule type="cellIs" dxfId="399" priority="115" operator="lessThan">
      <formula>#REF!</formula>
    </cfRule>
  </conditionalFormatting>
  <conditionalFormatting sqref="C12">
    <cfRule type="cellIs" dxfId="398" priority="112" operator="lessThan">
      <formula>#REF!</formula>
    </cfRule>
  </conditionalFormatting>
  <conditionalFormatting sqref="C12">
    <cfRule type="cellIs" dxfId="397" priority="111" operator="lessThan">
      <formula>10</formula>
    </cfRule>
  </conditionalFormatting>
  <conditionalFormatting sqref="C12">
    <cfRule type="cellIs" dxfId="396" priority="110" operator="lessThan">
      <formula>#REF!</formula>
    </cfRule>
  </conditionalFormatting>
  <conditionalFormatting sqref="C12">
    <cfRule type="cellIs" dxfId="395" priority="109" operator="lessThan">
      <formula>#REF!</formula>
    </cfRule>
  </conditionalFormatting>
  <conditionalFormatting sqref="C12">
    <cfRule type="cellIs" dxfId="394" priority="106" operator="between">
      <formula>10</formula>
      <formula>100</formula>
    </cfRule>
    <cfRule type="cellIs" dxfId="393" priority="107" operator="greaterThan">
      <formula>100</formula>
    </cfRule>
    <cfRule type="cellIs" dxfId="392" priority="108" operator="lessThan">
      <formula>#REF!</formula>
    </cfRule>
  </conditionalFormatting>
  <conditionalFormatting sqref="C12">
    <cfRule type="cellIs" dxfId="391" priority="105" operator="lessThan">
      <formula>#REF!</formula>
    </cfRule>
  </conditionalFormatting>
  <conditionalFormatting sqref="C12">
    <cfRule type="cellIs" dxfId="390" priority="104" operator="lessThan">
      <formula>#REF!</formula>
    </cfRule>
  </conditionalFormatting>
  <conditionalFormatting sqref="C12">
    <cfRule type="cellIs" dxfId="389" priority="103" operator="lessThan">
      <formula>#REF!</formula>
    </cfRule>
  </conditionalFormatting>
  <conditionalFormatting sqref="C20">
    <cfRule type="cellIs" dxfId="388" priority="102" operator="lessThan">
      <formula>#REF!</formula>
    </cfRule>
  </conditionalFormatting>
  <conditionalFormatting sqref="C20">
    <cfRule type="cellIs" dxfId="387" priority="99" operator="between">
      <formula>10</formula>
      <formula>100</formula>
    </cfRule>
    <cfRule type="cellIs" dxfId="386" priority="100" operator="greaterThan">
      <formula>100</formula>
    </cfRule>
    <cfRule type="cellIs" dxfId="385" priority="101" operator="lessThan">
      <formula>#REF!</formula>
    </cfRule>
  </conditionalFormatting>
  <conditionalFormatting sqref="C20">
    <cfRule type="cellIs" dxfId="384" priority="98" operator="lessThan">
      <formula>#REF!</formula>
    </cfRule>
  </conditionalFormatting>
  <conditionalFormatting sqref="C20">
    <cfRule type="cellIs" dxfId="383" priority="97" operator="lessThan">
      <formula>10</formula>
    </cfRule>
  </conditionalFormatting>
  <conditionalFormatting sqref="C20">
    <cfRule type="cellIs" dxfId="382" priority="96" operator="lessThan">
      <formula>#REF!</formula>
    </cfRule>
  </conditionalFormatting>
  <conditionalFormatting sqref="C20">
    <cfRule type="cellIs" dxfId="381" priority="95" operator="lessThan">
      <formula>#REF!</formula>
    </cfRule>
  </conditionalFormatting>
  <conditionalFormatting sqref="C20">
    <cfRule type="cellIs" dxfId="380" priority="92" operator="between">
      <formula>10</formula>
      <formula>100</formula>
    </cfRule>
    <cfRule type="cellIs" dxfId="379" priority="93" operator="greaterThan">
      <formula>100</formula>
    </cfRule>
    <cfRule type="cellIs" dxfId="378" priority="94" operator="lessThan">
      <formula>#REF!</formula>
    </cfRule>
  </conditionalFormatting>
  <conditionalFormatting sqref="C20">
    <cfRule type="cellIs" dxfId="377" priority="91" operator="lessThan">
      <formula>#REF!</formula>
    </cfRule>
  </conditionalFormatting>
  <conditionalFormatting sqref="C20">
    <cfRule type="cellIs" dxfId="376" priority="90" operator="lessThan">
      <formula>#REF!</formula>
    </cfRule>
  </conditionalFormatting>
  <conditionalFormatting sqref="C20">
    <cfRule type="cellIs" dxfId="375" priority="89" operator="lessThan">
      <formula>#REF!</formula>
    </cfRule>
  </conditionalFormatting>
  <conditionalFormatting sqref="C25">
    <cfRule type="cellIs" dxfId="374" priority="88" operator="lessThan">
      <formula>#REF!</formula>
    </cfRule>
  </conditionalFormatting>
  <conditionalFormatting sqref="C25">
    <cfRule type="cellIs" dxfId="373" priority="85" operator="between">
      <formula>10</formula>
      <formula>100</formula>
    </cfRule>
    <cfRule type="cellIs" dxfId="372" priority="86" operator="greaterThan">
      <formula>100</formula>
    </cfRule>
    <cfRule type="cellIs" dxfId="371" priority="87" operator="lessThan">
      <formula>#REF!</formula>
    </cfRule>
  </conditionalFormatting>
  <conditionalFormatting sqref="C25">
    <cfRule type="cellIs" dxfId="370" priority="84" operator="lessThan">
      <formula>#REF!</formula>
    </cfRule>
  </conditionalFormatting>
  <conditionalFormatting sqref="C25">
    <cfRule type="cellIs" dxfId="369" priority="83" operator="lessThan">
      <formula>10</formula>
    </cfRule>
  </conditionalFormatting>
  <conditionalFormatting sqref="C25">
    <cfRule type="cellIs" dxfId="368" priority="82" operator="lessThan">
      <formula>#REF!</formula>
    </cfRule>
  </conditionalFormatting>
  <conditionalFormatting sqref="C25">
    <cfRule type="cellIs" dxfId="367" priority="81" operator="lessThan">
      <formula>#REF!</formula>
    </cfRule>
  </conditionalFormatting>
  <conditionalFormatting sqref="C25">
    <cfRule type="cellIs" dxfId="366" priority="78" operator="between">
      <formula>10</formula>
      <formula>100</formula>
    </cfRule>
    <cfRule type="cellIs" dxfId="365" priority="79" operator="greaterThan">
      <formula>100</formula>
    </cfRule>
    <cfRule type="cellIs" dxfId="364" priority="80" operator="lessThan">
      <formula>#REF!</formula>
    </cfRule>
  </conditionalFormatting>
  <conditionalFormatting sqref="C25">
    <cfRule type="cellIs" dxfId="363" priority="77" operator="lessThan">
      <formula>#REF!</formula>
    </cfRule>
  </conditionalFormatting>
  <conditionalFormatting sqref="C25">
    <cfRule type="cellIs" dxfId="362" priority="76" operator="lessThan">
      <formula>#REF!</formula>
    </cfRule>
  </conditionalFormatting>
  <conditionalFormatting sqref="C25">
    <cfRule type="cellIs" dxfId="361" priority="75" operator="lessThan">
      <formula>#REF!</formula>
    </cfRule>
  </conditionalFormatting>
  <conditionalFormatting sqref="C29">
    <cfRule type="cellIs" dxfId="360" priority="74" operator="lessThan">
      <formula>#REF!</formula>
    </cfRule>
  </conditionalFormatting>
  <conditionalFormatting sqref="C29">
    <cfRule type="cellIs" dxfId="359" priority="71" operator="between">
      <formula>10</formula>
      <formula>100</formula>
    </cfRule>
    <cfRule type="cellIs" dxfId="358" priority="72" operator="greaterThan">
      <formula>100</formula>
    </cfRule>
    <cfRule type="cellIs" dxfId="357" priority="73" operator="lessThan">
      <formula>#REF!</formula>
    </cfRule>
  </conditionalFormatting>
  <conditionalFormatting sqref="C29">
    <cfRule type="cellIs" dxfId="356" priority="70" operator="lessThan">
      <formula>#REF!</formula>
    </cfRule>
  </conditionalFormatting>
  <conditionalFormatting sqref="C29">
    <cfRule type="cellIs" dxfId="355" priority="69" operator="lessThan">
      <formula>10</formula>
    </cfRule>
  </conditionalFormatting>
  <conditionalFormatting sqref="C29">
    <cfRule type="cellIs" dxfId="354" priority="68" operator="lessThan">
      <formula>#REF!</formula>
    </cfRule>
  </conditionalFormatting>
  <conditionalFormatting sqref="C29">
    <cfRule type="cellIs" dxfId="353" priority="67" operator="lessThan">
      <formula>#REF!</formula>
    </cfRule>
  </conditionalFormatting>
  <conditionalFormatting sqref="C29">
    <cfRule type="cellIs" dxfId="352" priority="64" operator="between">
      <formula>10</formula>
      <formula>100</formula>
    </cfRule>
    <cfRule type="cellIs" dxfId="351" priority="65" operator="greaterThan">
      <formula>100</formula>
    </cfRule>
    <cfRule type="cellIs" dxfId="350" priority="66" operator="lessThan">
      <formula>#REF!</formula>
    </cfRule>
  </conditionalFormatting>
  <conditionalFormatting sqref="C29">
    <cfRule type="cellIs" dxfId="349" priority="63" operator="lessThan">
      <formula>#REF!</formula>
    </cfRule>
  </conditionalFormatting>
  <conditionalFormatting sqref="C29">
    <cfRule type="cellIs" dxfId="348" priority="62" operator="lessThan">
      <formula>#REF!</formula>
    </cfRule>
  </conditionalFormatting>
  <conditionalFormatting sqref="C29">
    <cfRule type="cellIs" dxfId="347" priority="61" operator="lessThan">
      <formula>#REF!</formula>
    </cfRule>
  </conditionalFormatting>
  <conditionalFormatting sqref="C3:C4 C51:C54">
    <cfRule type="cellIs" dxfId="346" priority="60" operator="lessThan">
      <formula>#REF!</formula>
    </cfRule>
  </conditionalFormatting>
  <conditionalFormatting sqref="C3:C4">
    <cfRule type="cellIs" dxfId="345" priority="59" operator="lessThan">
      <formula>#REF!</formula>
    </cfRule>
  </conditionalFormatting>
  <conditionalFormatting sqref="C3:C4">
    <cfRule type="cellIs" dxfId="344" priority="56" operator="between">
      <formula>10</formula>
      <formula>100</formula>
    </cfRule>
    <cfRule type="cellIs" dxfId="343" priority="57" operator="greaterThan">
      <formula>100</formula>
    </cfRule>
    <cfRule type="cellIs" dxfId="342" priority="58" operator="lessThan">
      <formula>#REF!</formula>
    </cfRule>
  </conditionalFormatting>
  <conditionalFormatting sqref="C3:C4">
    <cfRule type="cellIs" dxfId="341" priority="55" operator="lessThan">
      <formula>#REF!</formula>
    </cfRule>
  </conditionalFormatting>
  <conditionalFormatting sqref="C3:C4">
    <cfRule type="cellIs" dxfId="340" priority="54" operator="lessThan">
      <formula>10</formula>
    </cfRule>
  </conditionalFormatting>
  <conditionalFormatting sqref="C3:C4">
    <cfRule type="cellIs" dxfId="339" priority="53" operator="lessThan">
      <formula>#REF!</formula>
    </cfRule>
  </conditionalFormatting>
  <conditionalFormatting sqref="C3:C4">
    <cfRule type="cellIs" dxfId="338" priority="52" operator="lessThan">
      <formula>#REF!</formula>
    </cfRule>
  </conditionalFormatting>
  <conditionalFormatting sqref="C3:C4">
    <cfRule type="cellIs" dxfId="337" priority="49" operator="between">
      <formula>10</formula>
      <formula>100</formula>
    </cfRule>
    <cfRule type="cellIs" dxfId="336" priority="50" operator="greaterThan">
      <formula>100</formula>
    </cfRule>
    <cfRule type="cellIs" dxfId="335" priority="51" operator="lessThan">
      <formula>#REF!</formula>
    </cfRule>
  </conditionalFormatting>
  <conditionalFormatting sqref="C3:C4">
    <cfRule type="cellIs" dxfId="334" priority="48" operator="lessThan">
      <formula>#REF!</formula>
    </cfRule>
  </conditionalFormatting>
  <conditionalFormatting sqref="C3:C4">
    <cfRule type="cellIs" dxfId="333" priority="47" operator="lessThan">
      <formula>#REF!</formula>
    </cfRule>
  </conditionalFormatting>
  <conditionalFormatting sqref="C3:C4">
    <cfRule type="cellIs" dxfId="332" priority="46" operator="lessThan">
      <formula>#REF!</formula>
    </cfRule>
  </conditionalFormatting>
  <conditionalFormatting sqref="C40:C43">
    <cfRule type="cellIs" dxfId="331" priority="45" operator="lessThan">
      <formula>#REF!</formula>
    </cfRule>
  </conditionalFormatting>
  <conditionalFormatting sqref="C40:C43">
    <cfRule type="cellIs" dxfId="330" priority="44" operator="lessThan">
      <formula>#REF!</formula>
    </cfRule>
  </conditionalFormatting>
  <conditionalFormatting sqref="C40:C43">
    <cfRule type="cellIs" dxfId="329" priority="41" operator="between">
      <formula>10</formula>
      <formula>100</formula>
    </cfRule>
    <cfRule type="cellIs" dxfId="328" priority="42" operator="greaterThan">
      <formula>100</formula>
    </cfRule>
    <cfRule type="cellIs" dxfId="327" priority="43" operator="lessThan">
      <formula>#REF!</formula>
    </cfRule>
  </conditionalFormatting>
  <conditionalFormatting sqref="C40:C43">
    <cfRule type="cellIs" dxfId="326" priority="40" operator="lessThan">
      <formula>#REF!</formula>
    </cfRule>
  </conditionalFormatting>
  <conditionalFormatting sqref="C40:C43">
    <cfRule type="cellIs" dxfId="325" priority="39" operator="lessThan">
      <formula>10</formula>
    </cfRule>
  </conditionalFormatting>
  <conditionalFormatting sqref="C40:C43">
    <cfRule type="cellIs" dxfId="324" priority="38" operator="lessThan">
      <formula>#REF!</formula>
    </cfRule>
  </conditionalFormatting>
  <conditionalFormatting sqref="C40:C43">
    <cfRule type="cellIs" dxfId="323" priority="37" operator="lessThan">
      <formula>#REF!</formula>
    </cfRule>
  </conditionalFormatting>
  <conditionalFormatting sqref="C40:C43">
    <cfRule type="cellIs" dxfId="322" priority="34" operator="between">
      <formula>10</formula>
      <formula>100</formula>
    </cfRule>
    <cfRule type="cellIs" dxfId="321" priority="35" operator="greaterThan">
      <formula>100</formula>
    </cfRule>
    <cfRule type="cellIs" dxfId="320" priority="36" operator="lessThan">
      <formula>#REF!</formula>
    </cfRule>
  </conditionalFormatting>
  <conditionalFormatting sqref="C40:C43">
    <cfRule type="cellIs" dxfId="319" priority="33" operator="lessThan">
      <formula>#REF!</formula>
    </cfRule>
  </conditionalFormatting>
  <conditionalFormatting sqref="C40:C43">
    <cfRule type="cellIs" dxfId="318" priority="32" operator="lessThan">
      <formula>#REF!</formula>
    </cfRule>
  </conditionalFormatting>
  <conditionalFormatting sqref="C40:C43">
    <cfRule type="cellIs" dxfId="317" priority="31" operator="lessThan">
      <formula>#REF!</formula>
    </cfRule>
  </conditionalFormatting>
  <conditionalFormatting sqref="C45:C50">
    <cfRule type="cellIs" dxfId="316" priority="15" operator="lessThan">
      <formula>#REF!</formula>
    </cfRule>
  </conditionalFormatting>
  <conditionalFormatting sqref="C45:C50">
    <cfRule type="cellIs" dxfId="315" priority="14" operator="lessThan">
      <formula>#REF!</formula>
    </cfRule>
  </conditionalFormatting>
  <conditionalFormatting sqref="C45:C50">
    <cfRule type="cellIs" dxfId="314" priority="11" operator="between">
      <formula>10</formula>
      <formula>100</formula>
    </cfRule>
    <cfRule type="cellIs" dxfId="313" priority="12" operator="greaterThan">
      <formula>100</formula>
    </cfRule>
    <cfRule type="cellIs" dxfId="312" priority="13" operator="lessThan">
      <formula>#REF!</formula>
    </cfRule>
  </conditionalFormatting>
  <conditionalFormatting sqref="C45:C50">
    <cfRule type="cellIs" dxfId="311" priority="10" operator="lessThan">
      <formula>#REF!</formula>
    </cfRule>
  </conditionalFormatting>
  <conditionalFormatting sqref="C45:C50">
    <cfRule type="cellIs" dxfId="310" priority="9" operator="lessThan">
      <formula>10</formula>
    </cfRule>
  </conditionalFormatting>
  <conditionalFormatting sqref="C45:C50">
    <cfRule type="cellIs" dxfId="309" priority="8" operator="lessThan">
      <formula>#REF!</formula>
    </cfRule>
  </conditionalFormatting>
  <conditionalFormatting sqref="C45:C50">
    <cfRule type="cellIs" dxfId="308" priority="7" operator="lessThan">
      <formula>#REF!</formula>
    </cfRule>
  </conditionalFormatting>
  <conditionalFormatting sqref="C45:C50">
    <cfRule type="cellIs" dxfId="307" priority="4" operator="between">
      <formula>10</formula>
      <formula>100</formula>
    </cfRule>
    <cfRule type="cellIs" dxfId="306" priority="5" operator="greaterThan">
      <formula>100</formula>
    </cfRule>
    <cfRule type="cellIs" dxfId="305" priority="6" operator="lessThan">
      <formula>#REF!</formula>
    </cfRule>
  </conditionalFormatting>
  <conditionalFormatting sqref="C45:C50">
    <cfRule type="cellIs" dxfId="304" priority="3" operator="lessThan">
      <formula>#REF!</formula>
    </cfRule>
  </conditionalFormatting>
  <conditionalFormatting sqref="C45:C50">
    <cfRule type="cellIs" dxfId="303" priority="2" operator="lessThan">
      <formula>#REF!</formula>
    </cfRule>
  </conditionalFormatting>
  <conditionalFormatting sqref="C45:C50">
    <cfRule type="cellIs" dxfId="302" priority="1" operator="lessThan">
      <formula>#REF!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CB45-9D57-45F9-BD7F-79689E4A411C}">
  <sheetPr>
    <tabColor theme="4" tint="0.59999389629810485"/>
  </sheetPr>
  <dimension ref="A1:BC109"/>
  <sheetViews>
    <sheetView workbookViewId="0">
      <selection activeCell="I8" sqref="I8"/>
    </sheetView>
  </sheetViews>
  <sheetFormatPr defaultRowHeight="15"/>
  <cols>
    <col min="1" max="2" width="8.85546875"/>
    <col min="3" max="3" width="10.42578125" customWidth="1"/>
    <col min="4" max="4" width="10.42578125" bestFit="1" customWidth="1"/>
    <col min="5" max="6" width="10.42578125" customWidth="1"/>
    <col min="7" max="19" width="10" customWidth="1"/>
    <col min="21" max="23" width="8.85546875"/>
    <col min="34" max="34" width="16.28515625" customWidth="1"/>
    <col min="35" max="35" width="11" customWidth="1"/>
    <col min="36" max="36" width="8.85546875" bestFit="1" customWidth="1"/>
    <col min="37" max="37" width="10.5703125" customWidth="1"/>
    <col min="38" max="38" width="8.5703125" customWidth="1"/>
    <col min="39" max="39" width="9.42578125" bestFit="1" customWidth="1"/>
    <col min="40" max="40" width="9.42578125" customWidth="1"/>
    <col min="41" max="55" width="8.85546875"/>
  </cols>
  <sheetData>
    <row r="1" spans="1:55">
      <c r="A1" s="21" t="s">
        <v>456</v>
      </c>
      <c r="G1" s="25"/>
      <c r="M1" s="40"/>
      <c r="N1" t="s">
        <v>457</v>
      </c>
      <c r="T1" s="40"/>
      <c r="U1" s="479">
        <v>0.6</v>
      </c>
      <c r="AB1" t="s">
        <v>457</v>
      </c>
      <c r="AH1" s="27"/>
      <c r="AI1" s="27" t="s">
        <v>133</v>
      </c>
      <c r="AJ1" s="27" t="s">
        <v>133</v>
      </c>
      <c r="AK1" s="27" t="s">
        <v>364</v>
      </c>
      <c r="AL1" s="27" t="s">
        <v>134</v>
      </c>
      <c r="AM1" t="s">
        <v>135</v>
      </c>
      <c r="AQ1" t="s">
        <v>458</v>
      </c>
      <c r="AR1" t="s">
        <v>459</v>
      </c>
      <c r="AS1" s="40" t="s">
        <v>460</v>
      </c>
      <c r="AT1" t="s">
        <v>459</v>
      </c>
      <c r="AU1" s="40" t="s">
        <v>460</v>
      </c>
      <c r="AV1" t="s">
        <v>459</v>
      </c>
      <c r="AW1" t="s">
        <v>461</v>
      </c>
      <c r="AY1" s="40" t="s">
        <v>460</v>
      </c>
    </row>
    <row r="2" spans="1:55" ht="45">
      <c r="A2" s="42" t="s">
        <v>121</v>
      </c>
      <c r="C2" s="30" t="s">
        <v>462</v>
      </c>
      <c r="D2" s="30" t="s">
        <v>463</v>
      </c>
      <c r="E2" s="30" t="s">
        <v>464</v>
      </c>
      <c r="F2" s="30" t="s">
        <v>465</v>
      </c>
      <c r="G2" s="26" t="s">
        <v>466</v>
      </c>
      <c r="H2" s="30"/>
      <c r="I2" s="30"/>
      <c r="J2" s="30"/>
      <c r="K2" s="30"/>
      <c r="L2" s="30"/>
      <c r="M2" s="38"/>
      <c r="N2" s="30">
        <v>0</v>
      </c>
      <c r="O2" s="30">
        <v>20</v>
      </c>
      <c r="P2" s="30">
        <v>50</v>
      </c>
      <c r="Q2" s="30">
        <v>70</v>
      </c>
      <c r="R2" s="30">
        <v>83</v>
      </c>
      <c r="S2" s="30">
        <v>90</v>
      </c>
      <c r="T2" s="38">
        <v>95</v>
      </c>
      <c r="U2" t="s">
        <v>459</v>
      </c>
      <c r="V2" s="40" t="s">
        <v>460</v>
      </c>
      <c r="W2" t="s">
        <v>467</v>
      </c>
      <c r="AA2" s="42" t="s">
        <v>121</v>
      </c>
      <c r="AB2" t="s">
        <v>468</v>
      </c>
      <c r="AC2" s="40" t="s">
        <v>460</v>
      </c>
      <c r="AD2" t="s">
        <v>459</v>
      </c>
      <c r="AE2" t="s">
        <v>467</v>
      </c>
      <c r="AI2" t="s">
        <v>369</v>
      </c>
      <c r="AJ2" t="s">
        <v>123</v>
      </c>
      <c r="AK2" t="s">
        <v>370</v>
      </c>
      <c r="AL2" t="s">
        <v>371</v>
      </c>
      <c r="AM2" s="42" t="s">
        <v>121</v>
      </c>
      <c r="AN2" s="36" t="s">
        <v>469</v>
      </c>
      <c r="AO2" s="36" t="s">
        <v>470</v>
      </c>
      <c r="AP2" s="36" t="s">
        <v>471</v>
      </c>
      <c r="AQ2" s="36" t="s">
        <v>471</v>
      </c>
      <c r="AR2" s="36" t="s">
        <v>471</v>
      </c>
      <c r="AS2" s="42" t="s">
        <v>471</v>
      </c>
      <c r="AT2" t="s">
        <v>369</v>
      </c>
      <c r="AU2" s="40" t="s">
        <v>369</v>
      </c>
      <c r="AV2" s="36" t="s">
        <v>472</v>
      </c>
      <c r="AW2" s="36"/>
      <c r="AX2" s="36" t="s">
        <v>371</v>
      </c>
      <c r="AY2" s="42" t="s">
        <v>472</v>
      </c>
      <c r="AZ2" s="36" t="s">
        <v>473</v>
      </c>
      <c r="BA2" s="36" t="s">
        <v>474</v>
      </c>
      <c r="BB2" s="36" t="s">
        <v>475</v>
      </c>
      <c r="BC2" t="s">
        <v>476</v>
      </c>
    </row>
    <row r="3" spans="1:55">
      <c r="A3" s="58">
        <v>67.39807390416118</v>
      </c>
      <c r="B3" s="49" t="s">
        <v>169</v>
      </c>
      <c r="C3" s="22">
        <v>0.10686666666666667</v>
      </c>
      <c r="D3" s="22">
        <v>12.0744701119241</v>
      </c>
      <c r="E3" s="62">
        <f>C3/32</f>
        <v>3.3395833333333333E-3</v>
      </c>
      <c r="F3" s="62">
        <f>D3/56</f>
        <v>0.21561553771293035</v>
      </c>
      <c r="G3" s="465">
        <v>0</v>
      </c>
      <c r="H3">
        <v>0.2</v>
      </c>
      <c r="I3">
        <v>0.6</v>
      </c>
      <c r="J3">
        <v>0.7</v>
      </c>
      <c r="K3">
        <v>0.8</v>
      </c>
      <c r="L3" s="57">
        <v>0.9</v>
      </c>
      <c r="M3" s="40">
        <v>0.95</v>
      </c>
      <c r="N3" s="24">
        <f>($F3+G3/(1-G3)*$E3)/($E3/(1-G3))</f>
        <v>64.563604555337847</v>
      </c>
      <c r="O3" s="24">
        <f t="shared" ref="O3:T3" si="0">($F3+H3/(1-H3)*$E3)/($E3/(1-H3))</f>
        <v>51.850883644270276</v>
      </c>
      <c r="P3" s="24">
        <f>($F3+I3/(1-I3)*$E3)/($E3/(1-I3))</f>
        <v>26.425441822135141</v>
      </c>
      <c r="Q3" s="24">
        <f t="shared" si="0"/>
        <v>20.06908136660136</v>
      </c>
      <c r="R3" s="24">
        <f>($F3+K3/(1-K3)*$E3)/($E3/(1-K3))</f>
        <v>13.712720911067567</v>
      </c>
      <c r="S3" s="24">
        <f t="shared" si="0"/>
        <v>7.3563604555337836</v>
      </c>
      <c r="T3" s="29">
        <f t="shared" si="0"/>
        <v>4.1781802277668945</v>
      </c>
      <c r="U3" s="24" t="str">
        <f>IF(A3&gt;1000,P3,"")</f>
        <v/>
      </c>
      <c r="V3" s="24">
        <f>IF(A3&lt;1000,R3,"")</f>
        <v>13.712720911067567</v>
      </c>
      <c r="W3" s="24" t="str">
        <f t="shared" ref="W3:W34" si="1">IF(A3&gt;8000,R3,"")</f>
        <v/>
      </c>
      <c r="X3" t="s">
        <v>477</v>
      </c>
      <c r="AA3" s="58">
        <v>67.39807390416118</v>
      </c>
      <c r="AB3" s="24">
        <v>64.563604555337847</v>
      </c>
      <c r="AC3">
        <f>IF(AA3&lt;1000,AB3,"")</f>
        <v>64.563604555337847</v>
      </c>
      <c r="AD3" t="str">
        <f>IF(AA3&gt;1000,AB3,"")</f>
        <v/>
      </c>
      <c r="AE3" t="str">
        <f>IF(AA3&gt;8000,AB3,"")</f>
        <v/>
      </c>
      <c r="AH3" s="49" t="s">
        <v>169</v>
      </c>
      <c r="AI3" s="28">
        <v>203.226</v>
      </c>
      <c r="AJ3" s="28">
        <v>0.10686666666666667</v>
      </c>
      <c r="AK3" s="28">
        <v>12.0744701119241</v>
      </c>
      <c r="AL3" s="28">
        <v>1.1771842314565599</v>
      </c>
      <c r="AM3" s="58">
        <v>67.39807390416118</v>
      </c>
      <c r="AN3" s="24">
        <f>AK3/AL3</f>
        <v>10.25707768526941</v>
      </c>
      <c r="AO3" s="22">
        <f>(AK3/56)/(AL3/55)</f>
        <v>10.073915583746741</v>
      </c>
      <c r="AP3" s="22">
        <f t="shared" ref="AP3:AP34" si="2">(AK3/56)/(AJ3/32)</f>
        <v>64.563604555337847</v>
      </c>
      <c r="AQ3" s="22"/>
      <c r="AR3" s="22"/>
      <c r="AS3" s="374">
        <v>64.563604555337847</v>
      </c>
      <c r="AT3" t="str">
        <f t="shared" ref="AT3:AT34" si="3">IF(AM3&gt;1000,AI3,"")</f>
        <v/>
      </c>
      <c r="AU3" s="40">
        <f t="shared" ref="AU3:AU34" si="4">IF(AM3&lt;1000,AI3,"")</f>
        <v>203.226</v>
      </c>
      <c r="AV3" t="str">
        <f>IF(AM3&gt;1000,AK3,"")</f>
        <v/>
      </c>
      <c r="AW3" t="str">
        <f>IF(AM3&gt;3000,AK3,"")</f>
        <v/>
      </c>
      <c r="AX3" t="str">
        <f>IF(AM3&gt;3000,AL3,"")</f>
        <v/>
      </c>
      <c r="AY3" s="40">
        <f t="shared" ref="AY3:AY61" si="5">IF(AM3&lt;1000,AK3,"")</f>
        <v>12.0744701119241</v>
      </c>
      <c r="AZ3">
        <v>100</v>
      </c>
      <c r="BA3">
        <v>800</v>
      </c>
      <c r="BB3" s="22">
        <f>BA3/AZ3</f>
        <v>8</v>
      </c>
    </row>
    <row r="4" spans="1:55">
      <c r="A4" s="29">
        <v>120.82128078730307</v>
      </c>
      <c r="B4" s="48" t="s">
        <v>172</v>
      </c>
      <c r="C4" s="22">
        <v>0.28497777777777783</v>
      </c>
      <c r="D4" s="22">
        <v>5.4826296935321297</v>
      </c>
      <c r="E4" s="62">
        <f t="shared" ref="E4:E54" si="6">C4/32</f>
        <v>8.9055555555555572E-3</v>
      </c>
      <c r="F4" s="62">
        <f t="shared" ref="F4:F54" si="7">D4/56</f>
        <v>9.7904101670216598E-2</v>
      </c>
      <c r="G4" s="465">
        <v>0</v>
      </c>
      <c r="H4">
        <v>0.2</v>
      </c>
      <c r="I4">
        <v>0.6</v>
      </c>
      <c r="J4">
        <v>0.7</v>
      </c>
      <c r="K4">
        <v>0.8</v>
      </c>
      <c r="L4">
        <v>0.9</v>
      </c>
      <c r="M4" s="40">
        <v>0.95</v>
      </c>
      <c r="N4" s="24">
        <f t="shared" ref="N4:N35" si="8">($F4+G4/(1-G4)*$E4)/($E4/(1-G4))</f>
        <v>10.993598440822822</v>
      </c>
      <c r="O4" s="24">
        <f t="shared" ref="O4:O35" si="9">($F4+H4/(1-H4)*$E4)/($E4/(1-H4))</f>
        <v>8.9948787526582574</v>
      </c>
      <c r="P4" s="24">
        <f t="shared" ref="P4:P35" si="10">($F4+I4/(1-I4)*$E4)/($E4/(1-I4))</f>
        <v>4.9974393763291287</v>
      </c>
      <c r="Q4" s="24">
        <f t="shared" ref="Q4:Q35" si="11">($F4+J4/(1-J4)*$E4)/($E4/(1-J4))</f>
        <v>3.9980795322468472</v>
      </c>
      <c r="R4" s="24">
        <f>($F4+K4/(1-K4)*$E4)/($E4/(1-K4))</f>
        <v>2.9987196881645644</v>
      </c>
      <c r="S4" s="24">
        <f t="shared" ref="S4:S54" si="12">($F4+L4/(1-L4)*$E4)/($E4/(1-L4))</f>
        <v>1.9993598440822817</v>
      </c>
      <c r="T4" s="29">
        <f t="shared" ref="T4:T54" si="13">($F4+M4/(1-M4)*$E4)/($E4/(1-M4))</f>
        <v>1.4996799220411414</v>
      </c>
      <c r="U4" s="24" t="str">
        <f t="shared" ref="U4:U54" si="14">IF(A4&gt;1000,P4,"")</f>
        <v/>
      </c>
      <c r="V4" s="24">
        <f>IF(A4&lt;1000,R4,"")</f>
        <v>2.9987196881645644</v>
      </c>
      <c r="W4" s="24" t="str">
        <f t="shared" si="1"/>
        <v/>
      </c>
      <c r="X4" t="s">
        <v>478</v>
      </c>
      <c r="AA4" s="29">
        <v>120.82128078730307</v>
      </c>
      <c r="AB4" s="24">
        <v>10.993598440822822</v>
      </c>
      <c r="AC4">
        <f t="shared" ref="AC4:AC34" si="15">IF(AA4&lt;1000,AB4,"")</f>
        <v>10.993598440822822</v>
      </c>
      <c r="AD4" t="str">
        <f t="shared" ref="AD4:AD54" si="16">IF(AA4&gt;1000,AB4,"")</f>
        <v/>
      </c>
      <c r="AE4" t="str">
        <f t="shared" ref="AE4:AE54" si="17">IF(AA4&gt;8000,AB4,"")</f>
        <v/>
      </c>
      <c r="AH4" s="48" t="s">
        <v>172</v>
      </c>
      <c r="AI4" s="22">
        <v>166.47200000000001</v>
      </c>
      <c r="AJ4" s="22">
        <v>0.28497777777777783</v>
      </c>
      <c r="AK4" s="22">
        <v>5.4826296935321297</v>
      </c>
      <c r="AL4" s="22">
        <v>0.77835240642361303</v>
      </c>
      <c r="AM4" s="29">
        <v>120.82128078730307</v>
      </c>
      <c r="AN4" s="24">
        <f t="shared" ref="AN4:AN54" si="18">AK4/AL4</f>
        <v>7.043891235235991</v>
      </c>
      <c r="AO4" s="22">
        <f t="shared" ref="AO4:AO54" si="19">(AK4/56)/(AL4/55)</f>
        <v>6.9181074631782051</v>
      </c>
      <c r="AP4" s="22">
        <f t="shared" si="2"/>
        <v>10.993598440822822</v>
      </c>
      <c r="AQ4" s="22"/>
      <c r="AR4" s="22"/>
      <c r="AS4" s="374">
        <v>10.993598440822822</v>
      </c>
      <c r="AT4" t="str">
        <f t="shared" si="3"/>
        <v/>
      </c>
      <c r="AU4" s="40">
        <f t="shared" si="4"/>
        <v>166.47200000000001</v>
      </c>
      <c r="AV4" t="str">
        <f t="shared" ref="AV4:AV61" si="20">IF(AM4&gt;1000,AK4,"")</f>
        <v/>
      </c>
      <c r="AW4" t="str">
        <f t="shared" ref="AW4:AW61" si="21">IF(AM4&gt;3000,AK4,"")</f>
        <v/>
      </c>
      <c r="AX4" t="str">
        <f t="shared" ref="AX4:AX61" si="22">IF(AM4&gt;3000,AL4,"")</f>
        <v/>
      </c>
      <c r="AY4" s="40">
        <f t="shared" si="5"/>
        <v>5.4826296935321297</v>
      </c>
      <c r="AZ4">
        <f>AZ$3-AZ$3*BC4/100</f>
        <v>90</v>
      </c>
      <c r="BA4">
        <f>BA$3-AZ$3*BC4/100</f>
        <v>790</v>
      </c>
      <c r="BB4" s="22">
        <f>BA4/AZ4</f>
        <v>8.7777777777777786</v>
      </c>
      <c r="BC4">
        <v>10</v>
      </c>
    </row>
    <row r="5" spans="1:55">
      <c r="A5" s="58">
        <v>10.352138260080199</v>
      </c>
      <c r="B5" s="27" t="s">
        <v>174</v>
      </c>
      <c r="C5" s="22">
        <v>0.39184444444444444</v>
      </c>
      <c r="D5" s="22">
        <v>2.87694866756945</v>
      </c>
      <c r="E5" s="62">
        <f t="shared" si="6"/>
        <v>1.2245138888888889E-2</v>
      </c>
      <c r="F5" s="62">
        <f t="shared" si="7"/>
        <v>5.1374083349454466E-2</v>
      </c>
      <c r="G5" s="465">
        <v>0</v>
      </c>
      <c r="H5">
        <v>0.2</v>
      </c>
      <c r="I5">
        <v>0.6</v>
      </c>
      <c r="J5">
        <v>0.7</v>
      </c>
      <c r="K5">
        <v>0.8</v>
      </c>
      <c r="L5">
        <v>0.9</v>
      </c>
      <c r="M5" s="40">
        <v>0.95</v>
      </c>
      <c r="N5" s="24">
        <f t="shared" si="8"/>
        <v>4.1954675904959133</v>
      </c>
      <c r="O5" s="24">
        <f t="shared" si="9"/>
        <v>3.5563740723967303</v>
      </c>
      <c r="P5" s="24">
        <f t="shared" si="10"/>
        <v>2.2781870361983652</v>
      </c>
      <c r="Q5" s="24">
        <f t="shared" si="11"/>
        <v>1.9586402771487743</v>
      </c>
      <c r="R5" s="24">
        <f t="shared" ref="R5:R54" si="23">($F5+K5/(1-K5)*$E5)/($E5/(1-K5))</f>
        <v>1.6390935180991824</v>
      </c>
      <c r="S5" s="24">
        <f t="shared" si="12"/>
        <v>1.3195467590495911</v>
      </c>
      <c r="T5" s="29">
        <f t="shared" si="13"/>
        <v>1.1597733795247958</v>
      </c>
      <c r="U5" s="24" t="str">
        <f t="shared" si="14"/>
        <v/>
      </c>
      <c r="V5" s="24">
        <f>IF(A5&lt;1000,R5,"")</f>
        <v>1.6390935180991824</v>
      </c>
      <c r="W5" s="24" t="str">
        <f t="shared" si="1"/>
        <v/>
      </c>
      <c r="X5" t="s">
        <v>479</v>
      </c>
      <c r="AA5" s="58">
        <v>10.352138260080199</v>
      </c>
      <c r="AB5" s="24">
        <v>4.1954675904959133</v>
      </c>
      <c r="AC5">
        <f t="shared" si="15"/>
        <v>4.1954675904959133</v>
      </c>
      <c r="AD5" t="str">
        <f t="shared" si="16"/>
        <v/>
      </c>
      <c r="AE5" t="str">
        <f t="shared" si="17"/>
        <v/>
      </c>
      <c r="AH5" s="27" t="s">
        <v>174</v>
      </c>
      <c r="AI5" s="28">
        <v>15</v>
      </c>
      <c r="AJ5" s="28">
        <v>0.39184444444444444</v>
      </c>
      <c r="AK5" s="28">
        <v>2.87694866756945</v>
      </c>
      <c r="AL5" s="28">
        <v>0.58795062857681801</v>
      </c>
      <c r="AM5" s="58">
        <v>10.352138260080199</v>
      </c>
      <c r="AN5" s="24">
        <f t="shared" si="18"/>
        <v>4.8931806987490374</v>
      </c>
      <c r="AO5" s="22">
        <f t="shared" si="19"/>
        <v>4.805802471985662</v>
      </c>
      <c r="AP5" s="22">
        <f t="shared" si="2"/>
        <v>4.1954675904959133</v>
      </c>
      <c r="AQ5" s="22"/>
      <c r="AR5" s="22"/>
      <c r="AS5" s="374">
        <v>4.1954675904959133</v>
      </c>
      <c r="AT5" t="str">
        <f t="shared" si="3"/>
        <v/>
      </c>
      <c r="AU5" s="40">
        <f t="shared" si="4"/>
        <v>15</v>
      </c>
      <c r="AV5" t="str">
        <f t="shared" si="20"/>
        <v/>
      </c>
      <c r="AW5" t="str">
        <f t="shared" si="21"/>
        <v/>
      </c>
      <c r="AX5" t="str">
        <f t="shared" si="22"/>
        <v/>
      </c>
      <c r="AY5" s="40">
        <f t="shared" si="5"/>
        <v>2.87694866756945</v>
      </c>
      <c r="AZ5">
        <f t="shared" ref="AZ5:AZ13" si="24">AZ$3-AZ$3*BC5/100</f>
        <v>80</v>
      </c>
      <c r="BA5">
        <f t="shared" ref="BA5:BA13" si="25">BA$3-AZ$3*BC5/100</f>
        <v>780</v>
      </c>
      <c r="BB5" s="22">
        <f t="shared" ref="BB5:BB13" si="26">BA5/AZ5</f>
        <v>9.75</v>
      </c>
      <c r="BC5">
        <v>20</v>
      </c>
    </row>
    <row r="6" spans="1:55">
      <c r="A6" s="59">
        <v>563.18591952990619</v>
      </c>
      <c r="B6" t="s">
        <v>174</v>
      </c>
      <c r="C6" s="22">
        <v>0.12467777777777779</v>
      </c>
      <c r="D6" s="22">
        <v>3.24179532767866</v>
      </c>
      <c r="E6" s="62">
        <f t="shared" si="6"/>
        <v>3.8961805555555559E-3</v>
      </c>
      <c r="F6" s="62">
        <f t="shared" si="7"/>
        <v>5.7889202279976071E-2</v>
      </c>
      <c r="G6" s="465">
        <v>0</v>
      </c>
      <c r="H6">
        <v>0.2</v>
      </c>
      <c r="I6">
        <v>0.6</v>
      </c>
      <c r="J6">
        <v>0.7</v>
      </c>
      <c r="K6">
        <v>0.8</v>
      </c>
      <c r="L6">
        <v>0.9</v>
      </c>
      <c r="M6" s="40">
        <v>0.95</v>
      </c>
      <c r="N6" s="24">
        <f t="shared" si="8"/>
        <v>14.857936241540957</v>
      </c>
      <c r="O6" s="24">
        <f t="shared" si="9"/>
        <v>12.086348993232766</v>
      </c>
      <c r="P6" s="24">
        <f t="shared" si="10"/>
        <v>6.5431744966163832</v>
      </c>
      <c r="Q6" s="24">
        <f t="shared" si="11"/>
        <v>5.1573808724622872</v>
      </c>
      <c r="R6" s="24">
        <f t="shared" si="23"/>
        <v>3.7715872483081903</v>
      </c>
      <c r="S6" s="24">
        <f t="shared" si="12"/>
        <v>2.3857936241540956</v>
      </c>
      <c r="T6" s="29">
        <f t="shared" si="13"/>
        <v>1.6928968120770482</v>
      </c>
      <c r="U6" s="24" t="str">
        <f t="shared" si="14"/>
        <v/>
      </c>
      <c r="V6" s="24">
        <f>IF(A6&lt;1000,R6,"")</f>
        <v>3.7715872483081903</v>
      </c>
      <c r="W6" s="24" t="str">
        <f t="shared" si="1"/>
        <v/>
      </c>
      <c r="X6" t="s">
        <v>480</v>
      </c>
      <c r="AA6" s="59">
        <v>563.18591952990619</v>
      </c>
      <c r="AB6" s="24">
        <v>14.857936241540957</v>
      </c>
      <c r="AC6">
        <f t="shared" si="15"/>
        <v>14.857936241540957</v>
      </c>
      <c r="AD6" t="str">
        <f t="shared" si="16"/>
        <v/>
      </c>
      <c r="AE6" t="str">
        <f t="shared" si="17"/>
        <v/>
      </c>
      <c r="AH6" t="s">
        <v>375</v>
      </c>
      <c r="AI6" s="22">
        <v>26</v>
      </c>
      <c r="AJ6" s="22">
        <v>0.12467777777777779</v>
      </c>
      <c r="AK6" s="22">
        <v>3.24179532767866</v>
      </c>
      <c r="AL6" s="22">
        <v>0.61862026418945504</v>
      </c>
      <c r="AM6" s="29">
        <v>563.18591952990619</v>
      </c>
      <c r="AN6" s="24">
        <f t="shared" si="18"/>
        <v>5.2403639443111532</v>
      </c>
      <c r="AO6" s="22">
        <f t="shared" si="19"/>
        <v>5.1467860167341675</v>
      </c>
      <c r="AP6" s="22">
        <f t="shared" si="2"/>
        <v>14.857936241540957</v>
      </c>
      <c r="AQ6" s="22"/>
      <c r="AR6" s="22"/>
      <c r="AS6" s="374">
        <v>14.857936241540957</v>
      </c>
      <c r="AT6" t="str">
        <f t="shared" si="3"/>
        <v/>
      </c>
      <c r="AU6" s="40">
        <f t="shared" si="4"/>
        <v>26</v>
      </c>
      <c r="AV6" t="str">
        <f t="shared" si="20"/>
        <v/>
      </c>
      <c r="AW6" t="str">
        <f t="shared" si="21"/>
        <v/>
      </c>
      <c r="AX6" t="str">
        <f t="shared" si="22"/>
        <v/>
      </c>
      <c r="AY6" s="40">
        <f t="shared" si="5"/>
        <v>3.24179532767866</v>
      </c>
      <c r="AZ6">
        <f t="shared" si="24"/>
        <v>70</v>
      </c>
      <c r="BA6">
        <f t="shared" si="25"/>
        <v>770</v>
      </c>
      <c r="BB6" s="22">
        <f t="shared" si="26"/>
        <v>11</v>
      </c>
      <c r="BC6">
        <v>30</v>
      </c>
    </row>
    <row r="7" spans="1:55">
      <c r="A7" s="59">
        <v>4627.6082418081851</v>
      </c>
      <c r="B7" s="48" t="s">
        <v>178</v>
      </c>
      <c r="C7" s="22">
        <v>8.9055555555555554E-2</v>
      </c>
      <c r="D7" s="22">
        <v>2.9641369233805599</v>
      </c>
      <c r="E7" s="62">
        <f t="shared" si="6"/>
        <v>2.7829861111111111E-3</v>
      </c>
      <c r="F7" s="62">
        <f t="shared" si="7"/>
        <v>5.2931016488938568E-2</v>
      </c>
      <c r="G7" s="465">
        <v>0</v>
      </c>
      <c r="H7">
        <v>0.2</v>
      </c>
      <c r="I7">
        <v>0.6</v>
      </c>
      <c r="J7">
        <v>0.7</v>
      </c>
      <c r="K7">
        <v>0.8</v>
      </c>
      <c r="L7">
        <v>0.9</v>
      </c>
      <c r="M7" s="40">
        <v>0.95</v>
      </c>
      <c r="N7" s="24">
        <f t="shared" si="8"/>
        <v>19.019504365332885</v>
      </c>
      <c r="O7" s="24">
        <f t="shared" si="9"/>
        <v>15.415603492266309</v>
      </c>
      <c r="P7" s="24">
        <f t="shared" si="10"/>
        <v>8.2078017461331552</v>
      </c>
      <c r="Q7" s="24">
        <f t="shared" si="11"/>
        <v>6.4058513095998659</v>
      </c>
      <c r="R7" s="24">
        <f t="shared" si="23"/>
        <v>4.6039008730665758</v>
      </c>
      <c r="S7" s="24">
        <f t="shared" si="12"/>
        <v>2.8019504365332883</v>
      </c>
      <c r="T7" s="29">
        <f t="shared" si="13"/>
        <v>1.9009752182666451</v>
      </c>
      <c r="U7" s="24">
        <f t="shared" si="14"/>
        <v>8.2078017461331552</v>
      </c>
      <c r="V7" s="24"/>
      <c r="W7" s="24" t="str">
        <f t="shared" si="1"/>
        <v/>
      </c>
      <c r="X7" t="s">
        <v>481</v>
      </c>
      <c r="AA7" s="59">
        <v>4627.6082418081851</v>
      </c>
      <c r="AB7" s="24">
        <v>19.019504365332885</v>
      </c>
      <c r="AC7" t="str">
        <f t="shared" si="15"/>
        <v/>
      </c>
      <c r="AD7">
        <f t="shared" si="16"/>
        <v>19.019504365332885</v>
      </c>
      <c r="AE7" t="str">
        <f t="shared" si="17"/>
        <v/>
      </c>
      <c r="AH7" s="48" t="s">
        <v>178</v>
      </c>
      <c r="AI7" s="22">
        <v>23</v>
      </c>
      <c r="AJ7" s="22">
        <v>8.9055555555555554E-2</v>
      </c>
      <c r="AK7" s="22">
        <v>2.9641369233805599</v>
      </c>
      <c r="AL7" s="22">
        <v>0.196744319617042</v>
      </c>
      <c r="AM7" s="59">
        <v>4627.6082418081851</v>
      </c>
      <c r="AN7" s="24">
        <f t="shared" si="18"/>
        <v>15.065933944879221</v>
      </c>
      <c r="AO7" s="22">
        <f t="shared" si="19"/>
        <v>14.796899410149233</v>
      </c>
      <c r="AP7" s="22">
        <f t="shared" si="2"/>
        <v>19.019504365332885</v>
      </c>
      <c r="AQ7" s="22"/>
      <c r="AR7" s="22">
        <v>19.019504365332885</v>
      </c>
      <c r="AS7" s="374"/>
      <c r="AT7">
        <f t="shared" si="3"/>
        <v>23</v>
      </c>
      <c r="AU7" s="40" t="str">
        <f t="shared" si="4"/>
        <v/>
      </c>
      <c r="AV7">
        <f t="shared" si="20"/>
        <v>2.9641369233805599</v>
      </c>
      <c r="AW7">
        <f t="shared" si="21"/>
        <v>2.9641369233805599</v>
      </c>
      <c r="AX7">
        <f t="shared" si="22"/>
        <v>0.196744319617042</v>
      </c>
      <c r="AY7" s="40" t="str">
        <f t="shared" si="5"/>
        <v/>
      </c>
      <c r="AZ7">
        <f t="shared" si="24"/>
        <v>60</v>
      </c>
      <c r="BA7">
        <f t="shared" si="25"/>
        <v>760</v>
      </c>
      <c r="BB7" s="22">
        <f t="shared" si="26"/>
        <v>12.666666666666666</v>
      </c>
      <c r="BC7">
        <v>40</v>
      </c>
    </row>
    <row r="8" spans="1:55">
      <c r="A8" s="59">
        <v>4391.855486575274</v>
      </c>
      <c r="B8" t="s">
        <v>180</v>
      </c>
      <c r="C8" s="22">
        <v>7.1244444444444457E-2</v>
      </c>
      <c r="D8" s="22">
        <v>3.8366324151128102</v>
      </c>
      <c r="E8" s="62">
        <f t="shared" si="6"/>
        <v>2.2263888888888893E-3</v>
      </c>
      <c r="F8" s="62">
        <f t="shared" si="7"/>
        <v>6.8511293127014469E-2</v>
      </c>
      <c r="G8" s="465">
        <v>0</v>
      </c>
      <c r="H8">
        <v>0.2</v>
      </c>
      <c r="I8">
        <v>0.6</v>
      </c>
      <c r="J8">
        <v>0.7</v>
      </c>
      <c r="K8">
        <v>0.8</v>
      </c>
      <c r="L8">
        <v>0.9</v>
      </c>
      <c r="M8" s="40">
        <v>0.95</v>
      </c>
      <c r="N8" s="24">
        <f>($F8+G8/(1-G8)*$E8)/($E8/(1-G8))</f>
        <v>30.772383687741989</v>
      </c>
      <c r="O8" s="24">
        <f t="shared" si="9"/>
        <v>24.817906950193592</v>
      </c>
      <c r="P8" s="24">
        <f t="shared" si="10"/>
        <v>12.908953475096794</v>
      </c>
      <c r="Q8" s="24">
        <f t="shared" si="11"/>
        <v>9.9317151063225992</v>
      </c>
      <c r="R8" s="24">
        <f t="shared" si="23"/>
        <v>6.9544767375483962</v>
      </c>
      <c r="S8" s="24">
        <f t="shared" si="12"/>
        <v>3.9772383687741977</v>
      </c>
      <c r="T8" s="29">
        <f t="shared" si="13"/>
        <v>2.4886191843871006</v>
      </c>
      <c r="U8" s="24">
        <f t="shared" si="14"/>
        <v>12.908953475096794</v>
      </c>
      <c r="V8" s="24"/>
      <c r="W8" s="24" t="str">
        <f t="shared" si="1"/>
        <v/>
      </c>
      <c r="AA8" s="59">
        <v>4391.855486575274</v>
      </c>
      <c r="AB8" s="24">
        <v>30.772383687741989</v>
      </c>
      <c r="AC8" t="str">
        <f t="shared" si="15"/>
        <v/>
      </c>
      <c r="AD8">
        <f t="shared" si="16"/>
        <v>30.772383687741989</v>
      </c>
      <c r="AE8" t="str">
        <f t="shared" si="17"/>
        <v/>
      </c>
      <c r="AH8" t="s">
        <v>180</v>
      </c>
      <c r="AI8" s="22">
        <v>9</v>
      </c>
      <c r="AJ8" s="22">
        <v>7.1244444444444457E-2</v>
      </c>
      <c r="AK8" s="22">
        <v>3.8366324151128102</v>
      </c>
      <c r="AL8" s="22">
        <v>0.14980383623836399</v>
      </c>
      <c r="AM8" s="59">
        <v>4391.855486575274</v>
      </c>
      <c r="AN8" s="24">
        <f t="shared" si="18"/>
        <v>25.611042490314198</v>
      </c>
      <c r="AO8" s="22">
        <f t="shared" si="19"/>
        <v>25.153702445844303</v>
      </c>
      <c r="AP8" s="22">
        <f t="shared" si="2"/>
        <v>30.772383687741989</v>
      </c>
      <c r="AQ8" s="22"/>
      <c r="AR8" s="22">
        <v>30.772383687741989</v>
      </c>
      <c r="AS8" s="374"/>
      <c r="AT8">
        <f t="shared" si="3"/>
        <v>9</v>
      </c>
      <c r="AU8" s="40" t="str">
        <f t="shared" si="4"/>
        <v/>
      </c>
      <c r="AV8">
        <f t="shared" si="20"/>
        <v>3.8366324151128102</v>
      </c>
      <c r="AW8">
        <f t="shared" si="21"/>
        <v>3.8366324151128102</v>
      </c>
      <c r="AX8">
        <f t="shared" si="22"/>
        <v>0.14980383623836399</v>
      </c>
      <c r="AY8" s="40" t="str">
        <f t="shared" si="5"/>
        <v/>
      </c>
      <c r="AZ8">
        <f t="shared" si="24"/>
        <v>50</v>
      </c>
      <c r="BA8">
        <f t="shared" si="25"/>
        <v>750</v>
      </c>
      <c r="BB8" s="22">
        <f t="shared" si="26"/>
        <v>15</v>
      </c>
      <c r="BC8">
        <v>50</v>
      </c>
    </row>
    <row r="9" spans="1:55">
      <c r="A9" s="59">
        <v>10445.299637632412</v>
      </c>
      <c r="B9" s="48" t="s">
        <v>182</v>
      </c>
      <c r="C9" s="22">
        <v>3.5622222222222229E-2</v>
      </c>
      <c r="D9" s="22">
        <v>1.1262627950833</v>
      </c>
      <c r="E9" s="62">
        <f t="shared" si="6"/>
        <v>1.1131944444444446E-3</v>
      </c>
      <c r="F9" s="62">
        <f t="shared" si="7"/>
        <v>2.0111835626487499E-2</v>
      </c>
      <c r="G9" s="465">
        <v>0</v>
      </c>
      <c r="H9">
        <v>0.2</v>
      </c>
      <c r="I9">
        <v>0.6</v>
      </c>
      <c r="J9">
        <v>0.7</v>
      </c>
      <c r="K9">
        <v>0.8</v>
      </c>
      <c r="L9">
        <v>0.9</v>
      </c>
      <c r="M9" s="40">
        <v>0.95</v>
      </c>
      <c r="N9" s="24">
        <f t="shared" si="8"/>
        <v>18.066776857231435</v>
      </c>
      <c r="O9" s="24">
        <f t="shared" si="9"/>
        <v>14.653421485785151</v>
      </c>
      <c r="P9" s="24">
        <f t="shared" si="10"/>
        <v>7.8267107428925753</v>
      </c>
      <c r="Q9" s="24">
        <f t="shared" si="11"/>
        <v>6.1200330571694312</v>
      </c>
      <c r="R9" s="24">
        <f t="shared" si="23"/>
        <v>4.4133553714462863</v>
      </c>
      <c r="S9" s="24">
        <f t="shared" si="12"/>
        <v>2.7066776857231432</v>
      </c>
      <c r="T9" s="29">
        <f t="shared" si="13"/>
        <v>1.8533388428615725</v>
      </c>
      <c r="U9" s="24">
        <f t="shared" si="14"/>
        <v>7.8267107428925753</v>
      </c>
      <c r="V9" s="24" t="str">
        <f t="shared" ref="V9:V54" si="27">IF(A9&lt;1000,R9,"")</f>
        <v/>
      </c>
      <c r="W9" s="24">
        <f t="shared" si="1"/>
        <v>4.4133553714462863</v>
      </c>
      <c r="AA9" s="59">
        <v>10445.299637632412</v>
      </c>
      <c r="AB9" s="24">
        <v>18.066776857231435</v>
      </c>
      <c r="AC9" t="str">
        <f t="shared" si="15"/>
        <v/>
      </c>
      <c r="AD9">
        <f t="shared" si="16"/>
        <v>18.066776857231435</v>
      </c>
      <c r="AE9">
        <f t="shared" si="17"/>
        <v>18.066776857231435</v>
      </c>
      <c r="AH9" s="48" t="s">
        <v>182</v>
      </c>
      <c r="AI9" s="22">
        <v>0</v>
      </c>
      <c r="AJ9" s="22">
        <v>3.5622222222222229E-2</v>
      </c>
      <c r="AK9" s="22">
        <v>1.1262627950833</v>
      </c>
      <c r="AL9" s="22">
        <v>0.39475386461465001</v>
      </c>
      <c r="AM9" s="59">
        <v>10445.299637632412</v>
      </c>
      <c r="AN9" s="24">
        <f>AK9/AL9</f>
        <v>2.8530760457094773</v>
      </c>
      <c r="AO9" s="22">
        <f t="shared" si="19"/>
        <v>2.8021282591789505</v>
      </c>
      <c r="AP9" s="22">
        <f t="shared" si="2"/>
        <v>18.066776857231435</v>
      </c>
      <c r="AQ9" s="22">
        <v>18.066776857231435</v>
      </c>
      <c r="AR9" s="22">
        <v>18.066776857231435</v>
      </c>
      <c r="AS9" s="374"/>
      <c r="AT9">
        <f t="shared" si="3"/>
        <v>0</v>
      </c>
      <c r="AU9" s="40" t="str">
        <f t="shared" si="4"/>
        <v/>
      </c>
      <c r="AV9">
        <f t="shared" si="20"/>
        <v>1.1262627950833</v>
      </c>
      <c r="AW9">
        <f t="shared" si="21"/>
        <v>1.1262627950833</v>
      </c>
      <c r="AX9">
        <f t="shared" si="22"/>
        <v>0.39475386461465001</v>
      </c>
      <c r="AY9" s="40" t="str">
        <f t="shared" si="5"/>
        <v/>
      </c>
      <c r="AZ9">
        <f t="shared" si="24"/>
        <v>40</v>
      </c>
      <c r="BA9">
        <f t="shared" si="25"/>
        <v>740</v>
      </c>
      <c r="BB9" s="22">
        <f t="shared" si="26"/>
        <v>18.5</v>
      </c>
      <c r="BC9">
        <v>60</v>
      </c>
    </row>
    <row r="10" spans="1:55">
      <c r="A10" s="59">
        <v>8517.7206461662863</v>
      </c>
      <c r="B10" s="48" t="s">
        <v>184</v>
      </c>
      <c r="C10" s="22">
        <v>0.30278888888888889</v>
      </c>
      <c r="D10" s="22">
        <v>1.12915831935543</v>
      </c>
      <c r="E10" s="62">
        <f t="shared" si="6"/>
        <v>9.4621527777777777E-3</v>
      </c>
      <c r="F10" s="62">
        <f t="shared" si="7"/>
        <v>2.016354141706125E-2</v>
      </c>
      <c r="G10" s="465">
        <v>0</v>
      </c>
      <c r="H10">
        <v>0.2</v>
      </c>
      <c r="I10">
        <v>0.6</v>
      </c>
      <c r="J10">
        <v>0.7</v>
      </c>
      <c r="K10">
        <v>0.8</v>
      </c>
      <c r="L10">
        <v>0.9</v>
      </c>
      <c r="M10" s="40">
        <v>0.95</v>
      </c>
      <c r="N10" s="24">
        <f t="shared" si="8"/>
        <v>2.1309676445318115</v>
      </c>
      <c r="O10" s="24">
        <f t="shared" si="9"/>
        <v>1.9047741156254494</v>
      </c>
      <c r="P10" s="24">
        <f t="shared" si="10"/>
        <v>1.4523870578127247</v>
      </c>
      <c r="Q10" s="24">
        <f t="shared" si="11"/>
        <v>1.3392902933595436</v>
      </c>
      <c r="R10" s="24">
        <f t="shared" si="23"/>
        <v>1.2261935289063621</v>
      </c>
      <c r="S10" s="24">
        <f t="shared" si="12"/>
        <v>1.1130967644531811</v>
      </c>
      <c r="T10" s="29">
        <f t="shared" si="13"/>
        <v>1.0565483822265906</v>
      </c>
      <c r="U10" s="24">
        <f t="shared" si="14"/>
        <v>1.4523870578127247</v>
      </c>
      <c r="V10" s="24" t="str">
        <f t="shared" si="27"/>
        <v/>
      </c>
      <c r="W10" s="24">
        <f t="shared" si="1"/>
        <v>1.2261935289063621</v>
      </c>
      <c r="AA10" s="59">
        <v>8517.7206461662863</v>
      </c>
      <c r="AB10" s="24">
        <v>2.1309676445318115</v>
      </c>
      <c r="AC10" t="str">
        <f t="shared" si="15"/>
        <v/>
      </c>
      <c r="AD10">
        <f t="shared" si="16"/>
        <v>2.1309676445318115</v>
      </c>
      <c r="AE10">
        <f t="shared" si="17"/>
        <v>2.1309676445318115</v>
      </c>
      <c r="AH10" s="48" t="s">
        <v>184</v>
      </c>
      <c r="AI10" s="22">
        <v>1</v>
      </c>
      <c r="AJ10" s="22">
        <v>0.30278888888888889</v>
      </c>
      <c r="AK10" s="22">
        <v>1.12915831935543</v>
      </c>
      <c r="AL10" s="22">
        <v>0.44477020295779102</v>
      </c>
      <c r="AM10" s="59">
        <v>8517.7206461662863</v>
      </c>
      <c r="AN10" s="24">
        <f t="shared" si="18"/>
        <v>2.5387454281926973</v>
      </c>
      <c r="AO10" s="22">
        <f t="shared" si="19"/>
        <v>2.4934106884035421</v>
      </c>
      <c r="AP10" s="22">
        <f t="shared" si="2"/>
        <v>2.1309676445318115</v>
      </c>
      <c r="AQ10" s="22">
        <v>2.1309676445318115</v>
      </c>
      <c r="AR10" s="22">
        <v>2.1309676445318115</v>
      </c>
      <c r="AS10" s="374"/>
      <c r="AT10">
        <f t="shared" si="3"/>
        <v>1</v>
      </c>
      <c r="AU10" s="40" t="str">
        <f t="shared" si="4"/>
        <v/>
      </c>
      <c r="AV10">
        <f t="shared" si="20"/>
        <v>1.12915831935543</v>
      </c>
      <c r="AW10">
        <f t="shared" si="21"/>
        <v>1.12915831935543</v>
      </c>
      <c r="AX10">
        <f t="shared" si="22"/>
        <v>0.44477020295779102</v>
      </c>
      <c r="AY10" s="40" t="str">
        <f t="shared" si="5"/>
        <v/>
      </c>
      <c r="AZ10">
        <f t="shared" si="24"/>
        <v>30</v>
      </c>
      <c r="BA10">
        <f t="shared" si="25"/>
        <v>730</v>
      </c>
      <c r="BB10" s="22">
        <f t="shared" si="26"/>
        <v>24.333333333333332</v>
      </c>
      <c r="BC10">
        <v>70</v>
      </c>
    </row>
    <row r="11" spans="1:55">
      <c r="A11" s="59">
        <v>6072.2362002911341</v>
      </c>
      <c r="B11" s="48" t="s">
        <v>186</v>
      </c>
      <c r="C11" s="22">
        <v>6.4476222222222228</v>
      </c>
      <c r="D11" s="22">
        <v>0.156013410008567</v>
      </c>
      <c r="E11" s="62">
        <f t="shared" si="6"/>
        <v>0.20148819444444446</v>
      </c>
      <c r="F11" s="62">
        <f t="shared" si="7"/>
        <v>2.7859537501529821E-3</v>
      </c>
      <c r="G11" s="465">
        <v>0</v>
      </c>
      <c r="H11">
        <v>0.2</v>
      </c>
      <c r="I11">
        <v>0.6</v>
      </c>
      <c r="J11">
        <v>0.7</v>
      </c>
      <c r="K11">
        <v>0.8</v>
      </c>
      <c r="L11">
        <v>0.9</v>
      </c>
      <c r="M11" s="40">
        <v>0.95</v>
      </c>
      <c r="N11" s="24">
        <f t="shared" si="8"/>
        <v>1.3826883296237696E-2</v>
      </c>
      <c r="O11" s="24">
        <f t="shared" si="9"/>
        <v>0.21106150663699019</v>
      </c>
      <c r="P11" s="24">
        <f t="shared" si="10"/>
        <v>0.60553075331849515</v>
      </c>
      <c r="Q11" s="24">
        <f t="shared" si="11"/>
        <v>0.70414806498887139</v>
      </c>
      <c r="R11" s="24">
        <f t="shared" si="23"/>
        <v>0.80276537665924752</v>
      </c>
      <c r="S11" s="24">
        <f t="shared" si="12"/>
        <v>0.90138268832962365</v>
      </c>
      <c r="T11" s="29">
        <f t="shared" si="13"/>
        <v>0.95069134416481171</v>
      </c>
      <c r="U11" s="24">
        <f t="shared" si="14"/>
        <v>0.60553075331849515</v>
      </c>
      <c r="V11" s="24" t="str">
        <f t="shared" si="27"/>
        <v/>
      </c>
      <c r="W11" s="24" t="str">
        <f t="shared" si="1"/>
        <v/>
      </c>
      <c r="AA11" s="59">
        <v>6072.2362002911341</v>
      </c>
      <c r="AB11" s="24">
        <v>1.3826883296237696E-2</v>
      </c>
      <c r="AC11" t="str">
        <f t="shared" si="15"/>
        <v/>
      </c>
      <c r="AD11">
        <f t="shared" si="16"/>
        <v>1.3826883296237696E-2</v>
      </c>
      <c r="AE11" t="str">
        <f t="shared" si="17"/>
        <v/>
      </c>
      <c r="AH11" s="48" t="s">
        <v>186</v>
      </c>
      <c r="AI11" s="22">
        <v>9</v>
      </c>
      <c r="AJ11" s="22">
        <v>6.4476222222222228</v>
      </c>
      <c r="AK11" s="22">
        <v>0.156013410008567</v>
      </c>
      <c r="AL11" s="22">
        <v>0.46739132789608401</v>
      </c>
      <c r="AM11" s="59">
        <v>6072.2362002911341</v>
      </c>
      <c r="AN11" s="24">
        <f t="shared" si="18"/>
        <v>0.33379611622416272</v>
      </c>
      <c r="AO11" s="22">
        <f>(AK11/56)/(AL11/55)</f>
        <v>0.32783547129158841</v>
      </c>
      <c r="AP11" s="22">
        <f t="shared" si="2"/>
        <v>1.3826883296237696E-2</v>
      </c>
      <c r="AQ11" s="22">
        <v>1.3826883296237696E-2</v>
      </c>
      <c r="AR11" s="22">
        <v>1.3826883296237696E-2</v>
      </c>
      <c r="AS11" s="374"/>
      <c r="AT11">
        <f t="shared" si="3"/>
        <v>9</v>
      </c>
      <c r="AU11" s="40" t="str">
        <f t="shared" si="4"/>
        <v/>
      </c>
      <c r="AV11">
        <f t="shared" si="20"/>
        <v>0.156013410008567</v>
      </c>
      <c r="AW11">
        <f t="shared" si="21"/>
        <v>0.156013410008567</v>
      </c>
      <c r="AX11">
        <f t="shared" si="22"/>
        <v>0.46739132789608401</v>
      </c>
      <c r="AY11" s="40" t="str">
        <f t="shared" si="5"/>
        <v/>
      </c>
      <c r="AZ11">
        <f t="shared" si="24"/>
        <v>20</v>
      </c>
      <c r="BA11">
        <f t="shared" si="25"/>
        <v>720</v>
      </c>
      <c r="BB11" s="22">
        <f t="shared" si="26"/>
        <v>36</v>
      </c>
      <c r="BC11">
        <v>80</v>
      </c>
    </row>
    <row r="12" spans="1:55">
      <c r="A12" s="59">
        <v>6823.0379880820947</v>
      </c>
      <c r="B12" t="s">
        <v>188</v>
      </c>
      <c r="C12" s="22">
        <v>7.1244444444444457E-2</v>
      </c>
      <c r="D12" s="22">
        <v>5.0502472914271399</v>
      </c>
      <c r="E12" s="62">
        <f t="shared" si="6"/>
        <v>2.2263888888888893E-3</v>
      </c>
      <c r="F12" s="62">
        <f t="shared" si="7"/>
        <v>9.0182987346913213E-2</v>
      </c>
      <c r="G12" s="465">
        <v>0</v>
      </c>
      <c r="H12">
        <v>0.2</v>
      </c>
      <c r="I12">
        <v>0.6</v>
      </c>
      <c r="J12">
        <v>0.7</v>
      </c>
      <c r="K12">
        <v>0.8</v>
      </c>
      <c r="L12">
        <v>0.9</v>
      </c>
      <c r="M12" s="40">
        <v>0.95</v>
      </c>
      <c r="N12" s="24">
        <f t="shared" si="8"/>
        <v>40.506394815831257</v>
      </c>
      <c r="O12" s="24">
        <f t="shared" si="9"/>
        <v>32.605115852665001</v>
      </c>
      <c r="P12" s="24">
        <f t="shared" si="10"/>
        <v>16.802557926332504</v>
      </c>
      <c r="Q12" s="24">
        <f t="shared" si="11"/>
        <v>12.851918444749378</v>
      </c>
      <c r="R12" s="24">
        <f t="shared" si="23"/>
        <v>8.9012789631662486</v>
      </c>
      <c r="S12" s="24">
        <f t="shared" si="12"/>
        <v>4.9506394815831243</v>
      </c>
      <c r="T12" s="29">
        <f t="shared" si="13"/>
        <v>2.9753197407915639</v>
      </c>
      <c r="U12" s="24">
        <f t="shared" si="14"/>
        <v>16.802557926332504</v>
      </c>
      <c r="V12" s="24" t="str">
        <f t="shared" si="27"/>
        <v/>
      </c>
      <c r="W12" s="24" t="str">
        <f t="shared" si="1"/>
        <v/>
      </c>
      <c r="AA12" s="59">
        <v>6823.0379880820947</v>
      </c>
      <c r="AB12" s="24">
        <v>40.506394815831257</v>
      </c>
      <c r="AC12" t="str">
        <f t="shared" si="15"/>
        <v/>
      </c>
      <c r="AD12">
        <f t="shared" si="16"/>
        <v>40.506394815831257</v>
      </c>
      <c r="AE12" t="str">
        <f t="shared" si="17"/>
        <v/>
      </c>
      <c r="AH12" t="s">
        <v>188</v>
      </c>
      <c r="AI12" s="22">
        <v>2</v>
      </c>
      <c r="AJ12" s="22">
        <v>7.1244444444444457E-2</v>
      </c>
      <c r="AK12" s="22">
        <v>5.0502472914271399</v>
      </c>
      <c r="AL12" s="22">
        <v>0.43748106040795198</v>
      </c>
      <c r="AM12" s="59">
        <v>6823.0379880820947</v>
      </c>
      <c r="AN12" s="24">
        <f t="shared" si="18"/>
        <v>11.543922122520627</v>
      </c>
      <c r="AO12" s="22">
        <f t="shared" si="19"/>
        <v>11.337780656047045</v>
      </c>
      <c r="AP12" s="22">
        <f t="shared" si="2"/>
        <v>40.506394815831257</v>
      </c>
      <c r="AQ12" s="22">
        <v>40.506394815831257</v>
      </c>
      <c r="AR12" s="22">
        <v>40.506394815831257</v>
      </c>
      <c r="AS12" s="374"/>
      <c r="AT12">
        <f t="shared" si="3"/>
        <v>2</v>
      </c>
      <c r="AU12" s="40" t="str">
        <f t="shared" si="4"/>
        <v/>
      </c>
      <c r="AV12">
        <f t="shared" si="20"/>
        <v>5.0502472914271399</v>
      </c>
      <c r="AW12">
        <f t="shared" si="21"/>
        <v>5.0502472914271399</v>
      </c>
      <c r="AX12">
        <f t="shared" si="22"/>
        <v>0.43748106040795198</v>
      </c>
      <c r="AY12" s="40" t="str">
        <f t="shared" si="5"/>
        <v/>
      </c>
      <c r="AZ12">
        <f t="shared" si="24"/>
        <v>10</v>
      </c>
      <c r="BA12">
        <f t="shared" si="25"/>
        <v>710</v>
      </c>
      <c r="BB12" s="22">
        <f t="shared" si="26"/>
        <v>71</v>
      </c>
      <c r="BC12">
        <v>90</v>
      </c>
    </row>
    <row r="13" spans="1:55">
      <c r="A13" s="59">
        <v>3363.7875359597292</v>
      </c>
      <c r="B13" s="48" t="s">
        <v>190</v>
      </c>
      <c r="C13" s="22">
        <v>9.4755111111111106</v>
      </c>
      <c r="D13" s="22">
        <v>4.0728365462998503E-2</v>
      </c>
      <c r="E13" s="62">
        <f t="shared" si="6"/>
        <v>0.2961097222222222</v>
      </c>
      <c r="F13" s="62">
        <f t="shared" si="7"/>
        <v>7.272922404106876E-4</v>
      </c>
      <c r="G13" s="465">
        <v>0</v>
      </c>
      <c r="H13">
        <v>0.2</v>
      </c>
      <c r="I13">
        <v>0.6</v>
      </c>
      <c r="J13">
        <v>0.7</v>
      </c>
      <c r="K13">
        <v>0.8</v>
      </c>
      <c r="L13">
        <v>0.9</v>
      </c>
      <c r="M13" s="40">
        <v>0.95</v>
      </c>
      <c r="N13" s="24">
        <f t="shared" si="8"/>
        <v>2.4561579233284168E-3</v>
      </c>
      <c r="O13" s="24">
        <f t="shared" si="9"/>
        <v>0.20196492633866273</v>
      </c>
      <c r="P13" s="24">
        <f t="shared" si="10"/>
        <v>0.60098246316933124</v>
      </c>
      <c r="Q13" s="24">
        <f t="shared" si="11"/>
        <v>0.7007368473769986</v>
      </c>
      <c r="R13" s="24">
        <f t="shared" si="23"/>
        <v>0.80049123158466573</v>
      </c>
      <c r="S13" s="24">
        <f t="shared" si="12"/>
        <v>0.90024561579233298</v>
      </c>
      <c r="T13" s="29">
        <f t="shared" si="13"/>
        <v>0.95012280789616643</v>
      </c>
      <c r="U13" s="24">
        <f t="shared" si="14"/>
        <v>0.60098246316933124</v>
      </c>
      <c r="V13" s="24" t="str">
        <f t="shared" si="27"/>
        <v/>
      </c>
      <c r="W13" s="24" t="str">
        <f t="shared" si="1"/>
        <v/>
      </c>
      <c r="AA13" s="59">
        <v>3363.7875359597292</v>
      </c>
      <c r="AB13" s="24">
        <v>2.4561579233284168E-3</v>
      </c>
      <c r="AC13" t="str">
        <f t="shared" si="15"/>
        <v/>
      </c>
      <c r="AD13">
        <f t="shared" si="16"/>
        <v>2.4561579233284168E-3</v>
      </c>
      <c r="AE13" t="str">
        <f t="shared" si="17"/>
        <v/>
      </c>
      <c r="AH13" s="48" t="s">
        <v>190</v>
      </c>
      <c r="AI13" s="22">
        <v>5</v>
      </c>
      <c r="AJ13" s="22">
        <v>9.4755111111111106</v>
      </c>
      <c r="AK13" s="22">
        <v>4.0728365462998503E-2</v>
      </c>
      <c r="AL13" s="22">
        <v>0.67691496817247698</v>
      </c>
      <c r="AM13" s="59">
        <v>3363.7875359597292</v>
      </c>
      <c r="AN13" s="24">
        <f t="shared" si="18"/>
        <v>6.0167624262994539E-2</v>
      </c>
      <c r="AO13" s="22">
        <f t="shared" si="19"/>
        <v>5.9093202401155356E-2</v>
      </c>
      <c r="AP13" s="22">
        <f t="shared" si="2"/>
        <v>2.4561579233284168E-3</v>
      </c>
      <c r="AQ13" s="22"/>
      <c r="AR13" s="22">
        <v>2.4561579233284168E-3</v>
      </c>
      <c r="AS13" s="374"/>
      <c r="AT13">
        <f t="shared" si="3"/>
        <v>5</v>
      </c>
      <c r="AU13" s="40" t="str">
        <f t="shared" si="4"/>
        <v/>
      </c>
      <c r="AV13">
        <f t="shared" si="20"/>
        <v>4.0728365462998503E-2</v>
      </c>
      <c r="AW13">
        <f t="shared" si="21"/>
        <v>4.0728365462998503E-2</v>
      </c>
      <c r="AX13">
        <f t="shared" si="22"/>
        <v>0.67691496817247698</v>
      </c>
      <c r="AY13" s="40" t="str">
        <f t="shared" si="5"/>
        <v/>
      </c>
      <c r="AZ13">
        <f t="shared" si="24"/>
        <v>1</v>
      </c>
      <c r="BA13">
        <f t="shared" si="25"/>
        <v>701</v>
      </c>
      <c r="BB13" s="22">
        <f t="shared" si="26"/>
        <v>701</v>
      </c>
      <c r="BC13">
        <v>99</v>
      </c>
    </row>
    <row r="14" spans="1:55">
      <c r="A14" s="59">
        <v>999.98649397170402</v>
      </c>
      <c r="B14" t="s">
        <v>193</v>
      </c>
      <c r="C14" s="22">
        <v>20.518399999999996</v>
      </c>
      <c r="D14" s="22">
        <v>9.9684669011121899E-2</v>
      </c>
      <c r="E14" s="62">
        <f t="shared" si="6"/>
        <v>0.64119999999999988</v>
      </c>
      <c r="F14" s="62">
        <f t="shared" si="7"/>
        <v>1.7800833751986053E-3</v>
      </c>
      <c r="G14" s="465">
        <v>0</v>
      </c>
      <c r="H14">
        <v>0.2</v>
      </c>
      <c r="I14">
        <v>0.6</v>
      </c>
      <c r="J14">
        <v>0.7</v>
      </c>
      <c r="K14">
        <v>0.8</v>
      </c>
      <c r="L14">
        <v>0.9</v>
      </c>
      <c r="M14" s="40">
        <v>0.95</v>
      </c>
      <c r="N14" s="24">
        <f t="shared" si="8"/>
        <v>2.7761749457245878E-3</v>
      </c>
      <c r="O14" s="24">
        <f t="shared" si="9"/>
        <v>0.20222093995657969</v>
      </c>
      <c r="P14" s="24">
        <f t="shared" si="10"/>
        <v>0.60111046997828976</v>
      </c>
      <c r="Q14" s="24">
        <f t="shared" si="11"/>
        <v>0.70083285248371752</v>
      </c>
      <c r="R14" s="24">
        <f t="shared" si="23"/>
        <v>0.80055523498914483</v>
      </c>
      <c r="S14" s="24">
        <f t="shared" si="12"/>
        <v>0.90027761749457247</v>
      </c>
      <c r="T14" s="29">
        <f t="shared" si="13"/>
        <v>0.95013880874728618</v>
      </c>
      <c r="U14" s="24" t="str">
        <f t="shared" si="14"/>
        <v/>
      </c>
      <c r="V14" s="24">
        <f t="shared" si="27"/>
        <v>0.80055523498914483</v>
      </c>
      <c r="W14" s="24" t="str">
        <f t="shared" si="1"/>
        <v/>
      </c>
      <c r="AA14" s="59">
        <v>999.98649397170402</v>
      </c>
      <c r="AB14" s="24">
        <v>2.7761749457245878E-3</v>
      </c>
      <c r="AC14">
        <f t="shared" si="15"/>
        <v>2.7761749457245878E-3</v>
      </c>
      <c r="AD14" t="str">
        <f t="shared" si="16"/>
        <v/>
      </c>
      <c r="AE14" t="str">
        <f t="shared" si="17"/>
        <v/>
      </c>
      <c r="AH14" t="s">
        <v>193</v>
      </c>
      <c r="AI14" s="22">
        <v>120</v>
      </c>
      <c r="AJ14" s="22">
        <v>20.518399999999996</v>
      </c>
      <c r="AK14" s="22">
        <v>9.9684669011121899E-2</v>
      </c>
      <c r="AL14" s="22">
        <v>0.89554027608513298</v>
      </c>
      <c r="AM14" s="59">
        <v>999.98649397170402</v>
      </c>
      <c r="AN14" s="24">
        <f t="shared" si="18"/>
        <v>0.1113123236030152</v>
      </c>
      <c r="AO14" s="22">
        <f t="shared" si="19"/>
        <v>0.10932460353867562</v>
      </c>
      <c r="AP14" s="22">
        <f t="shared" si="2"/>
        <v>2.7761749457245878E-3</v>
      </c>
      <c r="AQ14" s="22"/>
      <c r="AR14" s="22">
        <v>2.7761749457245878E-3</v>
      </c>
      <c r="AS14" s="374"/>
      <c r="AT14" t="str">
        <f t="shared" si="3"/>
        <v/>
      </c>
      <c r="AU14" s="40">
        <f t="shared" si="4"/>
        <v>120</v>
      </c>
      <c r="AV14" t="str">
        <f t="shared" si="20"/>
        <v/>
      </c>
      <c r="AW14" t="str">
        <f t="shared" si="21"/>
        <v/>
      </c>
      <c r="AX14" t="str">
        <f t="shared" si="22"/>
        <v/>
      </c>
      <c r="AY14" s="40">
        <f t="shared" si="5"/>
        <v>9.9684669011121899E-2</v>
      </c>
    </row>
    <row r="15" spans="1:55">
      <c r="A15" s="29">
        <v>57.927176990748904</v>
      </c>
      <c r="B15" t="s">
        <v>195</v>
      </c>
      <c r="C15" s="22">
        <v>0.83712222222222221</v>
      </c>
      <c r="D15" s="22">
        <v>3.9949253808153902</v>
      </c>
      <c r="E15" s="62">
        <f t="shared" si="6"/>
        <v>2.6160069444444444E-2</v>
      </c>
      <c r="F15" s="62">
        <f t="shared" si="7"/>
        <v>7.1337953228846257E-2</v>
      </c>
      <c r="G15" s="465">
        <v>0</v>
      </c>
      <c r="H15">
        <v>0.2</v>
      </c>
      <c r="I15">
        <v>0.6</v>
      </c>
      <c r="J15">
        <v>0.7</v>
      </c>
      <c r="K15">
        <v>0.8</v>
      </c>
      <c r="L15">
        <v>0.9</v>
      </c>
      <c r="M15" s="40">
        <v>0.95</v>
      </c>
      <c r="N15" s="24">
        <f t="shared" si="8"/>
        <v>2.7269787406468886</v>
      </c>
      <c r="O15" s="24">
        <f t="shared" si="9"/>
        <v>2.3815829925175107</v>
      </c>
      <c r="P15" s="24">
        <f t="shared" si="10"/>
        <v>1.6907914962587551</v>
      </c>
      <c r="Q15" s="24">
        <f t="shared" si="11"/>
        <v>1.5180936221940666</v>
      </c>
      <c r="R15" s="24">
        <f t="shared" si="23"/>
        <v>1.3453957481293777</v>
      </c>
      <c r="S15" s="24">
        <f t="shared" si="12"/>
        <v>1.1726978740646887</v>
      </c>
      <c r="T15" s="29">
        <f t="shared" si="13"/>
        <v>1.0863489370323445</v>
      </c>
      <c r="U15" s="24" t="str">
        <f t="shared" si="14"/>
        <v/>
      </c>
      <c r="V15" s="24">
        <f t="shared" si="27"/>
        <v>1.3453957481293777</v>
      </c>
      <c r="W15" s="24" t="str">
        <f t="shared" si="1"/>
        <v/>
      </c>
      <c r="AA15" s="29">
        <v>57.927176990748904</v>
      </c>
      <c r="AB15" s="24">
        <v>2.7269787406468886</v>
      </c>
      <c r="AC15">
        <f t="shared" si="15"/>
        <v>2.7269787406468886</v>
      </c>
      <c r="AD15" t="str">
        <f t="shared" si="16"/>
        <v/>
      </c>
      <c r="AE15" t="str">
        <f t="shared" si="17"/>
        <v/>
      </c>
      <c r="AH15" t="s">
        <v>195</v>
      </c>
      <c r="AI15" s="22">
        <v>123</v>
      </c>
      <c r="AJ15" s="22">
        <v>0.83712222222222221</v>
      </c>
      <c r="AK15" s="22">
        <v>3.9949253808153902</v>
      </c>
      <c r="AL15" s="22">
        <v>3.0511156297776999E-2</v>
      </c>
      <c r="AM15" s="29">
        <v>57.927176990748904</v>
      </c>
      <c r="AN15" s="24">
        <f t="shared" si="18"/>
        <v>130.93326722286349</v>
      </c>
      <c r="AO15" s="22">
        <f>(AK15/56)/(AL15/55)</f>
        <v>128.59517316531239</v>
      </c>
      <c r="AP15" s="22">
        <f t="shared" si="2"/>
        <v>2.7269787406468886</v>
      </c>
      <c r="AQ15" s="22"/>
      <c r="AR15" s="22"/>
      <c r="AS15" s="374">
        <v>2.7269787406468886</v>
      </c>
      <c r="AT15" t="str">
        <f t="shared" si="3"/>
        <v/>
      </c>
      <c r="AU15" s="40">
        <f t="shared" si="4"/>
        <v>123</v>
      </c>
      <c r="AV15" t="str">
        <f t="shared" si="20"/>
        <v/>
      </c>
      <c r="AW15" t="str">
        <f t="shared" si="21"/>
        <v/>
      </c>
      <c r="AX15" t="str">
        <f t="shared" si="22"/>
        <v/>
      </c>
      <c r="AY15" s="40">
        <f t="shared" si="5"/>
        <v>3.9949253808153902</v>
      </c>
    </row>
    <row r="16" spans="1:55">
      <c r="A16" s="29">
        <v>17.087316174681867</v>
      </c>
      <c r="B16" t="s">
        <v>197</v>
      </c>
      <c r="C16" s="22">
        <v>5.3433333333333333E-2</v>
      </c>
      <c r="D16" s="22">
        <v>2.3019177945171601</v>
      </c>
      <c r="E16" s="62">
        <f t="shared" si="6"/>
        <v>1.6697916666666666E-3</v>
      </c>
      <c r="F16" s="62">
        <f t="shared" si="7"/>
        <v>4.1105674902092146E-2</v>
      </c>
      <c r="G16" s="465">
        <v>0</v>
      </c>
      <c r="H16">
        <v>0.2</v>
      </c>
      <c r="I16">
        <v>0.6</v>
      </c>
      <c r="J16">
        <v>0.7</v>
      </c>
      <c r="K16">
        <v>0.8</v>
      </c>
      <c r="L16">
        <v>0.9</v>
      </c>
      <c r="M16" s="40">
        <v>0.95</v>
      </c>
      <c r="N16" s="24">
        <f t="shared" si="8"/>
        <v>24.617247602001534</v>
      </c>
      <c r="O16" s="24">
        <f t="shared" si="9"/>
        <v>19.893798081601229</v>
      </c>
      <c r="P16" s="24">
        <f t="shared" si="10"/>
        <v>10.446899040800613</v>
      </c>
      <c r="Q16" s="24">
        <f t="shared" si="11"/>
        <v>8.0851742806004605</v>
      </c>
      <c r="R16" s="24">
        <f t="shared" si="23"/>
        <v>5.7234495204003055</v>
      </c>
      <c r="S16" s="24">
        <f t="shared" si="12"/>
        <v>3.3617247602001532</v>
      </c>
      <c r="T16" s="29">
        <f t="shared" si="13"/>
        <v>2.1808623801000775</v>
      </c>
      <c r="U16" s="24" t="str">
        <f t="shared" si="14"/>
        <v/>
      </c>
      <c r="V16" s="24">
        <f t="shared" si="27"/>
        <v>5.7234495204003055</v>
      </c>
      <c r="W16" s="24" t="str">
        <f t="shared" si="1"/>
        <v/>
      </c>
      <c r="AA16" s="29">
        <v>17.087316174681867</v>
      </c>
      <c r="AB16" s="24">
        <v>24.617247602001534</v>
      </c>
      <c r="AC16">
        <f t="shared" si="15"/>
        <v>24.617247602001534</v>
      </c>
      <c r="AD16" t="str">
        <f t="shared" si="16"/>
        <v/>
      </c>
      <c r="AE16" t="str">
        <f t="shared" si="17"/>
        <v/>
      </c>
      <c r="AH16" t="s">
        <v>197</v>
      </c>
      <c r="AI16" s="22">
        <v>124</v>
      </c>
      <c r="AJ16" s="22">
        <v>5.3433333333333333E-2</v>
      </c>
      <c r="AK16" s="22">
        <v>2.3019177945171601</v>
      </c>
      <c r="AL16" s="22">
        <v>0.69876607110616695</v>
      </c>
      <c r="AM16" s="29">
        <v>17.087316174681867</v>
      </c>
      <c r="AN16" s="24">
        <f t="shared" si="18"/>
        <v>3.2942609690152205</v>
      </c>
      <c r="AO16" s="22">
        <f t="shared" si="19"/>
        <v>3.2354348802828059</v>
      </c>
      <c r="AP16" s="22">
        <f t="shared" si="2"/>
        <v>24.617247602001534</v>
      </c>
      <c r="AQ16" s="22"/>
      <c r="AR16" s="22"/>
      <c r="AS16" s="374">
        <v>24.617247602001534</v>
      </c>
      <c r="AT16" t="str">
        <f t="shared" si="3"/>
        <v/>
      </c>
      <c r="AU16" s="40">
        <f t="shared" si="4"/>
        <v>124</v>
      </c>
      <c r="AV16" t="str">
        <f t="shared" si="20"/>
        <v/>
      </c>
      <c r="AW16" t="str">
        <f t="shared" si="21"/>
        <v/>
      </c>
      <c r="AX16" t="str">
        <f t="shared" si="22"/>
        <v/>
      </c>
      <c r="AY16" s="40">
        <f t="shared" si="5"/>
        <v>2.3019177945171601</v>
      </c>
    </row>
    <row r="17" spans="1:51">
      <c r="A17" s="59">
        <v>1976.9096035899397</v>
      </c>
      <c r="B17" s="48" t="s">
        <v>199</v>
      </c>
      <c r="C17" s="22">
        <v>15.477855555555553</v>
      </c>
      <c r="D17" s="22">
        <v>0.113612295106787</v>
      </c>
      <c r="E17" s="62">
        <f t="shared" si="6"/>
        <v>0.48368298611111105</v>
      </c>
      <c r="F17" s="62">
        <f t="shared" si="7"/>
        <v>2.0287909840497678E-3</v>
      </c>
      <c r="G17" s="465">
        <v>0</v>
      </c>
      <c r="H17">
        <v>0.2</v>
      </c>
      <c r="I17">
        <v>0.6</v>
      </c>
      <c r="J17">
        <v>0.7</v>
      </c>
      <c r="K17">
        <v>0.8</v>
      </c>
      <c r="L17">
        <v>0.9</v>
      </c>
      <c r="M17" s="40">
        <v>0.95</v>
      </c>
      <c r="N17" s="24">
        <f t="shared" si="8"/>
        <v>4.1944642303041778E-3</v>
      </c>
      <c r="O17" s="24">
        <f t="shared" si="9"/>
        <v>0.20335557138424334</v>
      </c>
      <c r="P17" s="24">
        <f t="shared" si="10"/>
        <v>0.6016777856921216</v>
      </c>
      <c r="Q17" s="24">
        <f t="shared" si="11"/>
        <v>0.70125833926909131</v>
      </c>
      <c r="R17" s="24">
        <f t="shared" si="23"/>
        <v>0.80083889284606091</v>
      </c>
      <c r="S17" s="24">
        <f t="shared" si="12"/>
        <v>0.90041944642303051</v>
      </c>
      <c r="T17" s="29">
        <f t="shared" si="13"/>
        <v>0.95020972321151509</v>
      </c>
      <c r="U17" s="24">
        <f t="shared" si="14"/>
        <v>0.6016777856921216</v>
      </c>
      <c r="V17" s="24" t="str">
        <f t="shared" si="27"/>
        <v/>
      </c>
      <c r="W17" s="24" t="str">
        <f t="shared" si="1"/>
        <v/>
      </c>
      <c r="AA17" s="59">
        <v>1976.9096035899397</v>
      </c>
      <c r="AB17" s="24">
        <v>4.1944642303041778E-3</v>
      </c>
      <c r="AC17" t="str">
        <f t="shared" si="15"/>
        <v/>
      </c>
      <c r="AD17">
        <f t="shared" si="16"/>
        <v>4.1944642303041778E-3</v>
      </c>
      <c r="AE17" t="str">
        <f t="shared" si="17"/>
        <v/>
      </c>
      <c r="AH17" s="48" t="s">
        <v>199</v>
      </c>
      <c r="AI17" s="22">
        <v>79</v>
      </c>
      <c r="AJ17" s="22">
        <v>15.477855555555553</v>
      </c>
      <c r="AK17" s="22">
        <v>0.113612295106787</v>
      </c>
      <c r="AL17" s="22">
        <v>0.70182098929139902</v>
      </c>
      <c r="AM17" s="59">
        <v>1976.9096035899397</v>
      </c>
      <c r="AN17" s="24">
        <f t="shared" si="18"/>
        <v>0.16188215633376377</v>
      </c>
      <c r="AO17" s="22">
        <f t="shared" si="19"/>
        <v>0.1589914035420894</v>
      </c>
      <c r="AP17" s="22">
        <f t="shared" si="2"/>
        <v>4.1944642303041778E-3</v>
      </c>
      <c r="AQ17" s="22"/>
      <c r="AR17" s="22">
        <v>4.1944642303041778E-3</v>
      </c>
      <c r="AS17" s="374"/>
      <c r="AT17">
        <f t="shared" si="3"/>
        <v>79</v>
      </c>
      <c r="AU17" s="40" t="str">
        <f t="shared" si="4"/>
        <v/>
      </c>
      <c r="AV17">
        <f t="shared" si="20"/>
        <v>0.113612295106787</v>
      </c>
      <c r="AW17" t="str">
        <f t="shared" si="21"/>
        <v/>
      </c>
      <c r="AX17" t="str">
        <f t="shared" si="22"/>
        <v/>
      </c>
      <c r="AY17" s="40" t="str">
        <f t="shared" si="5"/>
        <v/>
      </c>
    </row>
    <row r="18" spans="1:51">
      <c r="A18" s="59">
        <v>55.968238221817558</v>
      </c>
      <c r="B18" t="s">
        <v>201</v>
      </c>
      <c r="C18" s="22">
        <v>7.1244444444444457E-2</v>
      </c>
      <c r="D18" s="22">
        <v>3.4858349749339501</v>
      </c>
      <c r="E18" s="62">
        <f t="shared" si="6"/>
        <v>2.2263888888888893E-3</v>
      </c>
      <c r="F18" s="62">
        <f t="shared" si="7"/>
        <v>6.2247053123820541E-2</v>
      </c>
      <c r="G18" s="465">
        <v>0</v>
      </c>
      <c r="H18">
        <v>0.2</v>
      </c>
      <c r="I18">
        <v>0.6</v>
      </c>
      <c r="J18">
        <v>0.7</v>
      </c>
      <c r="K18">
        <v>0.8</v>
      </c>
      <c r="L18">
        <v>0.9</v>
      </c>
      <c r="M18" s="40">
        <v>0.95</v>
      </c>
      <c r="N18" s="24">
        <f t="shared" si="8"/>
        <v>27.958751247130866</v>
      </c>
      <c r="O18" s="24">
        <f t="shared" si="9"/>
        <v>22.567000997704696</v>
      </c>
      <c r="P18" s="24">
        <f t="shared" si="10"/>
        <v>11.783500498852348</v>
      </c>
      <c r="Q18" s="24">
        <f t="shared" si="11"/>
        <v>9.087625374139261</v>
      </c>
      <c r="R18" s="24">
        <f t="shared" si="23"/>
        <v>6.3917502494261722</v>
      </c>
      <c r="S18" s="24">
        <f t="shared" si="12"/>
        <v>3.6958751247130861</v>
      </c>
      <c r="T18" s="29">
        <f t="shared" si="13"/>
        <v>2.3479375623565444</v>
      </c>
      <c r="U18" s="24" t="str">
        <f t="shared" si="14"/>
        <v/>
      </c>
      <c r="V18" s="24">
        <f t="shared" si="27"/>
        <v>6.3917502494261722</v>
      </c>
      <c r="W18" s="24" t="str">
        <f t="shared" si="1"/>
        <v/>
      </c>
      <c r="AA18" s="59">
        <v>55.968238221817558</v>
      </c>
      <c r="AB18" s="24">
        <v>27.958751247130866</v>
      </c>
      <c r="AC18">
        <f t="shared" si="15"/>
        <v>27.958751247130866</v>
      </c>
      <c r="AD18" t="str">
        <f t="shared" si="16"/>
        <v/>
      </c>
      <c r="AE18" t="str">
        <f t="shared" si="17"/>
        <v/>
      </c>
      <c r="AH18" t="s">
        <v>201</v>
      </c>
      <c r="AI18" s="22">
        <v>67</v>
      </c>
      <c r="AJ18" s="22">
        <v>7.1244444444444457E-2</v>
      </c>
      <c r="AK18" s="22">
        <v>3.4858349749339501</v>
      </c>
      <c r="AL18" s="22">
        <v>0.39923933656759802</v>
      </c>
      <c r="AM18" s="29">
        <v>55.968238221817558</v>
      </c>
      <c r="AN18" s="24">
        <f t="shared" si="18"/>
        <v>8.7311911819684607</v>
      </c>
      <c r="AO18" s="22">
        <f t="shared" si="19"/>
        <v>8.5752770537190237</v>
      </c>
      <c r="AP18" s="22">
        <f t="shared" si="2"/>
        <v>27.958751247130866</v>
      </c>
      <c r="AQ18" s="22"/>
      <c r="AR18" s="22"/>
      <c r="AS18" s="374">
        <v>27.958751247130866</v>
      </c>
      <c r="AT18" t="str">
        <f t="shared" si="3"/>
        <v/>
      </c>
      <c r="AU18" s="40">
        <f t="shared" si="4"/>
        <v>67</v>
      </c>
      <c r="AV18" t="str">
        <f t="shared" si="20"/>
        <v/>
      </c>
      <c r="AW18" t="str">
        <f t="shared" si="21"/>
        <v/>
      </c>
      <c r="AX18" t="str">
        <f t="shared" si="22"/>
        <v/>
      </c>
      <c r="AY18" s="40">
        <f t="shared" si="5"/>
        <v>3.4858349749339501</v>
      </c>
    </row>
    <row r="19" spans="1:51">
      <c r="A19" s="59">
        <v>205.01316083293236</v>
      </c>
      <c r="B19" t="s">
        <v>203</v>
      </c>
      <c r="C19" s="22">
        <v>4.9514888888888899</v>
      </c>
      <c r="D19" s="22">
        <v>3.1863076334926901</v>
      </c>
      <c r="E19" s="62">
        <f t="shared" si="6"/>
        <v>0.15473402777777781</v>
      </c>
      <c r="F19" s="62">
        <f t="shared" si="7"/>
        <v>5.689835059808375E-2</v>
      </c>
      <c r="G19" s="465">
        <v>0</v>
      </c>
      <c r="H19">
        <v>0.2</v>
      </c>
      <c r="I19">
        <v>0.6</v>
      </c>
      <c r="J19">
        <v>0.7</v>
      </c>
      <c r="K19">
        <v>0.8</v>
      </c>
      <c r="L19">
        <v>0.9</v>
      </c>
      <c r="M19" s="40">
        <v>0.95</v>
      </c>
      <c r="N19" s="24">
        <f t="shared" si="8"/>
        <v>0.36771711701190024</v>
      </c>
      <c r="O19" s="24">
        <f t="shared" si="9"/>
        <v>0.49417369360952029</v>
      </c>
      <c r="P19" s="24">
        <f t="shared" si="10"/>
        <v>0.74708684680476001</v>
      </c>
      <c r="Q19" s="24">
        <f t="shared" si="11"/>
        <v>0.81031513510357012</v>
      </c>
      <c r="R19" s="24">
        <f t="shared" si="23"/>
        <v>0.87354342340238</v>
      </c>
      <c r="S19" s="24">
        <f t="shared" si="12"/>
        <v>0.93677171170118989</v>
      </c>
      <c r="T19" s="29">
        <f t="shared" si="13"/>
        <v>0.968385855850595</v>
      </c>
      <c r="U19" s="24" t="str">
        <f t="shared" si="14"/>
        <v/>
      </c>
      <c r="V19" s="24">
        <f t="shared" si="27"/>
        <v>0.87354342340238</v>
      </c>
      <c r="W19" s="24" t="str">
        <f t="shared" si="1"/>
        <v/>
      </c>
      <c r="AA19" s="59">
        <v>205.01316083293236</v>
      </c>
      <c r="AB19" s="24">
        <v>0.36771711701190024</v>
      </c>
      <c r="AC19">
        <f t="shared" si="15"/>
        <v>0.36771711701190024</v>
      </c>
      <c r="AD19" t="str">
        <f t="shared" si="16"/>
        <v/>
      </c>
      <c r="AE19" t="str">
        <f t="shared" si="17"/>
        <v/>
      </c>
      <c r="AH19" t="s">
        <v>203</v>
      </c>
      <c r="AI19" s="22">
        <v>127</v>
      </c>
      <c r="AJ19" s="22">
        <v>4.9514888888888899</v>
      </c>
      <c r="AK19" s="22">
        <v>3.1863076334926901</v>
      </c>
      <c r="AL19" s="22">
        <v>0.46118889690845799</v>
      </c>
      <c r="AM19" s="29">
        <v>205.01316083293236</v>
      </c>
      <c r="AN19" s="24">
        <f t="shared" si="18"/>
        <v>6.9088992706716104</v>
      </c>
      <c r="AO19" s="22">
        <f t="shared" si="19"/>
        <v>6.7855260694096176</v>
      </c>
      <c r="AP19" s="22">
        <f t="shared" si="2"/>
        <v>0.36771711701190024</v>
      </c>
      <c r="AQ19" s="22"/>
      <c r="AR19" s="22"/>
      <c r="AS19" s="374">
        <v>0.36771711701190024</v>
      </c>
      <c r="AT19" t="str">
        <f t="shared" si="3"/>
        <v/>
      </c>
      <c r="AU19" s="40">
        <f t="shared" si="4"/>
        <v>127</v>
      </c>
      <c r="AV19" t="str">
        <f t="shared" si="20"/>
        <v/>
      </c>
      <c r="AW19" t="str">
        <f t="shared" si="21"/>
        <v/>
      </c>
      <c r="AX19" t="str">
        <f t="shared" si="22"/>
        <v/>
      </c>
      <c r="AY19" s="40">
        <f t="shared" si="5"/>
        <v>3.1863076334926901</v>
      </c>
    </row>
    <row r="20" spans="1:51">
      <c r="A20" s="29">
        <v>24.769927925219562</v>
      </c>
      <c r="B20" s="318" t="s">
        <v>205</v>
      </c>
      <c r="C20" s="22">
        <v>5.3433333333333333E-2</v>
      </c>
      <c r="D20" s="22">
        <v>9.9551880568739506</v>
      </c>
      <c r="E20" s="62">
        <f t="shared" si="6"/>
        <v>1.6697916666666666E-3</v>
      </c>
      <c r="F20" s="62">
        <f t="shared" si="7"/>
        <v>0.17777121530132053</v>
      </c>
      <c r="G20" s="465">
        <v>0</v>
      </c>
      <c r="H20">
        <v>0.2</v>
      </c>
      <c r="I20">
        <v>0.6</v>
      </c>
      <c r="J20">
        <v>0.7</v>
      </c>
      <c r="K20">
        <v>0.8</v>
      </c>
      <c r="L20">
        <v>0.9</v>
      </c>
      <c r="M20" s="40">
        <v>0.95</v>
      </c>
      <c r="N20" s="24">
        <f t="shared" si="8"/>
        <v>106.46311084795241</v>
      </c>
      <c r="O20" s="24">
        <f t="shared" si="9"/>
        <v>85.370488678361937</v>
      </c>
      <c r="P20" s="24">
        <f t="shared" si="10"/>
        <v>43.185244339180962</v>
      </c>
      <c r="Q20" s="24">
        <f t="shared" si="11"/>
        <v>32.638933254385726</v>
      </c>
      <c r="R20" s="24">
        <f t="shared" si="23"/>
        <v>22.092622169590481</v>
      </c>
      <c r="S20" s="24">
        <f t="shared" si="12"/>
        <v>11.546311084795239</v>
      </c>
      <c r="T20" s="29">
        <f t="shared" si="13"/>
        <v>6.2731555423976246</v>
      </c>
      <c r="U20" s="24" t="str">
        <f t="shared" si="14"/>
        <v/>
      </c>
      <c r="V20" s="24">
        <f t="shared" si="27"/>
        <v>22.092622169590481</v>
      </c>
      <c r="W20" s="24" t="str">
        <f t="shared" si="1"/>
        <v/>
      </c>
      <c r="AA20" s="29">
        <v>24.769927925219562</v>
      </c>
      <c r="AB20" s="24">
        <v>106.46311084795241</v>
      </c>
      <c r="AC20">
        <f t="shared" si="15"/>
        <v>106.46311084795241</v>
      </c>
      <c r="AD20" t="str">
        <f t="shared" si="16"/>
        <v/>
      </c>
      <c r="AE20" t="str">
        <f t="shared" si="17"/>
        <v/>
      </c>
      <c r="AH20" s="318" t="s">
        <v>205</v>
      </c>
      <c r="AI20" s="320">
        <v>237</v>
      </c>
      <c r="AJ20" s="22">
        <v>5.3433333333333333E-2</v>
      </c>
      <c r="AK20" s="320">
        <v>9.9551880568739506</v>
      </c>
      <c r="AL20" s="22">
        <v>0.46410682178795398</v>
      </c>
      <c r="AM20" s="29">
        <v>24.769927925219562</v>
      </c>
      <c r="AN20" s="24">
        <f t="shared" si="18"/>
        <v>21.450208420815631</v>
      </c>
      <c r="AO20" s="22">
        <f t="shared" si="19"/>
        <v>21.067168984729637</v>
      </c>
      <c r="AP20" s="22">
        <f t="shared" si="2"/>
        <v>106.46311084795241</v>
      </c>
      <c r="AQ20" s="22"/>
      <c r="AR20" s="22"/>
      <c r="AS20" s="374">
        <v>106.46311084795241</v>
      </c>
      <c r="AT20" t="str">
        <f t="shared" si="3"/>
        <v/>
      </c>
      <c r="AU20" s="40">
        <f t="shared" si="4"/>
        <v>237</v>
      </c>
      <c r="AV20" t="str">
        <f t="shared" si="20"/>
        <v/>
      </c>
      <c r="AW20" t="str">
        <f t="shared" si="21"/>
        <v/>
      </c>
      <c r="AX20" t="str">
        <f t="shared" si="22"/>
        <v/>
      </c>
      <c r="AY20" s="40">
        <f t="shared" si="5"/>
        <v>9.9551880568739506</v>
      </c>
    </row>
    <row r="21" spans="1:51">
      <c r="A21" s="29">
        <v>45.973514723287913</v>
      </c>
      <c r="B21" t="s">
        <v>207</v>
      </c>
      <c r="C21" s="22">
        <v>5.3433333333333333E-2</v>
      </c>
      <c r="D21" s="22">
        <v>9.5745828978454792</v>
      </c>
      <c r="E21" s="62">
        <f t="shared" si="6"/>
        <v>1.6697916666666666E-3</v>
      </c>
      <c r="F21" s="62">
        <f t="shared" si="7"/>
        <v>0.17097469460438355</v>
      </c>
      <c r="G21" s="465">
        <v>0</v>
      </c>
      <c r="H21">
        <v>0.2</v>
      </c>
      <c r="I21">
        <v>0.6</v>
      </c>
      <c r="J21">
        <v>0.7</v>
      </c>
      <c r="K21">
        <v>0.8</v>
      </c>
      <c r="L21">
        <v>0.9</v>
      </c>
      <c r="M21" s="40">
        <v>0.95</v>
      </c>
      <c r="N21" s="24">
        <f t="shared" si="8"/>
        <v>102.39283020599389</v>
      </c>
      <c r="O21" s="24">
        <f t="shared" si="9"/>
        <v>82.114264164795117</v>
      </c>
      <c r="P21" s="24">
        <f t="shared" si="10"/>
        <v>41.557132082397558</v>
      </c>
      <c r="Q21" s="24">
        <f t="shared" si="11"/>
        <v>31.417849061798172</v>
      </c>
      <c r="R21" s="24">
        <f t="shared" si="23"/>
        <v>21.278566041198776</v>
      </c>
      <c r="S21" s="24">
        <f t="shared" si="12"/>
        <v>11.139283020599388</v>
      </c>
      <c r="T21" s="29">
        <f t="shared" si="13"/>
        <v>6.0696415102996983</v>
      </c>
      <c r="U21" s="24" t="str">
        <f t="shared" si="14"/>
        <v/>
      </c>
      <c r="V21" s="24">
        <f t="shared" si="27"/>
        <v>21.278566041198776</v>
      </c>
      <c r="W21" s="24" t="str">
        <f t="shared" si="1"/>
        <v/>
      </c>
      <c r="AA21" s="29">
        <v>45.973514723287913</v>
      </c>
      <c r="AB21" s="24">
        <v>102.39283020599389</v>
      </c>
      <c r="AC21">
        <f t="shared" si="15"/>
        <v>102.39283020599389</v>
      </c>
      <c r="AD21" t="str">
        <f t="shared" si="16"/>
        <v/>
      </c>
      <c r="AE21" t="str">
        <f t="shared" si="17"/>
        <v/>
      </c>
      <c r="AH21" t="s">
        <v>207</v>
      </c>
      <c r="AI21" s="22">
        <v>85</v>
      </c>
      <c r="AJ21" s="22">
        <v>5.3433333333333333E-2</v>
      </c>
      <c r="AK21" s="22">
        <v>9.5745828978454792</v>
      </c>
      <c r="AL21" s="22">
        <v>0.49690910259973903</v>
      </c>
      <c r="AM21" s="29">
        <v>45.973514723287913</v>
      </c>
      <c r="AN21" s="24">
        <f t="shared" si="18"/>
        <v>19.268278338539151</v>
      </c>
      <c r="AO21" s="22">
        <f t="shared" si="19"/>
        <v>18.924201939636664</v>
      </c>
      <c r="AP21" s="22">
        <f t="shared" si="2"/>
        <v>102.39283020599389</v>
      </c>
      <c r="AQ21" s="22"/>
      <c r="AR21" s="22"/>
      <c r="AS21" s="374">
        <v>102.39283020599389</v>
      </c>
      <c r="AT21" t="str">
        <f t="shared" si="3"/>
        <v/>
      </c>
      <c r="AU21" s="40">
        <f t="shared" si="4"/>
        <v>85</v>
      </c>
      <c r="AV21" t="str">
        <f t="shared" si="20"/>
        <v/>
      </c>
      <c r="AW21" t="str">
        <f t="shared" si="21"/>
        <v/>
      </c>
      <c r="AX21" t="str">
        <f t="shared" si="22"/>
        <v/>
      </c>
      <c r="AY21" s="40">
        <f t="shared" si="5"/>
        <v>9.5745828978454792</v>
      </c>
    </row>
    <row r="22" spans="1:51">
      <c r="A22" s="29">
        <v>23.911461335810994</v>
      </c>
      <c r="B22" t="s">
        <v>210</v>
      </c>
      <c r="C22" s="22">
        <v>7.1244444444444457E-2</v>
      </c>
      <c r="D22" s="22">
        <v>12.4930829277627</v>
      </c>
      <c r="E22" s="62">
        <f t="shared" si="6"/>
        <v>2.2263888888888893E-3</v>
      </c>
      <c r="F22" s="62">
        <f t="shared" si="7"/>
        <v>0.22309076656719107</v>
      </c>
      <c r="G22" s="465">
        <v>0</v>
      </c>
      <c r="H22">
        <v>0.2</v>
      </c>
      <c r="I22">
        <v>0.6</v>
      </c>
      <c r="J22">
        <v>0.7</v>
      </c>
      <c r="K22">
        <v>0.8</v>
      </c>
      <c r="L22">
        <v>0.9</v>
      </c>
      <c r="M22" s="40">
        <v>0.95</v>
      </c>
      <c r="N22" s="24">
        <f t="shared" si="8"/>
        <v>100.2029643969916</v>
      </c>
      <c r="O22" s="24">
        <f t="shared" si="9"/>
        <v>80.362371517593289</v>
      </c>
      <c r="P22" s="24">
        <f t="shared" si="10"/>
        <v>40.681185758796644</v>
      </c>
      <c r="Q22" s="24">
        <f t="shared" si="11"/>
        <v>30.760889319097487</v>
      </c>
      <c r="R22" s="24">
        <f t="shared" si="23"/>
        <v>20.840592879398315</v>
      </c>
      <c r="S22" s="24">
        <f t="shared" si="12"/>
        <v>10.920296439699158</v>
      </c>
      <c r="T22" s="29">
        <f t="shared" si="13"/>
        <v>5.9601482198495841</v>
      </c>
      <c r="U22" s="24" t="str">
        <f t="shared" si="14"/>
        <v/>
      </c>
      <c r="V22" s="24">
        <f t="shared" si="27"/>
        <v>20.840592879398315</v>
      </c>
      <c r="W22" s="24" t="str">
        <f t="shared" si="1"/>
        <v/>
      </c>
      <c r="AA22" s="29">
        <v>23.911461335810994</v>
      </c>
      <c r="AB22" s="24">
        <v>100.2029643969916</v>
      </c>
      <c r="AC22">
        <f t="shared" si="15"/>
        <v>100.2029643969916</v>
      </c>
      <c r="AD22" t="str">
        <f t="shared" si="16"/>
        <v/>
      </c>
      <c r="AE22" t="str">
        <f t="shared" si="17"/>
        <v/>
      </c>
      <c r="AH22" t="s">
        <v>210</v>
      </c>
      <c r="AI22" s="22">
        <v>85</v>
      </c>
      <c r="AJ22" s="22">
        <v>7.1244444444444457E-2</v>
      </c>
      <c r="AK22" s="22">
        <v>12.4930829277627</v>
      </c>
      <c r="AL22" s="22">
        <v>0.46350808143627498</v>
      </c>
      <c r="AM22" s="29">
        <v>23.911461335810994</v>
      </c>
      <c r="AN22" s="24">
        <f t="shared" si="18"/>
        <v>26.953322774977984</v>
      </c>
      <c r="AO22" s="22">
        <f t="shared" si="19"/>
        <v>26.472013439710516</v>
      </c>
      <c r="AP22" s="22">
        <f t="shared" si="2"/>
        <v>100.2029643969916</v>
      </c>
      <c r="AQ22" s="22"/>
      <c r="AR22" s="22"/>
      <c r="AS22" s="374">
        <v>100.2029643969916</v>
      </c>
      <c r="AT22" t="str">
        <f t="shared" si="3"/>
        <v/>
      </c>
      <c r="AU22" s="40">
        <f t="shared" si="4"/>
        <v>85</v>
      </c>
      <c r="AV22" t="str">
        <f t="shared" si="20"/>
        <v/>
      </c>
      <c r="AW22" t="str">
        <f t="shared" si="21"/>
        <v/>
      </c>
      <c r="AX22" t="str">
        <f t="shared" si="22"/>
        <v/>
      </c>
      <c r="AY22" s="40">
        <f t="shared" si="5"/>
        <v>12.4930829277627</v>
      </c>
    </row>
    <row r="23" spans="1:51">
      <c r="A23" s="29">
        <v>18.393809061085197</v>
      </c>
      <c r="B23" t="s">
        <v>212</v>
      </c>
      <c r="C23" s="22">
        <v>5.3433333333333333E-2</v>
      </c>
      <c r="D23" s="22">
        <v>9.28571163287479</v>
      </c>
      <c r="E23" s="62">
        <f t="shared" si="6"/>
        <v>1.6697916666666666E-3</v>
      </c>
      <c r="F23" s="62">
        <f t="shared" si="7"/>
        <v>0.16581627915847838</v>
      </c>
      <c r="G23" s="465">
        <v>0</v>
      </c>
      <c r="H23">
        <v>0.2</v>
      </c>
      <c r="I23">
        <v>0.6</v>
      </c>
      <c r="J23">
        <v>0.7</v>
      </c>
      <c r="K23">
        <v>0.8</v>
      </c>
      <c r="L23">
        <v>0.9</v>
      </c>
      <c r="M23" s="40">
        <v>0.95</v>
      </c>
      <c r="N23" s="24">
        <f t="shared" si="8"/>
        <v>99.3035732951586</v>
      </c>
      <c r="O23" s="24">
        <f t="shared" si="9"/>
        <v>79.642858636126888</v>
      </c>
      <c r="P23" s="24">
        <f t="shared" si="10"/>
        <v>40.321429318063444</v>
      </c>
      <c r="Q23" s="24">
        <f t="shared" si="11"/>
        <v>30.491071988547585</v>
      </c>
      <c r="R23" s="24">
        <f t="shared" si="23"/>
        <v>20.660714659031719</v>
      </c>
      <c r="S23" s="24">
        <f t="shared" si="12"/>
        <v>10.830357329515859</v>
      </c>
      <c r="T23" s="29">
        <f t="shared" si="13"/>
        <v>5.9151786647579341</v>
      </c>
      <c r="U23" s="24" t="str">
        <f t="shared" si="14"/>
        <v/>
      </c>
      <c r="V23" s="24">
        <f t="shared" si="27"/>
        <v>20.660714659031719</v>
      </c>
      <c r="W23" s="24" t="str">
        <f t="shared" si="1"/>
        <v/>
      </c>
      <c r="AA23" s="29">
        <v>18.393809061085197</v>
      </c>
      <c r="AB23" s="24">
        <v>99.3035732951586</v>
      </c>
      <c r="AC23">
        <f t="shared" si="15"/>
        <v>99.3035732951586</v>
      </c>
      <c r="AD23" t="str">
        <f t="shared" si="16"/>
        <v/>
      </c>
      <c r="AE23" t="str">
        <f t="shared" si="17"/>
        <v/>
      </c>
      <c r="AH23" t="s">
        <v>212</v>
      </c>
      <c r="AI23" s="22">
        <v>94</v>
      </c>
      <c r="AJ23" s="22">
        <v>5.3433333333333333E-2</v>
      </c>
      <c r="AK23" s="22">
        <v>9.28571163287479</v>
      </c>
      <c r="AL23" s="22">
        <v>0.52354663576432403</v>
      </c>
      <c r="AM23" s="29">
        <v>18.393809061085197</v>
      </c>
      <c r="AN23" s="24">
        <f t="shared" si="18"/>
        <v>17.736169041213703</v>
      </c>
      <c r="AO23" s="22">
        <f t="shared" si="19"/>
        <v>17.419451736906311</v>
      </c>
      <c r="AP23" s="22">
        <f t="shared" si="2"/>
        <v>99.3035732951586</v>
      </c>
      <c r="AQ23" s="22"/>
      <c r="AR23" s="22"/>
      <c r="AS23" s="374">
        <v>99.3035732951586</v>
      </c>
      <c r="AT23" t="str">
        <f t="shared" si="3"/>
        <v/>
      </c>
      <c r="AU23" s="40">
        <f t="shared" si="4"/>
        <v>94</v>
      </c>
      <c r="AV23" t="str">
        <f t="shared" si="20"/>
        <v/>
      </c>
      <c r="AW23" t="str">
        <f t="shared" si="21"/>
        <v/>
      </c>
      <c r="AX23" t="str">
        <f t="shared" si="22"/>
        <v/>
      </c>
      <c r="AY23" s="40">
        <f t="shared" si="5"/>
        <v>9.28571163287479</v>
      </c>
    </row>
    <row r="24" spans="1:51">
      <c r="A24" s="29">
        <v>11.832230751683369</v>
      </c>
      <c r="B24" t="s">
        <v>214</v>
      </c>
      <c r="C24" s="22">
        <v>5.3433333333333333E-2</v>
      </c>
      <c r="D24" s="22">
        <v>9.3655630683361597</v>
      </c>
      <c r="E24" s="62">
        <f t="shared" si="6"/>
        <v>1.6697916666666666E-3</v>
      </c>
      <c r="F24" s="62">
        <f t="shared" si="7"/>
        <v>0.16724219764886</v>
      </c>
      <c r="G24" s="465">
        <v>0</v>
      </c>
      <c r="H24">
        <v>0.2</v>
      </c>
      <c r="I24">
        <v>0.6</v>
      </c>
      <c r="J24">
        <v>0.7</v>
      </c>
      <c r="K24">
        <v>0.8</v>
      </c>
      <c r="L24">
        <v>0.9</v>
      </c>
      <c r="M24" s="40">
        <v>0.95</v>
      </c>
      <c r="N24" s="24">
        <f t="shared" si="8"/>
        <v>100.15752323325366</v>
      </c>
      <c r="O24" s="24">
        <f t="shared" si="9"/>
        <v>80.326018586602927</v>
      </c>
      <c r="P24" s="24">
        <f t="shared" si="10"/>
        <v>40.663009293301457</v>
      </c>
      <c r="Q24" s="24">
        <f t="shared" si="11"/>
        <v>30.7472569699761</v>
      </c>
      <c r="R24" s="24">
        <f t="shared" si="23"/>
        <v>20.831504646650728</v>
      </c>
      <c r="S24" s="24">
        <f t="shared" si="12"/>
        <v>10.915752323325362</v>
      </c>
      <c r="T24" s="29">
        <f t="shared" si="13"/>
        <v>5.9578761616626874</v>
      </c>
      <c r="U24" s="24" t="str">
        <f t="shared" si="14"/>
        <v/>
      </c>
      <c r="V24" s="24">
        <f t="shared" si="27"/>
        <v>20.831504646650728</v>
      </c>
      <c r="W24" s="24" t="str">
        <f t="shared" si="1"/>
        <v/>
      </c>
      <c r="AA24" s="29">
        <v>11.832230751683369</v>
      </c>
      <c r="AB24" s="24">
        <v>100.15752323325366</v>
      </c>
      <c r="AC24">
        <f t="shared" si="15"/>
        <v>100.15752323325366</v>
      </c>
      <c r="AD24" t="str">
        <f t="shared" si="16"/>
        <v/>
      </c>
      <c r="AE24" t="str">
        <f t="shared" si="17"/>
        <v/>
      </c>
      <c r="AH24" t="s">
        <v>214</v>
      </c>
      <c r="AI24" s="22">
        <v>65</v>
      </c>
      <c r="AJ24" s="22">
        <v>5.3433333333333333E-2</v>
      </c>
      <c r="AK24" s="22">
        <v>9.3655630683361597</v>
      </c>
      <c r="AL24" s="22">
        <v>0.53797012101596398</v>
      </c>
      <c r="AM24" s="29">
        <v>11.832230751683369</v>
      </c>
      <c r="AN24" s="24">
        <f t="shared" si="18"/>
        <v>17.409076642861066</v>
      </c>
      <c r="AO24" s="22">
        <f t="shared" si="19"/>
        <v>17.09820027423855</v>
      </c>
      <c r="AP24" s="22">
        <f t="shared" si="2"/>
        <v>100.15752323325366</v>
      </c>
      <c r="AQ24" s="22"/>
      <c r="AR24" s="22"/>
      <c r="AS24" s="374">
        <v>100.15752323325366</v>
      </c>
      <c r="AT24" t="str">
        <f t="shared" si="3"/>
        <v/>
      </c>
      <c r="AU24" s="40">
        <f t="shared" si="4"/>
        <v>65</v>
      </c>
      <c r="AV24" t="str">
        <f t="shared" si="20"/>
        <v/>
      </c>
      <c r="AW24" t="str">
        <f t="shared" si="21"/>
        <v/>
      </c>
      <c r="AX24" t="str">
        <f t="shared" si="22"/>
        <v/>
      </c>
      <c r="AY24" s="40">
        <f t="shared" si="5"/>
        <v>9.3655630683361597</v>
      </c>
    </row>
    <row r="25" spans="1:51">
      <c r="A25" s="29">
        <v>12.682668307534325</v>
      </c>
      <c r="B25" t="s">
        <v>216</v>
      </c>
      <c r="C25" s="22">
        <v>0.12467777777777779</v>
      </c>
      <c r="D25" s="22">
        <v>10.230692226240899</v>
      </c>
      <c r="E25" s="62">
        <f t="shared" si="6"/>
        <v>3.8961805555555559E-3</v>
      </c>
      <c r="F25" s="62">
        <f t="shared" si="7"/>
        <v>0.18269093261144462</v>
      </c>
      <c r="G25" s="465">
        <v>0</v>
      </c>
      <c r="H25">
        <v>0.2</v>
      </c>
      <c r="I25">
        <v>0.6</v>
      </c>
      <c r="J25">
        <v>0.7</v>
      </c>
      <c r="K25">
        <v>0.8</v>
      </c>
      <c r="L25">
        <v>0.9</v>
      </c>
      <c r="M25" s="40">
        <v>0.95</v>
      </c>
      <c r="N25" s="24">
        <f t="shared" si="8"/>
        <v>46.889750104354377</v>
      </c>
      <c r="O25" s="24">
        <f t="shared" si="9"/>
        <v>37.711800083483503</v>
      </c>
      <c r="P25" s="24">
        <f t="shared" si="10"/>
        <v>19.355900041741751</v>
      </c>
      <c r="Q25" s="24">
        <f t="shared" si="11"/>
        <v>14.766925031306315</v>
      </c>
      <c r="R25" s="24">
        <f t="shared" si="23"/>
        <v>10.177950020870874</v>
      </c>
      <c r="S25" s="24">
        <f t="shared" si="12"/>
        <v>5.5889750104354361</v>
      </c>
      <c r="T25" s="29">
        <f t="shared" si="13"/>
        <v>3.2944875052177212</v>
      </c>
      <c r="U25" s="24" t="str">
        <f t="shared" si="14"/>
        <v/>
      </c>
      <c r="V25" s="24">
        <f t="shared" si="27"/>
        <v>10.177950020870874</v>
      </c>
      <c r="W25" s="24" t="str">
        <f t="shared" si="1"/>
        <v/>
      </c>
      <c r="AA25" s="29">
        <v>12.682668307534325</v>
      </c>
      <c r="AB25" s="24">
        <v>46.889750104354377</v>
      </c>
      <c r="AC25">
        <f t="shared" si="15"/>
        <v>46.889750104354377</v>
      </c>
      <c r="AD25" t="str">
        <f t="shared" si="16"/>
        <v/>
      </c>
      <c r="AE25" t="str">
        <f t="shared" si="17"/>
        <v/>
      </c>
      <c r="AH25" t="s">
        <v>216</v>
      </c>
      <c r="AI25" s="22">
        <v>84</v>
      </c>
      <c r="AJ25" s="22">
        <v>0.12467777777777779</v>
      </c>
      <c r="AK25" s="22">
        <v>10.230692226240899</v>
      </c>
      <c r="AL25" s="22">
        <v>0.36033871303818099</v>
      </c>
      <c r="AM25" s="29">
        <v>12.682668307534325</v>
      </c>
      <c r="AN25" s="24">
        <f t="shared" si="18"/>
        <v>28.391876465288007</v>
      </c>
      <c r="AO25" s="22">
        <f t="shared" si="19"/>
        <v>27.884878671265003</v>
      </c>
      <c r="AP25" s="22">
        <f t="shared" si="2"/>
        <v>46.889750104354377</v>
      </c>
      <c r="AQ25" s="22"/>
      <c r="AR25" s="22"/>
      <c r="AS25" s="374">
        <v>46.889750104354377</v>
      </c>
      <c r="AT25" t="str">
        <f t="shared" si="3"/>
        <v/>
      </c>
      <c r="AU25" s="40">
        <f t="shared" si="4"/>
        <v>84</v>
      </c>
      <c r="AV25" t="str">
        <f t="shared" si="20"/>
        <v/>
      </c>
      <c r="AW25" t="str">
        <f t="shared" si="21"/>
        <v/>
      </c>
      <c r="AX25" t="str">
        <f t="shared" si="22"/>
        <v/>
      </c>
      <c r="AY25" s="40">
        <f t="shared" si="5"/>
        <v>10.230692226240899</v>
      </c>
    </row>
    <row r="26" spans="1:51">
      <c r="A26" s="29">
        <v>26.832977956535146</v>
      </c>
      <c r="B26" t="s">
        <v>218</v>
      </c>
      <c r="C26" s="22">
        <v>5.3433333333333333E-2</v>
      </c>
      <c r="D26" s="22">
        <v>8.2793653906467508</v>
      </c>
      <c r="E26" s="62">
        <f t="shared" si="6"/>
        <v>1.6697916666666666E-3</v>
      </c>
      <c r="F26" s="62">
        <f t="shared" si="7"/>
        <v>0.1478458105472634</v>
      </c>
      <c r="G26" s="465">
        <v>0</v>
      </c>
      <c r="H26">
        <v>0.2</v>
      </c>
      <c r="I26">
        <v>0.6</v>
      </c>
      <c r="J26">
        <v>0.7</v>
      </c>
      <c r="K26">
        <v>0.8</v>
      </c>
      <c r="L26">
        <v>0.9</v>
      </c>
      <c r="M26" s="40">
        <v>0.95</v>
      </c>
      <c r="N26" s="24">
        <f t="shared" si="8"/>
        <v>88.541471070101593</v>
      </c>
      <c r="O26" s="24">
        <f t="shared" si="9"/>
        <v>71.033176856081283</v>
      </c>
      <c r="P26" s="24">
        <f t="shared" si="10"/>
        <v>36.016588428040635</v>
      </c>
      <c r="Q26" s="24">
        <f t="shared" si="11"/>
        <v>27.262441321030483</v>
      </c>
      <c r="R26" s="24">
        <f t="shared" si="23"/>
        <v>18.508294214020317</v>
      </c>
      <c r="S26" s="24">
        <f t="shared" si="12"/>
        <v>9.7541471070101586</v>
      </c>
      <c r="T26" s="29">
        <f t="shared" si="13"/>
        <v>5.3770735535050829</v>
      </c>
      <c r="U26" s="24" t="str">
        <f t="shared" si="14"/>
        <v/>
      </c>
      <c r="V26" s="24">
        <f t="shared" si="27"/>
        <v>18.508294214020317</v>
      </c>
      <c r="W26" s="24" t="str">
        <f t="shared" si="1"/>
        <v/>
      </c>
      <c r="AA26" s="29">
        <v>26.832977956535146</v>
      </c>
      <c r="AB26" s="24">
        <v>88.541471070101593</v>
      </c>
      <c r="AC26">
        <f t="shared" si="15"/>
        <v>88.541471070101593</v>
      </c>
      <c r="AD26" t="str">
        <f t="shared" si="16"/>
        <v/>
      </c>
      <c r="AE26" t="str">
        <f t="shared" si="17"/>
        <v/>
      </c>
      <c r="AH26" t="s">
        <v>218</v>
      </c>
      <c r="AI26" s="22">
        <v>75</v>
      </c>
      <c r="AJ26" s="22">
        <v>5.3433333333333333E-2</v>
      </c>
      <c r="AK26" s="22">
        <v>8.2793653906467508</v>
      </c>
      <c r="AL26" s="22">
        <v>0.42526390949921899</v>
      </c>
      <c r="AM26" s="29">
        <v>26.832977956535146</v>
      </c>
      <c r="AN26" s="24">
        <f t="shared" si="18"/>
        <v>19.468770346386414</v>
      </c>
      <c r="AO26" s="22">
        <f t="shared" si="19"/>
        <v>19.121113733058085</v>
      </c>
      <c r="AP26" s="22">
        <f t="shared" si="2"/>
        <v>88.541471070101593</v>
      </c>
      <c r="AQ26" s="22"/>
      <c r="AR26" s="22"/>
      <c r="AS26" s="374">
        <v>88.541471070101593</v>
      </c>
      <c r="AT26" t="str">
        <f t="shared" si="3"/>
        <v/>
      </c>
      <c r="AU26" s="40">
        <f t="shared" si="4"/>
        <v>75</v>
      </c>
      <c r="AV26" t="str">
        <f t="shared" si="20"/>
        <v/>
      </c>
      <c r="AW26" t="str">
        <f t="shared" si="21"/>
        <v/>
      </c>
      <c r="AX26" t="str">
        <f t="shared" si="22"/>
        <v/>
      </c>
      <c r="AY26" s="40">
        <f t="shared" si="5"/>
        <v>8.2793653906467508</v>
      </c>
    </row>
    <row r="27" spans="1:51">
      <c r="A27" s="29">
        <v>11.906494760485327</v>
      </c>
      <c r="B27" t="s">
        <v>220</v>
      </c>
      <c r="C27" s="22">
        <v>3.5622222222222229E-2</v>
      </c>
      <c r="D27" s="22">
        <v>3.2365833105944701</v>
      </c>
      <c r="E27" s="62">
        <f t="shared" si="6"/>
        <v>1.1131944444444446E-3</v>
      </c>
      <c r="F27" s="62">
        <f t="shared" si="7"/>
        <v>5.7796130546329823E-2</v>
      </c>
      <c r="G27" s="465">
        <v>0</v>
      </c>
      <c r="H27">
        <v>0.2</v>
      </c>
      <c r="I27">
        <v>0.6</v>
      </c>
      <c r="J27">
        <v>0.7</v>
      </c>
      <c r="K27">
        <v>0.8</v>
      </c>
      <c r="L27">
        <v>0.9</v>
      </c>
      <c r="M27" s="40">
        <v>0.95</v>
      </c>
      <c r="N27" s="24">
        <f t="shared" si="8"/>
        <v>51.919169049728588</v>
      </c>
      <c r="O27" s="24">
        <f t="shared" si="9"/>
        <v>41.73533523978287</v>
      </c>
      <c r="P27" s="24">
        <f t="shared" si="10"/>
        <v>21.367667619891435</v>
      </c>
      <c r="Q27" s="24">
        <f t="shared" si="11"/>
        <v>16.27575071491858</v>
      </c>
      <c r="R27" s="24">
        <f t="shared" si="23"/>
        <v>11.183833809945714</v>
      </c>
      <c r="S27" s="24">
        <f t="shared" si="12"/>
        <v>6.091916904972857</v>
      </c>
      <c r="T27" s="29">
        <f t="shared" si="13"/>
        <v>3.5459584524864316</v>
      </c>
      <c r="U27" s="24" t="str">
        <f t="shared" si="14"/>
        <v/>
      </c>
      <c r="V27" s="24">
        <f t="shared" si="27"/>
        <v>11.183833809945714</v>
      </c>
      <c r="W27" s="24" t="str">
        <f t="shared" si="1"/>
        <v/>
      </c>
      <c r="AA27" s="29">
        <v>11.906494760485327</v>
      </c>
      <c r="AB27" s="24">
        <v>51.919169049728588</v>
      </c>
      <c r="AC27">
        <f t="shared" si="15"/>
        <v>51.919169049728588</v>
      </c>
      <c r="AD27" t="str">
        <f t="shared" si="16"/>
        <v/>
      </c>
      <c r="AE27" t="str">
        <f t="shared" si="17"/>
        <v/>
      </c>
      <c r="AH27" t="s">
        <v>220</v>
      </c>
      <c r="AI27" s="22">
        <v>181</v>
      </c>
      <c r="AJ27" s="22">
        <v>3.5622222222222229E-2</v>
      </c>
      <c r="AK27" s="22">
        <v>3.2365833105944701</v>
      </c>
      <c r="AL27" s="22">
        <v>0.61010908890698301</v>
      </c>
      <c r="AM27" s="29">
        <v>11.906494760485327</v>
      </c>
      <c r="AN27" s="24">
        <f t="shared" si="18"/>
        <v>5.3049255771502173</v>
      </c>
      <c r="AO27" s="22">
        <f t="shared" si="19"/>
        <v>5.2101947632725354</v>
      </c>
      <c r="AP27" s="22">
        <f t="shared" si="2"/>
        <v>51.919169049728588</v>
      </c>
      <c r="AQ27" s="22"/>
      <c r="AR27" s="22"/>
      <c r="AS27" s="374">
        <v>51.919169049728588</v>
      </c>
      <c r="AT27" t="str">
        <f t="shared" si="3"/>
        <v/>
      </c>
      <c r="AU27" s="40">
        <f t="shared" si="4"/>
        <v>181</v>
      </c>
      <c r="AV27" t="str">
        <f t="shared" si="20"/>
        <v/>
      </c>
      <c r="AW27" t="str">
        <f t="shared" si="21"/>
        <v/>
      </c>
      <c r="AX27" t="str">
        <f t="shared" si="22"/>
        <v/>
      </c>
      <c r="AY27" s="40">
        <f t="shared" si="5"/>
        <v>3.2365833105944701</v>
      </c>
    </row>
    <row r="28" spans="1:51">
      <c r="A28" s="29">
        <v>20.209450758932476</v>
      </c>
      <c r="B28" t="s">
        <v>222</v>
      </c>
      <c r="C28" s="22">
        <v>3.5622222222222229E-2</v>
      </c>
      <c r="D28" s="22">
        <v>2.9302530797751398</v>
      </c>
      <c r="E28" s="62">
        <f t="shared" si="6"/>
        <v>1.1131944444444446E-3</v>
      </c>
      <c r="F28" s="62">
        <f t="shared" si="7"/>
        <v>5.2325947853127497E-2</v>
      </c>
      <c r="G28" s="465">
        <v>0</v>
      </c>
      <c r="H28">
        <v>0.2</v>
      </c>
      <c r="I28">
        <v>0.6</v>
      </c>
      <c r="J28">
        <v>0.7</v>
      </c>
      <c r="K28">
        <v>0.8</v>
      </c>
      <c r="L28">
        <v>0.9</v>
      </c>
      <c r="M28" s="40">
        <v>0.95</v>
      </c>
      <c r="N28" s="24">
        <f t="shared" si="8"/>
        <v>47.005218283533111</v>
      </c>
      <c r="O28" s="24">
        <f t="shared" si="9"/>
        <v>37.804174626826494</v>
      </c>
      <c r="P28" s="24">
        <f t="shared" si="10"/>
        <v>19.402087313413247</v>
      </c>
      <c r="Q28" s="24">
        <f t="shared" si="11"/>
        <v>14.801565485059937</v>
      </c>
      <c r="R28" s="24">
        <f t="shared" si="23"/>
        <v>10.20104365670662</v>
      </c>
      <c r="S28" s="24">
        <f t="shared" si="12"/>
        <v>5.60052182835331</v>
      </c>
      <c r="T28" s="29">
        <f t="shared" si="13"/>
        <v>3.3002609141766572</v>
      </c>
      <c r="U28" s="24" t="str">
        <f t="shared" si="14"/>
        <v/>
      </c>
      <c r="V28" s="24">
        <f t="shared" si="27"/>
        <v>10.20104365670662</v>
      </c>
      <c r="W28" s="24" t="str">
        <f t="shared" si="1"/>
        <v/>
      </c>
      <c r="AA28" s="29">
        <v>20.209450758932476</v>
      </c>
      <c r="AB28" s="24">
        <v>47.005218283533111</v>
      </c>
      <c r="AC28">
        <f t="shared" si="15"/>
        <v>47.005218283533111</v>
      </c>
      <c r="AD28" t="str">
        <f t="shared" si="16"/>
        <v/>
      </c>
      <c r="AE28" t="str">
        <f t="shared" si="17"/>
        <v/>
      </c>
      <c r="AH28" t="s">
        <v>222</v>
      </c>
      <c r="AI28" s="22">
        <v>153</v>
      </c>
      <c r="AJ28" s="22">
        <v>3.5622222222222229E-2</v>
      </c>
      <c r="AK28" s="22">
        <v>2.9302530797751398</v>
      </c>
      <c r="AL28" s="22">
        <v>0.703691213795412</v>
      </c>
      <c r="AM28" s="29">
        <v>20.209450758932476</v>
      </c>
      <c r="AN28" s="24">
        <f t="shared" si="18"/>
        <v>4.1641177583710292</v>
      </c>
      <c r="AO28" s="22">
        <f t="shared" si="19"/>
        <v>4.0897585126858322</v>
      </c>
      <c r="AP28" s="22">
        <f t="shared" si="2"/>
        <v>47.005218283533111</v>
      </c>
      <c r="AQ28" s="22"/>
      <c r="AR28" s="22"/>
      <c r="AS28" s="374">
        <v>47.005218283533111</v>
      </c>
      <c r="AT28" t="str">
        <f t="shared" si="3"/>
        <v/>
      </c>
      <c r="AU28" s="40">
        <f t="shared" si="4"/>
        <v>153</v>
      </c>
      <c r="AV28" t="str">
        <f t="shared" si="20"/>
        <v/>
      </c>
      <c r="AW28" t="str">
        <f t="shared" si="21"/>
        <v/>
      </c>
      <c r="AX28" t="str">
        <f t="shared" si="22"/>
        <v/>
      </c>
      <c r="AY28" s="40">
        <f t="shared" si="5"/>
        <v>2.9302530797751398</v>
      </c>
    </row>
    <row r="29" spans="1:51">
      <c r="A29" s="32">
        <v>22.031508881945314</v>
      </c>
      <c r="B29" s="319" t="s">
        <v>224</v>
      </c>
      <c r="C29" s="22">
        <v>5.3433333333333333E-2</v>
      </c>
      <c r="D29" s="22">
        <v>5.5635663777949604</v>
      </c>
      <c r="E29" s="62">
        <f t="shared" si="6"/>
        <v>1.6697916666666666E-3</v>
      </c>
      <c r="F29" s="62">
        <f t="shared" si="7"/>
        <v>9.9349399603481436E-2</v>
      </c>
      <c r="G29" s="465">
        <v>0</v>
      </c>
      <c r="H29">
        <v>0.2</v>
      </c>
      <c r="I29">
        <v>0.6</v>
      </c>
      <c r="J29">
        <v>0.7</v>
      </c>
      <c r="K29">
        <v>0.8</v>
      </c>
      <c r="L29">
        <v>0.9</v>
      </c>
      <c r="M29" s="40">
        <v>0.95</v>
      </c>
      <c r="N29" s="24">
        <f t="shared" si="8"/>
        <v>59.498080860475469</v>
      </c>
      <c r="O29" s="24">
        <f t="shared" si="9"/>
        <v>47.798464688380371</v>
      </c>
      <c r="P29" s="24">
        <f t="shared" si="10"/>
        <v>24.399232344190189</v>
      </c>
      <c r="Q29" s="24">
        <f t="shared" si="11"/>
        <v>18.549424258142643</v>
      </c>
      <c r="R29" s="24">
        <f t="shared" si="23"/>
        <v>12.699616172095091</v>
      </c>
      <c r="S29" s="24">
        <f t="shared" si="12"/>
        <v>6.8498080860475463</v>
      </c>
      <c r="T29" s="29">
        <f t="shared" si="13"/>
        <v>3.9249040430237763</v>
      </c>
      <c r="U29" s="24" t="str">
        <f t="shared" si="14"/>
        <v/>
      </c>
      <c r="V29" s="24">
        <f t="shared" si="27"/>
        <v>12.699616172095091</v>
      </c>
      <c r="W29" s="24" t="str">
        <f t="shared" si="1"/>
        <v/>
      </c>
      <c r="AA29" s="32">
        <v>22.031508881945314</v>
      </c>
      <c r="AB29" s="24">
        <v>59.498080860475469</v>
      </c>
      <c r="AC29">
        <f t="shared" si="15"/>
        <v>59.498080860475469</v>
      </c>
      <c r="AD29" t="str">
        <f t="shared" si="16"/>
        <v/>
      </c>
      <c r="AE29" t="str">
        <f t="shared" si="17"/>
        <v/>
      </c>
      <c r="AH29" s="319" t="s">
        <v>224</v>
      </c>
      <c r="AI29" s="321">
        <v>39</v>
      </c>
      <c r="AJ29" s="69">
        <v>5.3433333333333333E-2</v>
      </c>
      <c r="AK29" s="321">
        <v>5.5635663777949604</v>
      </c>
      <c r="AL29" s="69">
        <v>0.67963978612487197</v>
      </c>
      <c r="AM29" s="32">
        <v>22.031508881945314</v>
      </c>
      <c r="AN29" s="24">
        <f t="shared" si="18"/>
        <v>8.1860516281969868</v>
      </c>
      <c r="AO29" s="22">
        <f t="shared" si="19"/>
        <v>8.0398721348363278</v>
      </c>
      <c r="AP29" s="22">
        <f t="shared" si="2"/>
        <v>59.498080860475469</v>
      </c>
      <c r="AQ29" s="22"/>
      <c r="AR29" s="22"/>
      <c r="AS29" s="374">
        <v>59.498080860475469</v>
      </c>
      <c r="AT29" t="str">
        <f t="shared" si="3"/>
        <v/>
      </c>
      <c r="AU29" s="40">
        <f t="shared" si="4"/>
        <v>39</v>
      </c>
      <c r="AV29" t="str">
        <f t="shared" si="20"/>
        <v/>
      </c>
      <c r="AW29" t="str">
        <f t="shared" si="21"/>
        <v/>
      </c>
      <c r="AX29" t="str">
        <f t="shared" si="22"/>
        <v/>
      </c>
      <c r="AY29" s="40">
        <f t="shared" si="5"/>
        <v>5.5635663777949604</v>
      </c>
    </row>
    <row r="30" spans="1:51">
      <c r="A30" s="59">
        <v>9683.2077668474703</v>
      </c>
      <c r="B30" s="48" t="s">
        <v>226</v>
      </c>
      <c r="C30" s="22">
        <v>0.62338888888888899</v>
      </c>
      <c r="D30" s="22">
        <v>11.082864877668699</v>
      </c>
      <c r="E30" s="62">
        <f t="shared" si="6"/>
        <v>1.9480902777777781E-2</v>
      </c>
      <c r="F30" s="62">
        <f t="shared" si="7"/>
        <v>0.19790830138694107</v>
      </c>
      <c r="G30" s="465">
        <v>0</v>
      </c>
      <c r="H30">
        <v>0.2</v>
      </c>
      <c r="I30">
        <v>0.6</v>
      </c>
      <c r="J30">
        <v>0.7</v>
      </c>
      <c r="K30">
        <v>0.8</v>
      </c>
      <c r="L30">
        <v>0.9</v>
      </c>
      <c r="M30" s="40">
        <v>0.95</v>
      </c>
      <c r="N30" s="24">
        <f t="shared" si="8"/>
        <v>10.159092914969971</v>
      </c>
      <c r="O30" s="24">
        <f t="shared" si="9"/>
        <v>8.3272743319759766</v>
      </c>
      <c r="P30" s="24">
        <f t="shared" si="10"/>
        <v>4.6636371659879883</v>
      </c>
      <c r="Q30" s="24">
        <f t="shared" si="11"/>
        <v>3.7477278744909914</v>
      </c>
      <c r="R30" s="24">
        <f t="shared" si="23"/>
        <v>2.8318185829939937</v>
      </c>
      <c r="S30" s="24">
        <f t="shared" si="12"/>
        <v>1.9159092914969964</v>
      </c>
      <c r="T30" s="29">
        <f t="shared" si="13"/>
        <v>1.4579546457484989</v>
      </c>
      <c r="U30" s="24">
        <f t="shared" si="14"/>
        <v>4.6636371659879883</v>
      </c>
      <c r="V30" s="24" t="str">
        <f t="shared" si="27"/>
        <v/>
      </c>
      <c r="W30" s="24">
        <f t="shared" si="1"/>
        <v>2.8318185829939937</v>
      </c>
      <c r="AA30" s="59">
        <v>9683.2077668474703</v>
      </c>
      <c r="AB30" s="24">
        <v>10.159092914969971</v>
      </c>
      <c r="AC30" t="str">
        <f t="shared" si="15"/>
        <v/>
      </c>
      <c r="AD30">
        <f t="shared" si="16"/>
        <v>10.159092914969971</v>
      </c>
      <c r="AE30">
        <f t="shared" si="17"/>
        <v>10.159092914969971</v>
      </c>
      <c r="AH30" s="48" t="s">
        <v>226</v>
      </c>
      <c r="AI30" s="22">
        <v>176</v>
      </c>
      <c r="AJ30" s="22">
        <v>0.62338888888888899</v>
      </c>
      <c r="AK30" s="22">
        <v>11.082864877668699</v>
      </c>
      <c r="AL30" s="22">
        <v>0.62776146491174201</v>
      </c>
      <c r="AM30" s="59">
        <v>9683.2077668474703</v>
      </c>
      <c r="AN30" s="24">
        <f t="shared" si="18"/>
        <v>17.654579800030984</v>
      </c>
      <c r="AO30" s="22">
        <f t="shared" si="19"/>
        <v>17.339319446459001</v>
      </c>
      <c r="AP30" s="22">
        <f t="shared" si="2"/>
        <v>10.159092914969971</v>
      </c>
      <c r="AQ30" s="22">
        <v>10.159092914969971</v>
      </c>
      <c r="AR30" s="22">
        <v>10.159092914969971</v>
      </c>
      <c r="AS30" s="374"/>
      <c r="AT30">
        <f t="shared" si="3"/>
        <v>176</v>
      </c>
      <c r="AU30" s="40" t="str">
        <f t="shared" si="4"/>
        <v/>
      </c>
      <c r="AV30">
        <f t="shared" si="20"/>
        <v>11.082864877668699</v>
      </c>
      <c r="AW30">
        <f t="shared" si="21"/>
        <v>11.082864877668699</v>
      </c>
      <c r="AX30">
        <f t="shared" si="22"/>
        <v>0.62776146491174201</v>
      </c>
      <c r="AY30" s="40" t="str">
        <f t="shared" si="5"/>
        <v/>
      </c>
    </row>
    <row r="31" spans="1:51">
      <c r="A31" s="59">
        <v>1329.6081408206694</v>
      </c>
      <c r="B31" t="s">
        <v>228</v>
      </c>
      <c r="C31" s="22">
        <v>0.26716666666666661</v>
      </c>
      <c r="D31" s="22">
        <v>6.8814461681478001</v>
      </c>
      <c r="E31" s="62">
        <f t="shared" si="6"/>
        <v>8.3489583333333315E-3</v>
      </c>
      <c r="F31" s="62">
        <f t="shared" si="7"/>
        <v>0.12288296728835357</v>
      </c>
      <c r="G31" s="465">
        <v>0</v>
      </c>
      <c r="H31">
        <v>0.2</v>
      </c>
      <c r="I31">
        <v>0.6</v>
      </c>
      <c r="J31">
        <v>0.7</v>
      </c>
      <c r="K31">
        <v>0.8</v>
      </c>
      <c r="L31">
        <v>0.9</v>
      </c>
      <c r="M31" s="40">
        <v>0.95</v>
      </c>
      <c r="N31" s="24">
        <f t="shared" si="8"/>
        <v>14.718359151193944</v>
      </c>
      <c r="O31" s="24">
        <f t="shared" si="9"/>
        <v>11.974687320955155</v>
      </c>
      <c r="P31" s="24">
        <f t="shared" si="10"/>
        <v>6.4873436604775767</v>
      </c>
      <c r="Q31" s="24">
        <f t="shared" si="11"/>
        <v>5.1155077453581841</v>
      </c>
      <c r="R31" s="24">
        <f t="shared" si="23"/>
        <v>3.7436718302387879</v>
      </c>
      <c r="S31" s="24">
        <f t="shared" si="12"/>
        <v>2.371835915119394</v>
      </c>
      <c r="T31" s="29">
        <f t="shared" si="13"/>
        <v>1.6859179575596981</v>
      </c>
      <c r="U31" s="24">
        <f t="shared" si="14"/>
        <v>6.4873436604775767</v>
      </c>
      <c r="V31" s="24" t="str">
        <f t="shared" si="27"/>
        <v/>
      </c>
      <c r="W31" s="24" t="str">
        <f t="shared" si="1"/>
        <v/>
      </c>
      <c r="AA31" s="59">
        <v>1329.6081408206694</v>
      </c>
      <c r="AB31" s="24">
        <v>14.718359151193944</v>
      </c>
      <c r="AC31" t="str">
        <f t="shared" si="15"/>
        <v/>
      </c>
      <c r="AD31">
        <f t="shared" si="16"/>
        <v>14.718359151193944</v>
      </c>
      <c r="AE31" t="str">
        <f t="shared" si="17"/>
        <v/>
      </c>
      <c r="AH31" t="s">
        <v>228</v>
      </c>
      <c r="AI31" s="22">
        <v>101</v>
      </c>
      <c r="AJ31" s="22">
        <v>0.26716666666666661</v>
      </c>
      <c r="AK31" s="22">
        <v>6.8814461681478001</v>
      </c>
      <c r="AL31" s="22">
        <v>0.71619651647447702</v>
      </c>
      <c r="AM31" s="59">
        <v>1329.6081408206694</v>
      </c>
      <c r="AN31" s="24">
        <f t="shared" si="18"/>
        <v>9.6083211937725661</v>
      </c>
      <c r="AO31" s="22">
        <f t="shared" si="19"/>
        <v>9.4367440295980565</v>
      </c>
      <c r="AP31" s="22">
        <f t="shared" si="2"/>
        <v>14.718359151193944</v>
      </c>
      <c r="AQ31" s="22"/>
      <c r="AR31" s="22">
        <v>14.718359151193944</v>
      </c>
      <c r="AS31" s="374"/>
      <c r="AT31">
        <f t="shared" si="3"/>
        <v>101</v>
      </c>
      <c r="AU31" s="40" t="str">
        <f t="shared" si="4"/>
        <v/>
      </c>
      <c r="AV31">
        <f t="shared" si="20"/>
        <v>6.8814461681478001</v>
      </c>
      <c r="AW31" t="str">
        <f t="shared" si="21"/>
        <v/>
      </c>
      <c r="AX31" t="str">
        <f t="shared" si="22"/>
        <v/>
      </c>
      <c r="AY31" s="40" t="str">
        <f t="shared" si="5"/>
        <v/>
      </c>
    </row>
    <row r="32" spans="1:51">
      <c r="A32" s="59">
        <v>606.99112448763299</v>
      </c>
      <c r="B32" s="48" t="s">
        <v>230</v>
      </c>
      <c r="C32" s="22">
        <v>0.23154444444444441</v>
      </c>
      <c r="D32" s="22">
        <v>6.4321751667865703</v>
      </c>
      <c r="E32" s="62">
        <f t="shared" si="6"/>
        <v>7.2357638888888879E-3</v>
      </c>
      <c r="F32" s="62">
        <f t="shared" si="7"/>
        <v>0.11486027083547447</v>
      </c>
      <c r="G32" s="465">
        <v>0</v>
      </c>
      <c r="H32">
        <v>0.2</v>
      </c>
      <c r="I32">
        <v>0.6</v>
      </c>
      <c r="J32">
        <v>0.7</v>
      </c>
      <c r="K32">
        <v>0.8</v>
      </c>
      <c r="L32">
        <v>0.9</v>
      </c>
      <c r="M32" s="40">
        <v>0.95</v>
      </c>
      <c r="N32" s="24">
        <f t="shared" si="8"/>
        <v>15.873966121510941</v>
      </c>
      <c r="O32" s="24">
        <f t="shared" si="9"/>
        <v>12.899172897208754</v>
      </c>
      <c r="P32" s="24">
        <f t="shared" si="10"/>
        <v>6.9495864486043759</v>
      </c>
      <c r="Q32" s="24">
        <f t="shared" si="11"/>
        <v>5.462189836453283</v>
      </c>
      <c r="R32" s="24">
        <f t="shared" si="23"/>
        <v>3.9747932243021875</v>
      </c>
      <c r="S32" s="24">
        <f t="shared" si="12"/>
        <v>2.4873966121510938</v>
      </c>
      <c r="T32" s="29">
        <f t="shared" si="13"/>
        <v>1.7436983060755478</v>
      </c>
      <c r="U32" s="24" t="str">
        <f t="shared" si="14"/>
        <v/>
      </c>
      <c r="V32" s="24">
        <f t="shared" si="27"/>
        <v>3.9747932243021875</v>
      </c>
      <c r="W32" s="24" t="str">
        <f t="shared" si="1"/>
        <v/>
      </c>
      <c r="AA32" s="59">
        <v>606.99112448763299</v>
      </c>
      <c r="AB32" s="24">
        <v>15.873966121510941</v>
      </c>
      <c r="AC32">
        <f t="shared" si="15"/>
        <v>15.873966121510941</v>
      </c>
      <c r="AD32" t="str">
        <f t="shared" si="16"/>
        <v/>
      </c>
      <c r="AE32" t="str">
        <f t="shared" si="17"/>
        <v/>
      </c>
      <c r="AH32" s="48" t="s">
        <v>230</v>
      </c>
      <c r="AI32" s="22">
        <v>42</v>
      </c>
      <c r="AJ32" s="22">
        <v>0.23154444444444441</v>
      </c>
      <c r="AK32" s="22">
        <v>6.4321751667865703</v>
      </c>
      <c r="AL32" s="22">
        <v>0.51059962649233603</v>
      </c>
      <c r="AM32" s="29">
        <v>606.99112448763299</v>
      </c>
      <c r="AN32" s="24">
        <f t="shared" si="18"/>
        <v>12.597297046560051</v>
      </c>
      <c r="AO32" s="22">
        <f t="shared" si="19"/>
        <v>12.372345313585765</v>
      </c>
      <c r="AP32" s="22">
        <f t="shared" si="2"/>
        <v>15.873966121510941</v>
      </c>
      <c r="AQ32" s="22"/>
      <c r="AR32" s="22"/>
      <c r="AS32" s="374">
        <v>15.873966121510941</v>
      </c>
      <c r="AT32" t="str">
        <f t="shared" si="3"/>
        <v/>
      </c>
      <c r="AU32" s="40">
        <f t="shared" si="4"/>
        <v>42</v>
      </c>
      <c r="AV32" t="str">
        <f t="shared" si="20"/>
        <v/>
      </c>
      <c r="AW32" t="str">
        <f t="shared" si="21"/>
        <v/>
      </c>
      <c r="AX32" t="str">
        <f t="shared" si="22"/>
        <v/>
      </c>
      <c r="AY32" s="40">
        <f t="shared" si="5"/>
        <v>6.4321751667865703</v>
      </c>
    </row>
    <row r="33" spans="1:51">
      <c r="A33" s="59">
        <v>1946.5845817780255</v>
      </c>
      <c r="B33" t="s">
        <v>232</v>
      </c>
      <c r="C33" s="22">
        <v>0.19592222222222222</v>
      </c>
      <c r="D33" s="22">
        <v>4.6566704177515899</v>
      </c>
      <c r="E33" s="62">
        <f t="shared" si="6"/>
        <v>6.1225694444444444E-3</v>
      </c>
      <c r="F33" s="62">
        <f t="shared" si="7"/>
        <v>8.3154828888421253E-2</v>
      </c>
      <c r="G33" s="465">
        <v>0</v>
      </c>
      <c r="H33">
        <v>0.2</v>
      </c>
      <c r="I33">
        <v>0.6</v>
      </c>
      <c r="J33">
        <v>0.7</v>
      </c>
      <c r="K33">
        <v>0.8</v>
      </c>
      <c r="L33">
        <v>0.9</v>
      </c>
      <c r="M33" s="40">
        <v>0.95</v>
      </c>
      <c r="N33" s="24">
        <f t="shared" si="8"/>
        <v>13.581688152818762</v>
      </c>
      <c r="O33" s="24">
        <f t="shared" si="9"/>
        <v>11.065350522255009</v>
      </c>
      <c r="P33" s="24">
        <f t="shared" si="10"/>
        <v>6.0326752611275039</v>
      </c>
      <c r="Q33" s="24">
        <f t="shared" si="11"/>
        <v>4.7745064458456294</v>
      </c>
      <c r="R33" s="24">
        <f t="shared" si="23"/>
        <v>3.5163376305637515</v>
      </c>
      <c r="S33" s="24">
        <f t="shared" si="12"/>
        <v>2.2581688152818757</v>
      </c>
      <c r="T33" s="29">
        <f t="shared" si="13"/>
        <v>1.6290844076409385</v>
      </c>
      <c r="U33" s="24">
        <f t="shared" si="14"/>
        <v>6.0326752611275039</v>
      </c>
      <c r="V33" s="24" t="str">
        <f t="shared" si="27"/>
        <v/>
      </c>
      <c r="W33" s="24" t="str">
        <f t="shared" si="1"/>
        <v/>
      </c>
      <c r="AA33" s="59">
        <v>1946.5845817780255</v>
      </c>
      <c r="AB33" s="24">
        <v>13.581688152818762</v>
      </c>
      <c r="AC33" t="str">
        <f t="shared" si="15"/>
        <v/>
      </c>
      <c r="AD33">
        <f t="shared" si="16"/>
        <v>13.581688152818762</v>
      </c>
      <c r="AE33" t="str">
        <f t="shared" si="17"/>
        <v/>
      </c>
      <c r="AH33" t="s">
        <v>232</v>
      </c>
      <c r="AI33" s="22">
        <v>29</v>
      </c>
      <c r="AJ33" s="22">
        <v>0.19592222222222222</v>
      </c>
      <c r="AK33" s="22">
        <v>4.6566704177515899</v>
      </c>
      <c r="AL33" s="22">
        <v>1.1679238937693499</v>
      </c>
      <c r="AM33" s="59">
        <v>1946.5845817780255</v>
      </c>
      <c r="AN33" s="24">
        <f t="shared" si="18"/>
        <v>3.9871351571742251</v>
      </c>
      <c r="AO33" s="22">
        <f t="shared" si="19"/>
        <v>3.9159363150818285</v>
      </c>
      <c r="AP33" s="22">
        <f t="shared" si="2"/>
        <v>13.581688152818762</v>
      </c>
      <c r="AQ33" s="22"/>
      <c r="AR33" s="22">
        <v>13.581688152818762</v>
      </c>
      <c r="AS33" s="374"/>
      <c r="AT33">
        <f t="shared" si="3"/>
        <v>29</v>
      </c>
      <c r="AU33" s="40" t="str">
        <f t="shared" si="4"/>
        <v/>
      </c>
      <c r="AV33">
        <f t="shared" si="20"/>
        <v>4.6566704177515899</v>
      </c>
      <c r="AW33" t="str">
        <f t="shared" si="21"/>
        <v/>
      </c>
      <c r="AX33" t="str">
        <f t="shared" si="22"/>
        <v/>
      </c>
      <c r="AY33" s="40" t="str">
        <f t="shared" si="5"/>
        <v/>
      </c>
    </row>
    <row r="34" spans="1:51">
      <c r="A34" s="59">
        <v>10123.158243273032</v>
      </c>
      <c r="B34" s="48" t="s">
        <v>234</v>
      </c>
      <c r="C34" s="22">
        <v>1.1933444444444445</v>
      </c>
      <c r="D34" s="22">
        <v>1.6005894160555101</v>
      </c>
      <c r="E34" s="62">
        <f t="shared" si="6"/>
        <v>3.7292013888888892E-2</v>
      </c>
      <c r="F34" s="62">
        <f t="shared" si="7"/>
        <v>2.8581953858134109E-2</v>
      </c>
      <c r="G34" s="465">
        <v>0</v>
      </c>
      <c r="H34">
        <v>0.2</v>
      </c>
      <c r="I34">
        <v>0.6</v>
      </c>
      <c r="J34">
        <v>0.7</v>
      </c>
      <c r="K34">
        <v>0.8</v>
      </c>
      <c r="L34">
        <v>0.9</v>
      </c>
      <c r="M34" s="40">
        <v>0.95</v>
      </c>
      <c r="N34" s="24">
        <f t="shared" si="8"/>
        <v>0.76643631913507537</v>
      </c>
      <c r="O34" s="24">
        <f t="shared" si="9"/>
        <v>0.81314905530806025</v>
      </c>
      <c r="P34" s="24">
        <f t="shared" si="10"/>
        <v>0.90657452765403002</v>
      </c>
      <c r="Q34" s="24">
        <f t="shared" si="11"/>
        <v>0.92993089574052268</v>
      </c>
      <c r="R34" s="24">
        <f t="shared" si="23"/>
        <v>0.95328726382701512</v>
      </c>
      <c r="S34" s="24">
        <f t="shared" si="12"/>
        <v>0.97664363191350767</v>
      </c>
      <c r="T34" s="29">
        <f t="shared" si="13"/>
        <v>0.98832181595675372</v>
      </c>
      <c r="U34" s="24">
        <f t="shared" si="14"/>
        <v>0.90657452765403002</v>
      </c>
      <c r="V34" s="24" t="str">
        <f t="shared" si="27"/>
        <v/>
      </c>
      <c r="W34" s="24">
        <f t="shared" si="1"/>
        <v>0.95328726382701512</v>
      </c>
      <c r="AA34" s="59">
        <v>10123.158243273032</v>
      </c>
      <c r="AB34" s="24">
        <v>0.76643631913507537</v>
      </c>
      <c r="AC34" t="str">
        <f t="shared" si="15"/>
        <v/>
      </c>
      <c r="AD34">
        <f t="shared" si="16"/>
        <v>0.76643631913507537</v>
      </c>
      <c r="AE34">
        <f t="shared" si="17"/>
        <v>0.76643631913507537</v>
      </c>
      <c r="AH34" s="48" t="s">
        <v>234</v>
      </c>
      <c r="AI34" s="22">
        <v>88</v>
      </c>
      <c r="AJ34" s="22">
        <v>1.1933444444444445</v>
      </c>
      <c r="AK34" s="22">
        <v>1.6005894160555101</v>
      </c>
      <c r="AL34" s="22">
        <v>1.0853119418153701</v>
      </c>
      <c r="AM34" s="59">
        <v>10123.158243273032</v>
      </c>
      <c r="AN34" s="24">
        <f t="shared" si="18"/>
        <v>1.4747736152043533</v>
      </c>
      <c r="AO34" s="22">
        <f t="shared" si="19"/>
        <v>1.4484383720757041</v>
      </c>
      <c r="AP34" s="22">
        <f t="shared" si="2"/>
        <v>0.76643631913507537</v>
      </c>
      <c r="AQ34" s="22">
        <v>0.76643631913507537</v>
      </c>
      <c r="AR34" s="22">
        <v>0.76643631913507537</v>
      </c>
      <c r="AS34" s="374"/>
      <c r="AT34">
        <f t="shared" si="3"/>
        <v>88</v>
      </c>
      <c r="AU34" s="40" t="str">
        <f t="shared" si="4"/>
        <v/>
      </c>
      <c r="AV34">
        <f t="shared" si="20"/>
        <v>1.6005894160555101</v>
      </c>
      <c r="AW34">
        <f t="shared" si="21"/>
        <v>1.6005894160555101</v>
      </c>
      <c r="AX34">
        <f t="shared" si="22"/>
        <v>1.0853119418153701</v>
      </c>
      <c r="AY34" s="40" t="str">
        <f t="shared" si="5"/>
        <v/>
      </c>
    </row>
    <row r="35" spans="1:51">
      <c r="A35" s="59">
        <v>707.26364243081412</v>
      </c>
      <c r="B35" s="48" t="s">
        <v>236</v>
      </c>
      <c r="C35" s="22">
        <v>0.10686666666666667</v>
      </c>
      <c r="D35" s="22">
        <v>2.0326463153345502</v>
      </c>
      <c r="E35" s="62">
        <f t="shared" si="6"/>
        <v>3.3395833333333333E-3</v>
      </c>
      <c r="F35" s="62">
        <f t="shared" si="7"/>
        <v>3.6297255630974114E-2</v>
      </c>
      <c r="G35" s="465">
        <v>0</v>
      </c>
      <c r="H35">
        <v>0.2</v>
      </c>
      <c r="I35">
        <v>0.6</v>
      </c>
      <c r="J35">
        <v>0.7</v>
      </c>
      <c r="K35">
        <v>0.8</v>
      </c>
      <c r="L35">
        <v>0.9</v>
      </c>
      <c r="M35" s="40">
        <v>0.95</v>
      </c>
      <c r="N35" s="24">
        <f t="shared" si="8"/>
        <v>10.868797693616703</v>
      </c>
      <c r="O35" s="24">
        <f t="shared" si="9"/>
        <v>8.8950381548933635</v>
      </c>
      <c r="P35" s="24">
        <f t="shared" si="10"/>
        <v>4.9475190774466808</v>
      </c>
      <c r="Q35" s="24">
        <f t="shared" si="11"/>
        <v>3.9606393080850113</v>
      </c>
      <c r="R35" s="24">
        <f t="shared" si="23"/>
        <v>2.9737595387233404</v>
      </c>
      <c r="S35" s="24">
        <f t="shared" si="12"/>
        <v>1.98687976936167</v>
      </c>
      <c r="T35" s="29">
        <f t="shared" si="13"/>
        <v>1.4934398846808354</v>
      </c>
      <c r="U35" s="24" t="str">
        <f t="shared" si="14"/>
        <v/>
      </c>
      <c r="V35" s="24">
        <f t="shared" si="27"/>
        <v>2.9737595387233404</v>
      </c>
      <c r="W35" s="24" t="str">
        <f t="shared" ref="W35:W54" si="28">IF(A35&gt;8000,R35,"")</f>
        <v/>
      </c>
      <c r="AA35" s="59">
        <v>707.26364243081412</v>
      </c>
      <c r="AB35" s="24">
        <v>10.868797693616703</v>
      </c>
      <c r="AC35">
        <f t="shared" ref="AC35:AC54" si="29">IF(AA35&lt;1000,AB35,"")</f>
        <v>10.868797693616703</v>
      </c>
      <c r="AD35" t="str">
        <f t="shared" si="16"/>
        <v/>
      </c>
      <c r="AE35" t="str">
        <f t="shared" si="17"/>
        <v/>
      </c>
      <c r="AH35" s="48" t="s">
        <v>236</v>
      </c>
      <c r="AI35" s="22">
        <v>136</v>
      </c>
      <c r="AJ35" s="22">
        <v>0.10686666666666667</v>
      </c>
      <c r="AK35" s="22">
        <v>2.0326463153345502</v>
      </c>
      <c r="AL35" s="22">
        <v>1.3445663786947799</v>
      </c>
      <c r="AM35" s="29">
        <v>707.26364243081412</v>
      </c>
      <c r="AN35" s="24">
        <f t="shared" si="18"/>
        <v>1.5117485812100364</v>
      </c>
      <c r="AO35" s="22">
        <f t="shared" si="19"/>
        <v>1.4847530708312859</v>
      </c>
      <c r="AP35" s="22">
        <f t="shared" ref="AP35:AP54" si="30">(AK35/56)/(AJ35/32)</f>
        <v>10.868797693616703</v>
      </c>
      <c r="AQ35" s="22"/>
      <c r="AR35" s="22"/>
      <c r="AS35" s="374">
        <v>10.868797693616703</v>
      </c>
      <c r="AT35" t="str">
        <f t="shared" ref="AT35:AT61" si="31">IF(AM35&gt;1000,AI35,"")</f>
        <v/>
      </c>
      <c r="AU35" s="40">
        <f t="shared" ref="AU35:AU61" si="32">IF(AM35&lt;1000,AI35,"")</f>
        <v>136</v>
      </c>
      <c r="AV35" t="str">
        <f t="shared" si="20"/>
        <v/>
      </c>
      <c r="AW35" t="str">
        <f t="shared" si="21"/>
        <v/>
      </c>
      <c r="AX35" t="str">
        <f t="shared" si="22"/>
        <v/>
      </c>
      <c r="AY35" s="40">
        <f t="shared" si="5"/>
        <v>2.0326463153345502</v>
      </c>
    </row>
    <row r="36" spans="1:51">
      <c r="A36" s="59">
        <v>305.70133444855048</v>
      </c>
      <c r="B36" t="s">
        <v>238</v>
      </c>
      <c r="C36" s="22">
        <v>8.9055555555555554E-2</v>
      </c>
      <c r="D36" s="22">
        <v>4.0587019959145696</v>
      </c>
      <c r="E36" s="62">
        <f t="shared" si="6"/>
        <v>2.7829861111111111E-3</v>
      </c>
      <c r="F36" s="62">
        <f t="shared" si="7"/>
        <v>7.247682135561731E-2</v>
      </c>
      <c r="G36" s="465">
        <v>0</v>
      </c>
      <c r="H36">
        <v>0.2</v>
      </c>
      <c r="I36">
        <v>0.6</v>
      </c>
      <c r="J36">
        <v>0.7</v>
      </c>
      <c r="K36">
        <v>0.8</v>
      </c>
      <c r="L36">
        <v>0.9</v>
      </c>
      <c r="M36" s="40">
        <v>0.95</v>
      </c>
      <c r="N36" s="24">
        <f t="shared" ref="N36:N54" si="33">($F36+G36/(1-G36)*$E36)/($E36/(1-G36))</f>
        <v>26.042825390415203</v>
      </c>
      <c r="O36" s="24">
        <f t="shared" ref="O36:O54" si="34">($F36+H36/(1-H36)*$E36)/($E36/(1-H36))</f>
        <v>21.034260312332162</v>
      </c>
      <c r="P36" s="24">
        <f t="shared" ref="P36:P54" si="35">($F36+I36/(1-I36)*$E36)/($E36/(1-I36))</f>
        <v>11.017130156166081</v>
      </c>
      <c r="Q36" s="24">
        <f t="shared" ref="Q36:Q54" si="36">($F36+J36/(1-J36)*$E36)/($E36/(1-J36))</f>
        <v>8.5128476171245619</v>
      </c>
      <c r="R36" s="24">
        <f t="shared" si="23"/>
        <v>6.0085650780830395</v>
      </c>
      <c r="S36" s="24">
        <f t="shared" si="12"/>
        <v>3.5042825390415193</v>
      </c>
      <c r="T36" s="29">
        <f t="shared" si="13"/>
        <v>2.2521412695207617</v>
      </c>
      <c r="U36" s="24" t="str">
        <f t="shared" si="14"/>
        <v/>
      </c>
      <c r="V36" s="24">
        <f t="shared" si="27"/>
        <v>6.0085650780830395</v>
      </c>
      <c r="W36" s="24" t="str">
        <f t="shared" si="28"/>
        <v/>
      </c>
      <c r="AA36" s="59">
        <v>305.70133444855048</v>
      </c>
      <c r="AB36" s="24">
        <v>26.042825390415203</v>
      </c>
      <c r="AC36">
        <f t="shared" si="29"/>
        <v>26.042825390415203</v>
      </c>
      <c r="AD36" t="str">
        <f t="shared" si="16"/>
        <v/>
      </c>
      <c r="AE36" t="str">
        <f t="shared" si="17"/>
        <v/>
      </c>
      <c r="AH36" t="s">
        <v>238</v>
      </c>
      <c r="AI36" s="22">
        <v>204</v>
      </c>
      <c r="AJ36" s="22">
        <v>8.9055555555555554E-2</v>
      </c>
      <c r="AK36" s="22">
        <v>4.0587019959145696</v>
      </c>
      <c r="AL36" s="22">
        <v>0.91956714965754005</v>
      </c>
      <c r="AM36" s="29">
        <v>305.70133444855048</v>
      </c>
      <c r="AN36" s="24">
        <f t="shared" si="18"/>
        <v>4.4137092081052351</v>
      </c>
      <c r="AO36" s="22">
        <f t="shared" si="19"/>
        <v>4.3348929722462133</v>
      </c>
      <c r="AP36" s="22">
        <f t="shared" si="30"/>
        <v>26.042825390415203</v>
      </c>
      <c r="AQ36" s="22"/>
      <c r="AR36" s="22"/>
      <c r="AS36" s="374">
        <v>26.042825390415203</v>
      </c>
      <c r="AT36" t="str">
        <f t="shared" si="31"/>
        <v/>
      </c>
      <c r="AU36" s="40">
        <f t="shared" si="32"/>
        <v>204</v>
      </c>
      <c r="AV36" t="str">
        <f t="shared" si="20"/>
        <v/>
      </c>
      <c r="AW36" t="str">
        <f t="shared" si="21"/>
        <v/>
      </c>
      <c r="AX36" t="str">
        <f t="shared" si="22"/>
        <v/>
      </c>
      <c r="AY36" s="40">
        <f t="shared" si="5"/>
        <v>4.0587019959145696</v>
      </c>
    </row>
    <row r="37" spans="1:51">
      <c r="A37" s="29">
        <v>26.329635294249172</v>
      </c>
      <c r="B37" s="318" t="s">
        <v>240</v>
      </c>
      <c r="C37" s="22">
        <v>3.5622222222222229E-2</v>
      </c>
      <c r="D37" s="22">
        <v>14.889529466079001</v>
      </c>
      <c r="E37" s="62">
        <f t="shared" si="6"/>
        <v>1.1131944444444446E-3</v>
      </c>
      <c r="F37" s="62">
        <f t="shared" si="7"/>
        <v>0.2658844547514107</v>
      </c>
      <c r="G37" s="465">
        <v>0</v>
      </c>
      <c r="H37">
        <v>0.2</v>
      </c>
      <c r="I37">
        <v>0.6</v>
      </c>
      <c r="J37">
        <v>0.7</v>
      </c>
      <c r="K37">
        <v>0.8</v>
      </c>
      <c r="L37">
        <v>0.9</v>
      </c>
      <c r="M37" s="40">
        <v>0.95</v>
      </c>
      <c r="N37" s="24">
        <f t="shared" si="33"/>
        <v>238.84816895947057</v>
      </c>
      <c r="O37" s="24">
        <f t="shared" si="34"/>
        <v>191.27853516757648</v>
      </c>
      <c r="P37" s="24">
        <f t="shared" si="35"/>
        <v>96.139267583788225</v>
      </c>
      <c r="Q37" s="24">
        <f t="shared" si="36"/>
        <v>72.35445068784118</v>
      </c>
      <c r="R37" s="24">
        <f t="shared" si="23"/>
        <v>48.569633791894105</v>
      </c>
      <c r="S37" s="24">
        <f t="shared" si="12"/>
        <v>24.784816895947053</v>
      </c>
      <c r="T37" s="29">
        <f t="shared" si="13"/>
        <v>12.892408447973541</v>
      </c>
      <c r="U37" s="24" t="str">
        <f t="shared" si="14"/>
        <v/>
      </c>
      <c r="V37" s="24">
        <f t="shared" si="27"/>
        <v>48.569633791894105</v>
      </c>
      <c r="W37" s="24" t="str">
        <f t="shared" si="28"/>
        <v/>
      </c>
      <c r="AA37" s="29">
        <v>26.329635294249172</v>
      </c>
      <c r="AB37" s="24">
        <v>238.84816895947057</v>
      </c>
      <c r="AC37">
        <f t="shared" si="29"/>
        <v>238.84816895947057</v>
      </c>
      <c r="AD37" t="str">
        <f t="shared" si="16"/>
        <v/>
      </c>
      <c r="AE37" t="str">
        <f t="shared" si="17"/>
        <v/>
      </c>
      <c r="AH37" s="318" t="s">
        <v>240</v>
      </c>
      <c r="AI37" s="320">
        <v>169</v>
      </c>
      <c r="AJ37" s="22">
        <v>3.5622222222222229E-2</v>
      </c>
      <c r="AK37" s="320">
        <v>14.889529466079001</v>
      </c>
      <c r="AL37" s="22">
        <v>1.65358823793106</v>
      </c>
      <c r="AM37" s="29">
        <v>26.329635294249172</v>
      </c>
      <c r="AN37" s="24">
        <f t="shared" si="18"/>
        <v>9.0043755298528936</v>
      </c>
      <c r="AO37" s="22">
        <f t="shared" si="19"/>
        <v>8.8435831096769473</v>
      </c>
      <c r="AP37" s="22">
        <f t="shared" si="30"/>
        <v>238.84816895947057</v>
      </c>
      <c r="AQ37" s="22"/>
      <c r="AR37" s="22"/>
      <c r="AS37" s="374">
        <v>238.84816895947057</v>
      </c>
      <c r="AT37" t="str">
        <f t="shared" si="31"/>
        <v/>
      </c>
      <c r="AU37" s="40">
        <f t="shared" si="32"/>
        <v>169</v>
      </c>
      <c r="AV37" t="str">
        <f t="shared" si="20"/>
        <v/>
      </c>
      <c r="AW37" t="str">
        <f t="shared" si="21"/>
        <v/>
      </c>
      <c r="AX37" t="str">
        <f t="shared" si="22"/>
        <v/>
      </c>
      <c r="AY37" s="40">
        <f t="shared" si="5"/>
        <v>14.889529466079001</v>
      </c>
    </row>
    <row r="38" spans="1:51">
      <c r="A38" s="29">
        <v>28.481094482810178</v>
      </c>
      <c r="B38" t="s">
        <v>242</v>
      </c>
      <c r="C38" s="22">
        <v>5.3433333333333333E-2</v>
      </c>
      <c r="D38" s="22">
        <v>15.026182223749601</v>
      </c>
      <c r="E38" s="62">
        <f t="shared" si="6"/>
        <v>1.6697916666666666E-3</v>
      </c>
      <c r="F38" s="62">
        <f t="shared" si="7"/>
        <v>0.26832468256695713</v>
      </c>
      <c r="G38" s="465">
        <v>0</v>
      </c>
      <c r="H38">
        <v>0.2</v>
      </c>
      <c r="I38">
        <v>0.6</v>
      </c>
      <c r="J38">
        <v>0.7</v>
      </c>
      <c r="K38">
        <v>0.8</v>
      </c>
      <c r="L38">
        <v>0.9</v>
      </c>
      <c r="M38" s="40">
        <v>0.95</v>
      </c>
      <c r="N38" s="24">
        <f t="shared" si="33"/>
        <v>160.69350921040478</v>
      </c>
      <c r="O38" s="24">
        <f t="shared" si="34"/>
        <v>128.75480736832381</v>
      </c>
      <c r="P38" s="24">
        <f t="shared" si="35"/>
        <v>64.877403684161905</v>
      </c>
      <c r="Q38" s="24">
        <f t="shared" si="36"/>
        <v>48.908052763121439</v>
      </c>
      <c r="R38" s="24">
        <f t="shared" si="23"/>
        <v>32.938701842080945</v>
      </c>
      <c r="S38" s="24">
        <f t="shared" si="12"/>
        <v>16.969350921040473</v>
      </c>
      <c r="T38" s="29">
        <f t="shared" si="13"/>
        <v>8.9846754605202452</v>
      </c>
      <c r="U38" s="24" t="str">
        <f t="shared" si="14"/>
        <v/>
      </c>
      <c r="V38" s="24">
        <f t="shared" si="27"/>
        <v>32.938701842080945</v>
      </c>
      <c r="W38" s="24" t="str">
        <f t="shared" si="28"/>
        <v/>
      </c>
      <c r="AA38" s="29">
        <v>28.481094482810178</v>
      </c>
      <c r="AB38" s="24">
        <v>160.69350921040478</v>
      </c>
      <c r="AC38">
        <f t="shared" si="29"/>
        <v>160.69350921040478</v>
      </c>
      <c r="AD38" t="str">
        <f t="shared" si="16"/>
        <v/>
      </c>
      <c r="AE38" t="str">
        <f t="shared" si="17"/>
        <v/>
      </c>
      <c r="AH38" t="s">
        <v>242</v>
      </c>
      <c r="AI38" s="22">
        <v>204</v>
      </c>
      <c r="AJ38" s="22">
        <v>5.3433333333333333E-2</v>
      </c>
      <c r="AK38" s="22">
        <v>15.026182223749601</v>
      </c>
      <c r="AL38" s="22">
        <v>1.4641103789172401</v>
      </c>
      <c r="AM38" s="29">
        <v>28.481094482810178</v>
      </c>
      <c r="AN38" s="24">
        <f t="shared" si="18"/>
        <v>10.26301188771162</v>
      </c>
      <c r="AO38" s="22">
        <f t="shared" si="19"/>
        <v>10.079743818288199</v>
      </c>
      <c r="AP38" s="22">
        <f t="shared" si="30"/>
        <v>160.69350921040478</v>
      </c>
      <c r="AQ38" s="22"/>
      <c r="AR38" s="22"/>
      <c r="AS38" s="374">
        <v>160.69350921040478</v>
      </c>
      <c r="AT38" t="str">
        <f t="shared" si="31"/>
        <v/>
      </c>
      <c r="AU38" s="40">
        <f t="shared" si="32"/>
        <v>204</v>
      </c>
      <c r="AV38" t="str">
        <f t="shared" si="20"/>
        <v/>
      </c>
      <c r="AW38" t="str">
        <f t="shared" si="21"/>
        <v/>
      </c>
      <c r="AX38" t="str">
        <f t="shared" si="22"/>
        <v/>
      </c>
      <c r="AY38" s="40">
        <f t="shared" si="5"/>
        <v>15.026182223749601</v>
      </c>
    </row>
    <row r="39" spans="1:51">
      <c r="A39" s="29">
        <v>19.78754889643178</v>
      </c>
      <c r="B39" t="s">
        <v>244</v>
      </c>
      <c r="C39" s="22">
        <v>7.1244444444444457E-2</v>
      </c>
      <c r="D39" s="22">
        <v>11.6569911158049</v>
      </c>
      <c r="E39" s="62">
        <f t="shared" si="6"/>
        <v>2.2263888888888893E-3</v>
      </c>
      <c r="F39" s="62">
        <f t="shared" si="7"/>
        <v>0.20816055563937322</v>
      </c>
      <c r="G39" s="465">
        <v>0</v>
      </c>
      <c r="H39">
        <v>0.2</v>
      </c>
      <c r="I39">
        <v>0.6</v>
      </c>
      <c r="J39">
        <v>0.7</v>
      </c>
      <c r="K39">
        <v>0.8</v>
      </c>
      <c r="L39">
        <v>0.9</v>
      </c>
      <c r="M39" s="40">
        <v>0.95</v>
      </c>
      <c r="N39" s="24">
        <f t="shared" si="33"/>
        <v>93.496943269088391</v>
      </c>
      <c r="O39" s="24">
        <f t="shared" si="34"/>
        <v>74.997554615270715</v>
      </c>
      <c r="P39" s="24">
        <f t="shared" si="35"/>
        <v>37.998777307635358</v>
      </c>
      <c r="Q39" s="24">
        <f t="shared" si="36"/>
        <v>28.749082980726524</v>
      </c>
      <c r="R39" s="24">
        <f t="shared" si="23"/>
        <v>19.499388653817672</v>
      </c>
      <c r="S39" s="24">
        <f t="shared" si="12"/>
        <v>10.249694326908836</v>
      </c>
      <c r="T39" s="29">
        <f t="shared" si="13"/>
        <v>5.6248471634544233</v>
      </c>
      <c r="U39" s="24" t="str">
        <f t="shared" si="14"/>
        <v/>
      </c>
      <c r="V39" s="24">
        <f t="shared" si="27"/>
        <v>19.499388653817672</v>
      </c>
      <c r="W39" s="24" t="str">
        <f t="shared" si="28"/>
        <v/>
      </c>
      <c r="AA39" s="29">
        <v>19.78754889643178</v>
      </c>
      <c r="AB39" s="24">
        <v>93.496943269088391</v>
      </c>
      <c r="AC39">
        <f t="shared" si="29"/>
        <v>93.496943269088391</v>
      </c>
      <c r="AD39" t="str">
        <f t="shared" si="16"/>
        <v/>
      </c>
      <c r="AE39" t="str">
        <f t="shared" si="17"/>
        <v/>
      </c>
      <c r="AH39" t="s">
        <v>244</v>
      </c>
      <c r="AI39" s="22">
        <v>169</v>
      </c>
      <c r="AJ39" s="22">
        <v>7.1244444444444457E-2</v>
      </c>
      <c r="AK39" s="22">
        <v>11.6569911158049</v>
      </c>
      <c r="AL39" s="22">
        <v>1.26282141564323</v>
      </c>
      <c r="AM39" s="29">
        <v>19.78754889643178</v>
      </c>
      <c r="AN39" s="24">
        <f t="shared" si="18"/>
        <v>9.2309102232537779</v>
      </c>
      <c r="AO39" s="22">
        <f t="shared" si="19"/>
        <v>9.066072540695675</v>
      </c>
      <c r="AP39" s="22">
        <f t="shared" si="30"/>
        <v>93.496943269088391</v>
      </c>
      <c r="AQ39" s="22"/>
      <c r="AR39" s="22"/>
      <c r="AS39" s="374">
        <v>93.496943269088391</v>
      </c>
      <c r="AT39" t="str">
        <f t="shared" si="31"/>
        <v/>
      </c>
      <c r="AU39" s="40">
        <f t="shared" si="32"/>
        <v>169</v>
      </c>
      <c r="AV39" t="str">
        <f t="shared" si="20"/>
        <v/>
      </c>
      <c r="AW39" t="str">
        <f t="shared" si="21"/>
        <v/>
      </c>
      <c r="AX39" t="str">
        <f t="shared" si="22"/>
        <v/>
      </c>
      <c r="AY39" s="40">
        <f t="shared" si="5"/>
        <v>11.6569911158049</v>
      </c>
    </row>
    <row r="40" spans="1:51">
      <c r="A40" s="29">
        <v>33.438457743231837</v>
      </c>
      <c r="B40" t="s">
        <v>246</v>
      </c>
      <c r="C40" s="22">
        <v>8.9055555555555554E-2</v>
      </c>
      <c r="D40" s="22">
        <v>9.0513954763816606</v>
      </c>
      <c r="E40" s="62">
        <f t="shared" si="6"/>
        <v>2.7829861111111111E-3</v>
      </c>
      <c r="F40" s="62">
        <f t="shared" si="7"/>
        <v>0.16163206207824393</v>
      </c>
      <c r="G40" s="465">
        <v>0</v>
      </c>
      <c r="H40">
        <v>0.2</v>
      </c>
      <c r="I40">
        <v>0.6</v>
      </c>
      <c r="J40">
        <v>0.7</v>
      </c>
      <c r="K40">
        <v>0.8</v>
      </c>
      <c r="L40">
        <v>0.9</v>
      </c>
      <c r="M40" s="40">
        <v>0.95</v>
      </c>
      <c r="N40" s="24">
        <f t="shared" si="33"/>
        <v>58.078644889000941</v>
      </c>
      <c r="O40" s="24">
        <f t="shared" si="34"/>
        <v>46.662915911200756</v>
      </c>
      <c r="P40" s="24">
        <f t="shared" si="35"/>
        <v>23.831457955600374</v>
      </c>
      <c r="Q40" s="24">
        <f t="shared" si="36"/>
        <v>18.123593466700282</v>
      </c>
      <c r="R40" s="24">
        <f t="shared" si="23"/>
        <v>12.415728977800185</v>
      </c>
      <c r="S40" s="24">
        <f t="shared" si="12"/>
        <v>6.7078644889000918</v>
      </c>
      <c r="T40" s="29">
        <f t="shared" si="13"/>
        <v>3.853932244450049</v>
      </c>
      <c r="U40" s="24" t="str">
        <f t="shared" si="14"/>
        <v/>
      </c>
      <c r="V40" s="24">
        <f t="shared" si="27"/>
        <v>12.415728977800185</v>
      </c>
      <c r="W40" s="24" t="str">
        <f t="shared" si="28"/>
        <v/>
      </c>
      <c r="AA40" s="29">
        <v>33.438457743231837</v>
      </c>
      <c r="AB40" s="24">
        <v>58.078644889000941</v>
      </c>
      <c r="AC40">
        <f t="shared" si="29"/>
        <v>58.078644889000941</v>
      </c>
      <c r="AD40" t="str">
        <f t="shared" si="16"/>
        <v/>
      </c>
      <c r="AE40" t="str">
        <f t="shared" si="17"/>
        <v/>
      </c>
      <c r="AH40" t="s">
        <v>246</v>
      </c>
      <c r="AI40" s="22">
        <v>141</v>
      </c>
      <c r="AJ40" s="22">
        <v>8.9055555555555554E-2</v>
      </c>
      <c r="AK40" s="22">
        <v>9.0513954763816606</v>
      </c>
      <c r="AL40" s="22">
        <v>0.59165561802057098</v>
      </c>
      <c r="AM40" s="29">
        <v>33.438457743231837</v>
      </c>
      <c r="AN40" s="24">
        <f t="shared" si="18"/>
        <v>15.298418878643957</v>
      </c>
      <c r="AO40" s="22">
        <f t="shared" si="19"/>
        <v>15.025232827239599</v>
      </c>
      <c r="AP40" s="22">
        <f t="shared" si="30"/>
        <v>58.078644889000941</v>
      </c>
      <c r="AQ40" s="22"/>
      <c r="AR40" s="22"/>
      <c r="AS40" s="374">
        <v>58.078644889000941</v>
      </c>
      <c r="AT40" t="str">
        <f t="shared" si="31"/>
        <v/>
      </c>
      <c r="AU40" s="40">
        <f t="shared" si="32"/>
        <v>141</v>
      </c>
      <c r="AV40" t="str">
        <f t="shared" si="20"/>
        <v/>
      </c>
      <c r="AW40" t="str">
        <f t="shared" si="21"/>
        <v/>
      </c>
      <c r="AX40" t="str">
        <f t="shared" si="22"/>
        <v/>
      </c>
      <c r="AY40" s="40">
        <f t="shared" si="5"/>
        <v>9.0513954763816606</v>
      </c>
    </row>
    <row r="41" spans="1:51">
      <c r="A41" s="29">
        <v>15.542800365841039</v>
      </c>
      <c r="B41" t="s">
        <v>248</v>
      </c>
      <c r="C41" s="22">
        <v>0.12467777777777779</v>
      </c>
      <c r="D41" s="22">
        <v>8.9653113300044396</v>
      </c>
      <c r="E41" s="62">
        <f t="shared" si="6"/>
        <v>3.8961805555555559E-3</v>
      </c>
      <c r="F41" s="62">
        <f t="shared" si="7"/>
        <v>0.16009484517865072</v>
      </c>
      <c r="G41" s="465">
        <v>0</v>
      </c>
      <c r="H41">
        <v>0.2</v>
      </c>
      <c r="I41">
        <v>0.6</v>
      </c>
      <c r="J41">
        <v>0.7</v>
      </c>
      <c r="K41">
        <v>0.8</v>
      </c>
      <c r="L41">
        <v>0.9</v>
      </c>
      <c r="M41" s="40">
        <v>0.95</v>
      </c>
      <c r="N41" s="24">
        <f t="shared" si="33"/>
        <v>41.090201774753943</v>
      </c>
      <c r="O41" s="24">
        <f t="shared" si="34"/>
        <v>33.072161419803159</v>
      </c>
      <c r="P41" s="24">
        <f t="shared" si="35"/>
        <v>17.036080709901579</v>
      </c>
      <c r="Q41" s="24">
        <f t="shared" si="36"/>
        <v>13.027060532426185</v>
      </c>
      <c r="R41" s="24">
        <f t="shared" si="23"/>
        <v>9.0180403549507879</v>
      </c>
      <c r="S41" s="24">
        <f t="shared" si="12"/>
        <v>5.009020177475394</v>
      </c>
      <c r="T41" s="29">
        <f t="shared" si="13"/>
        <v>3.0045100887376988</v>
      </c>
      <c r="U41" s="24" t="str">
        <f t="shared" si="14"/>
        <v/>
      </c>
      <c r="V41" s="24">
        <f t="shared" si="27"/>
        <v>9.0180403549507879</v>
      </c>
      <c r="W41" s="24" t="str">
        <f t="shared" si="28"/>
        <v/>
      </c>
      <c r="AA41" s="29">
        <v>15.542800365841039</v>
      </c>
      <c r="AB41" s="24">
        <v>41.090201774753943</v>
      </c>
      <c r="AC41">
        <f t="shared" si="29"/>
        <v>41.090201774753943</v>
      </c>
      <c r="AD41" t="str">
        <f t="shared" si="16"/>
        <v/>
      </c>
      <c r="AE41" t="str">
        <f t="shared" si="17"/>
        <v/>
      </c>
      <c r="AH41" t="s">
        <v>248</v>
      </c>
      <c r="AI41" s="22">
        <v>97</v>
      </c>
      <c r="AJ41" s="22">
        <v>0.12467777777777779</v>
      </c>
      <c r="AK41" s="22">
        <v>8.9653113300044396</v>
      </c>
      <c r="AL41" s="22">
        <v>0.36521838199233198</v>
      </c>
      <c r="AM41" s="29">
        <v>15.542800365841039</v>
      </c>
      <c r="AN41" s="24">
        <f t="shared" si="18"/>
        <v>24.547809672385746</v>
      </c>
      <c r="AO41" s="22">
        <f t="shared" si="19"/>
        <v>24.109455928236002</v>
      </c>
      <c r="AP41" s="22">
        <f t="shared" si="30"/>
        <v>41.090201774753943</v>
      </c>
      <c r="AQ41" s="22"/>
      <c r="AR41" s="22"/>
      <c r="AS41" s="374">
        <v>41.090201774753943</v>
      </c>
      <c r="AT41" t="str">
        <f t="shared" si="31"/>
        <v/>
      </c>
      <c r="AU41" s="40">
        <f t="shared" si="32"/>
        <v>97</v>
      </c>
      <c r="AV41" t="str">
        <f t="shared" si="20"/>
        <v/>
      </c>
      <c r="AW41" t="str">
        <f t="shared" si="21"/>
        <v/>
      </c>
      <c r="AX41" t="str">
        <f t="shared" si="22"/>
        <v/>
      </c>
      <c r="AY41" s="40">
        <f t="shared" si="5"/>
        <v>8.9653113300044396</v>
      </c>
    </row>
    <row r="42" spans="1:51">
      <c r="A42" s="29">
        <v>40.869824758328221</v>
      </c>
      <c r="B42" t="s">
        <v>250</v>
      </c>
      <c r="C42" s="22">
        <v>7.1244444444444457E-2</v>
      </c>
      <c r="D42" s="22">
        <v>10.7675128515474</v>
      </c>
      <c r="E42" s="62">
        <f t="shared" si="6"/>
        <v>2.2263888888888893E-3</v>
      </c>
      <c r="F42" s="62">
        <f t="shared" si="7"/>
        <v>0.19227701520620358</v>
      </c>
      <c r="G42" s="465">
        <v>0</v>
      </c>
      <c r="H42">
        <v>0.2</v>
      </c>
      <c r="I42">
        <v>0.6</v>
      </c>
      <c r="J42">
        <v>0.7</v>
      </c>
      <c r="K42">
        <v>0.8</v>
      </c>
      <c r="L42">
        <v>0.9</v>
      </c>
      <c r="M42" s="40">
        <v>0.95</v>
      </c>
      <c r="N42" s="24">
        <f t="shared" si="33"/>
        <v>86.362726730172525</v>
      </c>
      <c r="O42" s="24">
        <f t="shared" si="34"/>
        <v>69.290181384138023</v>
      </c>
      <c r="P42" s="24">
        <f t="shared" si="35"/>
        <v>35.145090692069012</v>
      </c>
      <c r="Q42" s="24">
        <f t="shared" si="36"/>
        <v>26.60881801905176</v>
      </c>
      <c r="R42" s="24">
        <f t="shared" si="23"/>
        <v>18.072545346034499</v>
      </c>
      <c r="S42" s="24">
        <f t="shared" si="12"/>
        <v>9.5362726730172493</v>
      </c>
      <c r="T42" s="29">
        <f t="shared" si="13"/>
        <v>5.2681363365086291</v>
      </c>
      <c r="U42" s="24" t="str">
        <f t="shared" si="14"/>
        <v/>
      </c>
      <c r="V42" s="24">
        <f t="shared" si="27"/>
        <v>18.072545346034499</v>
      </c>
      <c r="W42" s="24" t="str">
        <f t="shared" si="28"/>
        <v/>
      </c>
      <c r="AA42" s="29">
        <v>40.869824758328221</v>
      </c>
      <c r="AB42" s="24">
        <v>86.362726730172525</v>
      </c>
      <c r="AC42">
        <f t="shared" si="29"/>
        <v>86.362726730172525</v>
      </c>
      <c r="AD42" t="str">
        <f t="shared" si="16"/>
        <v/>
      </c>
      <c r="AE42" t="str">
        <f t="shared" si="17"/>
        <v/>
      </c>
      <c r="AH42" t="s">
        <v>250</v>
      </c>
      <c r="AI42" s="22">
        <v>102</v>
      </c>
      <c r="AJ42" s="22">
        <v>7.1244444444444457E-2</v>
      </c>
      <c r="AK42" s="22">
        <v>10.7675128515474</v>
      </c>
      <c r="AL42" s="22">
        <v>0.56462842055957596</v>
      </c>
      <c r="AM42" s="29">
        <v>40.869824758328221</v>
      </c>
      <c r="AN42" s="24">
        <f t="shared" si="18"/>
        <v>19.070086555112187</v>
      </c>
      <c r="AO42" s="22">
        <f t="shared" si="19"/>
        <v>18.729549295199472</v>
      </c>
      <c r="AP42" s="22">
        <f t="shared" si="30"/>
        <v>86.362726730172525</v>
      </c>
      <c r="AQ42" s="22"/>
      <c r="AR42" s="22"/>
      <c r="AS42" s="374">
        <v>86.362726730172525</v>
      </c>
      <c r="AT42" t="str">
        <f t="shared" si="31"/>
        <v/>
      </c>
      <c r="AU42" s="40">
        <f t="shared" si="32"/>
        <v>102</v>
      </c>
      <c r="AV42" t="str">
        <f t="shared" si="20"/>
        <v/>
      </c>
      <c r="AW42" t="str">
        <f t="shared" si="21"/>
        <v/>
      </c>
      <c r="AX42" t="str">
        <f t="shared" si="22"/>
        <v/>
      </c>
      <c r="AY42" s="40">
        <f t="shared" si="5"/>
        <v>10.7675128515474</v>
      </c>
    </row>
    <row r="43" spans="1:51">
      <c r="A43" s="29">
        <v>15.096293918921351</v>
      </c>
      <c r="B43" t="s">
        <v>252</v>
      </c>
      <c r="C43" s="22">
        <v>0.10686666666666667</v>
      </c>
      <c r="D43" s="22">
        <v>6.18194213218543</v>
      </c>
      <c r="E43" s="62">
        <f t="shared" si="6"/>
        <v>3.3395833333333333E-3</v>
      </c>
      <c r="F43" s="62">
        <f t="shared" si="7"/>
        <v>0.11039182378902554</v>
      </c>
      <c r="G43" s="465">
        <v>0</v>
      </c>
      <c r="H43">
        <v>0.2</v>
      </c>
      <c r="I43">
        <v>0.6</v>
      </c>
      <c r="J43">
        <v>0.7</v>
      </c>
      <c r="K43">
        <v>0.8</v>
      </c>
      <c r="L43">
        <v>0.9</v>
      </c>
      <c r="M43" s="40">
        <v>0.95</v>
      </c>
      <c r="N43" s="24">
        <f t="shared" si="33"/>
        <v>33.0555679468074</v>
      </c>
      <c r="O43" s="24">
        <f t="shared" si="34"/>
        <v>26.64445435744592</v>
      </c>
      <c r="P43" s="24">
        <f t="shared" si="35"/>
        <v>13.82222717872296</v>
      </c>
      <c r="Q43" s="24">
        <f t="shared" si="36"/>
        <v>10.616670384042221</v>
      </c>
      <c r="R43" s="24">
        <f t="shared" si="23"/>
        <v>7.4111135893614781</v>
      </c>
      <c r="S43" s="24">
        <f t="shared" si="12"/>
        <v>4.2055567946807395</v>
      </c>
      <c r="T43" s="29">
        <f t="shared" si="13"/>
        <v>2.6027783973403711</v>
      </c>
      <c r="U43" s="24" t="str">
        <f t="shared" si="14"/>
        <v/>
      </c>
      <c r="V43" s="24">
        <f t="shared" si="27"/>
        <v>7.4111135893614781</v>
      </c>
      <c r="W43" s="24" t="str">
        <f t="shared" si="28"/>
        <v/>
      </c>
      <c r="AA43" s="29">
        <v>15.096293918921351</v>
      </c>
      <c r="AB43" s="24">
        <v>33.0555679468074</v>
      </c>
      <c r="AC43">
        <f t="shared" si="29"/>
        <v>33.0555679468074</v>
      </c>
      <c r="AD43" t="str">
        <f t="shared" si="16"/>
        <v/>
      </c>
      <c r="AE43" t="str">
        <f t="shared" si="17"/>
        <v/>
      </c>
      <c r="AH43" t="s">
        <v>252</v>
      </c>
      <c r="AI43" s="22">
        <v>74</v>
      </c>
      <c r="AJ43" s="22">
        <v>0.10686666666666667</v>
      </c>
      <c r="AK43" s="22">
        <v>6.18194213218543</v>
      </c>
      <c r="AL43" s="22">
        <v>0.50261468689298805</v>
      </c>
      <c r="AM43" s="29">
        <v>15.096293918921351</v>
      </c>
      <c r="AN43" s="24">
        <f t="shared" si="18"/>
        <v>12.299565240324206</v>
      </c>
      <c r="AO43" s="22">
        <f t="shared" si="19"/>
        <v>12.079930146746989</v>
      </c>
      <c r="AP43" s="22">
        <f t="shared" si="30"/>
        <v>33.0555679468074</v>
      </c>
      <c r="AQ43" s="22"/>
      <c r="AR43" s="22"/>
      <c r="AS43" s="374">
        <v>33.0555679468074</v>
      </c>
      <c r="AT43" t="str">
        <f t="shared" si="31"/>
        <v/>
      </c>
      <c r="AU43" s="40">
        <f t="shared" si="32"/>
        <v>74</v>
      </c>
      <c r="AV43" t="str">
        <f t="shared" si="20"/>
        <v/>
      </c>
      <c r="AW43" t="str">
        <f t="shared" si="21"/>
        <v/>
      </c>
      <c r="AX43" t="str">
        <f t="shared" si="22"/>
        <v/>
      </c>
      <c r="AY43" s="40">
        <f t="shared" si="5"/>
        <v>6.18194213218543</v>
      </c>
    </row>
    <row r="44" spans="1:51">
      <c r="A44" s="29">
        <v>120.82128078730307</v>
      </c>
      <c r="B44" s="318" t="s">
        <v>254</v>
      </c>
      <c r="C44" s="22">
        <v>3.5622222222222229E-2</v>
      </c>
      <c r="D44" s="22">
        <v>8.5161466416858307</v>
      </c>
      <c r="E44" s="62">
        <f t="shared" si="6"/>
        <v>1.1131944444444446E-3</v>
      </c>
      <c r="F44" s="62">
        <f t="shared" si="7"/>
        <v>0.15207404717296127</v>
      </c>
      <c r="G44" s="465">
        <v>0</v>
      </c>
      <c r="H44">
        <v>0.2</v>
      </c>
      <c r="I44">
        <v>0.6</v>
      </c>
      <c r="J44">
        <v>0.7</v>
      </c>
      <c r="K44">
        <v>0.8</v>
      </c>
      <c r="L44">
        <v>0.9</v>
      </c>
      <c r="M44" s="40">
        <v>0.95</v>
      </c>
      <c r="N44" s="24">
        <f t="shared" si="33"/>
        <v>136.61049777234197</v>
      </c>
      <c r="O44" s="24">
        <f t="shared" si="34"/>
        <v>109.48839821787359</v>
      </c>
      <c r="P44" s="24">
        <f t="shared" si="35"/>
        <v>55.244199108936797</v>
      </c>
      <c r="Q44" s="24">
        <f t="shared" si="36"/>
        <v>41.683149331702602</v>
      </c>
      <c r="R44" s="24">
        <f t="shared" si="23"/>
        <v>28.122099554468388</v>
      </c>
      <c r="S44" s="24">
        <f t="shared" si="12"/>
        <v>14.561049777234194</v>
      </c>
      <c r="T44" s="29">
        <f t="shared" si="13"/>
        <v>7.7805248886171041</v>
      </c>
      <c r="U44" s="24" t="str">
        <f t="shared" si="14"/>
        <v/>
      </c>
      <c r="V44" s="24">
        <f t="shared" si="27"/>
        <v>28.122099554468388</v>
      </c>
      <c r="W44" s="24" t="str">
        <f t="shared" si="28"/>
        <v/>
      </c>
      <c r="AA44" s="29">
        <v>120.82128078730307</v>
      </c>
      <c r="AB44" s="24">
        <v>136.61049777234197</v>
      </c>
      <c r="AC44">
        <f t="shared" si="29"/>
        <v>136.61049777234197</v>
      </c>
      <c r="AD44" t="str">
        <f t="shared" si="16"/>
        <v/>
      </c>
      <c r="AE44" t="str">
        <f t="shared" si="17"/>
        <v/>
      </c>
      <c r="AH44" s="318" t="s">
        <v>254</v>
      </c>
      <c r="AI44" s="320">
        <v>209</v>
      </c>
      <c r="AJ44" s="22">
        <v>3.5622222222222229E-2</v>
      </c>
      <c r="AK44" s="320">
        <v>8.5161466416858307</v>
      </c>
      <c r="AL44" s="22">
        <v>0.490738894384318</v>
      </c>
      <c r="AM44" s="29">
        <v>120.82128078730307</v>
      </c>
      <c r="AN44" s="24">
        <f t="shared" si="18"/>
        <v>17.35372259900085</v>
      </c>
      <c r="AO44" s="22">
        <f t="shared" si="19"/>
        <v>17.043834695447266</v>
      </c>
      <c r="AP44" s="22">
        <f t="shared" si="30"/>
        <v>136.61049777234197</v>
      </c>
      <c r="AQ44" s="22"/>
      <c r="AR44" s="22">
        <v>136.61049777234197</v>
      </c>
      <c r="AS44" s="374"/>
      <c r="AT44" t="str">
        <f t="shared" si="31"/>
        <v/>
      </c>
      <c r="AU44" s="40">
        <f t="shared" si="32"/>
        <v>209</v>
      </c>
      <c r="AV44" t="str">
        <f t="shared" si="20"/>
        <v/>
      </c>
      <c r="AW44" t="str">
        <f t="shared" si="21"/>
        <v/>
      </c>
      <c r="AX44" t="str">
        <f t="shared" si="22"/>
        <v/>
      </c>
      <c r="AY44" s="40">
        <f t="shared" si="5"/>
        <v>8.5161466416858307</v>
      </c>
    </row>
    <row r="45" spans="1:51">
      <c r="A45" s="60">
        <v>8878.3692042921448</v>
      </c>
      <c r="B45" s="49" t="s">
        <v>257</v>
      </c>
      <c r="C45" s="22">
        <v>19.253811111111112</v>
      </c>
      <c r="D45" s="22">
        <v>2.7283535104929601E-2</v>
      </c>
      <c r="E45" s="62">
        <f t="shared" si="6"/>
        <v>0.60168159722222225</v>
      </c>
      <c r="F45" s="62">
        <f t="shared" si="7"/>
        <v>4.8720598401660002E-4</v>
      </c>
      <c r="G45" s="465">
        <v>0</v>
      </c>
      <c r="H45">
        <v>0.2</v>
      </c>
      <c r="I45">
        <v>0.6</v>
      </c>
      <c r="J45">
        <v>0.7</v>
      </c>
      <c r="K45">
        <v>0.8</v>
      </c>
      <c r="L45">
        <v>0.9</v>
      </c>
      <c r="M45" s="40">
        <v>0.95</v>
      </c>
      <c r="N45" s="24">
        <f t="shared" si="33"/>
        <v>8.0974054427770318E-4</v>
      </c>
      <c r="O45" s="24">
        <f t="shared" si="34"/>
        <v>0.20064779243542219</v>
      </c>
      <c r="P45" s="24">
        <f t="shared" si="35"/>
        <v>0.60032389621771109</v>
      </c>
      <c r="Q45" s="24">
        <f t="shared" si="36"/>
        <v>0.70024292216328343</v>
      </c>
      <c r="R45" s="24">
        <f t="shared" si="23"/>
        <v>0.80016194810885555</v>
      </c>
      <c r="S45" s="24">
        <f t="shared" si="12"/>
        <v>0.90008097405442766</v>
      </c>
      <c r="T45" s="29">
        <f t="shared" si="13"/>
        <v>0.950040487027214</v>
      </c>
      <c r="U45" s="24">
        <f t="shared" si="14"/>
        <v>0.60032389621771109</v>
      </c>
      <c r="V45" s="24" t="str">
        <f t="shared" si="27"/>
        <v/>
      </c>
      <c r="W45" s="24">
        <f t="shared" si="28"/>
        <v>0.80016194810885555</v>
      </c>
      <c r="AA45" s="60">
        <v>8878.3692042921448</v>
      </c>
      <c r="AB45" s="24">
        <v>8.0974054427770318E-4</v>
      </c>
      <c r="AC45" t="str">
        <f t="shared" si="29"/>
        <v/>
      </c>
      <c r="AD45">
        <f t="shared" si="16"/>
        <v>8.0974054427770318E-4</v>
      </c>
      <c r="AE45">
        <f t="shared" si="17"/>
        <v>8.0974054427770318E-4</v>
      </c>
      <c r="AH45" s="49" t="s">
        <v>257</v>
      </c>
      <c r="AI45" s="28">
        <v>11</v>
      </c>
      <c r="AJ45" s="28">
        <v>19.253811111111112</v>
      </c>
      <c r="AK45" s="28">
        <v>2.7283535104929601E-2</v>
      </c>
      <c r="AL45" s="28">
        <v>0.12930630159745499</v>
      </c>
      <c r="AM45" s="60">
        <v>8878.3692042921448</v>
      </c>
      <c r="AN45" s="24">
        <f t="shared" si="18"/>
        <v>0.21099926892864282</v>
      </c>
      <c r="AO45" s="22">
        <f t="shared" si="19"/>
        <v>0.20723142484063134</v>
      </c>
      <c r="AP45" s="22">
        <f t="shared" si="30"/>
        <v>8.0974054427770318E-4</v>
      </c>
      <c r="AQ45" s="22">
        <v>8.0974054427770318E-4</v>
      </c>
      <c r="AR45" s="22">
        <v>8.0974054427770318E-4</v>
      </c>
      <c r="AS45" s="374"/>
      <c r="AT45">
        <f t="shared" si="31"/>
        <v>11</v>
      </c>
      <c r="AU45" s="40" t="str">
        <f t="shared" si="32"/>
        <v/>
      </c>
      <c r="AV45">
        <f t="shared" si="20"/>
        <v>2.7283535104929601E-2</v>
      </c>
      <c r="AW45">
        <f t="shared" si="21"/>
        <v>2.7283535104929601E-2</v>
      </c>
      <c r="AX45">
        <f t="shared" si="22"/>
        <v>0.12930630159745499</v>
      </c>
      <c r="AY45" s="40" t="str">
        <f t="shared" si="5"/>
        <v/>
      </c>
    </row>
    <row r="46" spans="1:51">
      <c r="A46" s="59">
        <v>8733.5485876714192</v>
      </c>
      <c r="B46" t="s">
        <v>259</v>
      </c>
      <c r="C46" s="22">
        <v>0.51652222222222222</v>
      </c>
      <c r="D46" s="22">
        <v>1.0927633839825399</v>
      </c>
      <c r="E46" s="62">
        <f t="shared" si="6"/>
        <v>1.6141319444444444E-2</v>
      </c>
      <c r="F46" s="62">
        <f t="shared" si="7"/>
        <v>1.9513631856831071E-2</v>
      </c>
      <c r="G46" s="465">
        <v>0</v>
      </c>
      <c r="H46">
        <v>0.2</v>
      </c>
      <c r="I46">
        <v>0.6</v>
      </c>
      <c r="J46">
        <v>0.7</v>
      </c>
      <c r="K46">
        <v>0.8</v>
      </c>
      <c r="L46">
        <v>0.9</v>
      </c>
      <c r="M46" s="40">
        <v>0.95</v>
      </c>
      <c r="N46" s="24">
        <f t="shared" si="33"/>
        <v>1.2089242099441453</v>
      </c>
      <c r="O46" s="24">
        <f t="shared" si="34"/>
        <v>1.1671393679553164</v>
      </c>
      <c r="P46" s="24">
        <f t="shared" si="35"/>
        <v>1.0835696839776581</v>
      </c>
      <c r="Q46" s="24">
        <f t="shared" si="36"/>
        <v>1.0626772629832435</v>
      </c>
      <c r="R46" s="24">
        <f t="shared" si="23"/>
        <v>1.0417848419888289</v>
      </c>
      <c r="S46" s="24">
        <f t="shared" si="12"/>
        <v>1.0208924209944144</v>
      </c>
      <c r="T46" s="29">
        <f t="shared" si="13"/>
        <v>1.0104462104972074</v>
      </c>
      <c r="U46" s="24">
        <f t="shared" si="14"/>
        <v>1.0835696839776581</v>
      </c>
      <c r="V46" s="24" t="str">
        <f t="shared" si="27"/>
        <v/>
      </c>
      <c r="W46" s="24">
        <f t="shared" si="28"/>
        <v>1.0417848419888289</v>
      </c>
      <c r="AA46" s="59">
        <v>8733.5485876714192</v>
      </c>
      <c r="AB46" s="24">
        <v>1.2089242099441453</v>
      </c>
      <c r="AC46" t="str">
        <f t="shared" si="29"/>
        <v/>
      </c>
      <c r="AD46">
        <f t="shared" si="16"/>
        <v>1.2089242099441453</v>
      </c>
      <c r="AE46">
        <f t="shared" si="17"/>
        <v>1.2089242099441453</v>
      </c>
      <c r="AH46" t="s">
        <v>259</v>
      </c>
      <c r="AI46" s="22">
        <v>1.2</v>
      </c>
      <c r="AJ46" s="22">
        <v>0.51652222222222222</v>
      </c>
      <c r="AK46" s="22">
        <v>1.0927633839825399</v>
      </c>
      <c r="AL46" s="22">
        <v>9.0331121420479499E-2</v>
      </c>
      <c r="AM46" s="59">
        <v>8733.5485876714192</v>
      </c>
      <c r="AN46" s="24">
        <f t="shared" si="18"/>
        <v>12.097307846936495</v>
      </c>
      <c r="AO46" s="22">
        <f>(AK46/56)/(AL46/55)</f>
        <v>11.881284492526914</v>
      </c>
      <c r="AP46" s="22">
        <f t="shared" si="30"/>
        <v>1.2089242099441453</v>
      </c>
      <c r="AQ46" s="22">
        <v>1.2089242099441453</v>
      </c>
      <c r="AR46" s="22">
        <v>1.2089242099441453</v>
      </c>
      <c r="AS46" s="374"/>
      <c r="AT46">
        <f t="shared" si="31"/>
        <v>1.2</v>
      </c>
      <c r="AU46" s="40" t="str">
        <f t="shared" si="32"/>
        <v/>
      </c>
      <c r="AV46">
        <f t="shared" si="20"/>
        <v>1.0927633839825399</v>
      </c>
      <c r="AW46">
        <f t="shared" si="21"/>
        <v>1.0927633839825399</v>
      </c>
      <c r="AX46">
        <f t="shared" si="22"/>
        <v>9.0331121420479499E-2</v>
      </c>
      <c r="AY46" s="40" t="str">
        <f t="shared" si="5"/>
        <v/>
      </c>
    </row>
    <row r="47" spans="1:51">
      <c r="A47" s="59">
        <v>12092.753769476491</v>
      </c>
      <c r="B47" s="48" t="s">
        <v>261</v>
      </c>
      <c r="C47" s="22">
        <v>0.40965555555555555</v>
      </c>
      <c r="D47" s="22">
        <v>0.61339781005528504</v>
      </c>
      <c r="E47" s="62">
        <f t="shared" si="6"/>
        <v>1.2801736111111111E-2</v>
      </c>
      <c r="F47" s="62">
        <f t="shared" si="7"/>
        <v>1.0953532322415804E-2</v>
      </c>
      <c r="G47" s="465">
        <v>0</v>
      </c>
      <c r="H47">
        <v>0.2</v>
      </c>
      <c r="I47">
        <v>0.6</v>
      </c>
      <c r="J47">
        <v>0.7</v>
      </c>
      <c r="K47">
        <v>0.8</v>
      </c>
      <c r="L47">
        <v>0.9</v>
      </c>
      <c r="M47" s="40">
        <v>0.95</v>
      </c>
      <c r="N47" s="24">
        <f t="shared" si="33"/>
        <v>0.85562866062430543</v>
      </c>
      <c r="O47" s="24">
        <f t="shared" si="34"/>
        <v>0.88450292849944456</v>
      </c>
      <c r="P47" s="24">
        <f t="shared" si="35"/>
        <v>0.94225146424972228</v>
      </c>
      <c r="Q47" s="24">
        <f t="shared" si="36"/>
        <v>0.95668859818729168</v>
      </c>
      <c r="R47" s="24">
        <f t="shared" si="23"/>
        <v>0.97112573212486109</v>
      </c>
      <c r="S47" s="24">
        <f t="shared" si="12"/>
        <v>0.98556286606243038</v>
      </c>
      <c r="T47" s="29">
        <f t="shared" si="13"/>
        <v>0.99278143303121524</v>
      </c>
      <c r="U47" s="24">
        <f t="shared" si="14"/>
        <v>0.94225146424972228</v>
      </c>
      <c r="V47" s="24" t="str">
        <f t="shared" si="27"/>
        <v/>
      </c>
      <c r="W47" s="24">
        <f t="shared" si="28"/>
        <v>0.97112573212486109</v>
      </c>
      <c r="AA47" s="59">
        <v>12092.753769476491</v>
      </c>
      <c r="AB47" s="24">
        <v>0.85562866062430543</v>
      </c>
      <c r="AC47" t="str">
        <f t="shared" si="29"/>
        <v/>
      </c>
      <c r="AD47">
        <f t="shared" si="16"/>
        <v>0.85562866062430543</v>
      </c>
      <c r="AE47">
        <f t="shared" si="17"/>
        <v>0.85562866062430543</v>
      </c>
      <c r="AH47" s="48" t="s">
        <v>261</v>
      </c>
      <c r="AI47" s="22">
        <v>0</v>
      </c>
      <c r="AJ47" s="22">
        <v>0.40965555555555555</v>
      </c>
      <c r="AK47" s="22">
        <v>0.61339781005528504</v>
      </c>
      <c r="AL47" s="22">
        <v>0.12714461551751</v>
      </c>
      <c r="AM47" s="59">
        <v>12092.753769476491</v>
      </c>
      <c r="AN47" s="24">
        <f t="shared" si="18"/>
        <v>4.8244104365615827</v>
      </c>
      <c r="AO47" s="22">
        <f t="shared" si="19"/>
        <v>4.7382602501944122</v>
      </c>
      <c r="AP47" s="22">
        <f t="shared" si="30"/>
        <v>0.85562866062430543</v>
      </c>
      <c r="AQ47" s="22">
        <v>0.85562866062430543</v>
      </c>
      <c r="AR47" s="22">
        <v>0.85562866062430543</v>
      </c>
      <c r="AS47" s="374"/>
      <c r="AT47">
        <f t="shared" si="31"/>
        <v>0</v>
      </c>
      <c r="AU47" s="40" t="str">
        <f t="shared" si="32"/>
        <v/>
      </c>
      <c r="AV47">
        <f t="shared" si="20"/>
        <v>0.61339781005528504</v>
      </c>
      <c r="AW47">
        <f t="shared" si="21"/>
        <v>0.61339781005528504</v>
      </c>
      <c r="AX47">
        <f t="shared" si="22"/>
        <v>0.12714461551751</v>
      </c>
      <c r="AY47" s="40" t="str">
        <f t="shared" si="5"/>
        <v/>
      </c>
    </row>
    <row r="48" spans="1:51">
      <c r="A48" s="59">
        <v>9673.0263442075884</v>
      </c>
      <c r="B48" t="s">
        <v>263</v>
      </c>
      <c r="C48" s="22">
        <v>3.8472000000000004</v>
      </c>
      <c r="D48" s="22">
        <v>0.45767494549029902</v>
      </c>
      <c r="E48" s="62">
        <f t="shared" si="6"/>
        <v>0.12022500000000001</v>
      </c>
      <c r="F48" s="62">
        <f t="shared" si="7"/>
        <v>8.1727668837553395E-3</v>
      </c>
      <c r="G48" s="465">
        <v>0</v>
      </c>
      <c r="H48">
        <v>0.2</v>
      </c>
      <c r="I48">
        <v>0.6</v>
      </c>
      <c r="J48">
        <v>0.7</v>
      </c>
      <c r="K48">
        <v>0.8</v>
      </c>
      <c r="L48">
        <v>0.9</v>
      </c>
      <c r="M48" s="40">
        <v>0.95</v>
      </c>
      <c r="N48" s="24">
        <f t="shared" si="33"/>
        <v>6.7978930203828974E-2</v>
      </c>
      <c r="O48" s="24">
        <f t="shared" si="34"/>
        <v>0.25438314416306324</v>
      </c>
      <c r="P48" s="24">
        <f t="shared" si="35"/>
        <v>0.62719157208153153</v>
      </c>
      <c r="Q48" s="24">
        <f t="shared" si="36"/>
        <v>0.7203936790611486</v>
      </c>
      <c r="R48" s="24">
        <f t="shared" si="23"/>
        <v>0.81359578604076577</v>
      </c>
      <c r="S48" s="24">
        <f t="shared" si="12"/>
        <v>0.90679789302038261</v>
      </c>
      <c r="T48" s="29">
        <f t="shared" si="13"/>
        <v>0.95339894651019141</v>
      </c>
      <c r="U48" s="24">
        <f t="shared" si="14"/>
        <v>0.62719157208153153</v>
      </c>
      <c r="V48" s="24" t="str">
        <f t="shared" si="27"/>
        <v/>
      </c>
      <c r="W48" s="24">
        <f t="shared" si="28"/>
        <v>0.81359578604076577</v>
      </c>
      <c r="AA48" s="59">
        <v>9673.0263442075884</v>
      </c>
      <c r="AB48" s="24">
        <v>6.7978930203828974E-2</v>
      </c>
      <c r="AC48" t="str">
        <f t="shared" si="29"/>
        <v/>
      </c>
      <c r="AD48">
        <f t="shared" si="16"/>
        <v>6.7978930203828974E-2</v>
      </c>
      <c r="AE48">
        <f t="shared" si="17"/>
        <v>6.7978930203828974E-2</v>
      </c>
      <c r="AH48" t="s">
        <v>263</v>
      </c>
      <c r="AI48" s="22">
        <v>5</v>
      </c>
      <c r="AJ48" s="22">
        <v>3.8472000000000004</v>
      </c>
      <c r="AK48" s="22">
        <v>0.45767494549029902</v>
      </c>
      <c r="AL48" s="22">
        <v>0.13116728619058299</v>
      </c>
      <c r="AM48" s="59">
        <v>9673.0263442075884</v>
      </c>
      <c r="AN48" s="24">
        <f t="shared" si="18"/>
        <v>3.4892461282252043</v>
      </c>
      <c r="AO48" s="22">
        <f t="shared" si="19"/>
        <v>3.4269381616497543</v>
      </c>
      <c r="AP48" s="22">
        <f t="shared" si="30"/>
        <v>6.7978930203828974E-2</v>
      </c>
      <c r="AQ48" s="22">
        <v>6.7978930203828974E-2</v>
      </c>
      <c r="AR48" s="22">
        <v>6.7978930203828974E-2</v>
      </c>
      <c r="AS48" s="374"/>
      <c r="AT48">
        <f t="shared" si="31"/>
        <v>5</v>
      </c>
      <c r="AU48" s="40" t="str">
        <f t="shared" si="32"/>
        <v/>
      </c>
      <c r="AV48">
        <f t="shared" si="20"/>
        <v>0.45767494549029902</v>
      </c>
      <c r="AW48">
        <f t="shared" si="21"/>
        <v>0.45767494549029902</v>
      </c>
      <c r="AX48">
        <f t="shared" si="22"/>
        <v>0.13116728619058299</v>
      </c>
      <c r="AY48" s="40" t="str">
        <f t="shared" si="5"/>
        <v/>
      </c>
    </row>
    <row r="49" spans="1:51">
      <c r="A49" s="59">
        <v>9456.6874048596765</v>
      </c>
      <c r="B49" t="s">
        <v>265</v>
      </c>
      <c r="C49" s="22">
        <v>2.6894777777777779</v>
      </c>
      <c r="D49" s="22">
        <v>0.6288479208094</v>
      </c>
      <c r="E49" s="62">
        <f t="shared" si="6"/>
        <v>8.4046180555555558E-2</v>
      </c>
      <c r="F49" s="62">
        <f t="shared" si="7"/>
        <v>1.1229427157310715E-2</v>
      </c>
      <c r="G49" s="465">
        <v>0</v>
      </c>
      <c r="H49">
        <v>0.2</v>
      </c>
      <c r="I49">
        <v>0.6</v>
      </c>
      <c r="J49">
        <v>0.7</v>
      </c>
      <c r="K49">
        <v>0.8</v>
      </c>
      <c r="L49">
        <v>0.9</v>
      </c>
      <c r="M49" s="40">
        <v>0.95</v>
      </c>
      <c r="N49" s="24">
        <f t="shared" si="33"/>
        <v>0.13361020195186532</v>
      </c>
      <c r="O49" s="24">
        <f t="shared" si="34"/>
        <v>0.30688816156149229</v>
      </c>
      <c r="P49" s="24">
        <f t="shared" si="35"/>
        <v>0.65344408078074612</v>
      </c>
      <c r="Q49" s="24">
        <f t="shared" si="36"/>
        <v>0.74008306058555962</v>
      </c>
      <c r="R49" s="24">
        <f t="shared" si="23"/>
        <v>0.82672204039037311</v>
      </c>
      <c r="S49" s="24">
        <f t="shared" si="12"/>
        <v>0.9133610201951865</v>
      </c>
      <c r="T49" s="29">
        <f t="shared" si="13"/>
        <v>0.95668051009759336</v>
      </c>
      <c r="U49" s="24">
        <f t="shared" si="14"/>
        <v>0.65344408078074612</v>
      </c>
      <c r="V49" s="24" t="str">
        <f t="shared" si="27"/>
        <v/>
      </c>
      <c r="W49" s="24">
        <f t="shared" si="28"/>
        <v>0.82672204039037311</v>
      </c>
      <c r="AA49" s="59">
        <v>9456.6874048596765</v>
      </c>
      <c r="AB49" s="24">
        <v>0.13361020195186532</v>
      </c>
      <c r="AC49" t="str">
        <f t="shared" si="29"/>
        <v/>
      </c>
      <c r="AD49">
        <f t="shared" si="16"/>
        <v>0.13361020195186532</v>
      </c>
      <c r="AE49">
        <f t="shared" si="17"/>
        <v>0.13361020195186532</v>
      </c>
      <c r="AH49" t="s">
        <v>265</v>
      </c>
      <c r="AI49" s="22">
        <v>1</v>
      </c>
      <c r="AJ49" s="22">
        <v>2.6894777777777779</v>
      </c>
      <c r="AK49" s="22">
        <v>0.6288479208094</v>
      </c>
      <c r="AL49" s="22">
        <v>0.16985787244172901</v>
      </c>
      <c r="AM49" s="59">
        <v>9456.6874048596765</v>
      </c>
      <c r="AN49" s="24">
        <f t="shared" si="18"/>
        <v>3.7022006208462956</v>
      </c>
      <c r="AO49" s="22">
        <f t="shared" si="19"/>
        <v>3.6360898954740404</v>
      </c>
      <c r="AP49" s="22">
        <f t="shared" si="30"/>
        <v>0.13361020195186532</v>
      </c>
      <c r="AQ49" s="22">
        <v>0.13361020195186532</v>
      </c>
      <c r="AR49" s="22">
        <v>0.13361020195186532</v>
      </c>
      <c r="AS49" s="374"/>
      <c r="AT49">
        <f t="shared" si="31"/>
        <v>1</v>
      </c>
      <c r="AU49" s="40" t="str">
        <f t="shared" si="32"/>
        <v/>
      </c>
      <c r="AV49">
        <f t="shared" si="20"/>
        <v>0.6288479208094</v>
      </c>
      <c r="AW49">
        <f t="shared" si="21"/>
        <v>0.6288479208094</v>
      </c>
      <c r="AX49">
        <f t="shared" si="22"/>
        <v>0.16985787244172901</v>
      </c>
      <c r="AY49" s="40" t="str">
        <f t="shared" si="5"/>
        <v/>
      </c>
    </row>
    <row r="50" spans="1:51">
      <c r="A50" s="59">
        <v>10296.619441004364</v>
      </c>
      <c r="B50" s="48" t="s">
        <v>267</v>
      </c>
      <c r="C50" s="22">
        <v>27.660655555555561</v>
      </c>
      <c r="D50" s="22">
        <v>2.0818129596617899E-2</v>
      </c>
      <c r="E50" s="62">
        <f t="shared" si="6"/>
        <v>0.86439548611111128</v>
      </c>
      <c r="F50" s="62">
        <f t="shared" si="7"/>
        <v>3.7175231422531963E-4</v>
      </c>
      <c r="G50" s="465">
        <v>0</v>
      </c>
      <c r="H50">
        <v>0.2</v>
      </c>
      <c r="I50">
        <v>0.6</v>
      </c>
      <c r="J50">
        <v>0.7</v>
      </c>
      <c r="K50">
        <v>0.8</v>
      </c>
      <c r="L50">
        <v>0.9</v>
      </c>
      <c r="M50" s="40">
        <v>0.95</v>
      </c>
      <c r="N50" s="24">
        <f t="shared" si="33"/>
        <v>4.300720216596941E-4</v>
      </c>
      <c r="O50" s="24">
        <f t="shared" si="34"/>
        <v>0.20034405761732776</v>
      </c>
      <c r="P50" s="24">
        <f t="shared" si="35"/>
        <v>0.60017202880866372</v>
      </c>
      <c r="Q50" s="24">
        <f t="shared" si="36"/>
        <v>0.70012902160649804</v>
      </c>
      <c r="R50" s="24">
        <f t="shared" si="23"/>
        <v>0.80008601440433202</v>
      </c>
      <c r="S50" s="24">
        <f t="shared" si="12"/>
        <v>0.90004300720216612</v>
      </c>
      <c r="T50" s="29">
        <f t="shared" si="13"/>
        <v>0.95002150360108306</v>
      </c>
      <c r="U50" s="24">
        <f t="shared" si="14"/>
        <v>0.60017202880866372</v>
      </c>
      <c r="V50" s="24" t="str">
        <f t="shared" si="27"/>
        <v/>
      </c>
      <c r="W50" s="24">
        <f t="shared" si="28"/>
        <v>0.80008601440433202</v>
      </c>
      <c r="AA50" s="59">
        <v>10296.619441004364</v>
      </c>
      <c r="AB50" s="24">
        <v>4.300720216596941E-4</v>
      </c>
      <c r="AC50" t="str">
        <f t="shared" si="29"/>
        <v/>
      </c>
      <c r="AD50">
        <f t="shared" si="16"/>
        <v>4.300720216596941E-4</v>
      </c>
      <c r="AE50">
        <f t="shared" si="17"/>
        <v>4.300720216596941E-4</v>
      </c>
      <c r="AH50" s="48" t="s">
        <v>267</v>
      </c>
      <c r="AI50" s="22">
        <v>13.7</v>
      </c>
      <c r="AJ50" s="22">
        <v>27.660655555555561</v>
      </c>
      <c r="AK50" s="22">
        <v>2.0818129596617899E-2</v>
      </c>
      <c r="AL50" s="22">
        <v>9.6375289518495999E-2</v>
      </c>
      <c r="AM50" s="59">
        <v>10296.619441004364</v>
      </c>
      <c r="AN50" s="24">
        <f t="shared" si="18"/>
        <v>0.21601107193169633</v>
      </c>
      <c r="AO50" s="22">
        <f t="shared" si="19"/>
        <v>0.21215373136148749</v>
      </c>
      <c r="AP50" s="22">
        <f t="shared" si="30"/>
        <v>4.300720216596941E-4</v>
      </c>
      <c r="AQ50" s="22">
        <v>4.300720216596941E-4</v>
      </c>
      <c r="AR50" s="22">
        <v>4.300720216596941E-4</v>
      </c>
      <c r="AS50" s="374"/>
      <c r="AT50">
        <f t="shared" si="31"/>
        <v>13.7</v>
      </c>
      <c r="AU50" s="40" t="str">
        <f t="shared" si="32"/>
        <v/>
      </c>
      <c r="AV50">
        <f t="shared" si="20"/>
        <v>2.0818129596617899E-2</v>
      </c>
      <c r="AW50">
        <f t="shared" si="21"/>
        <v>2.0818129596617899E-2</v>
      </c>
      <c r="AX50">
        <f t="shared" si="22"/>
        <v>9.6375289518495999E-2</v>
      </c>
      <c r="AY50" s="40" t="str">
        <f t="shared" si="5"/>
        <v/>
      </c>
    </row>
    <row r="51" spans="1:51">
      <c r="A51" s="59">
        <v>8523.4388136869402</v>
      </c>
      <c r="B51" s="48" t="s">
        <v>269</v>
      </c>
      <c r="C51" s="22">
        <v>0.30278888888888889</v>
      </c>
      <c r="D51" s="22">
        <v>2.2401960591924999</v>
      </c>
      <c r="E51" s="62">
        <f t="shared" si="6"/>
        <v>9.4621527777777777E-3</v>
      </c>
      <c r="F51" s="62">
        <f t="shared" si="7"/>
        <v>4.0003501057008929E-2</v>
      </c>
      <c r="G51" s="465">
        <v>0</v>
      </c>
      <c r="H51">
        <v>0.2</v>
      </c>
      <c r="I51">
        <v>0.6</v>
      </c>
      <c r="J51">
        <v>0.7</v>
      </c>
      <c r="K51">
        <v>0.8</v>
      </c>
      <c r="L51">
        <v>0.9</v>
      </c>
      <c r="M51" s="40">
        <v>0.95</v>
      </c>
      <c r="N51" s="24">
        <f t="shared" si="33"/>
        <v>4.2277378094083051</v>
      </c>
      <c r="O51" s="24">
        <f t="shared" si="34"/>
        <v>3.5821902475266443</v>
      </c>
      <c r="P51" s="24">
        <f t="shared" si="35"/>
        <v>2.2910951237633217</v>
      </c>
      <c r="Q51" s="24">
        <f t="shared" si="36"/>
        <v>1.9683213428224917</v>
      </c>
      <c r="R51" s="24">
        <f t="shared" si="23"/>
        <v>1.6455475618816608</v>
      </c>
      <c r="S51" s="24">
        <f t="shared" si="12"/>
        <v>1.3227737809408302</v>
      </c>
      <c r="T51" s="29">
        <f t="shared" si="13"/>
        <v>1.1613868904704154</v>
      </c>
      <c r="U51" s="24">
        <f t="shared" si="14"/>
        <v>2.2910951237633217</v>
      </c>
      <c r="V51" s="24" t="str">
        <f t="shared" si="27"/>
        <v/>
      </c>
      <c r="W51" s="24">
        <f t="shared" si="28"/>
        <v>1.6455475618816608</v>
      </c>
      <c r="AA51" s="59">
        <v>8523.4388136869402</v>
      </c>
      <c r="AB51" s="24">
        <v>4.2277378094083051</v>
      </c>
      <c r="AC51" t="str">
        <f t="shared" si="29"/>
        <v/>
      </c>
      <c r="AD51">
        <f t="shared" si="16"/>
        <v>4.2277378094083051</v>
      </c>
      <c r="AE51">
        <f t="shared" si="17"/>
        <v>4.2277378094083051</v>
      </c>
      <c r="AH51" s="48" t="s">
        <v>269</v>
      </c>
      <c r="AI51" s="22">
        <v>10</v>
      </c>
      <c r="AJ51" s="22">
        <v>0.30278888888888889</v>
      </c>
      <c r="AK51" s="22">
        <v>2.2401960591924999</v>
      </c>
      <c r="AL51" s="22">
        <v>0.22796088340665399</v>
      </c>
      <c r="AM51" s="59">
        <v>8523.4388136869402</v>
      </c>
      <c r="AN51" s="24">
        <f t="shared" si="18"/>
        <v>9.8271072901409475</v>
      </c>
      <c r="AO51" s="22">
        <f t="shared" si="19"/>
        <v>9.6516232313884309</v>
      </c>
      <c r="AP51" s="22">
        <f t="shared" si="30"/>
        <v>4.2277378094083051</v>
      </c>
      <c r="AQ51" s="22">
        <v>4.2277378094083051</v>
      </c>
      <c r="AR51" s="22">
        <v>4.2277378094083051</v>
      </c>
      <c r="AS51" s="374"/>
      <c r="AT51">
        <f t="shared" si="31"/>
        <v>10</v>
      </c>
      <c r="AU51" s="40" t="str">
        <f t="shared" si="32"/>
        <v/>
      </c>
      <c r="AV51">
        <f t="shared" si="20"/>
        <v>2.2401960591924999</v>
      </c>
      <c r="AW51">
        <f t="shared" si="21"/>
        <v>2.2401960591924999</v>
      </c>
      <c r="AX51">
        <f t="shared" si="22"/>
        <v>0.22796088340665399</v>
      </c>
      <c r="AY51" s="40" t="str">
        <f t="shared" si="5"/>
        <v/>
      </c>
    </row>
    <row r="52" spans="1:51">
      <c r="A52" s="59">
        <v>8464.6548365281978</v>
      </c>
      <c r="B52" t="s">
        <v>271</v>
      </c>
      <c r="C52" s="22">
        <v>3.5622222222222229E-2</v>
      </c>
      <c r="D52" s="22">
        <v>6.5133711426805201</v>
      </c>
      <c r="E52" s="62">
        <f t="shared" si="6"/>
        <v>1.1131944444444446E-3</v>
      </c>
      <c r="F52" s="62">
        <f t="shared" si="7"/>
        <v>0.11631019897643786</v>
      </c>
      <c r="G52" s="465">
        <v>0</v>
      </c>
      <c r="H52">
        <v>0.2</v>
      </c>
      <c r="I52">
        <v>0.6</v>
      </c>
      <c r="J52">
        <v>0.7</v>
      </c>
      <c r="K52">
        <v>0.8</v>
      </c>
      <c r="L52">
        <v>0.9</v>
      </c>
      <c r="M52" s="40">
        <v>0.95</v>
      </c>
      <c r="N52" s="24">
        <f t="shared" si="33"/>
        <v>104.48327294202775</v>
      </c>
      <c r="O52" s="24">
        <f t="shared" si="34"/>
        <v>83.786618353622217</v>
      </c>
      <c r="P52" s="24">
        <f t="shared" si="35"/>
        <v>42.393309176811108</v>
      </c>
      <c r="Q52" s="24">
        <f t="shared" si="36"/>
        <v>32.044981882608333</v>
      </c>
      <c r="R52" s="24">
        <f t="shared" si="23"/>
        <v>21.696654588405547</v>
      </c>
      <c r="S52" s="24">
        <f t="shared" si="12"/>
        <v>11.348327294202774</v>
      </c>
      <c r="T52" s="29">
        <f t="shared" si="13"/>
        <v>6.1741636471013921</v>
      </c>
      <c r="U52" s="24">
        <f t="shared" si="14"/>
        <v>42.393309176811108</v>
      </c>
      <c r="V52" s="24" t="str">
        <f t="shared" si="27"/>
        <v/>
      </c>
      <c r="W52" s="24">
        <f t="shared" si="28"/>
        <v>21.696654588405547</v>
      </c>
      <c r="AA52" s="59">
        <v>8464.6548365281978</v>
      </c>
      <c r="AB52" s="24">
        <v>104.48327294202775</v>
      </c>
      <c r="AC52" t="str">
        <f t="shared" si="29"/>
        <v/>
      </c>
      <c r="AD52">
        <f t="shared" si="16"/>
        <v>104.48327294202775</v>
      </c>
      <c r="AE52">
        <f t="shared" si="17"/>
        <v>104.48327294202775</v>
      </c>
      <c r="AH52" t="s">
        <v>271</v>
      </c>
      <c r="AI52" s="22">
        <v>16</v>
      </c>
      <c r="AJ52" s="22">
        <v>3.5622222222222229E-2</v>
      </c>
      <c r="AK52" s="22">
        <v>6.5133711426805201</v>
      </c>
      <c r="AL52" s="22">
        <v>0.233758166536749</v>
      </c>
      <c r="AM52" s="59">
        <v>8464.6548365281978</v>
      </c>
      <c r="AN52" s="24">
        <f t="shared" si="18"/>
        <v>27.863715904259355</v>
      </c>
      <c r="AO52" s="22">
        <f t="shared" si="19"/>
        <v>27.366149548826154</v>
      </c>
      <c r="AP52" s="22">
        <f t="shared" si="30"/>
        <v>104.48327294202775</v>
      </c>
      <c r="AQ52" s="22">
        <v>104.48327294202775</v>
      </c>
      <c r="AR52" s="22">
        <v>104.48327294202775</v>
      </c>
      <c r="AS52" s="374"/>
      <c r="AT52">
        <f t="shared" si="31"/>
        <v>16</v>
      </c>
      <c r="AU52" s="40" t="str">
        <f t="shared" si="32"/>
        <v/>
      </c>
      <c r="AV52">
        <f t="shared" si="20"/>
        <v>6.5133711426805201</v>
      </c>
      <c r="AW52">
        <f t="shared" si="21"/>
        <v>6.5133711426805201</v>
      </c>
      <c r="AX52">
        <f t="shared" si="22"/>
        <v>0.233758166536749</v>
      </c>
      <c r="AY52" s="40" t="str">
        <f t="shared" si="5"/>
        <v/>
      </c>
    </row>
    <row r="53" spans="1:51">
      <c r="A53" s="59">
        <v>7756.1329104635161</v>
      </c>
      <c r="B53" t="s">
        <v>273</v>
      </c>
      <c r="C53" s="22">
        <v>5.3433333333333333E-2</v>
      </c>
      <c r="D53" s="22">
        <v>7.3592826012287098</v>
      </c>
      <c r="E53" s="62">
        <f t="shared" si="6"/>
        <v>1.6697916666666666E-3</v>
      </c>
      <c r="F53" s="62">
        <f t="shared" si="7"/>
        <v>0.13141576073622696</v>
      </c>
      <c r="G53" s="465">
        <v>0</v>
      </c>
      <c r="H53">
        <v>0.2</v>
      </c>
      <c r="I53">
        <v>0.6</v>
      </c>
      <c r="J53">
        <v>0.7</v>
      </c>
      <c r="K53">
        <v>0.8</v>
      </c>
      <c r="L53">
        <v>0.9</v>
      </c>
      <c r="M53" s="40">
        <v>0.95</v>
      </c>
      <c r="N53" s="24">
        <f t="shared" si="33"/>
        <v>78.701890397241357</v>
      </c>
      <c r="O53" s="24">
        <f t="shared" si="34"/>
        <v>63.161512317793083</v>
      </c>
      <c r="P53" s="24">
        <f t="shared" si="35"/>
        <v>32.080756158896541</v>
      </c>
      <c r="Q53" s="24">
        <f t="shared" si="36"/>
        <v>24.310567119172408</v>
      </c>
      <c r="R53" s="24">
        <f t="shared" si="23"/>
        <v>16.540378079448267</v>
      </c>
      <c r="S53" s="24">
        <f t="shared" si="12"/>
        <v>8.7701890397241336</v>
      </c>
      <c r="T53" s="29">
        <f t="shared" si="13"/>
        <v>4.8850945198620712</v>
      </c>
      <c r="U53" s="24">
        <f t="shared" si="14"/>
        <v>32.080756158896541</v>
      </c>
      <c r="V53" s="24" t="str">
        <f t="shared" si="27"/>
        <v/>
      </c>
      <c r="W53" s="24" t="str">
        <f t="shared" si="28"/>
        <v/>
      </c>
      <c r="AA53" s="59">
        <v>7756.1329104635161</v>
      </c>
      <c r="AB53" s="24">
        <v>78.701890397241357</v>
      </c>
      <c r="AC53" t="str">
        <f t="shared" si="29"/>
        <v/>
      </c>
      <c r="AD53">
        <f t="shared" si="16"/>
        <v>78.701890397241357</v>
      </c>
      <c r="AE53" t="str">
        <f t="shared" si="17"/>
        <v/>
      </c>
      <c r="AH53" t="s">
        <v>273</v>
      </c>
      <c r="AI53" s="22">
        <v>81</v>
      </c>
      <c r="AJ53" s="22">
        <v>5.3433333333333333E-2</v>
      </c>
      <c r="AK53" s="22">
        <v>7.3592826012287098</v>
      </c>
      <c r="AL53" s="22">
        <v>0.22997358351199401</v>
      </c>
      <c r="AM53" s="59">
        <v>7756.1329104635161</v>
      </c>
      <c r="AN53" s="24">
        <f t="shared" si="18"/>
        <v>32.000556276259857</v>
      </c>
      <c r="AO53" s="22">
        <f t="shared" si="19"/>
        <v>31.429117771326641</v>
      </c>
      <c r="AP53" s="22">
        <f t="shared" si="30"/>
        <v>78.701890397241357</v>
      </c>
      <c r="AQ53" s="22">
        <v>78.701890397241357</v>
      </c>
      <c r="AR53" s="22">
        <v>78.701890397241357</v>
      </c>
      <c r="AS53" s="374"/>
      <c r="AT53">
        <f t="shared" si="31"/>
        <v>81</v>
      </c>
      <c r="AU53" s="40" t="str">
        <f t="shared" si="32"/>
        <v/>
      </c>
      <c r="AV53">
        <f t="shared" si="20"/>
        <v>7.3592826012287098</v>
      </c>
      <c r="AW53">
        <f t="shared" si="21"/>
        <v>7.3592826012287098</v>
      </c>
      <c r="AX53">
        <f t="shared" si="22"/>
        <v>0.22997358351199401</v>
      </c>
      <c r="AY53" s="40" t="str">
        <f t="shared" si="5"/>
        <v/>
      </c>
    </row>
    <row r="54" spans="1:51">
      <c r="A54" s="61">
        <v>13644.107807809884</v>
      </c>
      <c r="B54" s="50" t="s">
        <v>275</v>
      </c>
      <c r="C54" s="69">
        <v>7.1244444444444457E-2</v>
      </c>
      <c r="D54" s="69">
        <v>7.56683640329714</v>
      </c>
      <c r="E54" s="478">
        <f t="shared" si="6"/>
        <v>2.2263888888888893E-3</v>
      </c>
      <c r="F54" s="478">
        <f t="shared" si="7"/>
        <v>0.13512207863030606</v>
      </c>
      <c r="G54" s="477">
        <v>0</v>
      </c>
      <c r="H54" s="30">
        <v>0.2</v>
      </c>
      <c r="I54">
        <v>0.6</v>
      </c>
      <c r="J54" s="30">
        <v>0.7</v>
      </c>
      <c r="K54">
        <v>0.8</v>
      </c>
      <c r="L54" s="30">
        <v>0.9</v>
      </c>
      <c r="M54" s="38">
        <v>0.95</v>
      </c>
      <c r="N54" s="31">
        <f t="shared" si="33"/>
        <v>60.691139497080691</v>
      </c>
      <c r="O54" s="31">
        <f t="shared" si="34"/>
        <v>48.752911597664557</v>
      </c>
      <c r="P54" s="31">
        <f t="shared" si="35"/>
        <v>24.876455798832279</v>
      </c>
      <c r="Q54" s="31">
        <f t="shared" si="36"/>
        <v>18.907341849124212</v>
      </c>
      <c r="R54" s="31">
        <f t="shared" si="23"/>
        <v>12.938227899416134</v>
      </c>
      <c r="S54" s="31">
        <f t="shared" si="12"/>
        <v>6.9691139497080679</v>
      </c>
      <c r="T54" s="32">
        <f t="shared" si="13"/>
        <v>3.9845569748540366</v>
      </c>
      <c r="U54" s="24">
        <f t="shared" si="14"/>
        <v>24.876455798832279</v>
      </c>
      <c r="V54" s="24" t="str">
        <f t="shared" si="27"/>
        <v/>
      </c>
      <c r="W54" s="24">
        <f t="shared" si="28"/>
        <v>12.938227899416134</v>
      </c>
      <c r="AA54" s="61">
        <v>13644.107807809884</v>
      </c>
      <c r="AB54" s="24">
        <v>60.691139497080691</v>
      </c>
      <c r="AC54" t="str">
        <f t="shared" si="29"/>
        <v/>
      </c>
      <c r="AD54">
        <f t="shared" si="16"/>
        <v>60.691139497080691</v>
      </c>
      <c r="AE54">
        <f t="shared" si="17"/>
        <v>60.691139497080691</v>
      </c>
      <c r="AH54" s="50" t="s">
        <v>275</v>
      </c>
      <c r="AI54" s="69">
        <v>28</v>
      </c>
      <c r="AJ54" s="69">
        <v>7.1244444444444457E-2</v>
      </c>
      <c r="AK54" s="69">
        <v>7.56683640329714</v>
      </c>
      <c r="AL54" s="69">
        <v>0.380396275218917</v>
      </c>
      <c r="AM54" s="61">
        <v>13644.107807809884</v>
      </c>
      <c r="AN54" s="24">
        <f t="shared" si="18"/>
        <v>19.891983429497166</v>
      </c>
      <c r="AO54" s="22">
        <f t="shared" si="19"/>
        <v>19.536769439684715</v>
      </c>
      <c r="AP54" s="22">
        <f t="shared" si="30"/>
        <v>60.691139497080691</v>
      </c>
      <c r="AQ54" s="22">
        <v>60.691139497080691</v>
      </c>
      <c r="AR54" s="22">
        <v>60.691139497080691</v>
      </c>
      <c r="AS54" s="374"/>
      <c r="AT54">
        <f t="shared" si="31"/>
        <v>28</v>
      </c>
      <c r="AU54" s="40" t="str">
        <f t="shared" si="32"/>
        <v/>
      </c>
      <c r="AV54">
        <f t="shared" si="20"/>
        <v>7.56683640329714</v>
      </c>
      <c r="AW54">
        <f t="shared" si="21"/>
        <v>7.56683640329714</v>
      </c>
      <c r="AX54">
        <f t="shared" si="22"/>
        <v>0.380396275218917</v>
      </c>
      <c r="AY54" s="40" t="str">
        <f t="shared" si="5"/>
        <v/>
      </c>
    </row>
    <row r="55" spans="1:51">
      <c r="M55" s="40" t="s">
        <v>455</v>
      </c>
      <c r="N55" s="24">
        <f>AVERAGE(N3:N54)</f>
        <v>43.342175436352811</v>
      </c>
      <c r="O55" s="24">
        <f t="shared" ref="O55:T55" si="37">AVERAGE(O3:O54)</f>
        <v>34.873740349082247</v>
      </c>
      <c r="P55" s="24">
        <f t="shared" si="37"/>
        <v>17.936870174541124</v>
      </c>
      <c r="Q55" s="24">
        <f t="shared" si="37"/>
        <v>13.702652630905847</v>
      </c>
      <c r="R55" s="22">
        <f t="shared" si="37"/>
        <v>9.46843508727056</v>
      </c>
      <c r="S55" s="24">
        <f t="shared" si="37"/>
        <v>5.23421754363528</v>
      </c>
      <c r="T55" s="29">
        <f t="shared" si="37"/>
        <v>3.1171087718176413</v>
      </c>
      <c r="U55" s="374">
        <f t="shared" ref="U55:W55" si="38">AVERAGE(U3:U54)</f>
        <v>7.8747909795506397</v>
      </c>
      <c r="V55" s="29">
        <f t="shared" si="38"/>
        <v>13.157864125433738</v>
      </c>
      <c r="W55" s="29">
        <f t="shared" si="38"/>
        <v>3.9198893199950011</v>
      </c>
      <c r="AA55" t="s">
        <v>334</v>
      </c>
      <c r="AB55" s="24">
        <f>AVERAGE(AB3:AB54)</f>
        <v>43.342175436352811</v>
      </c>
      <c r="AC55" s="24">
        <f>AVERAGE(AC3:AC54)</f>
        <v>61.789320627168692</v>
      </c>
      <c r="AD55" s="24">
        <f t="shared" ref="AD55" si="39">AVERAGE(AD3:AD54)</f>
        <v>18.186977448876601</v>
      </c>
      <c r="AE55" s="24">
        <f>AVERAGE(AE3:AE54)</f>
        <v>15.599446599975009</v>
      </c>
      <c r="AH55" t="s">
        <v>37</v>
      </c>
      <c r="AI55" s="22">
        <v>73.382599999999996</v>
      </c>
      <c r="AJ55" s="22">
        <v>0.71058715095986025</v>
      </c>
      <c r="AK55" s="22">
        <v>6.1733439068308797</v>
      </c>
      <c r="AL55" s="22">
        <v>1.45271677735758</v>
      </c>
      <c r="AM55" s="22">
        <v>47.508619294298057</v>
      </c>
      <c r="AN55" s="24"/>
      <c r="AO55" s="22"/>
      <c r="AP55" s="22"/>
      <c r="AQ55" s="22"/>
      <c r="AR55" s="22"/>
      <c r="AS55" s="374"/>
      <c r="AT55" t="str">
        <f t="shared" si="31"/>
        <v/>
      </c>
      <c r="AU55" s="40">
        <f t="shared" si="32"/>
        <v>73.382599999999996</v>
      </c>
      <c r="AV55" t="str">
        <f t="shared" si="20"/>
        <v/>
      </c>
      <c r="AW55" t="str">
        <f t="shared" si="21"/>
        <v/>
      </c>
      <c r="AX55" t="str">
        <f t="shared" si="22"/>
        <v/>
      </c>
      <c r="AY55" s="40">
        <f t="shared" si="5"/>
        <v>6.1733439068308797</v>
      </c>
    </row>
    <row r="56" spans="1:51">
      <c r="U56" t="s">
        <v>459</v>
      </c>
      <c r="V56" s="40" t="s">
        <v>460</v>
      </c>
      <c r="AH56" t="s">
        <v>31</v>
      </c>
      <c r="AI56" s="22">
        <v>59.534999999999997</v>
      </c>
      <c r="AJ56" s="22">
        <v>2.7030878054101217</v>
      </c>
      <c r="AK56" s="22">
        <v>6.3048705677367796</v>
      </c>
      <c r="AL56" s="22">
        <v>0.46886655994586302</v>
      </c>
      <c r="AM56" s="22">
        <v>23.889350852157701</v>
      </c>
      <c r="AN56" s="24"/>
      <c r="AO56" s="22"/>
      <c r="AP56" s="22"/>
      <c r="AQ56" s="22"/>
      <c r="AR56" s="22"/>
      <c r="AS56" s="374"/>
      <c r="AT56" t="str">
        <f t="shared" si="31"/>
        <v/>
      </c>
      <c r="AU56" s="40">
        <f t="shared" si="32"/>
        <v>59.534999999999997</v>
      </c>
      <c r="AV56" t="str">
        <f t="shared" si="20"/>
        <v/>
      </c>
      <c r="AW56" t="str">
        <f t="shared" si="21"/>
        <v/>
      </c>
      <c r="AX56" t="str">
        <f t="shared" si="22"/>
        <v/>
      </c>
      <c r="AY56" s="40">
        <f t="shared" si="5"/>
        <v>6.3048705677367796</v>
      </c>
    </row>
    <row r="57" spans="1:51">
      <c r="AH57" t="s">
        <v>72</v>
      </c>
      <c r="AI57" s="22">
        <v>261.85309999999998</v>
      </c>
      <c r="AJ57" s="22">
        <v>10.986605759162304</v>
      </c>
      <c r="AK57" s="22">
        <v>6.6746441761463497</v>
      </c>
      <c r="AL57" s="22">
        <v>1.47161998532086</v>
      </c>
      <c r="AM57" s="22">
        <v>222.06277929408722</v>
      </c>
      <c r="AN57" s="24"/>
      <c r="AO57" s="22"/>
      <c r="AP57" s="22"/>
      <c r="AQ57" s="22"/>
      <c r="AR57" s="22"/>
      <c r="AS57" s="374"/>
      <c r="AT57" t="str">
        <f t="shared" si="31"/>
        <v/>
      </c>
      <c r="AU57" s="40">
        <f t="shared" si="32"/>
        <v>261.85309999999998</v>
      </c>
      <c r="AV57" t="str">
        <f t="shared" si="20"/>
        <v/>
      </c>
      <c r="AW57" t="str">
        <f t="shared" si="21"/>
        <v/>
      </c>
      <c r="AX57" t="str">
        <f t="shared" si="22"/>
        <v/>
      </c>
      <c r="AY57" s="40">
        <f t="shared" si="5"/>
        <v>6.6746441761463497</v>
      </c>
    </row>
    <row r="58" spans="1:51">
      <c r="AH58" t="s">
        <v>54</v>
      </c>
      <c r="AI58" s="22">
        <v>204.14240000000001</v>
      </c>
      <c r="AJ58" s="22">
        <v>2.8709149214659679</v>
      </c>
      <c r="AK58" s="22">
        <v>1.72249975069776</v>
      </c>
      <c r="AL58" s="22">
        <v>0.60391235375463503</v>
      </c>
      <c r="AM58" s="22">
        <v>33.86986131742173</v>
      </c>
      <c r="AN58" s="24"/>
      <c r="AO58" s="22"/>
      <c r="AP58" s="22"/>
      <c r="AQ58" s="22"/>
      <c r="AR58" s="22"/>
      <c r="AS58" s="374"/>
      <c r="AT58" t="str">
        <f t="shared" si="31"/>
        <v/>
      </c>
      <c r="AU58" s="40">
        <f t="shared" si="32"/>
        <v>204.14240000000001</v>
      </c>
      <c r="AV58" t="str">
        <f t="shared" si="20"/>
        <v/>
      </c>
      <c r="AW58" t="str">
        <f t="shared" si="21"/>
        <v/>
      </c>
      <c r="AX58" t="str">
        <f t="shared" si="22"/>
        <v/>
      </c>
      <c r="AY58" s="40">
        <f t="shared" si="5"/>
        <v>1.72249975069776</v>
      </c>
    </row>
    <row r="59" spans="1:51">
      <c r="AH59" s="51">
        <v>37</v>
      </c>
      <c r="AI59" s="22">
        <v>106.5976</v>
      </c>
      <c r="AJ59" s="22">
        <v>7.3786798429319367</v>
      </c>
      <c r="AK59" s="22">
        <v>1.1176989587758901</v>
      </c>
      <c r="AL59" s="22">
        <v>1.0376308797773299</v>
      </c>
      <c r="AM59" s="22">
        <v>21.2315322354847</v>
      </c>
      <c r="AN59" s="24"/>
      <c r="AO59" s="22"/>
      <c r="AP59" s="22"/>
      <c r="AQ59" s="22"/>
      <c r="AR59" s="22"/>
      <c r="AS59" s="374"/>
      <c r="AT59" t="str">
        <f t="shared" si="31"/>
        <v/>
      </c>
      <c r="AU59" s="40">
        <f t="shared" si="32"/>
        <v>106.5976</v>
      </c>
      <c r="AV59" t="str">
        <f t="shared" si="20"/>
        <v/>
      </c>
      <c r="AW59" t="str">
        <f t="shared" si="21"/>
        <v/>
      </c>
      <c r="AX59" t="str">
        <f t="shared" si="22"/>
        <v/>
      </c>
      <c r="AY59" s="40">
        <f t="shared" si="5"/>
        <v>1.1176989587758901</v>
      </c>
    </row>
    <row r="60" spans="1:51">
      <c r="AH60" s="51">
        <v>60</v>
      </c>
      <c r="AI60" s="22">
        <v>25.608799999999999</v>
      </c>
      <c r="AJ60" s="22">
        <v>9.0676633726003484</v>
      </c>
      <c r="AK60" s="22">
        <v>2.60451622173799</v>
      </c>
      <c r="AL60" s="22">
        <v>0.30793863515479702</v>
      </c>
      <c r="AM60" s="22">
        <v>18.82460595644519</v>
      </c>
      <c r="AN60" s="24"/>
      <c r="AO60" s="22"/>
      <c r="AP60" s="22"/>
      <c r="AQ60" s="22"/>
      <c r="AR60" s="22"/>
      <c r="AS60" s="374"/>
      <c r="AT60" t="str">
        <f t="shared" si="31"/>
        <v/>
      </c>
      <c r="AU60" s="40">
        <f t="shared" si="32"/>
        <v>25.608799999999999</v>
      </c>
      <c r="AV60" t="str">
        <f t="shared" si="20"/>
        <v/>
      </c>
      <c r="AW60" t="str">
        <f t="shared" si="21"/>
        <v/>
      </c>
      <c r="AX60" t="str">
        <f t="shared" si="22"/>
        <v/>
      </c>
      <c r="AY60" s="40">
        <f t="shared" si="5"/>
        <v>2.60451622173799</v>
      </c>
    </row>
    <row r="61" spans="1:51">
      <c r="AH61" t="s">
        <v>43</v>
      </c>
      <c r="AI61" s="22" t="s">
        <v>299</v>
      </c>
      <c r="AJ61" s="22">
        <v>14.740219895287956</v>
      </c>
      <c r="AK61" s="22">
        <v>3.0075226368572801</v>
      </c>
      <c r="AL61" s="22">
        <v>0.35527614883592101</v>
      </c>
      <c r="AM61" s="22">
        <v>28.035082671620174</v>
      </c>
      <c r="AN61" s="24"/>
      <c r="AO61" s="22"/>
      <c r="AP61" s="22"/>
      <c r="AQ61" s="22"/>
      <c r="AR61" s="22"/>
      <c r="AS61" s="374"/>
      <c r="AT61" t="str">
        <f t="shared" si="31"/>
        <v/>
      </c>
      <c r="AU61" s="40" t="str">
        <f t="shared" si="32"/>
        <v>&lt; MDL (0.34)</v>
      </c>
      <c r="AV61" t="str">
        <f t="shared" si="20"/>
        <v/>
      </c>
      <c r="AW61" t="str">
        <f t="shared" si="21"/>
        <v/>
      </c>
      <c r="AX61" t="str">
        <f t="shared" si="22"/>
        <v/>
      </c>
      <c r="AY61" s="40">
        <f t="shared" si="5"/>
        <v>3.0075226368572801</v>
      </c>
    </row>
    <row r="62" spans="1:51">
      <c r="AI62" s="28">
        <f>MAX(AI3:AI61)</f>
        <v>261.85309999999998</v>
      </c>
      <c r="AJ62" s="28">
        <f>AVERAGE(AJ7:AJ12,AJ30,AJ34,AJ45:AJ54)</f>
        <v>3.537484567901235</v>
      </c>
      <c r="AK62" s="28">
        <f t="shared" ref="AK62:AL62" si="40">AVERAGE(AK7:AK12,AK30,AK34,AK45:AK54)</f>
        <v>2.9703542988627749</v>
      </c>
      <c r="AL62" s="28">
        <f t="shared" si="40"/>
        <v>0.31223830076775344</v>
      </c>
      <c r="AM62" s="23" t="s">
        <v>455</v>
      </c>
      <c r="AN62" s="44">
        <f>AVERAGE(AN3:AN61)</f>
        <v>13.199111748381823</v>
      </c>
      <c r="AO62" s="44">
        <f>AVERAGE(AO3:AO61)</f>
        <v>12.963413324303572</v>
      </c>
      <c r="AP62" s="44">
        <f>AVERAGE(AP3:AP61)</f>
        <v>43.342175436352811</v>
      </c>
      <c r="AQ62" s="44">
        <f t="shared" ref="AQ62:AU62" si="41">AVERAGE(AQ3:AQ61)</f>
        <v>20.125932368502752</v>
      </c>
      <c r="AR62" s="44">
        <f t="shared" si="41"/>
        <v>22.363615742607205</v>
      </c>
      <c r="AS62" s="58">
        <f t="shared" si="41"/>
        <v>61.323798030991902</v>
      </c>
      <c r="AT62" s="44">
        <f t="shared" si="41"/>
        <v>31.313636363636366</v>
      </c>
      <c r="AU62" s="58">
        <f t="shared" si="41"/>
        <v>120.77270833333331</v>
      </c>
      <c r="AV62" s="602">
        <f>AVERAGE(AV3:AV61)</f>
        <v>2.9617652102726879</v>
      </c>
      <c r="AW62" s="602">
        <f>AVERAGE(AW3:AW61)</f>
        <v>2.816163460262787</v>
      </c>
      <c r="AX62" s="602">
        <f>AVERAGE(AX3:AX61)</f>
        <v>0.33143180957852841</v>
      </c>
      <c r="AY62" s="58">
        <f t="shared" ref="AY62" si="42">AVERAGE(AY3:AY61)</f>
        <v>6.563317139364238</v>
      </c>
    </row>
    <row r="63" spans="1:51">
      <c r="AI63" s="22"/>
      <c r="AJ63" s="22"/>
    </row>
    <row r="64" spans="1:51">
      <c r="AI64" s="22"/>
      <c r="AJ64" s="22"/>
    </row>
    <row r="65" spans="35:36">
      <c r="AI65" s="22"/>
      <c r="AJ65" s="22"/>
    </row>
    <row r="66" spans="35:36">
      <c r="AI66" s="22"/>
      <c r="AJ66" s="22"/>
    </row>
    <row r="67" spans="35:36">
      <c r="AI67" s="22"/>
      <c r="AJ67" s="22"/>
    </row>
    <row r="68" spans="35:36">
      <c r="AI68" s="22"/>
      <c r="AJ68" s="22"/>
    </row>
    <row r="69" spans="35:36">
      <c r="AI69" s="22"/>
      <c r="AJ69" s="22"/>
    </row>
    <row r="70" spans="35:36">
      <c r="AI70" s="22"/>
      <c r="AJ70" s="22"/>
    </row>
    <row r="71" spans="35:36">
      <c r="AI71" s="22"/>
      <c r="AJ71" s="22"/>
    </row>
    <row r="72" spans="35:36">
      <c r="AI72" s="22"/>
      <c r="AJ72" s="22"/>
    </row>
    <row r="73" spans="35:36">
      <c r="AI73" s="22"/>
      <c r="AJ73" s="22"/>
    </row>
    <row r="74" spans="35:36">
      <c r="AI74" s="22"/>
      <c r="AJ74" s="22"/>
    </row>
    <row r="75" spans="35:36">
      <c r="AI75" s="22"/>
      <c r="AJ75" s="69"/>
    </row>
    <row r="76" spans="35:36">
      <c r="AI76" s="22"/>
      <c r="AJ76" s="22"/>
    </row>
    <row r="77" spans="35:36">
      <c r="AI77" s="69"/>
      <c r="AJ77" s="22"/>
    </row>
    <row r="78" spans="35:36">
      <c r="AI78" s="22"/>
      <c r="AJ78" s="22"/>
    </row>
    <row r="79" spans="35:36">
      <c r="AI79" s="22"/>
      <c r="AJ79" s="22"/>
    </row>
    <row r="80" spans="35:36">
      <c r="AI80" s="22"/>
      <c r="AJ80" s="22"/>
    </row>
    <row r="81" spans="35:36">
      <c r="AI81" s="22"/>
      <c r="AJ81" s="22"/>
    </row>
    <row r="82" spans="35:36">
      <c r="AI82" s="22"/>
      <c r="AJ82" s="22"/>
    </row>
    <row r="83" spans="35:36">
      <c r="AI83" s="22"/>
      <c r="AJ83" s="22"/>
    </row>
    <row r="84" spans="35:36">
      <c r="AI84" s="22"/>
      <c r="AJ84" s="22"/>
    </row>
    <row r="85" spans="35:36">
      <c r="AI85" s="22"/>
      <c r="AJ85" s="22"/>
    </row>
    <row r="86" spans="35:36">
      <c r="AI86" s="22"/>
      <c r="AJ86" s="22"/>
    </row>
    <row r="87" spans="35:36">
      <c r="AI87" s="22"/>
      <c r="AJ87" s="22"/>
    </row>
    <row r="88" spans="35:36">
      <c r="AI88" s="22"/>
      <c r="AJ88" s="22"/>
    </row>
    <row r="89" spans="35:36">
      <c r="AI89" s="22"/>
      <c r="AJ89" s="22"/>
    </row>
    <row r="90" spans="35:36">
      <c r="AI90" s="22"/>
      <c r="AJ90" s="22"/>
    </row>
    <row r="91" spans="35:36">
      <c r="AI91" s="22"/>
      <c r="AJ91" s="28"/>
    </row>
    <row r="92" spans="35:36">
      <c r="AI92" s="22"/>
      <c r="AJ92" s="22"/>
    </row>
    <row r="93" spans="35:36">
      <c r="AI93" s="28"/>
      <c r="AJ93" s="22"/>
    </row>
    <row r="94" spans="35:36">
      <c r="AI94" s="22"/>
      <c r="AJ94" s="22"/>
    </row>
    <row r="95" spans="35:36">
      <c r="AI95" s="22"/>
      <c r="AJ95" s="22"/>
    </row>
    <row r="96" spans="35:36">
      <c r="AI96" s="22"/>
      <c r="AJ96" s="22"/>
    </row>
    <row r="97" spans="3:36">
      <c r="AI97" s="22"/>
      <c r="AJ97" s="22"/>
    </row>
    <row r="98" spans="3:36">
      <c r="AI98" s="22"/>
      <c r="AJ98" s="22"/>
    </row>
    <row r="99" spans="3:36">
      <c r="AI99" s="22"/>
      <c r="AJ99" s="22"/>
    </row>
    <row r="100" spans="3:36">
      <c r="AI100" s="22"/>
      <c r="AJ100" s="69"/>
    </row>
    <row r="101" spans="3:36">
      <c r="AI101" s="22"/>
      <c r="AJ101" s="22"/>
    </row>
    <row r="102" spans="3:36">
      <c r="AI102" s="69"/>
      <c r="AJ102" s="22"/>
    </row>
    <row r="103" spans="3:36">
      <c r="AI103" s="22"/>
      <c r="AJ103" s="22"/>
    </row>
    <row r="104" spans="3:36">
      <c r="C104">
        <v>0.23154444444444441</v>
      </c>
      <c r="AI104" s="22"/>
      <c r="AJ104" s="22">
        <v>0.23154444444444441</v>
      </c>
    </row>
    <row r="105" spans="3:36">
      <c r="C105">
        <v>0.10686666666666667</v>
      </c>
      <c r="AI105" s="22"/>
      <c r="AJ105" s="22">
        <v>0.10686666666666667</v>
      </c>
    </row>
    <row r="106" spans="3:36">
      <c r="C106">
        <v>0.12467777777777779</v>
      </c>
      <c r="AI106" s="22"/>
      <c r="AJ106" s="22">
        <v>0.12467777777777779</v>
      </c>
    </row>
    <row r="107" spans="3:36">
      <c r="C107">
        <v>0.10686666666666667</v>
      </c>
      <c r="AI107" s="22"/>
      <c r="AJ107" s="22">
        <v>0.10686666666666667</v>
      </c>
    </row>
    <row r="108" spans="3:36">
      <c r="C108">
        <v>8.9055555555555554E-2</v>
      </c>
      <c r="AI108" s="22"/>
      <c r="AJ108" s="22">
        <v>8.9055555555555554E-2</v>
      </c>
    </row>
    <row r="109" spans="3:36">
      <c r="AI109" s="22"/>
    </row>
  </sheetData>
  <conditionalFormatting sqref="AL3:AL61">
    <cfRule type="top10" dxfId="301" priority="113" percent="1" rank="10"/>
  </conditionalFormatting>
  <conditionalFormatting sqref="AK3:AK61">
    <cfRule type="top10" dxfId="300" priority="114" percent="1" rank="10"/>
  </conditionalFormatting>
  <conditionalFormatting sqref="AJ3:AJ61">
    <cfRule type="top10" dxfId="299" priority="116" percent="1" rank="10"/>
  </conditionalFormatting>
  <conditionalFormatting sqref="AO3:AO61">
    <cfRule type="cellIs" dxfId="298" priority="112" operator="lessThan">
      <formula>4</formula>
    </cfRule>
  </conditionalFormatting>
  <conditionalFormatting sqref="AP3:AP61">
    <cfRule type="cellIs" dxfId="297" priority="11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8BB0-5F82-47F1-939E-99592F0036D1}">
  <sheetPr>
    <tabColor theme="4" tint="0.59999389629810485"/>
  </sheetPr>
  <dimension ref="A1:D21"/>
  <sheetViews>
    <sheetView workbookViewId="0">
      <selection activeCell="I22" sqref="I22"/>
    </sheetView>
  </sheetViews>
  <sheetFormatPr defaultRowHeight="15"/>
  <sheetData>
    <row r="1" spans="1:4">
      <c r="A1" t="s">
        <v>115</v>
      </c>
      <c r="C1" t="s">
        <v>482</v>
      </c>
      <c r="D1" t="s">
        <v>483</v>
      </c>
    </row>
    <row r="2" spans="1:4">
      <c r="B2" t="s">
        <v>484</v>
      </c>
      <c r="C2" t="s">
        <v>485</v>
      </c>
      <c r="D2" t="s">
        <v>485</v>
      </c>
    </row>
    <row r="3" spans="1:4">
      <c r="A3" s="323" t="s">
        <v>486</v>
      </c>
      <c r="B3" t="s">
        <v>487</v>
      </c>
      <c r="C3">
        <v>2700</v>
      </c>
      <c r="D3">
        <v>81</v>
      </c>
    </row>
    <row r="4" spans="1:4">
      <c r="A4" s="323" t="s">
        <v>488</v>
      </c>
      <c r="B4" t="s">
        <v>489</v>
      </c>
      <c r="C4">
        <v>29000</v>
      </c>
      <c r="D4">
        <v>1000</v>
      </c>
    </row>
    <row r="5" spans="1:4">
      <c r="A5" s="323" t="s">
        <v>490</v>
      </c>
      <c r="B5" t="s">
        <v>491</v>
      </c>
      <c r="C5">
        <v>8100</v>
      </c>
      <c r="D5">
        <v>190</v>
      </c>
    </row>
    <row r="6" spans="1:4">
      <c r="A6" s="315" t="s">
        <v>358</v>
      </c>
      <c r="B6" t="s">
        <v>492</v>
      </c>
      <c r="C6">
        <v>2000</v>
      </c>
      <c r="D6">
        <v>78</v>
      </c>
    </row>
    <row r="7" spans="1:4">
      <c r="A7" s="315" t="s">
        <v>359</v>
      </c>
      <c r="B7" t="s">
        <v>493</v>
      </c>
      <c r="C7">
        <v>17000</v>
      </c>
      <c r="D7">
        <v>100</v>
      </c>
    </row>
    <row r="8" spans="1:4">
      <c r="A8" s="315" t="s">
        <v>360</v>
      </c>
      <c r="B8" t="s">
        <v>494</v>
      </c>
      <c r="C8">
        <v>4600</v>
      </c>
      <c r="D8">
        <v>140</v>
      </c>
    </row>
    <row r="9" spans="1:4">
      <c r="A9" s="315" t="s">
        <v>361</v>
      </c>
      <c r="B9" t="s">
        <v>495</v>
      </c>
      <c r="C9">
        <v>5300</v>
      </c>
      <c r="D9">
        <v>160</v>
      </c>
    </row>
    <row r="10" spans="1:4">
      <c r="A10" s="315" t="s">
        <v>362</v>
      </c>
      <c r="B10" t="s">
        <v>496</v>
      </c>
      <c r="C10">
        <v>8700</v>
      </c>
      <c r="D10">
        <v>290</v>
      </c>
    </row>
    <row r="11" spans="1:4">
      <c r="A11" s="315" t="s">
        <v>337</v>
      </c>
      <c r="B11" t="s">
        <v>338</v>
      </c>
      <c r="C11">
        <v>7200</v>
      </c>
      <c r="D11">
        <v>240</v>
      </c>
    </row>
    <row r="12" spans="1:4">
      <c r="A12" s="315" t="s">
        <v>339</v>
      </c>
      <c r="B12" t="s">
        <v>340</v>
      </c>
      <c r="C12">
        <v>3700</v>
      </c>
      <c r="D12">
        <v>110</v>
      </c>
    </row>
    <row r="13" spans="1:4">
      <c r="A13" s="324" t="s">
        <v>341</v>
      </c>
      <c r="B13" t="s">
        <v>342</v>
      </c>
      <c r="C13">
        <v>5000</v>
      </c>
      <c r="D13">
        <v>160</v>
      </c>
    </row>
    <row r="14" spans="1:4">
      <c r="A14" s="324" t="s">
        <v>343</v>
      </c>
      <c r="B14" t="s">
        <v>344</v>
      </c>
      <c r="C14">
        <v>3900</v>
      </c>
      <c r="D14">
        <v>150</v>
      </c>
    </row>
    <row r="15" spans="1:4">
      <c r="A15" s="324" t="s">
        <v>345</v>
      </c>
      <c r="B15" t="s">
        <v>346</v>
      </c>
      <c r="C15">
        <v>3700</v>
      </c>
      <c r="D15">
        <v>130</v>
      </c>
    </row>
    <row r="16" spans="1:4">
      <c r="A16" s="324" t="s">
        <v>347</v>
      </c>
      <c r="B16" t="s">
        <v>348</v>
      </c>
      <c r="C16">
        <v>1200</v>
      </c>
      <c r="D16">
        <v>9.1</v>
      </c>
    </row>
    <row r="17" spans="1:4">
      <c r="A17" s="324" t="s">
        <v>349</v>
      </c>
      <c r="B17" t="s">
        <v>350</v>
      </c>
      <c r="C17">
        <v>870</v>
      </c>
      <c r="D17">
        <v>8.3000000000000007</v>
      </c>
    </row>
    <row r="18" spans="1:4">
      <c r="A18" s="324" t="s">
        <v>351</v>
      </c>
      <c r="B18" t="s">
        <v>352</v>
      </c>
      <c r="C18">
        <v>1600</v>
      </c>
      <c r="D18">
        <v>14</v>
      </c>
    </row>
    <row r="19" spans="1:4">
      <c r="A19" s="324" t="s">
        <v>353</v>
      </c>
      <c r="B19" t="s">
        <v>354</v>
      </c>
      <c r="C19">
        <v>5100</v>
      </c>
      <c r="D19">
        <v>57</v>
      </c>
    </row>
    <row r="20" spans="1:4">
      <c r="B20" t="s">
        <v>497</v>
      </c>
      <c r="C20">
        <f>AVERAGE(C6:C12)</f>
        <v>6928.5714285714284</v>
      </c>
    </row>
    <row r="21" spans="1:4">
      <c r="B21" t="s">
        <v>498</v>
      </c>
      <c r="C21">
        <f>AVERAGE(C13:C19)</f>
        <v>3052.8571428571427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EEEC-1A00-4D91-ABFA-EF24897E82EA}">
  <sheetPr>
    <tabColor theme="4" tint="0.59999389629810485"/>
  </sheetPr>
  <dimension ref="A2:M56"/>
  <sheetViews>
    <sheetView zoomScaleNormal="100" workbookViewId="0">
      <selection activeCell="T34" sqref="T34"/>
    </sheetView>
  </sheetViews>
  <sheetFormatPr defaultRowHeight="15"/>
  <cols>
    <col min="2" max="2" width="8.85546875"/>
    <col min="3" max="3" width="16.28515625" customWidth="1"/>
    <col min="4" max="4" width="7.85546875" style="3" customWidth="1"/>
    <col min="5" max="5" width="8.85546875" customWidth="1"/>
    <col min="6" max="6" width="8.85546875"/>
    <col min="7" max="10" width="8.85546875" customWidth="1"/>
    <col min="13" max="13" width="12.5703125" customWidth="1"/>
    <col min="29" max="29" width="8.85546875"/>
  </cols>
  <sheetData>
    <row r="2" spans="1:13">
      <c r="A2" s="57" t="s">
        <v>135</v>
      </c>
      <c r="B2" s="27" t="s">
        <v>135</v>
      </c>
      <c r="C2" s="23" t="s">
        <v>363</v>
      </c>
      <c r="D2" s="52"/>
      <c r="E2" s="27"/>
      <c r="F2" s="57" t="s">
        <v>133</v>
      </c>
      <c r="G2" s="27" t="s">
        <v>133</v>
      </c>
      <c r="H2" s="27" t="s">
        <v>133</v>
      </c>
      <c r="I2" s="27" t="s">
        <v>133</v>
      </c>
      <c r="J2" s="27" t="s">
        <v>135</v>
      </c>
      <c r="K2" s="27" t="s">
        <v>499</v>
      </c>
      <c r="L2" s="27" t="s">
        <v>134</v>
      </c>
      <c r="M2" s="27"/>
    </row>
    <row r="3" spans="1:13" s="36" customFormat="1" ht="60">
      <c r="A3" s="42" t="s">
        <v>121</v>
      </c>
      <c r="B3" s="36" t="s">
        <v>147</v>
      </c>
      <c r="C3" s="41"/>
      <c r="D3" s="68" t="s">
        <v>139</v>
      </c>
      <c r="E3" s="36" t="s">
        <v>500</v>
      </c>
      <c r="F3" s="42" t="s">
        <v>121</v>
      </c>
      <c r="G3" s="36" t="s">
        <v>501</v>
      </c>
      <c r="H3" s="36" t="s">
        <v>145</v>
      </c>
      <c r="I3" s="36" t="s">
        <v>502</v>
      </c>
      <c r="J3" s="36" t="s">
        <v>147</v>
      </c>
      <c r="K3" s="36" t="s">
        <v>148</v>
      </c>
      <c r="L3" s="36" t="s">
        <v>149</v>
      </c>
      <c r="M3" s="34" t="s">
        <v>503</v>
      </c>
    </row>
    <row r="4" spans="1:13">
      <c r="A4" s="58">
        <v>67.39807390416118</v>
      </c>
      <c r="B4" s="28">
        <v>3.3376885514834205E-2</v>
      </c>
      <c r="C4" s="64" t="s">
        <v>169</v>
      </c>
      <c r="D4" s="52">
        <v>-52.5</v>
      </c>
      <c r="E4" s="27">
        <v>-197</v>
      </c>
      <c r="F4" s="58">
        <f t="shared" ref="F4:F35" si="0">A4/1000</f>
        <v>6.7398073904161179E-2</v>
      </c>
      <c r="G4" s="44">
        <v>203.226</v>
      </c>
      <c r="H4" s="28">
        <v>20.013300000000001</v>
      </c>
      <c r="I4" s="28">
        <v>0.10686666666666667</v>
      </c>
      <c r="J4" s="28">
        <f>B4/1000</f>
        <v>3.3376885514834202E-5</v>
      </c>
      <c r="K4" s="28">
        <v>12.0744701119241</v>
      </c>
      <c r="L4" s="28">
        <v>0.703691213795412</v>
      </c>
      <c r="M4" s="44">
        <f t="shared" ref="M4:M35" si="1">K4+I4+J4</f>
        <v>12.181370155476282</v>
      </c>
    </row>
    <row r="5" spans="1:13">
      <c r="A5" s="29">
        <v>120.82128078730307</v>
      </c>
      <c r="B5" s="22">
        <v>6.1851790924956351E-2</v>
      </c>
      <c r="C5" s="65" t="s">
        <v>172</v>
      </c>
      <c r="D5" s="3">
        <v>-65.5</v>
      </c>
      <c r="E5">
        <v>-205</v>
      </c>
      <c r="F5" s="29">
        <f t="shared" si="0"/>
        <v>0.12082128078730307</v>
      </c>
      <c r="G5" s="24">
        <v>166.47200000000001</v>
      </c>
      <c r="H5" s="22">
        <v>15.2293</v>
      </c>
      <c r="I5" s="22">
        <v>0.28497777777777783</v>
      </c>
      <c r="J5" s="22">
        <v>6.1851790924956351E-2</v>
      </c>
      <c r="K5" s="22">
        <v>5.4826296935321297</v>
      </c>
      <c r="L5" s="22">
        <v>0.67963978612487197</v>
      </c>
      <c r="M5" s="44">
        <f t="shared" si="1"/>
        <v>5.829459262234864</v>
      </c>
    </row>
    <row r="6" spans="1:13">
      <c r="A6" s="58">
        <v>10.352138260080199</v>
      </c>
      <c r="B6" s="28">
        <v>1047.6268494764397</v>
      </c>
      <c r="C6" s="23" t="s">
        <v>174</v>
      </c>
      <c r="D6" s="52">
        <v>-8.5</v>
      </c>
      <c r="E6" s="27">
        <v>-232</v>
      </c>
      <c r="F6" s="58">
        <f t="shared" si="0"/>
        <v>1.0352138260080199E-2</v>
      </c>
      <c r="G6" s="44">
        <v>15</v>
      </c>
      <c r="H6" s="28">
        <v>2.8315999999999999</v>
      </c>
      <c r="I6" s="28">
        <v>0.39184444444444444</v>
      </c>
      <c r="J6" s="28">
        <v>1047.6268494764397</v>
      </c>
      <c r="K6" s="28">
        <v>2.87694866756945</v>
      </c>
      <c r="L6" s="28">
        <v>1.1771842314565599</v>
      </c>
      <c r="M6" s="44">
        <f t="shared" si="1"/>
        <v>1050.8956425884535</v>
      </c>
    </row>
    <row r="7" spans="1:13">
      <c r="A7" s="59">
        <v>563.18591952990619</v>
      </c>
      <c r="B7" s="22">
        <v>280.35698276614306</v>
      </c>
      <c r="C7" s="25" t="s">
        <v>174</v>
      </c>
      <c r="D7" s="3">
        <v>-10.5</v>
      </c>
      <c r="E7">
        <v>-216</v>
      </c>
      <c r="F7" s="59">
        <f t="shared" si="0"/>
        <v>0.56318591952990615</v>
      </c>
      <c r="G7" s="24">
        <v>26</v>
      </c>
      <c r="H7" s="22">
        <v>2.4741</v>
      </c>
      <c r="I7" s="22">
        <v>0.12467777777777779</v>
      </c>
      <c r="J7" s="22">
        <v>280.35698276614306</v>
      </c>
      <c r="K7" s="22">
        <v>3.24179532767866</v>
      </c>
      <c r="L7" s="22">
        <v>0.77835240642361303</v>
      </c>
      <c r="M7" s="44">
        <f t="shared" si="1"/>
        <v>283.72345587159953</v>
      </c>
    </row>
    <row r="8" spans="1:13">
      <c r="A8" s="59">
        <v>4627.6082418081851</v>
      </c>
      <c r="B8" s="22">
        <v>748.39467233856874</v>
      </c>
      <c r="C8" s="65" t="s">
        <v>178</v>
      </c>
      <c r="D8" s="53">
        <v>-12</v>
      </c>
      <c r="E8">
        <v>-208</v>
      </c>
      <c r="F8" s="59">
        <f t="shared" si="0"/>
        <v>4.6276082418081854</v>
      </c>
      <c r="G8" s="24">
        <v>23</v>
      </c>
      <c r="H8" s="22">
        <v>4.8254000000000001</v>
      </c>
      <c r="I8" s="22">
        <v>8.9055555555555554E-2</v>
      </c>
      <c r="J8" s="22">
        <v>748.39467233856874</v>
      </c>
      <c r="K8" s="22">
        <v>2.9641369233805599</v>
      </c>
      <c r="L8" s="22">
        <v>0.58795062857681801</v>
      </c>
      <c r="M8" s="44">
        <f t="shared" si="1"/>
        <v>751.44786481750486</v>
      </c>
    </row>
    <row r="9" spans="1:13">
      <c r="A9" s="59">
        <v>4391.855486575274</v>
      </c>
      <c r="B9" s="22">
        <v>742.90993935427571</v>
      </c>
      <c r="C9" s="25" t="s">
        <v>180</v>
      </c>
      <c r="D9" s="3">
        <v>-13.5</v>
      </c>
      <c r="E9">
        <v>-204</v>
      </c>
      <c r="F9" s="59">
        <f t="shared" si="0"/>
        <v>4.3918554865752739</v>
      </c>
      <c r="G9" s="24">
        <v>9</v>
      </c>
      <c r="H9" s="22">
        <v>5.3125</v>
      </c>
      <c r="I9" s="22">
        <v>7.1244444444444457E-2</v>
      </c>
      <c r="J9" s="22">
        <v>742.90993935427571</v>
      </c>
      <c r="K9" s="22">
        <v>3.8366324151128102</v>
      </c>
      <c r="L9" s="22">
        <v>0.61862026418945504</v>
      </c>
      <c r="M9" s="44">
        <f t="shared" si="1"/>
        <v>746.817816213833</v>
      </c>
    </row>
    <row r="10" spans="1:13">
      <c r="A10" s="59">
        <v>10445.299637632412</v>
      </c>
      <c r="B10" s="22">
        <v>2022.2096247818497</v>
      </c>
      <c r="C10" s="65" t="s">
        <v>182</v>
      </c>
      <c r="D10" s="53">
        <v>-15.5</v>
      </c>
      <c r="E10">
        <v>-231</v>
      </c>
      <c r="F10" s="59">
        <f t="shared" si="0"/>
        <v>10.445299637632411</v>
      </c>
      <c r="G10" s="24">
        <v>0</v>
      </c>
      <c r="H10" s="22">
        <v>5.7485999999999997</v>
      </c>
      <c r="I10" s="22">
        <v>3.5622222222222229E-2</v>
      </c>
      <c r="J10" s="22">
        <v>2022.2096247818497</v>
      </c>
      <c r="K10" s="22">
        <v>1.1262627950833</v>
      </c>
      <c r="L10" s="22">
        <v>0.196744319617042</v>
      </c>
      <c r="M10" s="44">
        <f t="shared" si="1"/>
        <v>2023.3715097991553</v>
      </c>
    </row>
    <row r="11" spans="1:13">
      <c r="A11" s="59">
        <v>8517.7206461662863</v>
      </c>
      <c r="B11" s="22">
        <v>200.41414288830714</v>
      </c>
      <c r="C11" s="65" t="s">
        <v>184</v>
      </c>
      <c r="D11" s="53">
        <v>-17</v>
      </c>
      <c r="E11">
        <v>-252</v>
      </c>
      <c r="F11" s="59">
        <f t="shared" si="0"/>
        <v>8.5177206461662855</v>
      </c>
      <c r="G11" s="24">
        <v>1</v>
      </c>
      <c r="H11" s="22">
        <v>13.094900000000001</v>
      </c>
      <c r="I11" s="22">
        <v>0.30278888888888889</v>
      </c>
      <c r="J11" s="22">
        <v>200.41414288830714</v>
      </c>
      <c r="K11" s="22">
        <v>1.12915831935543</v>
      </c>
      <c r="L11" s="22">
        <v>0.14980383623836399</v>
      </c>
      <c r="M11" s="44">
        <f t="shared" si="1"/>
        <v>201.84609009655145</v>
      </c>
    </row>
    <row r="12" spans="1:13">
      <c r="A12" s="59">
        <v>6072.2362002911341</v>
      </c>
      <c r="B12" s="22">
        <v>122.34953839441535</v>
      </c>
      <c r="C12" s="65" t="s">
        <v>186</v>
      </c>
      <c r="D12" s="53">
        <v>-19</v>
      </c>
      <c r="E12">
        <v>-317</v>
      </c>
      <c r="F12" s="59">
        <f t="shared" si="0"/>
        <v>6.0722362002911341</v>
      </c>
      <c r="G12" s="24">
        <v>9</v>
      </c>
      <c r="H12" s="22">
        <v>14.869300000000001</v>
      </c>
      <c r="I12" s="22">
        <v>6.4476222222222228</v>
      </c>
      <c r="J12" s="22">
        <v>122.34953839441535</v>
      </c>
      <c r="K12" s="22">
        <v>0.156013410008567</v>
      </c>
      <c r="L12" s="22">
        <v>0.39475386461465001</v>
      </c>
      <c r="M12" s="44">
        <f t="shared" si="1"/>
        <v>128.95317402664614</v>
      </c>
    </row>
    <row r="13" spans="1:13">
      <c r="A13" s="59">
        <v>6823.0379880820947</v>
      </c>
      <c r="B13" s="22">
        <v>214.54732853403144</v>
      </c>
      <c r="C13" s="25" t="s">
        <v>188</v>
      </c>
      <c r="D13" s="3">
        <v>-19.5</v>
      </c>
      <c r="E13">
        <v>-227</v>
      </c>
      <c r="F13" s="59">
        <f t="shared" si="0"/>
        <v>6.8230379880820946</v>
      </c>
      <c r="G13" s="24">
        <v>2</v>
      </c>
      <c r="H13" s="22">
        <v>11.7187</v>
      </c>
      <c r="I13" s="22">
        <v>7.1244444444444457E-2</v>
      </c>
      <c r="J13" s="22">
        <v>214.54732853403144</v>
      </c>
      <c r="K13" s="22">
        <v>5.0502472914271399</v>
      </c>
      <c r="L13" s="22">
        <v>0.44477020295779102</v>
      </c>
      <c r="M13" s="44">
        <f t="shared" si="1"/>
        <v>219.66882026990302</v>
      </c>
    </row>
    <row r="14" spans="1:13">
      <c r="A14" s="59">
        <v>3363.7875359597292</v>
      </c>
      <c r="B14" s="22">
        <v>91.05513743455495</v>
      </c>
      <c r="C14" s="65" t="s">
        <v>190</v>
      </c>
      <c r="D14" s="53">
        <v>-20.5</v>
      </c>
      <c r="E14">
        <v>-329</v>
      </c>
      <c r="F14" s="59">
        <f t="shared" si="0"/>
        <v>3.3637875359597293</v>
      </c>
      <c r="G14" s="24">
        <v>5</v>
      </c>
      <c r="H14" s="22">
        <v>15.582599999999999</v>
      </c>
      <c r="I14" s="22">
        <v>9.4755111111111106</v>
      </c>
      <c r="J14" s="22">
        <v>91.05513743455495</v>
      </c>
      <c r="K14" s="22">
        <v>4.0728365462998503E-2</v>
      </c>
      <c r="L14" s="22">
        <v>0.46739132789608401</v>
      </c>
      <c r="M14" s="44">
        <f t="shared" si="1"/>
        <v>100.57137691112906</v>
      </c>
    </row>
    <row r="15" spans="1:13">
      <c r="A15" s="59">
        <v>999.98649397170402</v>
      </c>
      <c r="B15" s="22">
        <v>8.0699847294938891</v>
      </c>
      <c r="C15" s="25" t="s">
        <v>193</v>
      </c>
      <c r="D15" s="3">
        <v>-22.5</v>
      </c>
      <c r="E15">
        <v>-366</v>
      </c>
      <c r="F15" s="59">
        <f t="shared" si="0"/>
        <v>0.99998649397170403</v>
      </c>
      <c r="G15" s="24">
        <v>120</v>
      </c>
      <c r="H15" s="22">
        <v>19.937000000000001</v>
      </c>
      <c r="I15" s="22">
        <v>20.518399999999996</v>
      </c>
      <c r="J15" s="22">
        <v>8.0699847294938891</v>
      </c>
      <c r="K15" s="22">
        <v>9.9684669011121899E-2</v>
      </c>
      <c r="L15" s="22">
        <v>0.43748106040795198</v>
      </c>
      <c r="M15" s="44">
        <f t="shared" si="1"/>
        <v>28.688069398505007</v>
      </c>
    </row>
    <row r="16" spans="1:13">
      <c r="A16" s="29">
        <v>57.927176990748904</v>
      </c>
      <c r="B16" s="22">
        <v>6.6780909031413618</v>
      </c>
      <c r="C16" s="25" t="s">
        <v>195</v>
      </c>
      <c r="D16" s="3">
        <v>-24</v>
      </c>
      <c r="E16">
        <v>-296</v>
      </c>
      <c r="F16" s="29">
        <f t="shared" si="0"/>
        <v>5.7927176990748903E-2</v>
      </c>
      <c r="G16" s="24">
        <v>123</v>
      </c>
      <c r="H16" s="22">
        <v>19.6433</v>
      </c>
      <c r="I16" s="22">
        <v>0.83712222222222221</v>
      </c>
      <c r="J16" s="22">
        <v>6.6780909031413618</v>
      </c>
      <c r="K16" s="22">
        <v>3.9949253808153902</v>
      </c>
      <c r="L16" s="22">
        <v>0.67691496817247698</v>
      </c>
      <c r="M16" s="44">
        <f t="shared" si="1"/>
        <v>11.510138506178974</v>
      </c>
    </row>
    <row r="17" spans="1:13">
      <c r="A17" s="29">
        <v>17.087316174681867</v>
      </c>
      <c r="B17" s="22">
        <v>5.7532563699825472</v>
      </c>
      <c r="C17" s="25" t="s">
        <v>197</v>
      </c>
      <c r="D17" s="3">
        <v>-26</v>
      </c>
      <c r="E17">
        <v>-213</v>
      </c>
      <c r="F17" s="29">
        <f t="shared" si="0"/>
        <v>1.7087316174681868E-2</v>
      </c>
      <c r="G17" s="24">
        <v>124</v>
      </c>
      <c r="H17" s="22">
        <v>24.3749</v>
      </c>
      <c r="I17" s="22">
        <v>5.3433333333333333E-2</v>
      </c>
      <c r="J17" s="22">
        <v>5.7532563699825472</v>
      </c>
      <c r="K17" s="22">
        <v>2.3019177945171601</v>
      </c>
      <c r="L17" s="22">
        <v>0.89554027608513298</v>
      </c>
      <c r="M17" s="44">
        <f t="shared" si="1"/>
        <v>8.1086074978330416</v>
      </c>
    </row>
    <row r="18" spans="1:13">
      <c r="A18" s="59">
        <v>1976.9096035899397</v>
      </c>
      <c r="B18" s="22">
        <v>6.6195299520069808</v>
      </c>
      <c r="C18" s="65" t="s">
        <v>199</v>
      </c>
      <c r="D18" s="53">
        <v>-28</v>
      </c>
      <c r="E18">
        <v>-362</v>
      </c>
      <c r="F18" s="59">
        <f t="shared" si="0"/>
        <v>1.9769096035899396</v>
      </c>
      <c r="G18" s="24">
        <v>79</v>
      </c>
      <c r="H18" s="22">
        <v>19.1874</v>
      </c>
      <c r="I18" s="22">
        <v>15.477855555555553</v>
      </c>
      <c r="J18" s="22">
        <v>6.6195299520069808</v>
      </c>
      <c r="K18" s="22">
        <v>0.113612295106787</v>
      </c>
      <c r="L18" s="22">
        <v>3.0511156297776999E-2</v>
      </c>
      <c r="M18" s="44">
        <f t="shared" si="1"/>
        <v>22.210997802669322</v>
      </c>
    </row>
    <row r="19" spans="1:13">
      <c r="A19" s="59">
        <v>55.968238221817558</v>
      </c>
      <c r="B19" s="22">
        <v>6.2338846640488645</v>
      </c>
      <c r="C19" s="25" t="s">
        <v>201</v>
      </c>
      <c r="D19" s="3">
        <v>-29.5</v>
      </c>
      <c r="E19">
        <v>-251</v>
      </c>
      <c r="F19" s="59">
        <f t="shared" si="0"/>
        <v>5.5968238221817561E-2</v>
      </c>
      <c r="G19" s="24">
        <v>67</v>
      </c>
      <c r="H19" s="22">
        <v>19.292300000000001</v>
      </c>
      <c r="I19" s="22">
        <v>7.1244444444444457E-2</v>
      </c>
      <c r="J19" s="22">
        <v>6.2338846640488645</v>
      </c>
      <c r="K19" s="22">
        <v>3.4858349749339501</v>
      </c>
      <c r="L19" s="22">
        <v>0.69876607110616695</v>
      </c>
      <c r="M19" s="44">
        <f t="shared" si="1"/>
        <v>9.7909640834272587</v>
      </c>
    </row>
    <row r="20" spans="1:13">
      <c r="A20" s="59">
        <v>205.01316083293236</v>
      </c>
      <c r="B20" s="22">
        <v>6.941615183246074</v>
      </c>
      <c r="C20" s="65" t="s">
        <v>203</v>
      </c>
      <c r="D20" s="3">
        <v>-31</v>
      </c>
      <c r="E20">
        <v>-571</v>
      </c>
      <c r="F20" s="59">
        <f t="shared" si="0"/>
        <v>0.20501316083293236</v>
      </c>
      <c r="G20" s="24">
        <v>127</v>
      </c>
      <c r="H20" s="22">
        <v>20.867899999999999</v>
      </c>
      <c r="I20" s="22">
        <v>4.9514888888888899</v>
      </c>
      <c r="J20" s="22">
        <v>6.941615183246074</v>
      </c>
      <c r="K20" s="22">
        <v>3.1863076334926901</v>
      </c>
      <c r="L20" s="22">
        <v>0.70182098929139902</v>
      </c>
      <c r="M20" s="44">
        <f t="shared" si="1"/>
        <v>15.079411705627653</v>
      </c>
    </row>
    <row r="21" spans="1:13">
      <c r="A21" s="29">
        <v>24.769927925219562</v>
      </c>
      <c r="B21" s="22">
        <v>8.2842321116928428</v>
      </c>
      <c r="C21" s="65" t="s">
        <v>205</v>
      </c>
      <c r="D21" s="3">
        <v>-45</v>
      </c>
      <c r="E21">
        <v>-187</v>
      </c>
      <c r="F21" s="29">
        <f t="shared" si="0"/>
        <v>2.4769927925219561E-2</v>
      </c>
      <c r="G21" s="24">
        <v>237</v>
      </c>
      <c r="H21" s="22">
        <v>12.995200000000001</v>
      </c>
      <c r="I21" s="22">
        <v>5.3433333333333333E-2</v>
      </c>
      <c r="J21" s="22">
        <v>8.2842321116928428</v>
      </c>
      <c r="K21" s="22">
        <v>9.9551880568739506</v>
      </c>
      <c r="L21" s="22">
        <v>0.39923933656759802</v>
      </c>
      <c r="M21" s="44">
        <f t="shared" si="1"/>
        <v>18.292853501900126</v>
      </c>
    </row>
    <row r="22" spans="1:13">
      <c r="A22" s="29">
        <v>45.973514723287913</v>
      </c>
      <c r="B22" s="22">
        <v>4.3385094895287946</v>
      </c>
      <c r="C22" s="25" t="s">
        <v>207</v>
      </c>
      <c r="D22" s="3">
        <v>-49.5</v>
      </c>
      <c r="E22">
        <v>-227</v>
      </c>
      <c r="F22" s="29">
        <f t="shared" si="0"/>
        <v>4.5973514723287916E-2</v>
      </c>
      <c r="G22" s="24">
        <v>85</v>
      </c>
      <c r="H22" s="22">
        <v>4.6833999999999998</v>
      </c>
      <c r="I22" s="22">
        <v>5.3433333333333333E-2</v>
      </c>
      <c r="J22" s="22">
        <v>4.3385094895287946</v>
      </c>
      <c r="K22" s="22">
        <v>9.5745828978454792</v>
      </c>
      <c r="L22" s="22">
        <v>0.46118889690845799</v>
      </c>
      <c r="M22" s="44">
        <f t="shared" si="1"/>
        <v>13.966525720707606</v>
      </c>
    </row>
    <row r="23" spans="1:13">
      <c r="A23" s="29">
        <v>23.911461335810994</v>
      </c>
      <c r="B23" s="22">
        <v>4.9262614746945905</v>
      </c>
      <c r="C23" s="25" t="s">
        <v>210</v>
      </c>
      <c r="D23" s="3">
        <v>-51</v>
      </c>
      <c r="E23">
        <v>-242</v>
      </c>
      <c r="F23" s="29">
        <f t="shared" si="0"/>
        <v>2.3911461335810996E-2</v>
      </c>
      <c r="G23" s="24">
        <v>85</v>
      </c>
      <c r="H23" s="22">
        <v>2.8610000000000002</v>
      </c>
      <c r="I23" s="22">
        <v>7.1244444444444457E-2</v>
      </c>
      <c r="J23" s="22">
        <v>4.9262614746945905</v>
      </c>
      <c r="K23" s="22">
        <v>12.4930829277627</v>
      </c>
      <c r="L23" s="22">
        <v>0.46410682178795398</v>
      </c>
      <c r="M23" s="44">
        <f t="shared" si="1"/>
        <v>17.490588846901733</v>
      </c>
    </row>
    <row r="24" spans="1:13">
      <c r="A24" s="29">
        <v>18.393809061085197</v>
      </c>
      <c r="B24" s="22">
        <v>4.6548814572425838</v>
      </c>
      <c r="C24" s="25" t="s">
        <v>212</v>
      </c>
      <c r="D24" s="3">
        <v>-53</v>
      </c>
      <c r="E24">
        <v>-230</v>
      </c>
      <c r="F24" s="29">
        <f t="shared" si="0"/>
        <v>1.8393809061085196E-2</v>
      </c>
      <c r="G24" s="24">
        <v>94</v>
      </c>
      <c r="H24" s="22">
        <v>4.5880000000000001</v>
      </c>
      <c r="I24" s="22">
        <v>5.3433333333333333E-2</v>
      </c>
      <c r="J24" s="22">
        <v>4.6548814572425838</v>
      </c>
      <c r="K24" s="22">
        <v>9.28571163287479</v>
      </c>
      <c r="L24" s="22">
        <v>0.49690910259973903</v>
      </c>
      <c r="M24" s="44">
        <f t="shared" si="1"/>
        <v>13.994026423450705</v>
      </c>
    </row>
    <row r="25" spans="1:13">
      <c r="A25" s="29">
        <v>11.832230751683369</v>
      </c>
      <c r="B25" s="22">
        <v>4.3120856457242569</v>
      </c>
      <c r="C25" s="25" t="s">
        <v>214</v>
      </c>
      <c r="D25" s="3">
        <v>-54.5</v>
      </c>
      <c r="E25">
        <v>-249</v>
      </c>
      <c r="F25" s="29">
        <f t="shared" si="0"/>
        <v>1.1832230751683369E-2</v>
      </c>
      <c r="G25" s="24">
        <v>65</v>
      </c>
      <c r="H25" s="22">
        <v>2.8369</v>
      </c>
      <c r="I25" s="22">
        <v>5.3433333333333333E-2</v>
      </c>
      <c r="J25" s="22">
        <v>4.3120856457242569</v>
      </c>
      <c r="K25" s="22">
        <v>9.3655630683361597</v>
      </c>
      <c r="L25" s="22">
        <v>0.46350808143627498</v>
      </c>
      <c r="M25" s="44">
        <f t="shared" si="1"/>
        <v>13.731082047393748</v>
      </c>
    </row>
    <row r="26" spans="1:13">
      <c r="A26" s="29">
        <v>12.682668307534325</v>
      </c>
      <c r="B26" s="22">
        <v>4.6206018760907499</v>
      </c>
      <c r="C26" s="25" t="s">
        <v>216</v>
      </c>
      <c r="D26" s="3">
        <v>-55</v>
      </c>
      <c r="E26">
        <v>-175</v>
      </c>
      <c r="F26" s="29">
        <f t="shared" si="0"/>
        <v>1.2682668307534326E-2</v>
      </c>
      <c r="G26" s="24">
        <v>84</v>
      </c>
      <c r="H26" s="22">
        <v>4.6334</v>
      </c>
      <c r="I26" s="22">
        <v>0.12467777777777779</v>
      </c>
      <c r="J26" s="22">
        <v>4.6206018760907499</v>
      </c>
      <c r="K26" s="22">
        <v>10.230692226240899</v>
      </c>
      <c r="L26" s="22">
        <v>0.52354663576432403</v>
      </c>
      <c r="M26" s="44">
        <f t="shared" si="1"/>
        <v>14.975971880109427</v>
      </c>
    </row>
    <row r="27" spans="1:13">
      <c r="A27" s="29">
        <v>26.832977956535146</v>
      </c>
      <c r="B27" s="22">
        <v>4.2406698516579402</v>
      </c>
      <c r="C27" s="25" t="s">
        <v>218</v>
      </c>
      <c r="D27" s="3">
        <v>-56.5</v>
      </c>
      <c r="E27">
        <v>-244</v>
      </c>
      <c r="F27" s="29">
        <f t="shared" si="0"/>
        <v>2.6832977956535147E-2</v>
      </c>
      <c r="G27" s="24">
        <v>75</v>
      </c>
      <c r="H27" s="22">
        <v>3.2614000000000001</v>
      </c>
      <c r="I27" s="22">
        <v>5.3433333333333333E-2</v>
      </c>
      <c r="J27" s="22">
        <v>4.2406698516579402</v>
      </c>
      <c r="K27" s="22">
        <v>8.2793653906467508</v>
      </c>
      <c r="L27" s="22">
        <v>0.53797012101596398</v>
      </c>
      <c r="M27" s="44">
        <f t="shared" si="1"/>
        <v>12.573468575638024</v>
      </c>
    </row>
    <row r="28" spans="1:13">
      <c r="A28" s="29">
        <v>11.906494760485327</v>
      </c>
      <c r="B28" s="22">
        <v>1.5097298865619548</v>
      </c>
      <c r="C28" s="25" t="s">
        <v>220</v>
      </c>
      <c r="D28" s="3">
        <v>-58</v>
      </c>
      <c r="E28">
        <v>-245</v>
      </c>
      <c r="F28" s="29">
        <f t="shared" si="0"/>
        <v>1.1906494760485326E-2</v>
      </c>
      <c r="G28" s="24">
        <v>181</v>
      </c>
      <c r="H28" s="22">
        <v>1.7968</v>
      </c>
      <c r="I28" s="22">
        <v>3.5622222222222229E-2</v>
      </c>
      <c r="J28" s="22">
        <v>1.5097298865619548</v>
      </c>
      <c r="K28" s="22">
        <v>3.2365833105944701</v>
      </c>
      <c r="L28" s="22">
        <v>0.36033871303818099</v>
      </c>
      <c r="M28" s="44">
        <f t="shared" si="1"/>
        <v>4.7819354193786472</v>
      </c>
    </row>
    <row r="29" spans="1:13">
      <c r="A29" s="29">
        <v>20.209450758932476</v>
      </c>
      <c r="B29" s="22">
        <v>1.444027356020942</v>
      </c>
      <c r="C29" s="25" t="s">
        <v>222</v>
      </c>
      <c r="D29" s="3">
        <v>-59.5</v>
      </c>
      <c r="E29">
        <v>-239</v>
      </c>
      <c r="F29" s="29">
        <f t="shared" si="0"/>
        <v>2.0209450758932476E-2</v>
      </c>
      <c r="G29" s="24">
        <v>153</v>
      </c>
      <c r="H29" s="22">
        <v>0.9698</v>
      </c>
      <c r="I29" s="22">
        <v>3.5622222222222229E-2</v>
      </c>
      <c r="J29" s="22">
        <v>1.444027356020942</v>
      </c>
      <c r="K29" s="22">
        <v>2.9302530797751398</v>
      </c>
      <c r="L29" s="22">
        <v>0.42526390949921899</v>
      </c>
      <c r="M29" s="44">
        <f t="shared" si="1"/>
        <v>4.4099026580183045</v>
      </c>
    </row>
    <row r="30" spans="1:13">
      <c r="A30" s="32">
        <v>22.031508881945314</v>
      </c>
      <c r="B30" s="69">
        <v>21.539003490401392</v>
      </c>
      <c r="C30" s="65" t="s">
        <v>224</v>
      </c>
      <c r="D30" s="54">
        <v>-64</v>
      </c>
      <c r="E30" s="30">
        <v>-175</v>
      </c>
      <c r="F30" s="32">
        <f t="shared" si="0"/>
        <v>2.2031508881945314E-2</v>
      </c>
      <c r="G30" s="31">
        <v>39</v>
      </c>
      <c r="H30" s="69">
        <v>1.8802000000000001</v>
      </c>
      <c r="I30" s="69">
        <v>5.3433333333333333E-2</v>
      </c>
      <c r="J30" s="69">
        <v>21.539003490401392</v>
      </c>
      <c r="K30" s="69">
        <v>5.5635663777949604</v>
      </c>
      <c r="L30" s="69">
        <v>0.61010908890698301</v>
      </c>
      <c r="M30" s="44">
        <f t="shared" si="1"/>
        <v>27.156003201529685</v>
      </c>
    </row>
    <row r="31" spans="1:13">
      <c r="A31" s="322">
        <v>9683.2077668474703</v>
      </c>
      <c r="B31" s="22">
        <v>1.8668088568935424</v>
      </c>
      <c r="C31" s="65" t="s">
        <v>226</v>
      </c>
      <c r="D31" s="53">
        <v>-7</v>
      </c>
      <c r="E31">
        <v>-264</v>
      </c>
      <c r="F31" s="322">
        <f t="shared" si="0"/>
        <v>9.6832077668474703</v>
      </c>
      <c r="G31" s="24">
        <v>176</v>
      </c>
      <c r="H31" s="22">
        <v>0.46910000000000002</v>
      </c>
      <c r="I31" s="22">
        <v>0.62338888888888899</v>
      </c>
      <c r="J31" s="22">
        <v>1.8668088568935424</v>
      </c>
      <c r="K31" s="22">
        <v>11.082864877668699</v>
      </c>
      <c r="L31" s="22">
        <v>0.62776146491174201</v>
      </c>
      <c r="M31" s="44">
        <f t="shared" si="1"/>
        <v>13.573062623451129</v>
      </c>
    </row>
    <row r="32" spans="1:13">
      <c r="A32" s="59">
        <v>1329.6081408206694</v>
      </c>
      <c r="B32" s="22">
        <v>1.4690228839441533</v>
      </c>
      <c r="C32" s="25" t="s">
        <v>228</v>
      </c>
      <c r="D32" s="3">
        <v>-8.5</v>
      </c>
      <c r="E32">
        <v>-249</v>
      </c>
      <c r="F32" s="59">
        <f t="shared" si="0"/>
        <v>1.3296081408206695</v>
      </c>
      <c r="G32" s="24">
        <v>101</v>
      </c>
      <c r="H32" s="22">
        <v>0.52170000000000005</v>
      </c>
      <c r="I32" s="22">
        <v>0.26716666666666661</v>
      </c>
      <c r="J32" s="22">
        <v>1.4690228839441533</v>
      </c>
      <c r="K32" s="22">
        <v>6.8814461681478001</v>
      </c>
      <c r="L32" s="22">
        <v>0.71619651647447702</v>
      </c>
      <c r="M32" s="44">
        <f t="shared" si="1"/>
        <v>8.6176357187586206</v>
      </c>
    </row>
    <row r="33" spans="1:13">
      <c r="A33" s="59">
        <v>606.99112448763299</v>
      </c>
      <c r="B33" s="22">
        <v>1.7268339005235598</v>
      </c>
      <c r="C33" s="65" t="s">
        <v>230</v>
      </c>
      <c r="D33" s="53">
        <v>-10.5</v>
      </c>
      <c r="E33">
        <v>-253</v>
      </c>
      <c r="F33" s="59">
        <f t="shared" si="0"/>
        <v>0.60699112448763304</v>
      </c>
      <c r="G33" s="24">
        <v>42</v>
      </c>
      <c r="H33" s="22">
        <v>0.97370000000000001</v>
      </c>
      <c r="I33" s="22">
        <v>0.23154444444444441</v>
      </c>
      <c r="J33" s="22">
        <v>1.7268339005235598</v>
      </c>
      <c r="K33" s="22">
        <v>6.4321751667865703</v>
      </c>
      <c r="L33" s="22">
        <v>0.51059962649233603</v>
      </c>
      <c r="M33" s="44">
        <f t="shared" si="1"/>
        <v>8.3905535117545753</v>
      </c>
    </row>
    <row r="34" spans="1:13">
      <c r="A34" s="59">
        <v>1946.5845817780255</v>
      </c>
      <c r="B34" s="22">
        <v>0.90340979493891793</v>
      </c>
      <c r="C34" s="25" t="s">
        <v>232</v>
      </c>
      <c r="D34" s="3">
        <v>-12</v>
      </c>
      <c r="E34">
        <v>-248</v>
      </c>
      <c r="F34" s="59">
        <f t="shared" si="0"/>
        <v>1.9465845817780254</v>
      </c>
      <c r="G34" s="24">
        <v>29</v>
      </c>
      <c r="H34" s="22">
        <v>2.8853</v>
      </c>
      <c r="I34" s="22">
        <v>0.19592222222222222</v>
      </c>
      <c r="J34" s="22">
        <v>0.90340979493891793</v>
      </c>
      <c r="K34" s="22">
        <v>4.6566704177515899</v>
      </c>
      <c r="L34" s="22">
        <v>1.1679238937693499</v>
      </c>
      <c r="M34" s="44">
        <f t="shared" si="1"/>
        <v>5.7560024349127303</v>
      </c>
    </row>
    <row r="35" spans="1:13">
      <c r="A35" s="322">
        <v>10123.158243273032</v>
      </c>
      <c r="B35" s="22">
        <v>2.4502758944153578</v>
      </c>
      <c r="C35" s="65" t="s">
        <v>234</v>
      </c>
      <c r="D35" s="53">
        <v>-14</v>
      </c>
      <c r="E35">
        <v>-292</v>
      </c>
      <c r="F35" s="322">
        <f t="shared" si="0"/>
        <v>10.123158243273032</v>
      </c>
      <c r="G35" s="24">
        <v>88</v>
      </c>
      <c r="H35" s="22">
        <v>3.2147999999999999</v>
      </c>
      <c r="I35" s="22">
        <v>1.1933444444444445</v>
      </c>
      <c r="J35" s="22">
        <v>2.4502758944153578</v>
      </c>
      <c r="K35" s="22">
        <v>1.6005894160555101</v>
      </c>
      <c r="L35" s="22">
        <v>1.0853119418153701</v>
      </c>
      <c r="M35" s="44">
        <f t="shared" si="1"/>
        <v>5.2442097549153122</v>
      </c>
    </row>
    <row r="36" spans="1:13">
      <c r="A36" s="59">
        <v>707.26364243081412</v>
      </c>
      <c r="B36" s="22">
        <v>912.20107918848146</v>
      </c>
      <c r="C36" s="65" t="s">
        <v>236</v>
      </c>
      <c r="D36" s="53">
        <v>-15.5</v>
      </c>
      <c r="E36">
        <v>-244</v>
      </c>
      <c r="F36" s="59">
        <f t="shared" ref="F36:F55" si="2">A36/1000</f>
        <v>0.70726364243081408</v>
      </c>
      <c r="G36" s="24">
        <v>136</v>
      </c>
      <c r="H36" s="22">
        <v>2.6116999999999999</v>
      </c>
      <c r="I36" s="22">
        <v>0.10686666666666667</v>
      </c>
      <c r="J36" s="22">
        <v>912.20107918848146</v>
      </c>
      <c r="K36" s="22">
        <v>2.0326463153345502</v>
      </c>
      <c r="L36" s="22">
        <v>1.3445663786947799</v>
      </c>
      <c r="M36" s="44">
        <f t="shared" ref="M36:M55" si="3">K36+I36+J36</f>
        <v>914.34059217048264</v>
      </c>
    </row>
    <row r="37" spans="1:13">
      <c r="A37" s="59">
        <v>305.70133444855048</v>
      </c>
      <c r="B37" s="22">
        <v>15.235845506108204</v>
      </c>
      <c r="C37" s="25" t="s">
        <v>238</v>
      </c>
      <c r="D37" s="3">
        <v>-17</v>
      </c>
      <c r="E37">
        <v>-258</v>
      </c>
      <c r="F37" s="59">
        <f t="shared" si="2"/>
        <v>0.30570133444855047</v>
      </c>
      <c r="G37" s="24">
        <v>204</v>
      </c>
      <c r="H37" s="22">
        <v>2.7376999999999998</v>
      </c>
      <c r="I37" s="22">
        <v>8.9055555555555554E-2</v>
      </c>
      <c r="J37" s="22">
        <v>15.235845506108204</v>
      </c>
      <c r="K37" s="22">
        <v>4.0587019959145696</v>
      </c>
      <c r="L37" s="22">
        <v>0.91956714965754005</v>
      </c>
      <c r="M37" s="44">
        <f t="shared" si="3"/>
        <v>19.383603057578327</v>
      </c>
    </row>
    <row r="38" spans="1:13">
      <c r="A38" s="29">
        <v>26.329635294249172</v>
      </c>
      <c r="B38" s="22">
        <v>3.9964278359511334</v>
      </c>
      <c r="C38" s="65" t="s">
        <v>240</v>
      </c>
      <c r="D38" s="3">
        <v>-20</v>
      </c>
      <c r="E38">
        <v>-227</v>
      </c>
      <c r="F38" s="29">
        <f t="shared" si="2"/>
        <v>2.6329635294249171E-2</v>
      </c>
      <c r="G38" s="24">
        <v>169</v>
      </c>
      <c r="H38" s="22">
        <v>2.875</v>
      </c>
      <c r="I38" s="22">
        <v>3.5622222222222229E-2</v>
      </c>
      <c r="J38" s="22">
        <v>3.9964278359511334</v>
      </c>
      <c r="K38" s="22">
        <v>14.889529466079001</v>
      </c>
      <c r="L38" s="22">
        <v>1.65358823793106</v>
      </c>
      <c r="M38" s="44">
        <f t="shared" si="3"/>
        <v>18.921579524252358</v>
      </c>
    </row>
    <row r="39" spans="1:13">
      <c r="A39" s="29">
        <v>28.481094482810178</v>
      </c>
      <c r="B39" s="22">
        <v>2.4731289485165791</v>
      </c>
      <c r="C39" s="25" t="s">
        <v>242</v>
      </c>
      <c r="D39" s="3">
        <v>-23.5</v>
      </c>
      <c r="E39">
        <v>-225</v>
      </c>
      <c r="F39" s="29">
        <f t="shared" si="2"/>
        <v>2.8481094482810179E-2</v>
      </c>
      <c r="G39" s="24">
        <v>204</v>
      </c>
      <c r="H39" s="22">
        <v>2.7376999999999998</v>
      </c>
      <c r="I39" s="22">
        <v>5.3433333333333333E-2</v>
      </c>
      <c r="J39" s="22">
        <v>2.4731289485165791</v>
      </c>
      <c r="K39" s="22">
        <v>15.026182223749601</v>
      </c>
      <c r="L39" s="22">
        <v>1.4641103789172401</v>
      </c>
      <c r="M39" s="44">
        <f t="shared" si="3"/>
        <v>17.552744505599513</v>
      </c>
    </row>
    <row r="40" spans="1:13">
      <c r="A40" s="29">
        <v>19.78754889643178</v>
      </c>
      <c r="B40" s="22">
        <v>2.2338860383944157</v>
      </c>
      <c r="C40" s="25" t="s">
        <v>244</v>
      </c>
      <c r="D40" s="3">
        <v>-26</v>
      </c>
      <c r="E40">
        <v>-192</v>
      </c>
      <c r="F40" s="29">
        <f t="shared" si="2"/>
        <v>1.9787548896431778E-2</v>
      </c>
      <c r="G40" s="24">
        <v>169</v>
      </c>
      <c r="H40" s="22">
        <v>2.875</v>
      </c>
      <c r="I40" s="22">
        <v>7.1244444444444457E-2</v>
      </c>
      <c r="J40" s="22">
        <v>2.2338860383944157</v>
      </c>
      <c r="K40" s="22">
        <v>11.6569911158049</v>
      </c>
      <c r="L40" s="22">
        <v>1.26282141564323</v>
      </c>
      <c r="M40" s="44">
        <f t="shared" si="3"/>
        <v>13.962121598643758</v>
      </c>
    </row>
    <row r="41" spans="1:13">
      <c r="A41" s="29">
        <v>33.438457743231837</v>
      </c>
      <c r="B41" s="22">
        <v>2.0396350785340314</v>
      </c>
      <c r="C41" s="65" t="s">
        <v>246</v>
      </c>
      <c r="D41" s="3">
        <v>-43</v>
      </c>
      <c r="E41">
        <v>-183</v>
      </c>
      <c r="F41" s="29">
        <f t="shared" si="2"/>
        <v>3.3438457743231835E-2</v>
      </c>
      <c r="G41" s="24">
        <v>141</v>
      </c>
      <c r="H41" s="22">
        <v>2.7511000000000001</v>
      </c>
      <c r="I41" s="22">
        <v>8.9055555555555554E-2</v>
      </c>
      <c r="J41" s="22">
        <v>2.0396350785340314</v>
      </c>
      <c r="K41" s="22">
        <v>9.0513954763816606</v>
      </c>
      <c r="L41" s="22">
        <v>0.59165561802057098</v>
      </c>
      <c r="M41" s="44">
        <f t="shared" si="3"/>
        <v>11.180086110471247</v>
      </c>
    </row>
    <row r="42" spans="1:13">
      <c r="A42" s="29">
        <v>15.542800365841039</v>
      </c>
      <c r="B42" s="22">
        <v>2.5038377399650962</v>
      </c>
      <c r="C42" s="25" t="s">
        <v>248</v>
      </c>
      <c r="D42" s="3">
        <v>-50</v>
      </c>
      <c r="E42">
        <v>-253</v>
      </c>
      <c r="F42" s="29">
        <f t="shared" si="2"/>
        <v>1.5542800365841039E-2</v>
      </c>
      <c r="G42" s="24">
        <v>97</v>
      </c>
      <c r="H42" s="22">
        <v>2.19</v>
      </c>
      <c r="I42" s="22">
        <v>0.12467777777777779</v>
      </c>
      <c r="J42" s="22">
        <v>2.5038377399650962</v>
      </c>
      <c r="K42" s="22">
        <v>8.9653113300044396</v>
      </c>
      <c r="L42" s="22">
        <v>0.36521838199233198</v>
      </c>
      <c r="M42" s="44">
        <f t="shared" si="3"/>
        <v>11.593826847747314</v>
      </c>
    </row>
    <row r="43" spans="1:13">
      <c r="A43" s="29">
        <v>40.869824758328221</v>
      </c>
      <c r="B43" s="22">
        <v>2.3124434118673647</v>
      </c>
      <c r="C43" s="25" t="s">
        <v>250</v>
      </c>
      <c r="D43" s="3">
        <v>-55.5</v>
      </c>
      <c r="E43">
        <v>-244</v>
      </c>
      <c r="F43" s="29">
        <f t="shared" si="2"/>
        <v>4.0869824758328219E-2</v>
      </c>
      <c r="G43" s="24">
        <v>102</v>
      </c>
      <c r="H43" s="22">
        <v>2.0041000000000002</v>
      </c>
      <c r="I43" s="22">
        <v>7.1244444444444457E-2</v>
      </c>
      <c r="J43" s="22">
        <v>2.3124434118673647</v>
      </c>
      <c r="K43" s="22">
        <v>10.7675128515474</v>
      </c>
      <c r="L43" s="22">
        <v>0.56462842055957596</v>
      </c>
      <c r="M43" s="44">
        <f t="shared" si="3"/>
        <v>13.151200707859209</v>
      </c>
    </row>
    <row r="44" spans="1:13">
      <c r="A44" s="29">
        <v>15.096293918921351</v>
      </c>
      <c r="B44" s="22">
        <v>1.3590425610820245</v>
      </c>
      <c r="C44" s="25" t="s">
        <v>252</v>
      </c>
      <c r="D44" s="3">
        <v>-60</v>
      </c>
      <c r="E44">
        <v>-257</v>
      </c>
      <c r="F44" s="29">
        <f t="shared" si="2"/>
        <v>1.5096293918921351E-2</v>
      </c>
      <c r="G44" s="24">
        <v>74</v>
      </c>
      <c r="H44" s="22">
        <v>1.7074</v>
      </c>
      <c r="I44" s="22">
        <v>0.10686666666666667</v>
      </c>
      <c r="J44" s="22">
        <v>1.3590425610820245</v>
      </c>
      <c r="K44" s="22">
        <v>6.18194213218543</v>
      </c>
      <c r="L44" s="22">
        <v>0.50261468689298805</v>
      </c>
      <c r="M44" s="44">
        <f t="shared" si="3"/>
        <v>7.6478513599341209</v>
      </c>
    </row>
    <row r="45" spans="1:13">
      <c r="A45" s="29">
        <v>120.82128078730307</v>
      </c>
      <c r="B45" s="22">
        <v>1.9817882853403139</v>
      </c>
      <c r="C45" s="65" t="s">
        <v>254</v>
      </c>
      <c r="D45" s="3">
        <v>-65.5</v>
      </c>
      <c r="E45">
        <v>-227</v>
      </c>
      <c r="F45" s="29">
        <f t="shared" si="2"/>
        <v>0.12082128078730307</v>
      </c>
      <c r="G45" s="24">
        <v>209</v>
      </c>
      <c r="H45" s="22">
        <v>0.3216</v>
      </c>
      <c r="I45" s="22">
        <v>3.5622222222222229E-2</v>
      </c>
      <c r="J45" s="22">
        <v>1.9817882853403139</v>
      </c>
      <c r="K45" s="22">
        <v>8.5161466416858307</v>
      </c>
      <c r="L45" s="22">
        <v>0.490738894384318</v>
      </c>
      <c r="M45" s="44">
        <f t="shared" si="3"/>
        <v>10.533557149248367</v>
      </c>
    </row>
    <row r="46" spans="1:13">
      <c r="A46" s="60">
        <v>8878.3692042921448</v>
      </c>
      <c r="B46" s="28">
        <v>102.24456404886561</v>
      </c>
      <c r="C46" s="64" t="s">
        <v>257</v>
      </c>
      <c r="D46" s="55">
        <v>-15.5</v>
      </c>
      <c r="E46" s="27">
        <v>-336</v>
      </c>
      <c r="F46" s="60">
        <f t="shared" si="2"/>
        <v>8.8783692042921452</v>
      </c>
      <c r="G46" s="44">
        <v>11</v>
      </c>
      <c r="H46" s="28">
        <v>29.356300000000001</v>
      </c>
      <c r="I46" s="28">
        <v>19.253811111111112</v>
      </c>
      <c r="J46" s="28">
        <v>102.24456404886561</v>
      </c>
      <c r="K46" s="28">
        <v>2.7283535104929601E-2</v>
      </c>
      <c r="L46" s="28">
        <v>0.12930630159745499</v>
      </c>
      <c r="M46" s="44">
        <f t="shared" si="3"/>
        <v>121.52565869508166</v>
      </c>
    </row>
    <row r="47" spans="1:13">
      <c r="A47" s="59">
        <v>8733.5485876714192</v>
      </c>
      <c r="B47" s="22">
        <v>55.040152486910976</v>
      </c>
      <c r="C47" s="25" t="s">
        <v>259</v>
      </c>
      <c r="D47" s="3">
        <v>-17</v>
      </c>
      <c r="E47">
        <v>-298</v>
      </c>
      <c r="F47" s="59">
        <f t="shared" si="2"/>
        <v>8.7335485876714198</v>
      </c>
      <c r="G47" s="24">
        <v>1.2</v>
      </c>
      <c r="H47" s="22">
        <v>30.159600000000001</v>
      </c>
      <c r="I47" s="22">
        <v>0.51652222222222222</v>
      </c>
      <c r="J47" s="22">
        <v>55.040152486910976</v>
      </c>
      <c r="K47" s="22">
        <v>1.0927633839825399</v>
      </c>
      <c r="L47" s="22">
        <v>9.0331121420479499E-2</v>
      </c>
      <c r="M47" s="44">
        <f t="shared" si="3"/>
        <v>56.649438093115741</v>
      </c>
    </row>
    <row r="48" spans="1:13">
      <c r="A48" s="59">
        <v>12092.753769476491</v>
      </c>
      <c r="B48" s="22">
        <v>305.7952886125654</v>
      </c>
      <c r="C48" s="65" t="s">
        <v>261</v>
      </c>
      <c r="D48" s="53">
        <v>-19</v>
      </c>
      <c r="E48">
        <v>-277</v>
      </c>
      <c r="F48" s="59">
        <f t="shared" si="2"/>
        <v>12.09275376947649</v>
      </c>
      <c r="G48" s="24">
        <v>0</v>
      </c>
      <c r="H48" s="22">
        <v>22.939800000000002</v>
      </c>
      <c r="I48" s="22">
        <v>0.40965555555555555</v>
      </c>
      <c r="J48" s="22">
        <v>305.7952886125654</v>
      </c>
      <c r="K48" s="22">
        <v>0.61339781005528504</v>
      </c>
      <c r="L48" s="22">
        <v>0.12714461551751</v>
      </c>
      <c r="M48" s="44">
        <f t="shared" si="3"/>
        <v>306.81834197817625</v>
      </c>
    </row>
    <row r="49" spans="1:13">
      <c r="A49" s="59">
        <v>9673.0263442075884</v>
      </c>
      <c r="B49" s="22">
        <v>347.80920026178006</v>
      </c>
      <c r="C49" s="25" t="s">
        <v>263</v>
      </c>
      <c r="D49" s="3">
        <v>-20.5</v>
      </c>
      <c r="E49">
        <v>-312</v>
      </c>
      <c r="F49" s="59">
        <f t="shared" si="2"/>
        <v>9.6730263442075888</v>
      </c>
      <c r="G49" s="24">
        <v>5</v>
      </c>
      <c r="H49" s="22">
        <v>23.874500000000001</v>
      </c>
      <c r="I49" s="22">
        <v>3.8472000000000004</v>
      </c>
      <c r="J49" s="22">
        <v>347.80920026178006</v>
      </c>
      <c r="K49" s="22">
        <v>0.45767494549029902</v>
      </c>
      <c r="L49" s="22">
        <v>0.13116728619058299</v>
      </c>
      <c r="M49" s="44">
        <f t="shared" si="3"/>
        <v>352.11407520727039</v>
      </c>
    </row>
    <row r="50" spans="1:13">
      <c r="A50" s="59">
        <v>9456.6874048596765</v>
      </c>
      <c r="B50" s="22">
        <v>389.07324607329838</v>
      </c>
      <c r="C50" s="25" t="s">
        <v>265</v>
      </c>
      <c r="D50" s="3">
        <v>-22.5</v>
      </c>
      <c r="E50">
        <v>-318</v>
      </c>
      <c r="F50" s="59">
        <f t="shared" si="2"/>
        <v>9.456687404859677</v>
      </c>
      <c r="G50" s="24">
        <v>1</v>
      </c>
      <c r="H50" s="22">
        <v>27.279900000000001</v>
      </c>
      <c r="I50" s="22">
        <v>2.6894777777777779</v>
      </c>
      <c r="J50" s="22">
        <v>389.07324607329838</v>
      </c>
      <c r="K50" s="22">
        <v>0.6288479208094</v>
      </c>
      <c r="L50" s="22">
        <v>0.16985787244172901</v>
      </c>
      <c r="M50" s="44">
        <f t="shared" si="3"/>
        <v>392.39157177188554</v>
      </c>
    </row>
    <row r="51" spans="1:13">
      <c r="A51" s="59">
        <v>10296.619441004364</v>
      </c>
      <c r="B51" s="22">
        <v>41.79823595113438</v>
      </c>
      <c r="C51" s="65" t="s">
        <v>267</v>
      </c>
      <c r="D51" s="53">
        <v>-26</v>
      </c>
      <c r="E51">
        <v>-314</v>
      </c>
      <c r="F51" s="59">
        <f t="shared" si="2"/>
        <v>10.296619441004365</v>
      </c>
      <c r="G51" s="24">
        <v>13.7</v>
      </c>
      <c r="H51" s="22">
        <v>28.265699999999999</v>
      </c>
      <c r="I51" s="22">
        <v>27.660655555555561</v>
      </c>
      <c r="J51" s="22">
        <v>41.79823595113438</v>
      </c>
      <c r="K51" s="22">
        <v>2.0818129596617899E-2</v>
      </c>
      <c r="L51" s="22">
        <v>9.6375289518495999E-2</v>
      </c>
      <c r="M51" s="44">
        <f t="shared" si="3"/>
        <v>69.479709636286557</v>
      </c>
    </row>
    <row r="52" spans="1:13">
      <c r="A52" s="59">
        <v>8523.4388136869402</v>
      </c>
      <c r="B52" s="22">
        <v>75.343662739965083</v>
      </c>
      <c r="C52" s="65" t="s">
        <v>269</v>
      </c>
      <c r="D52" s="53">
        <v>-39</v>
      </c>
      <c r="E52">
        <v>-334</v>
      </c>
      <c r="F52" s="59">
        <f t="shared" si="2"/>
        <v>8.5234388136869406</v>
      </c>
      <c r="G52" s="24">
        <v>10</v>
      </c>
      <c r="H52" s="22">
        <v>11.801299999999999</v>
      </c>
      <c r="I52" s="22">
        <v>0.30278888888888889</v>
      </c>
      <c r="J52" s="22">
        <v>75.343662739965083</v>
      </c>
      <c r="K52" s="22">
        <v>2.2401960591924999</v>
      </c>
      <c r="L52" s="22">
        <v>0.22796088340665399</v>
      </c>
      <c r="M52" s="44">
        <f t="shared" si="3"/>
        <v>77.886647688046466</v>
      </c>
    </row>
    <row r="53" spans="1:13">
      <c r="A53" s="59">
        <v>8464.6548365281978</v>
      </c>
      <c r="B53" s="22">
        <v>58.449542495636997</v>
      </c>
      <c r="C53" s="25" t="s">
        <v>271</v>
      </c>
      <c r="D53" s="3">
        <v>-41</v>
      </c>
      <c r="E53">
        <v>-283</v>
      </c>
      <c r="F53" s="59">
        <f t="shared" si="2"/>
        <v>8.4646548365281973</v>
      </c>
      <c r="G53" s="24">
        <v>16</v>
      </c>
      <c r="H53" s="22">
        <v>18.770099999999999</v>
      </c>
      <c r="I53" s="22">
        <v>3.5622222222222229E-2</v>
      </c>
      <c r="J53" s="22">
        <v>58.449542495636997</v>
      </c>
      <c r="K53" s="22">
        <v>6.5133711426805201</v>
      </c>
      <c r="L53" s="22">
        <v>0.233758166536749</v>
      </c>
      <c r="M53" s="44">
        <f t="shared" si="3"/>
        <v>64.998535860539732</v>
      </c>
    </row>
    <row r="54" spans="1:13">
      <c r="A54" s="322">
        <v>7756.1329104635161</v>
      </c>
      <c r="B54" s="22">
        <v>148.35202901396158</v>
      </c>
      <c r="C54" s="25" t="s">
        <v>273</v>
      </c>
      <c r="D54" s="3">
        <v>-43.5</v>
      </c>
      <c r="E54">
        <v>-246</v>
      </c>
      <c r="F54" s="322">
        <f t="shared" si="2"/>
        <v>7.7561329104635162</v>
      </c>
      <c r="G54" s="24">
        <v>81</v>
      </c>
      <c r="H54" s="22">
        <v>18.246600000000001</v>
      </c>
      <c r="I54" s="22">
        <v>5.3433333333333333E-2</v>
      </c>
      <c r="J54" s="22">
        <v>148.35202901396158</v>
      </c>
      <c r="K54" s="22">
        <v>7.3592826012287098</v>
      </c>
      <c r="L54" s="22">
        <v>0.22997358351199401</v>
      </c>
      <c r="M54" s="44">
        <f t="shared" si="3"/>
        <v>155.76474494852363</v>
      </c>
    </row>
    <row r="55" spans="1:13">
      <c r="A55" s="61">
        <v>13644.107807809884</v>
      </c>
      <c r="B55" s="69">
        <v>125.85962467277484</v>
      </c>
      <c r="C55" s="66" t="s">
        <v>275</v>
      </c>
      <c r="D55" s="56">
        <v>-46</v>
      </c>
      <c r="E55" s="30">
        <v>-230</v>
      </c>
      <c r="F55" s="61">
        <f t="shared" si="2"/>
        <v>13.644107807809883</v>
      </c>
      <c r="G55" s="31">
        <v>28</v>
      </c>
      <c r="H55" s="69">
        <v>30.013999999999999</v>
      </c>
      <c r="I55" s="69">
        <v>7.1244444444444457E-2</v>
      </c>
      <c r="J55" s="69">
        <v>125.85962467277484</v>
      </c>
      <c r="K55" s="69">
        <v>7.56683640329714</v>
      </c>
      <c r="L55" s="69">
        <v>0.380396275218917</v>
      </c>
      <c r="M55" s="44">
        <f t="shared" si="3"/>
        <v>133.49770552051643</v>
      </c>
    </row>
    <row r="56" spans="1:13" ht="15.6" customHeight="1">
      <c r="I56" s="22"/>
      <c r="K56" s="22"/>
      <c r="L56" s="22"/>
    </row>
  </sheetData>
  <conditionalFormatting sqref="K4:K55">
    <cfRule type="top10" dxfId="296" priority="35" rank="1"/>
  </conditionalFormatting>
  <conditionalFormatting sqref="L4:L55">
    <cfRule type="top10" dxfId="295" priority="34" rank="1"/>
  </conditionalFormatting>
  <conditionalFormatting sqref="I4:I55">
    <cfRule type="top10" dxfId="294" priority="33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Faber, S.C. (Suzanne)</dc:creator>
  <cp:keywords/>
  <dc:description/>
  <cp:lastModifiedBy>Aseyednezhad, S. (Sona)</cp:lastModifiedBy>
  <cp:revision/>
  <dcterms:created xsi:type="dcterms:W3CDTF">2022-05-25T16:11:22Z</dcterms:created>
  <dcterms:modified xsi:type="dcterms:W3CDTF">2024-03-17T20:28:43Z</dcterms:modified>
  <cp:category/>
  <cp:contentStatus/>
</cp:coreProperties>
</file>