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E\Desktop\LSTM_IOT_SEC\"/>
    </mc:Choice>
  </mc:AlternateContent>
  <bookViews>
    <workbookView xWindow="0" yWindow="0" windowWidth="19200" windowHeight="8040"/>
  </bookViews>
  <sheets>
    <sheet name="Utilization Ratio" sheetId="1" r:id="rId1"/>
    <sheet name="Are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22" i="2"/>
  <c r="F18" i="2"/>
  <c r="F19" i="2"/>
  <c r="F20" i="2"/>
  <c r="F21" i="2"/>
  <c r="F17" i="2"/>
  <c r="F11" i="2"/>
  <c r="F7" i="2"/>
  <c r="F8" i="2"/>
  <c r="F9" i="2"/>
  <c r="F10" i="2"/>
  <c r="F6" i="2"/>
  <c r="F3" i="2"/>
  <c r="F2" i="2"/>
  <c r="E2" i="2"/>
  <c r="D2" i="2"/>
  <c r="D3" i="2" s="1"/>
  <c r="E3" i="2"/>
  <c r="E8" i="1"/>
  <c r="E9" i="1"/>
  <c r="D9" i="1"/>
  <c r="D8" i="1"/>
  <c r="P46" i="1"/>
  <c r="M46" i="1"/>
  <c r="J46" i="1"/>
  <c r="F46" i="1"/>
  <c r="P45" i="1"/>
  <c r="M45" i="1"/>
  <c r="J45" i="1"/>
  <c r="F45" i="1"/>
  <c r="E44" i="1"/>
  <c r="P44" i="1" s="1"/>
  <c r="E43" i="1"/>
  <c r="P43" i="1" s="1"/>
  <c r="P42" i="1"/>
  <c r="M42" i="1"/>
  <c r="J42" i="1"/>
  <c r="F42" i="1"/>
  <c r="P41" i="1"/>
  <c r="M41" i="1"/>
  <c r="J41" i="1"/>
  <c r="F41" i="1"/>
  <c r="E40" i="1"/>
  <c r="P40" i="1" s="1"/>
  <c r="E39" i="1"/>
  <c r="F39" i="1" s="1"/>
  <c r="P38" i="1"/>
  <c r="M38" i="1"/>
  <c r="J38" i="1"/>
  <c r="F38" i="1"/>
  <c r="E37" i="1"/>
  <c r="J37" i="1" s="1"/>
  <c r="E36" i="1"/>
  <c r="P36" i="1" s="1"/>
  <c r="E35" i="1"/>
  <c r="P35" i="1" s="1"/>
  <c r="P34" i="1"/>
  <c r="M34" i="1"/>
  <c r="J34" i="1"/>
  <c r="F34" i="1"/>
  <c r="E33" i="1"/>
  <c r="F33" i="1" s="1"/>
  <c r="P27" i="1"/>
  <c r="M27" i="1"/>
  <c r="J27" i="1"/>
  <c r="F27" i="1"/>
  <c r="P26" i="1"/>
  <c r="M26" i="1"/>
  <c r="J26" i="1"/>
  <c r="F26" i="1"/>
  <c r="P25" i="1"/>
  <c r="M25" i="1"/>
  <c r="J25" i="1"/>
  <c r="F25" i="1"/>
  <c r="P24" i="1"/>
  <c r="M24" i="1"/>
  <c r="J24" i="1"/>
  <c r="F24" i="1"/>
  <c r="P23" i="1"/>
  <c r="M23" i="1"/>
  <c r="J23" i="1"/>
  <c r="F23" i="1"/>
  <c r="P22" i="1"/>
  <c r="M22" i="1"/>
  <c r="J22" i="1"/>
  <c r="F22" i="1"/>
  <c r="E21" i="1"/>
  <c r="P21" i="1" s="1"/>
  <c r="E20" i="1"/>
  <c r="P20" i="1" s="1"/>
  <c r="L1" i="1"/>
  <c r="L4" i="1" s="1"/>
  <c r="K1" i="1"/>
  <c r="K3" i="1" s="1"/>
  <c r="K4" i="1" l="1"/>
  <c r="M21" i="1"/>
  <c r="J39" i="1"/>
  <c r="J33" i="1"/>
  <c r="M37" i="1"/>
  <c r="J40" i="1"/>
  <c r="L3" i="1"/>
  <c r="F35" i="1"/>
  <c r="M39" i="1"/>
  <c r="M40" i="1"/>
  <c r="J35" i="1"/>
  <c r="M33" i="1"/>
  <c r="M35" i="1"/>
  <c r="F40" i="1"/>
  <c r="F20" i="1"/>
  <c r="F36" i="1"/>
  <c r="P37" i="1"/>
  <c r="F43" i="1"/>
  <c r="J20" i="1"/>
  <c r="F21" i="1"/>
  <c r="P33" i="1"/>
  <c r="J36" i="1"/>
  <c r="F37" i="1"/>
  <c r="P39" i="1"/>
  <c r="J43" i="1"/>
  <c r="F44" i="1"/>
  <c r="M20" i="1"/>
  <c r="J21" i="1"/>
  <c r="M36" i="1"/>
  <c r="M43" i="1"/>
  <c r="J44" i="1"/>
  <c r="M44" i="1"/>
  <c r="J3" i="1"/>
  <c r="J4" i="1"/>
  <c r="M47" i="1" l="1"/>
  <c r="J47" i="1"/>
  <c r="P47" i="1"/>
  <c r="F47" i="1"/>
  <c r="D11" i="2"/>
  <c r="D22" i="2"/>
  <c r="E11" i="2"/>
  <c r="G11" i="2"/>
  <c r="H11" i="2"/>
  <c r="I11" i="2"/>
  <c r="E22" i="2"/>
  <c r="G22" i="2"/>
  <c r="H22" i="2"/>
  <c r="I22" i="2"/>
  <c r="P19" i="1" l="1"/>
  <c r="M19" i="1"/>
  <c r="J19" i="1"/>
  <c r="F19" i="1"/>
  <c r="E14" i="1"/>
  <c r="E18" i="1"/>
  <c r="J18" i="1" s="1"/>
  <c r="E17" i="1"/>
  <c r="M17" i="1" s="1"/>
  <c r="E16" i="1"/>
  <c r="P16" i="1" s="1"/>
  <c r="E15" i="1"/>
  <c r="P15" i="1" s="1"/>
  <c r="J17" i="1" l="1"/>
  <c r="F17" i="1"/>
  <c r="P14" i="1"/>
  <c r="J14" i="1"/>
  <c r="J16" i="1"/>
  <c r="E4" i="1"/>
  <c r="F16" i="1"/>
  <c r="M14" i="1"/>
  <c r="M16" i="1"/>
  <c r="F4" i="1"/>
  <c r="M15" i="1"/>
  <c r="P17" i="1"/>
  <c r="P18" i="1"/>
  <c r="F14" i="1"/>
  <c r="F15" i="1"/>
  <c r="J15" i="1"/>
  <c r="M18" i="1"/>
  <c r="F18" i="1"/>
  <c r="M28" i="1" l="1"/>
  <c r="P28" i="1"/>
  <c r="F28" i="1"/>
  <c r="J28" i="1"/>
  <c r="D3" i="1" s="1"/>
  <c r="E3" i="1"/>
  <c r="D4" i="1"/>
  <c r="F3" i="1"/>
</calcChain>
</file>

<file path=xl/sharedStrings.xml><?xml version="1.0" encoding="utf-8"?>
<sst xmlns="http://schemas.openxmlformats.org/spreadsheetml/2006/main" count="130" uniqueCount="68">
  <si>
    <t>S_BQS</t>
    <phoneticPr fontId="1" type="noConversion"/>
  </si>
  <si>
    <t>S_BQT</t>
    <phoneticPr fontId="1" type="noConversion"/>
  </si>
  <si>
    <t>inpdt</t>
    <phoneticPr fontId="1" type="noConversion"/>
  </si>
  <si>
    <t>instance</t>
    <phoneticPr fontId="1" type="noConversion"/>
  </si>
  <si>
    <t>S_MAQ</t>
    <phoneticPr fontId="1" type="noConversion"/>
  </si>
  <si>
    <t>S_TMQ</t>
    <phoneticPr fontId="1" type="noConversion"/>
  </si>
  <si>
    <t>sig_LUT</t>
    <phoneticPr fontId="1" type="noConversion"/>
  </si>
  <si>
    <t>tanh_LUT</t>
    <phoneticPr fontId="1" type="noConversion"/>
  </si>
  <si>
    <t>Ct_quantize</t>
    <phoneticPr fontId="1" type="noConversion"/>
  </si>
  <si>
    <t>Ht_quantize</t>
    <phoneticPr fontId="1" type="noConversion"/>
  </si>
  <si>
    <t>B_BQS</t>
    <phoneticPr fontId="1" type="noConversion"/>
  </si>
  <si>
    <t>B_BQT</t>
    <phoneticPr fontId="1" type="noConversion"/>
  </si>
  <si>
    <t>B_MAQ</t>
    <phoneticPr fontId="1" type="noConversion"/>
  </si>
  <si>
    <t>B_TMQ</t>
    <phoneticPr fontId="1" type="noConversion"/>
  </si>
  <si>
    <t>System</t>
    <phoneticPr fontId="1" type="noConversion"/>
  </si>
  <si>
    <t>Branch</t>
    <phoneticPr fontId="1" type="noConversion"/>
  </si>
  <si>
    <t>Cycles</t>
    <phoneticPr fontId="1" type="noConversion"/>
  </si>
  <si>
    <t>used instance</t>
    <phoneticPr fontId="1" type="noConversion"/>
  </si>
  <si>
    <t>INPDT 2</t>
    <phoneticPr fontId="1" type="noConversion"/>
  </si>
  <si>
    <t>27cycles</t>
    <phoneticPr fontId="1" type="noConversion"/>
  </si>
  <si>
    <t>36cycles</t>
    <phoneticPr fontId="1" type="noConversion"/>
  </si>
  <si>
    <t>1029cycles</t>
    <phoneticPr fontId="1" type="noConversion"/>
  </si>
  <si>
    <t>Ctxt</t>
    <phoneticPr fontId="1" type="noConversion"/>
  </si>
  <si>
    <t>Module Name</t>
    <phoneticPr fontId="1" type="noConversion"/>
  </si>
  <si>
    <t>ratioed sum</t>
    <phoneticPr fontId="1" type="noConversion"/>
  </si>
  <si>
    <t>INPDT 16</t>
    <phoneticPr fontId="1" type="noConversion"/>
  </si>
  <si>
    <t>weighted area</t>
    <phoneticPr fontId="1" type="noConversion"/>
  </si>
  <si>
    <t>total area</t>
    <phoneticPr fontId="1" type="noConversion"/>
  </si>
  <si>
    <t>SYSCALL</t>
    <phoneticPr fontId="1" type="noConversion"/>
  </si>
  <si>
    <t>CONTEXT CONVERT</t>
    <phoneticPr fontId="1" type="noConversion"/>
  </si>
  <si>
    <t>BRANCH</t>
    <phoneticPr fontId="1" type="noConversion"/>
  </si>
  <si>
    <t>LUTs</t>
    <phoneticPr fontId="1" type="noConversion"/>
  </si>
  <si>
    <t>FFs</t>
    <phoneticPr fontId="1" type="noConversion"/>
  </si>
  <si>
    <t>DSP</t>
    <phoneticPr fontId="1" type="noConversion"/>
  </si>
  <si>
    <t>INPDT 2</t>
    <phoneticPr fontId="1" type="noConversion"/>
  </si>
  <si>
    <t>INPDT 16</t>
    <phoneticPr fontId="1" type="noConversion"/>
  </si>
  <si>
    <t>IGN</t>
    <phoneticPr fontId="1" type="noConversion"/>
  </si>
  <si>
    <t>LSTM</t>
    <phoneticPr fontId="1" type="noConversion"/>
  </si>
  <si>
    <t>Embedding</t>
    <phoneticPr fontId="1" type="noConversion"/>
  </si>
  <si>
    <t>Softmax</t>
    <phoneticPr fontId="1" type="noConversion"/>
  </si>
  <si>
    <t>RAMB36</t>
    <phoneticPr fontId="1" type="noConversion"/>
  </si>
  <si>
    <t>RAMB18</t>
    <phoneticPr fontId="1" type="noConversion"/>
  </si>
  <si>
    <t>Control</t>
    <phoneticPr fontId="1" type="noConversion"/>
  </si>
  <si>
    <t>Control</t>
    <phoneticPr fontId="1" type="noConversion"/>
  </si>
  <si>
    <t>Branch Detection</t>
    <phoneticPr fontId="1" type="noConversion"/>
  </si>
  <si>
    <t>Utilization Percentage</t>
    <phoneticPr fontId="1" type="noConversion"/>
  </si>
  <si>
    <t>Available Resources</t>
    <phoneticPr fontId="1" type="noConversion"/>
  </si>
  <si>
    <t>LUT</t>
    <phoneticPr fontId="1" type="noConversion"/>
  </si>
  <si>
    <t>FF</t>
    <phoneticPr fontId="1" type="noConversion"/>
  </si>
  <si>
    <t>BRAM</t>
    <phoneticPr fontId="1" type="noConversion"/>
  </si>
  <si>
    <t>DSP</t>
    <phoneticPr fontId="1" type="noConversion"/>
  </si>
  <si>
    <t>Utilization Ratio</t>
    <phoneticPr fontId="1" type="noConversion"/>
  </si>
  <si>
    <t>Average Area (LUT)</t>
    <phoneticPr fontId="1" type="noConversion"/>
  </si>
  <si>
    <t>Average Area (LUT)</t>
    <phoneticPr fontId="1" type="noConversion"/>
  </si>
  <si>
    <t>Sys Detection</t>
    <phoneticPr fontId="1" type="noConversion"/>
  </si>
  <si>
    <t>Average Case</t>
    <phoneticPr fontId="1" type="noConversion"/>
  </si>
  <si>
    <t>Shortest Case</t>
    <phoneticPr fontId="1" type="noConversion"/>
  </si>
  <si>
    <t>Ideal Case</t>
    <phoneticPr fontId="1" type="noConversion"/>
  </si>
  <si>
    <t>Average Utilization</t>
    <phoneticPr fontId="1" type="noConversion"/>
  </si>
  <si>
    <t>Detection Time</t>
    <phoneticPr fontId="1" type="noConversion"/>
  </si>
  <si>
    <t>Total Util. Ratio</t>
    <phoneticPr fontId="1" type="noConversion"/>
  </si>
  <si>
    <t>Single ML MIAOW</t>
    <phoneticPr fontId="1" type="noConversion"/>
  </si>
  <si>
    <t>BRAMs</t>
    <phoneticPr fontId="1" type="noConversion"/>
  </si>
  <si>
    <t>BRAMs</t>
    <phoneticPr fontId="1" type="noConversion"/>
  </si>
  <si>
    <t>INPDT2</t>
    <phoneticPr fontId="1" type="noConversion"/>
  </si>
  <si>
    <t>INPDT16</t>
    <phoneticPr fontId="1" type="noConversion"/>
  </si>
  <si>
    <t>RTAD Single CU</t>
    <phoneticPr fontId="1" type="noConversion"/>
  </si>
  <si>
    <t>Weighted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</si>
</sst>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11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3" xfId="0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Border="1">
      <alignment vertical="center"/>
    </xf>
    <xf numFmtId="0" fontId="0" fillId="0" borderId="2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31" xfId="0" applyFill="1" applyBorder="1">
      <alignment vertical="center"/>
    </xf>
    <xf numFmtId="0" fontId="0" fillId="0" borderId="32" xfId="0" applyBorder="1">
      <alignment vertical="center"/>
    </xf>
    <xf numFmtId="0" fontId="0" fillId="0" borderId="14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Expected Detection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'Utilization Ratio'!$H$7:$H$9</c:f>
              <c:strCache>
                <c:ptCount val="3"/>
                <c:pt idx="0">
                  <c:v>INPDT 2</c:v>
                </c:pt>
                <c:pt idx="1">
                  <c:v>INPDT 16</c:v>
                </c:pt>
                <c:pt idx="2">
                  <c:v>RTAD Single CU</c:v>
                </c:pt>
              </c:strCache>
            </c:strRef>
          </c:cat>
          <c:val>
            <c:numRef>
              <c:f>'Utilization Ratio'!$I$7:$I$9</c:f>
              <c:numCache>
                <c:formatCode>General</c:formatCode>
                <c:ptCount val="3"/>
                <c:pt idx="0">
                  <c:v>1569.6451612903224</c:v>
                </c:pt>
                <c:pt idx="1">
                  <c:v>701.58064516129036</c:v>
                </c:pt>
                <c:pt idx="2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463B-BCC7-5F2B13D0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35935"/>
        <c:axId val="956036767"/>
      </c:barChart>
      <c:catAx>
        <c:axId val="9560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036767"/>
        <c:crosses val="autoZero"/>
        <c:auto val="1"/>
        <c:lblAlgn val="ctr"/>
        <c:lblOffset val="100"/>
        <c:noMultiLvlLbl val="0"/>
      </c:catAx>
      <c:valAx>
        <c:axId val="9560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0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Utilization Ratio (On</a:t>
            </a:r>
            <a:r>
              <a:rPr lang="en-US" altLang="ko-KR" baseline="0"/>
              <a:t> Operation)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'Utilization Ratio'!$C$3</c:f>
              <c:strCache>
                <c:ptCount val="1"/>
                <c:pt idx="0">
                  <c:v>INPDT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'Utilization Ratio'!$D$2:$F$2</c:f>
              <c:strCache>
                <c:ptCount val="3"/>
                <c:pt idx="0">
                  <c:v>SYSCALL</c:v>
                </c:pt>
                <c:pt idx="1">
                  <c:v>CONTEXT CONVERT</c:v>
                </c:pt>
                <c:pt idx="2">
                  <c:v>BRANCH</c:v>
                </c:pt>
              </c:strCache>
            </c:strRef>
          </c:cat>
          <c:val>
            <c:numRef>
              <c:f>'Utilization Ratio'!$D$3:$F$3</c:f>
              <c:numCache>
                <c:formatCode>General</c:formatCode>
                <c:ptCount val="3"/>
                <c:pt idx="0">
                  <c:v>44.35863540434611</c:v>
                </c:pt>
                <c:pt idx="1">
                  <c:v>71.606484380435532</c:v>
                </c:pt>
                <c:pt idx="2">
                  <c:v>69.328241181077487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5-4243-B791-F4B5046BC808}"/>
            </c:ext>
          </c:extLst>
        </c:ser>
        <c:ser>
          <c:idx val="1"/>
          <c:order val="1"/>
          <c:tx>
            <c:strRef>
              <c:f>'Utilization Ratio'!$C$4</c:f>
              <c:strCache>
                <c:ptCount val="1"/>
                <c:pt idx="0">
                  <c:v>INPDT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'Utilization Ratio'!$D$2:$F$2</c:f>
              <c:strCache>
                <c:ptCount val="3"/>
                <c:pt idx="0">
                  <c:v>SYSCALL</c:v>
                </c:pt>
                <c:pt idx="1">
                  <c:v>CONTEXT CONVERT</c:v>
                </c:pt>
                <c:pt idx="2">
                  <c:v>BRANCH</c:v>
                </c:pt>
              </c:strCache>
            </c:strRef>
          </c:cat>
          <c:val>
            <c:numRef>
              <c:f>'Utilization Ratio'!$D$4:$F$4</c:f>
              <c:numCache>
                <c:formatCode>General</c:formatCode>
                <c:ptCount val="3"/>
                <c:pt idx="0">
                  <c:v>7.4698054214447156</c:v>
                </c:pt>
                <c:pt idx="1">
                  <c:v>12.137311543408144</c:v>
                </c:pt>
                <c:pt idx="2">
                  <c:v>90.346039633961567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5-4243-B791-F4B5046B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43423"/>
        <c:axId val="956031359"/>
      </c:barChart>
      <c:catAx>
        <c:axId val="9560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031359"/>
        <c:crosses val="autoZero"/>
        <c:auto val="1"/>
        <c:lblAlgn val="ctr"/>
        <c:lblOffset val="100"/>
        <c:noMultiLvlLbl val="0"/>
      </c:catAx>
      <c:valAx>
        <c:axId val="9560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0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Utilization Ratio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'Utilization Ratio'!$I$3</c:f>
              <c:strCache>
                <c:ptCount val="1"/>
                <c:pt idx="0">
                  <c:v>INPDT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'Utilization Ratio'!$J$2:$L$2</c:f>
              <c:strCache>
                <c:ptCount val="3"/>
                <c:pt idx="0">
                  <c:v>Ideal Case</c:v>
                </c:pt>
                <c:pt idx="1">
                  <c:v>Average Case</c:v>
                </c:pt>
                <c:pt idx="2">
                  <c:v>Shortest Case</c:v>
                </c:pt>
              </c:strCache>
            </c:strRef>
          </c:cat>
          <c:val>
            <c:numRef>
              <c:f>'Utilization Ratio'!$J$3:$L$3</c:f>
              <c:numCache>
                <c:formatCode>General</c:formatCode>
                <c:ptCount val="3"/>
                <c:pt idx="0">
                  <c:v>69.31085830666278</c:v>
                </c:pt>
                <c:pt idx="1">
                  <c:v>9.8860735924747534</c:v>
                </c:pt>
                <c:pt idx="2">
                  <c:v>97.101122282608685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E06-8898-20504EA43506}"/>
            </c:ext>
          </c:extLst>
        </c:ser>
        <c:ser>
          <c:idx val="1"/>
          <c:order val="1"/>
          <c:tx>
            <c:strRef>
              <c:f>'Utilization Ratio'!$I$4</c:f>
              <c:strCache>
                <c:ptCount val="1"/>
                <c:pt idx="0">
                  <c:v>INPDT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'Utilization Ratio'!$J$2:$L$2</c:f>
              <c:strCache>
                <c:ptCount val="3"/>
                <c:pt idx="0">
                  <c:v>Ideal Case</c:v>
                </c:pt>
                <c:pt idx="1">
                  <c:v>Average Case</c:v>
                </c:pt>
                <c:pt idx="2">
                  <c:v>Shortest Case</c:v>
                </c:pt>
              </c:strCache>
            </c:strRef>
          </c:cat>
          <c:val>
            <c:numRef>
              <c:f>'Utilization Ratio'!$J$4:$L$4</c:f>
              <c:numCache>
                <c:formatCode>General</c:formatCode>
                <c:ptCount val="3"/>
                <c:pt idx="0">
                  <c:v>89.084049217002232</c:v>
                </c:pt>
                <c:pt idx="1">
                  <c:v>1.6527169733019778</c:v>
                </c:pt>
                <c:pt idx="2">
                  <c:v>16.233004076086953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7-4E06-8898-20504EA4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29279"/>
        <c:axId val="956032607"/>
      </c:barChart>
      <c:catAx>
        <c:axId val="9560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032607"/>
        <c:crosses val="autoZero"/>
        <c:auto val="1"/>
        <c:lblAlgn val="ctr"/>
        <c:lblOffset val="100"/>
        <c:noMultiLvlLbl val="0"/>
      </c:catAx>
      <c:valAx>
        <c:axId val="9560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0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Area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Area!$C$11</c:f>
              <c:strCache>
                <c:ptCount val="1"/>
                <c:pt idx="0">
                  <c:v>INPDT2</c:v>
                </c:pt>
              </c:strCache>
            </c:strRef>
          </c:tx>
          <c:invertIfNegative val="0"/>
          <c:cat>
            <c:strRef>
              <c:f>Area!$D$5:$F$5</c:f>
              <c:strCache>
                <c:ptCount val="3"/>
                <c:pt idx="0">
                  <c:v>LUTs</c:v>
                </c:pt>
                <c:pt idx="1">
                  <c:v>FFs</c:v>
                </c:pt>
                <c:pt idx="2">
                  <c:v>BRAMs</c:v>
                </c:pt>
              </c:strCache>
            </c:strRef>
          </c:cat>
          <c:val>
            <c:numRef>
              <c:f>Area!$D$11:$F$11</c:f>
              <c:numCache>
                <c:formatCode>General</c:formatCode>
                <c:ptCount val="3"/>
                <c:pt idx="0">
                  <c:v>22405</c:v>
                </c:pt>
                <c:pt idx="1">
                  <c:v>4430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90-4AE9-AC77-BFE6B80C05BA}"/>
            </c:ext>
          </c:extLst>
        </c:ser>
        <c:ser>
          <c:idx val="2"/>
          <c:order val="1"/>
          <c:tx>
            <c:strRef>
              <c:f>Area!$C$22</c:f>
              <c:strCache>
                <c:ptCount val="1"/>
                <c:pt idx="0">
                  <c:v>INPDT16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Area!$D$16:$F$16</c:f>
              <c:strCache>
                <c:ptCount val="3"/>
                <c:pt idx="0">
                  <c:v>LUTs</c:v>
                </c:pt>
                <c:pt idx="1">
                  <c:v>FFs</c:v>
                </c:pt>
                <c:pt idx="2">
                  <c:v>BRAMs</c:v>
                </c:pt>
              </c:strCache>
            </c:strRef>
          </c:cat>
          <c:val>
            <c:numRef>
              <c:f>Area!$D$22:$F$22</c:f>
              <c:numCache>
                <c:formatCode>General</c:formatCode>
                <c:ptCount val="3"/>
                <c:pt idx="0">
                  <c:v>50238</c:v>
                </c:pt>
                <c:pt idx="1">
                  <c:v>4585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90-4AE9-AC77-BFE6B80C05BA}"/>
            </c:ext>
          </c:extLst>
        </c:ser>
        <c:ser>
          <c:idx val="0"/>
          <c:order val="2"/>
          <c:tx>
            <c:strRef>
              <c:f>Area!$C$3</c:f>
              <c:strCache>
                <c:ptCount val="1"/>
                <c:pt idx="0">
                  <c:v>RTAD Single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Area!$D$1:$F$1</c:f>
              <c:strCache>
                <c:ptCount val="3"/>
                <c:pt idx="0">
                  <c:v>LUTs</c:v>
                </c:pt>
                <c:pt idx="1">
                  <c:v>FFs</c:v>
                </c:pt>
                <c:pt idx="2">
                  <c:v>BRAMs</c:v>
                </c:pt>
              </c:strCache>
            </c:strRef>
          </c:cat>
          <c:val>
            <c:numRef>
              <c:f>Area!$D$3:$F$3</c:f>
              <c:numCache>
                <c:formatCode>General</c:formatCode>
                <c:ptCount val="3"/>
                <c:pt idx="0">
                  <c:v>52434</c:v>
                </c:pt>
                <c:pt idx="1">
                  <c:v>19853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0-4AE9-AC77-BFE6B80C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770159"/>
        <c:axId val="1099763087"/>
      </c:barChart>
      <c:catAx>
        <c:axId val="109977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9763087"/>
        <c:crosses val="autoZero"/>
        <c:auto val="1"/>
        <c:lblAlgn val="ctr"/>
        <c:lblOffset val="100"/>
        <c:noMultiLvlLbl val="0"/>
      </c:catAx>
      <c:valAx>
        <c:axId val="10997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9770159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  <a:sp3d/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14</xdr:row>
      <xdr:rowOff>157162</xdr:rowOff>
    </xdr:from>
    <xdr:to>
      <xdr:col>5</xdr:col>
      <xdr:colOff>481012</xdr:colOff>
      <xdr:row>27</xdr:row>
      <xdr:rowOff>176212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747712</xdr:colOff>
      <xdr:row>14</xdr:row>
      <xdr:rowOff>176212</xdr:rowOff>
    </xdr:from>
    <xdr:to>
      <xdr:col>9</xdr:col>
      <xdr:colOff>519112</xdr:colOff>
      <xdr:row>27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</xdr:colOff>
      <xdr:row>1</xdr:row>
      <xdr:rowOff>138112</xdr:rowOff>
    </xdr:from>
    <xdr:to>
      <xdr:col>7</xdr:col>
      <xdr:colOff>1042987</xdr:colOff>
      <xdr:row>14</xdr:row>
      <xdr:rowOff>90487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5</xdr:row>
      <xdr:rowOff>157162</xdr:rowOff>
    </xdr:from>
    <xdr:to>
      <xdr:col>11</xdr:col>
      <xdr:colOff>819150</xdr:colOff>
      <xdr:row>18</xdr:row>
      <xdr:rowOff>138112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tabSelected="1" workbookViewId="0">
      <selection activeCell="G17" sqref="G17"/>
    </sheetView>
  </sheetViews>
  <sheetFormatPr defaultRowHeight="16.5" x14ac:dyDescent="0.3"/>
  <cols>
    <col min="3" max="14" width="15.75" customWidth="1"/>
  </cols>
  <sheetData>
    <row r="1" spans="2:16" ht="17.25" thickBot="1" x14ac:dyDescent="0.35">
      <c r="K1">
        <f>7229*30</f>
        <v>216870</v>
      </c>
      <c r="L1">
        <f>736*30</f>
        <v>22080</v>
      </c>
    </row>
    <row r="2" spans="2:16" x14ac:dyDescent="0.3">
      <c r="C2" s="15" t="s">
        <v>51</v>
      </c>
      <c r="D2" s="16" t="s">
        <v>28</v>
      </c>
      <c r="E2" s="16" t="s">
        <v>29</v>
      </c>
      <c r="F2" s="17" t="s">
        <v>30</v>
      </c>
      <c r="G2" s="13" t="s">
        <v>58</v>
      </c>
      <c r="I2" s="15" t="s">
        <v>60</v>
      </c>
      <c r="J2" s="16" t="s">
        <v>57</v>
      </c>
      <c r="K2" s="16" t="s">
        <v>55</v>
      </c>
      <c r="L2" s="17" t="s">
        <v>56</v>
      </c>
    </row>
    <row r="3" spans="2:16" x14ac:dyDescent="0.3">
      <c r="C3" s="18" t="s">
        <v>18</v>
      </c>
      <c r="D3" s="9">
        <f>100*J28</f>
        <v>44.35863540434611</v>
      </c>
      <c r="E3" s="9">
        <f>100*M28</f>
        <v>71.606484380435532</v>
      </c>
      <c r="F3" s="19">
        <f>100*P28</f>
        <v>69.328241181077487</v>
      </c>
      <c r="I3" s="18" t="s">
        <v>18</v>
      </c>
      <c r="J3" s="9">
        <f>(44.36*27+71.61*36+69.33*1029*30)/(27+36+1029*30)</f>
        <v>69.31085830666278</v>
      </c>
      <c r="K3" s="9">
        <f>(44.36*27+71.61*36+69.33*1029*30)/K1</f>
        <v>9.8860735924747534</v>
      </c>
      <c r="L3" s="19">
        <f>(44.36*27+71.61*36+69.33*1029*30)/L1</f>
        <v>97.101122282608685</v>
      </c>
    </row>
    <row r="4" spans="2:16" ht="17.25" thickBot="1" x14ac:dyDescent="0.35">
      <c r="C4" s="20" t="s">
        <v>25</v>
      </c>
      <c r="D4" s="21">
        <f>100*J47</f>
        <v>7.4698054214447156</v>
      </c>
      <c r="E4" s="21">
        <f>100*M47</f>
        <v>12.137311543408144</v>
      </c>
      <c r="F4" s="22">
        <f>100*P47</f>
        <v>90.346039633961567</v>
      </c>
      <c r="I4" s="20" t="s">
        <v>25</v>
      </c>
      <c r="J4" s="21">
        <f>(27*7.47 + 12.14*36 + 132*30*90.34)/(27+36+132*30)</f>
        <v>89.084049217002232</v>
      </c>
      <c r="K4" s="21">
        <f>(7.47*27+12.14*36+90.35*132*30)/K1</f>
        <v>1.6527169733019778</v>
      </c>
      <c r="L4" s="22">
        <f>(7.47*27+12.14*36+90.35*132*30)/L1</f>
        <v>16.233004076086953</v>
      </c>
    </row>
    <row r="6" spans="2:16" ht="17.25" thickBot="1" x14ac:dyDescent="0.35"/>
    <row r="7" spans="2:16" x14ac:dyDescent="0.3">
      <c r="C7" s="3" t="s">
        <v>59</v>
      </c>
      <c r="D7" s="44" t="s">
        <v>54</v>
      </c>
      <c r="E7" s="44" t="s">
        <v>44</v>
      </c>
      <c r="F7" s="17" t="s">
        <v>67</v>
      </c>
      <c r="H7" s="18" t="s">
        <v>34</v>
      </c>
      <c r="I7">
        <v>1569.6451612903224</v>
      </c>
    </row>
    <row r="8" spans="2:16" ht="17.25" thickBot="1" x14ac:dyDescent="0.35">
      <c r="C8" s="18" t="s">
        <v>34</v>
      </c>
      <c r="D8" s="9">
        <f>283 + 2 + 1 + (27+36) + 10</f>
        <v>359</v>
      </c>
      <c r="E8" s="9">
        <f xml:space="preserve"> 512 + 2 + 1 + (1029) + 66</f>
        <v>1610</v>
      </c>
      <c r="F8" s="41">
        <f>359/31 + 1610*30/31</f>
        <v>1569.6451612903224</v>
      </c>
      <c r="H8" s="20" t="s">
        <v>35</v>
      </c>
      <c r="I8">
        <v>701.58064516129036</v>
      </c>
    </row>
    <row r="9" spans="2:16" ht="17.25" thickBot="1" x14ac:dyDescent="0.35">
      <c r="C9" s="20" t="s">
        <v>35</v>
      </c>
      <c r="D9" s="21">
        <f>283 + 2 + 1 + (27+36) + 10</f>
        <v>359</v>
      </c>
      <c r="E9" s="21">
        <f xml:space="preserve"> 512 + 2 + 1 + (132) + 66</f>
        <v>713</v>
      </c>
      <c r="F9" s="41">
        <f>359/31 + E9*30/31</f>
        <v>701.58064516129036</v>
      </c>
      <c r="H9" s="13" t="s">
        <v>66</v>
      </c>
      <c r="I9">
        <v>2500</v>
      </c>
    </row>
    <row r="10" spans="2:16" x14ac:dyDescent="0.3">
      <c r="C10" s="13" t="s">
        <v>66</v>
      </c>
      <c r="F10">
        <v>2500</v>
      </c>
    </row>
    <row r="11" spans="2:16" ht="17.25" thickBot="1" x14ac:dyDescent="0.35"/>
    <row r="12" spans="2:16" ht="17.25" thickBot="1" x14ac:dyDescent="0.35">
      <c r="H12" s="3" t="s">
        <v>14</v>
      </c>
      <c r="I12" s="4" t="s">
        <v>19</v>
      </c>
      <c r="J12" s="5"/>
      <c r="K12" s="3" t="s">
        <v>22</v>
      </c>
      <c r="L12" s="4" t="s">
        <v>20</v>
      </c>
      <c r="M12" s="5"/>
      <c r="N12" s="3" t="s">
        <v>15</v>
      </c>
      <c r="O12" s="4" t="s">
        <v>21</v>
      </c>
      <c r="P12" s="5"/>
    </row>
    <row r="13" spans="2:16" ht="17.25" thickBot="1" x14ac:dyDescent="0.35">
      <c r="B13" s="2" t="s">
        <v>18</v>
      </c>
      <c r="C13" s="43" t="s">
        <v>23</v>
      </c>
      <c r="D13" s="9" t="s">
        <v>3</v>
      </c>
      <c r="E13" s="14" t="s">
        <v>52</v>
      </c>
      <c r="F13" s="14" t="s">
        <v>26</v>
      </c>
      <c r="H13" s="6" t="s">
        <v>16</v>
      </c>
      <c r="I13" s="7" t="s">
        <v>17</v>
      </c>
      <c r="J13" s="8"/>
      <c r="K13" s="6" t="s">
        <v>16</v>
      </c>
      <c r="L13" s="7" t="s">
        <v>17</v>
      </c>
      <c r="M13" s="8"/>
      <c r="N13" s="6" t="s">
        <v>16</v>
      </c>
      <c r="O13" s="7" t="s">
        <v>17</v>
      </c>
      <c r="P13" s="8"/>
    </row>
    <row r="14" spans="2:16" x14ac:dyDescent="0.3">
      <c r="C14" s="43" t="s">
        <v>2</v>
      </c>
      <c r="D14" s="9">
        <v>2</v>
      </c>
      <c r="E14" s="9">
        <f>(2129+2280)/2</f>
        <v>2204.5</v>
      </c>
      <c r="F14" s="9">
        <f>E14*D14</f>
        <v>4409</v>
      </c>
      <c r="H14" s="10">
        <v>16</v>
      </c>
      <c r="I14" s="10">
        <v>2</v>
      </c>
      <c r="J14" s="10">
        <f>I14*H14*E14/(6388*27)</f>
        <v>0.40900763004707902</v>
      </c>
      <c r="K14" s="10">
        <v>32</v>
      </c>
      <c r="L14" s="10">
        <v>2</v>
      </c>
      <c r="M14" s="10">
        <f>L14*K14*E14/(6388*36)</f>
        <v>0.6135114450706185</v>
      </c>
      <c r="N14" s="10">
        <v>1024</v>
      </c>
      <c r="O14" s="10">
        <v>2</v>
      </c>
      <c r="P14" s="10">
        <f>O14*N14*E14/(6388*1029)</f>
        <v>0.68684663238226684</v>
      </c>
    </row>
    <row r="15" spans="2:16" x14ac:dyDescent="0.3">
      <c r="C15" s="43" t="s">
        <v>0</v>
      </c>
      <c r="D15" s="9">
        <v>2</v>
      </c>
      <c r="E15" s="9">
        <f>(106+104)/2</f>
        <v>105</v>
      </c>
      <c r="F15" s="9">
        <f t="shared" ref="F15:F26" si="0">E15*D15</f>
        <v>210</v>
      </c>
      <c r="H15" s="9">
        <v>12</v>
      </c>
      <c r="I15" s="9">
        <v>2</v>
      </c>
      <c r="J15" s="9">
        <f>I15*H15*E15/(6388*27)</f>
        <v>1.4610728449175537E-2</v>
      </c>
      <c r="K15" s="9"/>
      <c r="L15" s="9"/>
      <c r="M15" s="9">
        <f t="shared" ref="M15:M27" si="1">L15*K15*E15/(6388*36)</f>
        <v>0</v>
      </c>
      <c r="N15" s="9"/>
      <c r="O15" s="9"/>
      <c r="P15" s="9">
        <f t="shared" ref="P15:P27" si="2">O15*N15*E15/(6388*1029)</f>
        <v>0</v>
      </c>
    </row>
    <row r="16" spans="2:16" x14ac:dyDescent="0.3">
      <c r="C16" s="43" t="s">
        <v>1</v>
      </c>
      <c r="D16" s="9">
        <v>2</v>
      </c>
      <c r="E16" s="9">
        <f>(120+116)/2</f>
        <v>118</v>
      </c>
      <c r="F16" s="9">
        <f t="shared" si="0"/>
        <v>236</v>
      </c>
      <c r="H16" s="9">
        <v>4</v>
      </c>
      <c r="I16" s="9">
        <v>2</v>
      </c>
      <c r="J16" s="9">
        <f t="shared" ref="J16:J27" si="3">I16*H16*E16/(6388*27)</f>
        <v>5.473225260326074E-3</v>
      </c>
      <c r="K16" s="9"/>
      <c r="L16" s="9"/>
      <c r="M16" s="9">
        <f t="shared" si="1"/>
        <v>0</v>
      </c>
      <c r="N16" s="9"/>
      <c r="O16" s="9"/>
      <c r="P16" s="9">
        <f t="shared" si="2"/>
        <v>0</v>
      </c>
    </row>
    <row r="17" spans="2:16" x14ac:dyDescent="0.3">
      <c r="C17" s="43" t="s">
        <v>4</v>
      </c>
      <c r="D17" s="9">
        <v>2</v>
      </c>
      <c r="E17" s="9">
        <f>(110+136)/2</f>
        <v>123</v>
      </c>
      <c r="F17" s="9">
        <f t="shared" si="0"/>
        <v>246</v>
      </c>
      <c r="H17" s="9">
        <v>4</v>
      </c>
      <c r="I17" s="9">
        <v>2</v>
      </c>
      <c r="J17" s="9">
        <f t="shared" si="3"/>
        <v>5.7051415849161619E-3</v>
      </c>
      <c r="K17" s="9"/>
      <c r="L17" s="9"/>
      <c r="M17" s="9">
        <f t="shared" si="1"/>
        <v>0</v>
      </c>
      <c r="N17" s="9"/>
      <c r="O17" s="9"/>
      <c r="P17" s="9">
        <f t="shared" si="2"/>
        <v>0</v>
      </c>
    </row>
    <row r="18" spans="2:16" x14ac:dyDescent="0.3">
      <c r="C18" s="43" t="s">
        <v>5</v>
      </c>
      <c r="D18" s="9">
        <v>2</v>
      </c>
      <c r="E18" s="9">
        <f>(50+53)/2</f>
        <v>51.5</v>
      </c>
      <c r="F18" s="9">
        <f t="shared" si="0"/>
        <v>103</v>
      </c>
      <c r="H18" s="9">
        <v>4</v>
      </c>
      <c r="I18" s="9">
        <v>2</v>
      </c>
      <c r="J18" s="9">
        <f t="shared" si="3"/>
        <v>2.3887381432779052E-3</v>
      </c>
      <c r="K18" s="9"/>
      <c r="L18" s="9"/>
      <c r="M18" s="9">
        <f t="shared" si="1"/>
        <v>0</v>
      </c>
      <c r="N18" s="9"/>
      <c r="O18" s="9"/>
      <c r="P18" s="9">
        <f t="shared" si="2"/>
        <v>0</v>
      </c>
    </row>
    <row r="19" spans="2:16" x14ac:dyDescent="0.3">
      <c r="C19" s="43"/>
      <c r="D19" s="9"/>
      <c r="E19" s="9"/>
      <c r="F19" s="9">
        <f t="shared" si="0"/>
        <v>0</v>
      </c>
      <c r="H19" s="9"/>
      <c r="I19" s="9"/>
      <c r="J19" s="9">
        <f t="shared" si="3"/>
        <v>0</v>
      </c>
      <c r="K19" s="9"/>
      <c r="L19" s="9"/>
      <c r="M19" s="9">
        <f t="shared" si="1"/>
        <v>0</v>
      </c>
      <c r="N19" s="9"/>
      <c r="O19" s="9"/>
      <c r="P19" s="9">
        <f t="shared" si="2"/>
        <v>0</v>
      </c>
    </row>
    <row r="20" spans="2:16" x14ac:dyDescent="0.3">
      <c r="C20" s="43" t="s">
        <v>8</v>
      </c>
      <c r="D20" s="9">
        <v>2</v>
      </c>
      <c r="E20" s="9">
        <f>(300+4)/2</f>
        <v>152</v>
      </c>
      <c r="F20" s="9">
        <f t="shared" si="0"/>
        <v>304</v>
      </c>
      <c r="H20" s="9"/>
      <c r="I20" s="9"/>
      <c r="J20" s="9">
        <f t="shared" si="3"/>
        <v>0</v>
      </c>
      <c r="K20" s="9">
        <v>32</v>
      </c>
      <c r="L20" s="9">
        <v>2</v>
      </c>
      <c r="M20" s="9">
        <f t="shared" si="1"/>
        <v>4.2301537605232031E-2</v>
      </c>
      <c r="N20" s="9"/>
      <c r="O20" s="9"/>
      <c r="P20" s="9">
        <f t="shared" si="2"/>
        <v>0</v>
      </c>
    </row>
    <row r="21" spans="2:16" x14ac:dyDescent="0.3">
      <c r="C21" s="43" t="s">
        <v>9</v>
      </c>
      <c r="D21" s="9">
        <v>2</v>
      </c>
      <c r="E21" s="9">
        <f>(428+5)/2</f>
        <v>216.5</v>
      </c>
      <c r="F21" s="9">
        <f t="shared" si="0"/>
        <v>433</v>
      </c>
      <c r="H21" s="9"/>
      <c r="I21" s="9"/>
      <c r="J21" s="9">
        <f t="shared" si="3"/>
        <v>0</v>
      </c>
      <c r="K21" s="9">
        <v>32</v>
      </c>
      <c r="L21" s="9">
        <v>2</v>
      </c>
      <c r="M21" s="9">
        <f t="shared" si="1"/>
        <v>6.0251861128504836E-2</v>
      </c>
      <c r="N21" s="9"/>
      <c r="O21" s="9"/>
      <c r="P21" s="9">
        <f t="shared" si="2"/>
        <v>0</v>
      </c>
    </row>
    <row r="22" spans="2:16" x14ac:dyDescent="0.3">
      <c r="C22" s="43" t="s">
        <v>10</v>
      </c>
      <c r="D22" s="9">
        <v>1</v>
      </c>
      <c r="E22" s="9">
        <v>95</v>
      </c>
      <c r="F22" s="9">
        <f t="shared" si="0"/>
        <v>95</v>
      </c>
      <c r="H22" s="9"/>
      <c r="I22" s="9"/>
      <c r="J22" s="9">
        <f t="shared" si="3"/>
        <v>0</v>
      </c>
      <c r="K22" s="9"/>
      <c r="L22" s="9"/>
      <c r="M22" s="9">
        <f t="shared" si="1"/>
        <v>0</v>
      </c>
      <c r="N22" s="9">
        <v>192</v>
      </c>
      <c r="O22" s="9">
        <v>1</v>
      </c>
      <c r="P22" s="9">
        <f t="shared" si="2"/>
        <v>2.7748822044248419E-3</v>
      </c>
    </row>
    <row r="23" spans="2:16" x14ac:dyDescent="0.3">
      <c r="C23" s="43" t="s">
        <v>11</v>
      </c>
      <c r="D23" s="9">
        <v>1</v>
      </c>
      <c r="E23" s="9">
        <v>87</v>
      </c>
      <c r="F23" s="9">
        <f t="shared" si="0"/>
        <v>87</v>
      </c>
      <c r="H23" s="9"/>
      <c r="I23" s="9"/>
      <c r="J23" s="9">
        <f t="shared" si="3"/>
        <v>0</v>
      </c>
      <c r="K23" s="9"/>
      <c r="L23" s="9"/>
      <c r="M23" s="9">
        <f t="shared" si="1"/>
        <v>0</v>
      </c>
      <c r="N23" s="9">
        <v>64</v>
      </c>
      <c r="O23" s="9">
        <v>1</v>
      </c>
      <c r="P23" s="9">
        <f t="shared" si="2"/>
        <v>8.4706930450863596E-4</v>
      </c>
    </row>
    <row r="24" spans="2:16" x14ac:dyDescent="0.3">
      <c r="C24" s="43" t="s">
        <v>12</v>
      </c>
      <c r="D24" s="9">
        <v>1</v>
      </c>
      <c r="E24" s="9">
        <v>120</v>
      </c>
      <c r="F24" s="9">
        <f t="shared" si="0"/>
        <v>120</v>
      </c>
      <c r="H24" s="9"/>
      <c r="I24" s="9"/>
      <c r="J24" s="9">
        <f t="shared" si="3"/>
        <v>0</v>
      </c>
      <c r="K24" s="9"/>
      <c r="L24" s="9"/>
      <c r="M24" s="9">
        <f t="shared" si="1"/>
        <v>0</v>
      </c>
      <c r="N24" s="9">
        <v>64</v>
      </c>
      <c r="O24" s="9">
        <v>1</v>
      </c>
      <c r="P24" s="9">
        <f t="shared" si="2"/>
        <v>1.1683714544946703E-3</v>
      </c>
    </row>
    <row r="25" spans="2:16" x14ac:dyDescent="0.3">
      <c r="C25" s="43" t="s">
        <v>13</v>
      </c>
      <c r="D25" s="9">
        <v>1</v>
      </c>
      <c r="E25" s="9">
        <v>31</v>
      </c>
      <c r="F25" s="9">
        <f t="shared" si="0"/>
        <v>31</v>
      </c>
      <c r="H25" s="9"/>
      <c r="I25" s="9"/>
      <c r="J25" s="9">
        <f t="shared" si="3"/>
        <v>0</v>
      </c>
      <c r="K25" s="9"/>
      <c r="L25" s="9"/>
      <c r="M25" s="9">
        <f t="shared" si="1"/>
        <v>0</v>
      </c>
      <c r="N25" s="9">
        <v>64</v>
      </c>
      <c r="O25" s="9">
        <v>1</v>
      </c>
      <c r="P25" s="9">
        <f t="shared" si="2"/>
        <v>3.0182929241112313E-4</v>
      </c>
    </row>
    <row r="26" spans="2:16" x14ac:dyDescent="0.3">
      <c r="C26" s="43" t="s">
        <v>6</v>
      </c>
      <c r="D26" s="9">
        <v>2</v>
      </c>
      <c r="E26" s="9">
        <v>24</v>
      </c>
      <c r="F26" s="9">
        <f t="shared" si="0"/>
        <v>48</v>
      </c>
      <c r="H26" s="9">
        <v>12</v>
      </c>
      <c r="I26" s="9">
        <v>2</v>
      </c>
      <c r="J26" s="9">
        <f t="shared" si="3"/>
        <v>3.3395950740972655E-3</v>
      </c>
      <c r="K26" s="9"/>
      <c r="L26" s="9"/>
      <c r="M26" s="9">
        <f t="shared" si="1"/>
        <v>0</v>
      </c>
      <c r="N26" s="9">
        <v>192</v>
      </c>
      <c r="O26" s="9">
        <v>1</v>
      </c>
      <c r="P26" s="9">
        <f t="shared" si="2"/>
        <v>7.0102287269680212E-4</v>
      </c>
    </row>
    <row r="27" spans="2:16" x14ac:dyDescent="0.3">
      <c r="C27" s="43" t="s">
        <v>7</v>
      </c>
      <c r="D27" s="9">
        <v>2</v>
      </c>
      <c r="E27" s="9">
        <v>33</v>
      </c>
      <c r="F27" s="9">
        <f>E27*D27</f>
        <v>66</v>
      </c>
      <c r="H27" s="9">
        <v>8</v>
      </c>
      <c r="I27" s="9">
        <v>2</v>
      </c>
      <c r="J27" s="9">
        <f t="shared" si="3"/>
        <v>3.0612954845891604E-3</v>
      </c>
      <c r="K27" s="9"/>
      <c r="L27" s="9"/>
      <c r="M27" s="9">
        <f t="shared" si="1"/>
        <v>0</v>
      </c>
      <c r="N27" s="9">
        <v>128</v>
      </c>
      <c r="O27" s="9">
        <v>1</v>
      </c>
      <c r="P27" s="9">
        <f t="shared" si="2"/>
        <v>6.4260429997206863E-4</v>
      </c>
    </row>
    <row r="28" spans="2:16" x14ac:dyDescent="0.3">
      <c r="E28" s="9" t="s">
        <v>27</v>
      </c>
      <c r="F28" s="9">
        <f>SUM(F14:F27)</f>
        <v>6388</v>
      </c>
      <c r="J28" s="14">
        <f>SUM(J14:J27)</f>
        <v>0.44358635404346108</v>
      </c>
      <c r="M28" s="14">
        <f>SUM(M14:M27)</f>
        <v>0.71606484380435531</v>
      </c>
      <c r="P28" s="9">
        <f>SUM(P14:P27)</f>
        <v>0.69328241181077488</v>
      </c>
    </row>
    <row r="30" spans="2:16" ht="17.25" thickBot="1" x14ac:dyDescent="0.35"/>
    <row r="31" spans="2:16" ht="17.25" thickBot="1" x14ac:dyDescent="0.35">
      <c r="H31" s="3" t="s">
        <v>14</v>
      </c>
      <c r="I31" s="4" t="s">
        <v>19</v>
      </c>
      <c r="J31" s="5"/>
      <c r="K31" s="3" t="s">
        <v>22</v>
      </c>
      <c r="L31" s="4" t="s">
        <v>20</v>
      </c>
      <c r="M31" s="5"/>
      <c r="N31" s="3" t="s">
        <v>15</v>
      </c>
      <c r="O31" s="4">
        <v>132</v>
      </c>
      <c r="P31" s="5"/>
    </row>
    <row r="32" spans="2:16" ht="17.25" thickBot="1" x14ac:dyDescent="0.35">
      <c r="B32" s="11" t="s">
        <v>18</v>
      </c>
      <c r="C32" s="43" t="s">
        <v>23</v>
      </c>
      <c r="D32" s="9" t="s">
        <v>3</v>
      </c>
      <c r="E32" s="14" t="s">
        <v>53</v>
      </c>
      <c r="F32" s="14" t="s">
        <v>26</v>
      </c>
      <c r="H32" s="6" t="s">
        <v>16</v>
      </c>
      <c r="I32" s="7" t="s">
        <v>17</v>
      </c>
      <c r="J32" s="8" t="s">
        <v>24</v>
      </c>
      <c r="K32" s="6" t="s">
        <v>16</v>
      </c>
      <c r="L32" s="7" t="s">
        <v>17</v>
      </c>
      <c r="M32" s="8"/>
      <c r="N32" s="6" t="s">
        <v>16</v>
      </c>
      <c r="O32" s="7" t="s">
        <v>17</v>
      </c>
      <c r="P32" s="8"/>
    </row>
    <row r="33" spans="3:16" x14ac:dyDescent="0.3">
      <c r="C33" s="43" t="s">
        <v>2</v>
      </c>
      <c r="D33" s="9">
        <v>16</v>
      </c>
      <c r="E33" s="9">
        <f>(2056+1978+1736+1820+1802+1773+2010+2033+1913+1737+2011+1771+1804+1881+1977+1956)/16</f>
        <v>1891.125</v>
      </c>
      <c r="F33" s="9">
        <f>E33*D33</f>
        <v>30258</v>
      </c>
      <c r="H33" s="10">
        <v>16</v>
      </c>
      <c r="I33" s="10">
        <v>2</v>
      </c>
      <c r="J33" s="10">
        <f>I33*H33*E33/(33002*27)</f>
        <v>6.7915075853988649E-2</v>
      </c>
      <c r="K33" s="10">
        <v>32</v>
      </c>
      <c r="L33" s="10">
        <v>2</v>
      </c>
      <c r="M33" s="10">
        <f>L33*K33*E33/(33002*36)</f>
        <v>0.10187261378098297</v>
      </c>
      <c r="N33" s="10">
        <v>128</v>
      </c>
      <c r="O33" s="10">
        <v>16</v>
      </c>
      <c r="P33" s="10">
        <f>O33*N33*E33/(33002*132)</f>
        <v>0.88907008390676046</v>
      </c>
    </row>
    <row r="34" spans="3:16" x14ac:dyDescent="0.3">
      <c r="C34" s="43" t="s">
        <v>0</v>
      </c>
      <c r="D34" s="9">
        <v>2</v>
      </c>
      <c r="E34" s="9">
        <v>113</v>
      </c>
      <c r="F34" s="9">
        <f t="shared" ref="F34:F46" si="4">E34*D34</f>
        <v>226</v>
      </c>
      <c r="H34" s="9">
        <v>12</v>
      </c>
      <c r="I34" s="9">
        <v>2</v>
      </c>
      <c r="J34" s="10">
        <f t="shared" ref="J34:J46" si="5">I34*H34*E34/(33002*27)</f>
        <v>3.0435865839780756E-3</v>
      </c>
      <c r="K34" s="9"/>
      <c r="L34" s="9"/>
      <c r="M34" s="10">
        <f t="shared" ref="M34:M46" si="6">L34*K34*E34/(33002*36)</f>
        <v>0</v>
      </c>
      <c r="N34" s="9"/>
      <c r="O34" s="9"/>
      <c r="P34" s="10">
        <f t="shared" ref="P34:P46" si="7">O34*N34*E34/(33002*132)</f>
        <v>0</v>
      </c>
    </row>
    <row r="35" spans="3:16" x14ac:dyDescent="0.3">
      <c r="C35" s="43" t="s">
        <v>1</v>
      </c>
      <c r="D35" s="9">
        <v>2</v>
      </c>
      <c r="E35" s="9">
        <f>(95+101)/2</f>
        <v>98</v>
      </c>
      <c r="F35" s="9">
        <f t="shared" si="4"/>
        <v>196</v>
      </c>
      <c r="H35" s="9">
        <v>4</v>
      </c>
      <c r="I35" s="9">
        <v>2</v>
      </c>
      <c r="J35" s="10">
        <f t="shared" si="5"/>
        <v>8.7985688858363239E-4</v>
      </c>
      <c r="K35" s="9"/>
      <c r="L35" s="9"/>
      <c r="M35" s="10">
        <f t="shared" si="6"/>
        <v>0</v>
      </c>
      <c r="N35" s="9"/>
      <c r="O35" s="9"/>
      <c r="P35" s="10">
        <f t="shared" si="7"/>
        <v>0</v>
      </c>
    </row>
    <row r="36" spans="3:16" x14ac:dyDescent="0.3">
      <c r="C36" s="43" t="s">
        <v>4</v>
      </c>
      <c r="D36" s="9">
        <v>2</v>
      </c>
      <c r="E36" s="9">
        <f>(116+122)/2</f>
        <v>119</v>
      </c>
      <c r="F36" s="9">
        <f t="shared" si="4"/>
        <v>238</v>
      </c>
      <c r="H36" s="9">
        <v>4</v>
      </c>
      <c r="I36" s="9">
        <v>2</v>
      </c>
      <c r="J36" s="10">
        <f t="shared" si="5"/>
        <v>1.0683976504229822E-3</v>
      </c>
      <c r="K36" s="9"/>
      <c r="L36" s="9"/>
      <c r="M36" s="10">
        <f t="shared" si="6"/>
        <v>0</v>
      </c>
      <c r="N36" s="9"/>
      <c r="O36" s="9"/>
      <c r="P36" s="10">
        <f t="shared" si="7"/>
        <v>0</v>
      </c>
    </row>
    <row r="37" spans="3:16" x14ac:dyDescent="0.3">
      <c r="C37" s="43" t="s">
        <v>5</v>
      </c>
      <c r="D37" s="9">
        <v>2</v>
      </c>
      <c r="E37" s="9">
        <f>(49+62)/2</f>
        <v>55.5</v>
      </c>
      <c r="F37" s="9">
        <f t="shared" si="4"/>
        <v>111</v>
      </c>
      <c r="H37" s="9">
        <v>4</v>
      </c>
      <c r="I37" s="9">
        <v>2</v>
      </c>
      <c r="J37" s="10">
        <f t="shared" si="5"/>
        <v>4.9828629914685303E-4</v>
      </c>
      <c r="K37" s="9"/>
      <c r="L37" s="9"/>
      <c r="M37" s="10">
        <f t="shared" si="6"/>
        <v>0</v>
      </c>
      <c r="N37" s="9"/>
      <c r="O37" s="9"/>
      <c r="P37" s="10">
        <f t="shared" si="7"/>
        <v>0</v>
      </c>
    </row>
    <row r="38" spans="3:16" x14ac:dyDescent="0.3">
      <c r="C38" s="43"/>
      <c r="D38" s="9"/>
      <c r="E38" s="9"/>
      <c r="F38" s="9">
        <f t="shared" si="4"/>
        <v>0</v>
      </c>
      <c r="H38" s="9"/>
      <c r="I38" s="9"/>
      <c r="J38" s="10">
        <f t="shared" si="5"/>
        <v>0</v>
      </c>
      <c r="K38" s="9"/>
      <c r="L38" s="9"/>
      <c r="M38" s="10">
        <f t="shared" si="6"/>
        <v>0</v>
      </c>
      <c r="N38" s="9"/>
      <c r="O38" s="9"/>
      <c r="P38" s="10">
        <f t="shared" si="7"/>
        <v>0</v>
      </c>
    </row>
    <row r="39" spans="3:16" x14ac:dyDescent="0.3">
      <c r="C39" s="43" t="s">
        <v>8</v>
      </c>
      <c r="D39" s="9">
        <v>2</v>
      </c>
      <c r="E39" s="9">
        <f>(134+117)/2</f>
        <v>125.5</v>
      </c>
      <c r="F39" s="9">
        <f t="shared" si="4"/>
        <v>251</v>
      </c>
      <c r="H39" s="9"/>
      <c r="I39" s="9"/>
      <c r="J39" s="10">
        <f t="shared" si="5"/>
        <v>0</v>
      </c>
      <c r="K39" s="9">
        <v>32</v>
      </c>
      <c r="L39" s="9">
        <v>2</v>
      </c>
      <c r="M39" s="10">
        <f t="shared" si="6"/>
        <v>6.7605330316681143E-3</v>
      </c>
      <c r="N39" s="9"/>
      <c r="O39" s="9"/>
      <c r="P39" s="10">
        <f t="shared" si="7"/>
        <v>0</v>
      </c>
    </row>
    <row r="40" spans="3:16" x14ac:dyDescent="0.3">
      <c r="C40" s="43" t="s">
        <v>9</v>
      </c>
      <c r="D40" s="9">
        <v>2</v>
      </c>
      <c r="E40" s="9">
        <f>(428+45)/2</f>
        <v>236.5</v>
      </c>
      <c r="F40" s="9">
        <f t="shared" si="4"/>
        <v>473</v>
      </c>
      <c r="H40" s="9"/>
      <c r="I40" s="9"/>
      <c r="J40" s="10">
        <f t="shared" si="5"/>
        <v>0</v>
      </c>
      <c r="K40" s="9">
        <v>32</v>
      </c>
      <c r="L40" s="9">
        <v>2</v>
      </c>
      <c r="M40" s="10">
        <f t="shared" si="6"/>
        <v>1.2739968621430351E-2</v>
      </c>
      <c r="N40" s="9"/>
      <c r="O40" s="9"/>
      <c r="P40" s="10">
        <f t="shared" si="7"/>
        <v>0</v>
      </c>
    </row>
    <row r="41" spans="3:16" x14ac:dyDescent="0.3">
      <c r="C41" s="43" t="s">
        <v>10</v>
      </c>
      <c r="D41" s="9">
        <v>2</v>
      </c>
      <c r="E41" s="9">
        <v>135</v>
      </c>
      <c r="F41" s="9">
        <f t="shared" si="4"/>
        <v>270</v>
      </c>
      <c r="H41" s="9"/>
      <c r="I41" s="9"/>
      <c r="J41" s="10">
        <f t="shared" si="5"/>
        <v>0</v>
      </c>
      <c r="K41" s="9"/>
      <c r="L41" s="9"/>
      <c r="M41" s="10">
        <f t="shared" si="6"/>
        <v>0</v>
      </c>
      <c r="N41" s="9">
        <v>96</v>
      </c>
      <c r="O41" s="9">
        <v>2</v>
      </c>
      <c r="P41" s="10">
        <f t="shared" si="7"/>
        <v>5.9500526138911687E-3</v>
      </c>
    </row>
    <row r="42" spans="3:16" x14ac:dyDescent="0.3">
      <c r="C42" s="43" t="s">
        <v>11</v>
      </c>
      <c r="D42" s="9">
        <v>2</v>
      </c>
      <c r="E42" s="9">
        <v>175</v>
      </c>
      <c r="F42" s="9">
        <f t="shared" si="4"/>
        <v>350</v>
      </c>
      <c r="H42" s="9"/>
      <c r="I42" s="9"/>
      <c r="J42" s="10">
        <f t="shared" si="5"/>
        <v>0</v>
      </c>
      <c r="K42" s="9"/>
      <c r="L42" s="9"/>
      <c r="M42" s="10">
        <f t="shared" si="6"/>
        <v>0</v>
      </c>
      <c r="N42" s="9">
        <v>32</v>
      </c>
      <c r="O42" s="9">
        <v>2</v>
      </c>
      <c r="P42" s="10">
        <f t="shared" si="7"/>
        <v>2.5710103887184063E-3</v>
      </c>
    </row>
    <row r="43" spans="3:16" x14ac:dyDescent="0.3">
      <c r="C43" s="43" t="s">
        <v>12</v>
      </c>
      <c r="D43" s="9">
        <v>2</v>
      </c>
      <c r="E43" s="9">
        <f>(116+211)/2</f>
        <v>163.5</v>
      </c>
      <c r="F43" s="9">
        <f t="shared" si="4"/>
        <v>327</v>
      </c>
      <c r="H43" s="9"/>
      <c r="I43" s="9"/>
      <c r="J43" s="10">
        <f t="shared" si="5"/>
        <v>0</v>
      </c>
      <c r="K43" s="9"/>
      <c r="L43" s="9"/>
      <c r="M43" s="10">
        <f t="shared" si="6"/>
        <v>0</v>
      </c>
      <c r="N43" s="9">
        <v>32</v>
      </c>
      <c r="O43" s="9">
        <v>2</v>
      </c>
      <c r="P43" s="10">
        <f t="shared" si="7"/>
        <v>2.4020582774597682E-3</v>
      </c>
    </row>
    <row r="44" spans="3:16" x14ac:dyDescent="0.3">
      <c r="C44" s="43" t="s">
        <v>13</v>
      </c>
      <c r="D44" s="9">
        <v>2</v>
      </c>
      <c r="E44" s="9">
        <f>(96+88)/2</f>
        <v>92</v>
      </c>
      <c r="F44" s="9">
        <f t="shared" si="4"/>
        <v>184</v>
      </c>
      <c r="H44" s="9"/>
      <c r="I44" s="9"/>
      <c r="J44" s="10">
        <f t="shared" si="5"/>
        <v>0</v>
      </c>
      <c r="K44" s="9"/>
      <c r="L44" s="9"/>
      <c r="M44" s="10">
        <f t="shared" si="6"/>
        <v>0</v>
      </c>
      <c r="N44" s="9">
        <v>32</v>
      </c>
      <c r="O44" s="9">
        <v>2</v>
      </c>
      <c r="P44" s="10">
        <f t="shared" si="7"/>
        <v>1.3516168900691052E-3</v>
      </c>
    </row>
    <row r="45" spans="3:16" x14ac:dyDescent="0.3">
      <c r="C45" s="43" t="s">
        <v>6</v>
      </c>
      <c r="D45" s="9">
        <v>2</v>
      </c>
      <c r="E45" s="9">
        <v>26</v>
      </c>
      <c r="F45" s="9">
        <f t="shared" si="4"/>
        <v>52</v>
      </c>
      <c r="H45" s="9">
        <v>12</v>
      </c>
      <c r="I45" s="9">
        <v>2</v>
      </c>
      <c r="J45" s="10">
        <f t="shared" si="5"/>
        <v>7.0029425826044218E-4</v>
      </c>
      <c r="K45" s="9"/>
      <c r="L45" s="9"/>
      <c r="M45" s="10">
        <f t="shared" si="6"/>
        <v>0</v>
      </c>
      <c r="N45" s="9">
        <v>96</v>
      </c>
      <c r="O45" s="9">
        <v>2</v>
      </c>
      <c r="P45" s="10">
        <f t="shared" si="7"/>
        <v>1.1459360589716327E-3</v>
      </c>
    </row>
    <row r="46" spans="3:16" x14ac:dyDescent="0.3">
      <c r="C46" s="43" t="s">
        <v>7</v>
      </c>
      <c r="D46" s="9">
        <v>2</v>
      </c>
      <c r="E46" s="9">
        <v>33</v>
      </c>
      <c r="F46" s="9">
        <f t="shared" si="4"/>
        <v>66</v>
      </c>
      <c r="H46" s="9">
        <v>8</v>
      </c>
      <c r="I46" s="9">
        <v>2</v>
      </c>
      <c r="J46" s="10">
        <f t="shared" si="5"/>
        <v>5.9255668006652799E-4</v>
      </c>
      <c r="K46" s="9"/>
      <c r="L46" s="9"/>
      <c r="M46" s="10">
        <f t="shared" si="6"/>
        <v>0</v>
      </c>
      <c r="N46" s="9">
        <v>64</v>
      </c>
      <c r="O46" s="9">
        <v>2</v>
      </c>
      <c r="P46" s="10">
        <f t="shared" si="7"/>
        <v>9.696382037452276E-4</v>
      </c>
    </row>
    <row r="47" spans="3:16" x14ac:dyDescent="0.3">
      <c r="E47" s="9" t="s">
        <v>27</v>
      </c>
      <c r="F47" s="9">
        <f>SUM(F33:F46)</f>
        <v>33002</v>
      </c>
      <c r="J47" s="14">
        <f>SUM(J33:J46)</f>
        <v>7.4698054214447154E-2</v>
      </c>
      <c r="M47" s="14">
        <f>SUM(M33:M46)</f>
        <v>0.12137311543408144</v>
      </c>
      <c r="P47" s="9">
        <f>SUM(P33:P46)</f>
        <v>0.90346039633961572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3" sqref="L3"/>
    </sheetView>
  </sheetViews>
  <sheetFormatPr defaultRowHeight="16.5" x14ac:dyDescent="0.3"/>
  <cols>
    <col min="2" max="2" width="9" customWidth="1"/>
    <col min="3" max="3" width="19.25" customWidth="1"/>
    <col min="4" max="7" width="15.75" customWidth="1"/>
    <col min="10" max="10" width="15.75" customWidth="1"/>
    <col min="11" max="12" width="41.75" customWidth="1"/>
    <col min="13" max="13" width="17.5" customWidth="1"/>
  </cols>
  <sheetData>
    <row r="1" spans="1:9" ht="17.25" thickBot="1" x14ac:dyDescent="0.35">
      <c r="C1" s="11" t="s">
        <v>34</v>
      </c>
      <c r="D1" s="25" t="s">
        <v>31</v>
      </c>
      <c r="E1" s="26" t="s">
        <v>32</v>
      </c>
      <c r="F1" s="13" t="s">
        <v>62</v>
      </c>
    </row>
    <row r="2" spans="1:9" x14ac:dyDescent="0.3">
      <c r="C2" t="s">
        <v>61</v>
      </c>
      <c r="D2">
        <f>4*183715/5</f>
        <v>146972</v>
      </c>
      <c r="E2">
        <f>4*76375/5</f>
        <v>61100</v>
      </c>
      <c r="F2">
        <f>4*140/5</f>
        <v>112</v>
      </c>
    </row>
    <row r="3" spans="1:9" x14ac:dyDescent="0.3">
      <c r="A3" s="23"/>
      <c r="B3" s="23"/>
      <c r="C3" s="23" t="s">
        <v>66</v>
      </c>
      <c r="D3">
        <f>199406-D2</f>
        <v>52434</v>
      </c>
      <c r="E3">
        <f>80953-E2</f>
        <v>19853</v>
      </c>
      <c r="F3">
        <f>150-F2</f>
        <v>38</v>
      </c>
    </row>
    <row r="4" spans="1:9" ht="17.25" thickBot="1" x14ac:dyDescent="0.35">
      <c r="A4" s="23"/>
    </row>
    <row r="5" spans="1:9" ht="17.25" thickBot="1" x14ac:dyDescent="0.35">
      <c r="A5" s="23"/>
      <c r="B5" s="23"/>
      <c r="C5" s="11" t="s">
        <v>34</v>
      </c>
      <c r="D5" s="25" t="s">
        <v>31</v>
      </c>
      <c r="E5" s="26" t="s">
        <v>32</v>
      </c>
      <c r="F5" s="13" t="s">
        <v>62</v>
      </c>
      <c r="G5" s="26" t="s">
        <v>40</v>
      </c>
      <c r="H5" s="27" t="s">
        <v>41</v>
      </c>
      <c r="I5" s="28" t="s">
        <v>33</v>
      </c>
    </row>
    <row r="6" spans="1:9" x14ac:dyDescent="0.3">
      <c r="A6" s="23"/>
      <c r="B6" s="23"/>
      <c r="C6" s="30" t="s">
        <v>36</v>
      </c>
      <c r="D6" s="1">
        <v>12872</v>
      </c>
      <c r="E6" s="10">
        <v>1499</v>
      </c>
      <c r="F6">
        <f>SUM(G6,H6)</f>
        <v>10</v>
      </c>
      <c r="G6" s="10">
        <v>0</v>
      </c>
      <c r="H6" s="24">
        <v>10</v>
      </c>
      <c r="I6" s="40">
        <v>0</v>
      </c>
    </row>
    <row r="7" spans="1:9" x14ac:dyDescent="0.3">
      <c r="A7" s="23"/>
      <c r="B7" s="23"/>
      <c r="C7" s="31" t="s">
        <v>37</v>
      </c>
      <c r="D7" s="12">
        <v>8529</v>
      </c>
      <c r="E7" s="9">
        <v>2282</v>
      </c>
      <c r="F7">
        <f t="shared" ref="F7:F10" si="0">SUM(G7,H7)</f>
        <v>17</v>
      </c>
      <c r="G7" s="9">
        <v>14</v>
      </c>
      <c r="H7" s="14">
        <v>3</v>
      </c>
      <c r="I7" s="41">
        <v>6</v>
      </c>
    </row>
    <row r="8" spans="1:9" x14ac:dyDescent="0.3">
      <c r="A8" s="23"/>
      <c r="B8" s="23"/>
      <c r="C8" s="31" t="s">
        <v>38</v>
      </c>
      <c r="D8" s="12">
        <v>368</v>
      </c>
      <c r="E8" s="9">
        <v>0</v>
      </c>
      <c r="F8">
        <f t="shared" si="0"/>
        <v>67</v>
      </c>
      <c r="G8" s="9">
        <v>64</v>
      </c>
      <c r="H8" s="9">
        <v>3</v>
      </c>
      <c r="I8" s="41">
        <v>0</v>
      </c>
    </row>
    <row r="9" spans="1:9" x14ac:dyDescent="0.3">
      <c r="A9" s="23"/>
      <c r="C9" s="31" t="s">
        <v>39</v>
      </c>
      <c r="D9" s="29">
        <v>397</v>
      </c>
      <c r="E9" s="14">
        <v>649</v>
      </c>
      <c r="F9">
        <f t="shared" si="0"/>
        <v>12</v>
      </c>
      <c r="G9" s="14">
        <v>11</v>
      </c>
      <c r="H9" s="14">
        <v>1</v>
      </c>
      <c r="I9" s="41">
        <v>4</v>
      </c>
    </row>
    <row r="10" spans="1:9" ht="17.25" thickBot="1" x14ac:dyDescent="0.35">
      <c r="A10" s="23"/>
      <c r="C10" s="32" t="s">
        <v>42</v>
      </c>
      <c r="D10" s="38">
        <v>239</v>
      </c>
      <c r="E10" s="39">
        <v>0</v>
      </c>
      <c r="F10">
        <f t="shared" si="0"/>
        <v>0</v>
      </c>
      <c r="G10" s="39">
        <v>0</v>
      </c>
      <c r="H10" s="39">
        <v>0</v>
      </c>
      <c r="I10" s="42">
        <v>0</v>
      </c>
    </row>
    <row r="11" spans="1:9" ht="17.25" thickBot="1" x14ac:dyDescent="0.35">
      <c r="A11" s="23"/>
      <c r="C11" s="33" t="s">
        <v>64</v>
      </c>
      <c r="D11" s="25">
        <f>SUM(D6:D10)</f>
        <v>22405</v>
      </c>
      <c r="E11" s="26">
        <f>SUM(E6:E10)</f>
        <v>4430</v>
      </c>
      <c r="F11" s="26">
        <f>SUM(F6:F10)</f>
        <v>106</v>
      </c>
      <c r="G11" s="26">
        <f>SUM(G6:G10)</f>
        <v>89</v>
      </c>
      <c r="H11" s="26">
        <f>SUM(H6:H10)</f>
        <v>17</v>
      </c>
      <c r="I11" s="34">
        <f>SUM(I6:I10)</f>
        <v>10</v>
      </c>
    </row>
    <row r="12" spans="1:9" x14ac:dyDescent="0.3">
      <c r="A12" s="23"/>
      <c r="C12" s="9" t="s">
        <v>45</v>
      </c>
      <c r="D12" s="9">
        <v>10.249313815187557</v>
      </c>
      <c r="E12" s="9">
        <v>1.0132662397072278</v>
      </c>
      <c r="G12" s="9">
        <v>19.449541284403672</v>
      </c>
      <c r="H12" s="9"/>
      <c r="I12" s="9">
        <v>1.1111111111111112</v>
      </c>
    </row>
    <row r="13" spans="1:9" x14ac:dyDescent="0.3">
      <c r="A13" s="23"/>
    </row>
    <row r="14" spans="1:9" x14ac:dyDescent="0.3">
      <c r="A14" s="23"/>
    </row>
    <row r="15" spans="1:9" ht="17.25" thickBot="1" x14ac:dyDescent="0.35">
      <c r="A15" s="23"/>
      <c r="B15" s="23"/>
    </row>
    <row r="16" spans="1:9" ht="17.25" thickBot="1" x14ac:dyDescent="0.35">
      <c r="A16" s="23"/>
      <c r="B16" s="23"/>
      <c r="C16" s="11" t="s">
        <v>35</v>
      </c>
      <c r="D16" s="25" t="s">
        <v>31</v>
      </c>
      <c r="E16" s="26" t="s">
        <v>32</v>
      </c>
      <c r="F16" s="13" t="s">
        <v>63</v>
      </c>
      <c r="G16" s="26" t="s">
        <v>40</v>
      </c>
      <c r="H16" s="27" t="s">
        <v>41</v>
      </c>
      <c r="I16" s="28" t="s">
        <v>33</v>
      </c>
    </row>
    <row r="17" spans="1:9" x14ac:dyDescent="0.3">
      <c r="A17" s="23"/>
      <c r="B17" s="23"/>
      <c r="C17" s="36" t="s">
        <v>36</v>
      </c>
      <c r="D17" s="37">
        <v>12870</v>
      </c>
      <c r="E17" s="24">
        <v>1499</v>
      </c>
      <c r="F17">
        <f>SUM(G17,H17)</f>
        <v>10</v>
      </c>
      <c r="G17" s="24">
        <v>0</v>
      </c>
      <c r="H17" s="24">
        <v>10</v>
      </c>
      <c r="I17" s="40">
        <v>0</v>
      </c>
    </row>
    <row r="18" spans="1:9" x14ac:dyDescent="0.3">
      <c r="A18" s="23"/>
      <c r="B18" s="23"/>
      <c r="C18" s="31" t="s">
        <v>37</v>
      </c>
      <c r="D18" s="29">
        <v>33494</v>
      </c>
      <c r="E18" s="14">
        <v>2434</v>
      </c>
      <c r="F18">
        <f t="shared" ref="F18:F21" si="1">SUM(G18,H18)</f>
        <v>49</v>
      </c>
      <c r="G18" s="14">
        <v>42</v>
      </c>
      <c r="H18" s="14">
        <v>7</v>
      </c>
      <c r="I18" s="41">
        <v>8</v>
      </c>
    </row>
    <row r="19" spans="1:9" x14ac:dyDescent="0.3">
      <c r="A19" s="23"/>
      <c r="B19" s="23"/>
      <c r="C19" s="31" t="s">
        <v>38</v>
      </c>
      <c r="D19" s="12">
        <v>512</v>
      </c>
      <c r="E19" s="9">
        <v>3</v>
      </c>
      <c r="F19">
        <f t="shared" si="1"/>
        <v>66</v>
      </c>
      <c r="G19" s="9">
        <v>64</v>
      </c>
      <c r="H19" s="14">
        <v>2</v>
      </c>
      <c r="I19" s="41">
        <v>0</v>
      </c>
    </row>
    <row r="20" spans="1:9" x14ac:dyDescent="0.3">
      <c r="A20" s="23"/>
      <c r="B20" s="23"/>
      <c r="C20" s="31" t="s">
        <v>39</v>
      </c>
      <c r="D20" s="29">
        <v>398</v>
      </c>
      <c r="E20" s="14">
        <v>649</v>
      </c>
      <c r="F20">
        <f t="shared" si="1"/>
        <v>12</v>
      </c>
      <c r="G20" s="14">
        <v>11</v>
      </c>
      <c r="H20" s="14">
        <v>1</v>
      </c>
      <c r="I20" s="41">
        <v>4</v>
      </c>
    </row>
    <row r="21" spans="1:9" ht="17.25" thickBot="1" x14ac:dyDescent="0.35">
      <c r="A21" s="23"/>
      <c r="B21" s="23"/>
      <c r="C21" s="32" t="s">
        <v>43</v>
      </c>
      <c r="D21" s="38">
        <v>2964</v>
      </c>
      <c r="E21" s="39">
        <v>0</v>
      </c>
      <c r="F21">
        <f t="shared" si="1"/>
        <v>0</v>
      </c>
      <c r="G21" s="39">
        <v>0</v>
      </c>
      <c r="H21" s="39">
        <v>0</v>
      </c>
      <c r="I21" s="42">
        <v>0</v>
      </c>
    </row>
    <row r="22" spans="1:9" ht="17.25" thickBot="1" x14ac:dyDescent="0.35">
      <c r="A22" s="23"/>
      <c r="B22" s="23"/>
      <c r="C22" s="35" t="s">
        <v>65</v>
      </c>
      <c r="D22" s="25">
        <f>SUM(D17:D21)</f>
        <v>50238</v>
      </c>
      <c r="E22" s="26">
        <f t="shared" ref="E22:H22" si="2">SUM(E17:E21)</f>
        <v>4585</v>
      </c>
      <c r="F22" s="26">
        <f t="shared" si="2"/>
        <v>137</v>
      </c>
      <c r="G22" s="26">
        <f>SUM(G17:G21)</f>
        <v>117</v>
      </c>
      <c r="H22" s="26">
        <f>SUM(H17:H21)</f>
        <v>20</v>
      </c>
      <c r="I22" s="34">
        <f>SUM(I17:I21)</f>
        <v>12</v>
      </c>
    </row>
    <row r="23" spans="1:9" x14ac:dyDescent="0.3">
      <c r="A23" s="23"/>
      <c r="B23" s="23"/>
      <c r="C23" s="9" t="s">
        <v>45</v>
      </c>
      <c r="D23" s="9">
        <v>22.981701738334859</v>
      </c>
      <c r="E23" s="9">
        <v>1.0487191216834402</v>
      </c>
      <c r="G23" s="9">
        <v>21.467889908256883</v>
      </c>
      <c r="H23" s="9"/>
      <c r="I23" s="9">
        <v>1.3333333333333335</v>
      </c>
    </row>
    <row r="24" spans="1:9" x14ac:dyDescent="0.3">
      <c r="A24" s="23"/>
      <c r="B24" s="23"/>
      <c r="C24" s="23"/>
      <c r="D24" s="23"/>
      <c r="E24" s="23"/>
      <c r="F24" s="23"/>
      <c r="G24" s="23"/>
    </row>
    <row r="25" spans="1:9" x14ac:dyDescent="0.3">
      <c r="A25" s="23"/>
      <c r="B25" s="23"/>
      <c r="C25" s="23"/>
      <c r="D25" s="23"/>
      <c r="E25" s="23"/>
      <c r="F25" s="23"/>
      <c r="G25" s="23"/>
    </row>
    <row r="26" spans="1:9" ht="17.25" thickBot="1" x14ac:dyDescent="0.35">
      <c r="A26" s="23"/>
      <c r="B26" s="23"/>
      <c r="C26" s="23"/>
      <c r="D26" s="23"/>
      <c r="E26" s="23"/>
      <c r="F26" s="23"/>
      <c r="G26" s="23"/>
    </row>
    <row r="27" spans="1:9" ht="17.25" thickBot="1" x14ac:dyDescent="0.35">
      <c r="D27" s="25" t="s">
        <v>31</v>
      </c>
      <c r="E27" s="26" t="s">
        <v>32</v>
      </c>
      <c r="F27" s="26" t="s">
        <v>40</v>
      </c>
      <c r="G27" s="28" t="s">
        <v>33</v>
      </c>
    </row>
    <row r="28" spans="1:9" ht="17.25" thickBot="1" x14ac:dyDescent="0.35">
      <c r="C28" s="11" t="s">
        <v>34</v>
      </c>
    </row>
    <row r="29" spans="1:9" ht="17.25" thickBot="1" x14ac:dyDescent="0.35">
      <c r="C29" s="11" t="s">
        <v>35</v>
      </c>
    </row>
    <row r="36" spans="3:8" x14ac:dyDescent="0.3">
      <c r="C36" s="9"/>
      <c r="D36" s="9" t="s">
        <v>47</v>
      </c>
      <c r="E36" s="9" t="s">
        <v>48</v>
      </c>
      <c r="F36" s="9" t="s">
        <v>49</v>
      </c>
      <c r="G36" s="9"/>
      <c r="H36" s="9" t="s">
        <v>50</v>
      </c>
    </row>
    <row r="37" spans="3:8" x14ac:dyDescent="0.3">
      <c r="C37" s="9" t="s">
        <v>46</v>
      </c>
      <c r="D37" s="9">
        <v>218600</v>
      </c>
      <c r="E37" s="9">
        <v>437200</v>
      </c>
      <c r="F37" s="9">
        <v>545</v>
      </c>
      <c r="G37" s="9"/>
      <c r="H37" s="9">
        <v>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Utilization Ratio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ECE</cp:lastModifiedBy>
  <dcterms:created xsi:type="dcterms:W3CDTF">2019-05-15T14:10:29Z</dcterms:created>
  <dcterms:modified xsi:type="dcterms:W3CDTF">2019-05-16T09:17:26Z</dcterms:modified>
</cp:coreProperties>
</file>