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ichael\Knowledge\Skills\Excel\Projects\DCF\Case Study - Otis\"/>
    </mc:Choice>
  </mc:AlternateContent>
  <xr:revisionPtr revIDLastSave="0" documentId="13_ncr:1_{DD223E94-A85C-443D-8D76-B3598A0F489F}" xr6:coauthVersionLast="47" xr6:coauthVersionMax="47" xr10:uidLastSave="{00000000-0000-0000-0000-000000000000}"/>
  <bookViews>
    <workbookView xWindow="14295" yWindow="0" windowWidth="14610" windowHeight="15585" tabRatio="851" activeTab="2" xr2:uid="{00000000-000D-0000-FFFF-FFFF00000000}"/>
  </bookViews>
  <sheets>
    <sheet name="Case" sheetId="8" r:id="rId1"/>
    <sheet name="Raw data" sheetId="9" r:id="rId2"/>
    <sheet name="Income Statement" sheetId="1" r:id="rId3"/>
    <sheet name="Balance Sheet" sheetId="2" r:id="rId4"/>
    <sheet name="Cash Flow" sheetId="3" r:id="rId5"/>
    <sheet name="Projec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45" i="10"/>
  <c r="D45" i="10"/>
  <c r="D58" i="10"/>
  <c r="C58" i="10"/>
  <c r="J58" i="10"/>
  <c r="I58" i="10"/>
  <c r="H58" i="10"/>
  <c r="G58" i="10"/>
  <c r="F58" i="10"/>
  <c r="E58" i="10"/>
  <c r="E21" i="2"/>
  <c r="D21" i="2"/>
  <c r="J54" i="10"/>
  <c r="I54" i="10"/>
  <c r="H54" i="10"/>
  <c r="G54" i="10"/>
  <c r="F54" i="10"/>
  <c r="J43" i="10"/>
  <c r="J14" i="3" s="1"/>
  <c r="I43" i="10"/>
  <c r="I14" i="3" s="1"/>
  <c r="H43" i="10"/>
  <c r="H14" i="3" s="1"/>
  <c r="G43" i="10"/>
  <c r="G14" i="3" s="1"/>
  <c r="F43" i="10"/>
  <c r="F14" i="3" s="1"/>
  <c r="E41" i="10"/>
  <c r="C41" i="10"/>
  <c r="E59" i="10"/>
  <c r="C59" i="10"/>
  <c r="E54" i="10"/>
  <c r="D32" i="10"/>
  <c r="E17" i="1"/>
  <c r="D17" i="1"/>
  <c r="C17" i="1"/>
  <c r="J14" i="10"/>
  <c r="I14" i="10"/>
  <c r="H14" i="10"/>
  <c r="G14" i="10"/>
  <c r="F14" i="10"/>
  <c r="I11" i="10"/>
  <c r="H11" i="10"/>
  <c r="G11" i="10"/>
  <c r="F11" i="10"/>
  <c r="I6" i="10"/>
  <c r="G6" i="10"/>
  <c r="F6" i="10"/>
  <c r="E11" i="10"/>
  <c r="J11" i="10"/>
  <c r="D11" i="10"/>
  <c r="J6" i="10"/>
  <c r="H6" i="10"/>
  <c r="D2" i="10"/>
  <c r="E2" i="10" s="1"/>
  <c r="F2" i="10" s="1"/>
  <c r="G2" i="10" s="1"/>
  <c r="H2" i="10" s="1"/>
  <c r="I2" i="10" s="1"/>
  <c r="J2" i="10" s="1"/>
  <c r="E25" i="3"/>
  <c r="D25" i="3"/>
  <c r="D59" i="10" s="1"/>
  <c r="C25" i="3"/>
  <c r="E18" i="3"/>
  <c r="D18" i="3"/>
  <c r="C18" i="3"/>
  <c r="E22" i="3"/>
  <c r="D22" i="3"/>
  <c r="C22" i="3"/>
  <c r="E21" i="3"/>
  <c r="E56" i="10" s="1"/>
  <c r="D21" i="3"/>
  <c r="D56" i="10" s="1"/>
  <c r="C21" i="3"/>
  <c r="C56" i="10" s="1"/>
  <c r="E20" i="3"/>
  <c r="D20" i="3"/>
  <c r="C20" i="3"/>
  <c r="E19" i="3"/>
  <c r="D19" i="3"/>
  <c r="D54" i="10" s="1"/>
  <c r="C19" i="3"/>
  <c r="E14" i="3"/>
  <c r="E43" i="10" s="1"/>
  <c r="D14" i="3"/>
  <c r="D43" i="10" s="1"/>
  <c r="C14" i="3"/>
  <c r="C43" i="10" s="1"/>
  <c r="E13" i="3"/>
  <c r="E39" i="10" s="1"/>
  <c r="D13" i="3"/>
  <c r="D39" i="10" s="1"/>
  <c r="C13" i="3"/>
  <c r="C39" i="10" s="1"/>
  <c r="E8" i="3"/>
  <c r="D8" i="3"/>
  <c r="D41" i="10" s="1"/>
  <c r="C8" i="3"/>
  <c r="E7" i="3"/>
  <c r="E40" i="10" s="1"/>
  <c r="D7" i="3"/>
  <c r="D40" i="10" s="1"/>
  <c r="C7" i="3"/>
  <c r="C40" i="10" s="1"/>
  <c r="E9" i="3"/>
  <c r="D9" i="3"/>
  <c r="C9" i="3"/>
  <c r="C6" i="3"/>
  <c r="D6" i="3"/>
  <c r="E6" i="3"/>
  <c r="E5" i="3"/>
  <c r="D5" i="3"/>
  <c r="C5" i="3"/>
  <c r="D2" i="2"/>
  <c r="E2" i="2" s="1"/>
  <c r="F2" i="2" s="1"/>
  <c r="G2" i="2" s="1"/>
  <c r="H2" i="2" s="1"/>
  <c r="I2" i="2" s="1"/>
  <c r="J2" i="2" s="1"/>
  <c r="D2" i="3"/>
  <c r="E2" i="3" s="1"/>
  <c r="F2" i="3" s="1"/>
  <c r="G2" i="3" s="1"/>
  <c r="H2" i="3" s="1"/>
  <c r="I2" i="3" s="1"/>
  <c r="J2" i="3" s="1"/>
  <c r="E28" i="2"/>
  <c r="D28" i="2"/>
  <c r="E27" i="2"/>
  <c r="D27" i="2"/>
  <c r="E18" i="2"/>
  <c r="E34" i="10" s="1"/>
  <c r="D18" i="2"/>
  <c r="D34" i="10" s="1"/>
  <c r="E17" i="2"/>
  <c r="E33" i="10" s="1"/>
  <c r="D17" i="2"/>
  <c r="D33" i="10" s="1"/>
  <c r="E16" i="2"/>
  <c r="E32" i="10" s="1"/>
  <c r="D16" i="2"/>
  <c r="E22" i="2"/>
  <c r="D22" i="2"/>
  <c r="E23" i="2"/>
  <c r="E35" i="10" s="1"/>
  <c r="D23" i="2"/>
  <c r="D35" i="10" s="1"/>
  <c r="E12" i="2"/>
  <c r="D12" i="2"/>
  <c r="E11" i="2"/>
  <c r="E30" i="10" s="1"/>
  <c r="D11" i="2"/>
  <c r="D30" i="10" s="1"/>
  <c r="E10" i="2"/>
  <c r="D10" i="2"/>
  <c r="E7" i="2"/>
  <c r="E29" i="10" s="1"/>
  <c r="D7" i="2"/>
  <c r="D29" i="10" s="1"/>
  <c r="E6" i="2"/>
  <c r="E28" i="10" s="1"/>
  <c r="D6" i="2"/>
  <c r="D28" i="10" s="1"/>
  <c r="E5" i="2"/>
  <c r="D5" i="2"/>
  <c r="E29" i="1"/>
  <c r="D29" i="1"/>
  <c r="C29" i="1"/>
  <c r="E26" i="1"/>
  <c r="D26" i="1"/>
  <c r="C26" i="1"/>
  <c r="E23" i="1"/>
  <c r="D23" i="1"/>
  <c r="C23" i="1"/>
  <c r="E22" i="1"/>
  <c r="J22" i="1" s="1"/>
  <c r="D22" i="1"/>
  <c r="C22" i="1"/>
  <c r="E19" i="1"/>
  <c r="J19" i="1" s="1"/>
  <c r="D19" i="1"/>
  <c r="C19" i="1"/>
  <c r="E11" i="1"/>
  <c r="D11" i="1"/>
  <c r="C11" i="1"/>
  <c r="E10" i="1"/>
  <c r="D10" i="1"/>
  <c r="D17" i="10" s="1"/>
  <c r="C10" i="1"/>
  <c r="E6" i="1"/>
  <c r="E13" i="10" s="1"/>
  <c r="D6" i="1"/>
  <c r="D13" i="10" s="1"/>
  <c r="C6" i="1"/>
  <c r="C13" i="10" s="1"/>
  <c r="E5" i="1"/>
  <c r="E5" i="10" s="1"/>
  <c r="D5" i="1"/>
  <c r="D5" i="10" s="1"/>
  <c r="C5" i="1"/>
  <c r="I56" i="10" l="1"/>
  <c r="H29" i="10"/>
  <c r="J28" i="10"/>
  <c r="J56" i="10"/>
  <c r="J41" i="10"/>
  <c r="G29" i="10"/>
  <c r="I32" i="10"/>
  <c r="H41" i="10"/>
  <c r="F59" i="10"/>
  <c r="J34" i="10"/>
  <c r="I34" i="10"/>
  <c r="H34" i="10"/>
  <c r="G34" i="10"/>
  <c r="F34" i="10"/>
  <c r="F35" i="10"/>
  <c r="J35" i="10"/>
  <c r="I35" i="10"/>
  <c r="H35" i="10"/>
  <c r="G35" i="10"/>
  <c r="J30" i="10"/>
  <c r="I30" i="10"/>
  <c r="H30" i="10"/>
  <c r="G30" i="10"/>
  <c r="F30" i="10"/>
  <c r="J33" i="10"/>
  <c r="I33" i="10"/>
  <c r="H33" i="10"/>
  <c r="F33" i="10"/>
  <c r="G33" i="10"/>
  <c r="J29" i="10"/>
  <c r="I29" i="10"/>
  <c r="F28" i="10"/>
  <c r="G28" i="10"/>
  <c r="H28" i="10"/>
  <c r="J32" i="10"/>
  <c r="I28" i="10"/>
  <c r="F32" i="10"/>
  <c r="G32" i="10"/>
  <c r="F29" i="10"/>
  <c r="H32" i="10"/>
  <c r="J40" i="10"/>
  <c r="I40" i="10"/>
  <c r="H40" i="10"/>
  <c r="G40" i="10"/>
  <c r="F40" i="10"/>
  <c r="J39" i="10"/>
  <c r="J59" i="10"/>
  <c r="F41" i="10"/>
  <c r="G41" i="10"/>
  <c r="I41" i="10"/>
  <c r="G59" i="10"/>
  <c r="H59" i="10"/>
  <c r="I59" i="10"/>
  <c r="F39" i="10"/>
  <c r="G39" i="10"/>
  <c r="H39" i="10"/>
  <c r="I39" i="10"/>
  <c r="F56" i="10"/>
  <c r="G56" i="10"/>
  <c r="H56" i="10"/>
  <c r="E17" i="10"/>
  <c r="D18" i="10"/>
  <c r="C17" i="10"/>
  <c r="D14" i="10"/>
  <c r="C18" i="10"/>
  <c r="E18" i="10"/>
  <c r="F22" i="1"/>
  <c r="G22" i="1"/>
  <c r="F19" i="1"/>
  <c r="H22" i="1"/>
  <c r="G19" i="1"/>
  <c r="I22" i="1"/>
  <c r="H19" i="1"/>
  <c r="E14" i="10"/>
  <c r="I19" i="1"/>
  <c r="C5" i="10"/>
  <c r="D6" i="10" s="1"/>
  <c r="F13" i="10"/>
  <c r="E6" i="10"/>
  <c r="F5" i="10"/>
  <c r="C23" i="3"/>
  <c r="D23" i="3"/>
  <c r="E23" i="3"/>
  <c r="D10" i="3"/>
  <c r="C15" i="3"/>
  <c r="E10" i="3"/>
  <c r="C10" i="3"/>
  <c r="D29" i="2"/>
  <c r="C7" i="1"/>
  <c r="C20" i="10" s="1"/>
  <c r="E29" i="2"/>
  <c r="D8" i="2"/>
  <c r="C27" i="3" l="1"/>
  <c r="H17" i="10"/>
  <c r="F17" i="10"/>
  <c r="I17" i="10"/>
  <c r="G17" i="10"/>
  <c r="J17" i="10"/>
  <c r="I18" i="10"/>
  <c r="G18" i="10"/>
  <c r="F18" i="10"/>
  <c r="H18" i="10"/>
  <c r="J18" i="10"/>
  <c r="G13" i="10"/>
  <c r="G5" i="10"/>
  <c r="F5" i="1"/>
  <c r="D2" i="1"/>
  <c r="E2" i="1" s="1"/>
  <c r="F2" i="1" s="1"/>
  <c r="G2" i="1" s="1"/>
  <c r="H2" i="1" s="1"/>
  <c r="I2" i="1" s="1"/>
  <c r="J2" i="1" s="1"/>
  <c r="E15" i="3"/>
  <c r="E27" i="3" s="1"/>
  <c r="D15" i="3"/>
  <c r="D27" i="3" s="1"/>
  <c r="F10" i="1" l="1"/>
  <c r="H13" i="10"/>
  <c r="H5" i="10"/>
  <c r="G5" i="1"/>
  <c r="C31" i="2"/>
  <c r="D19" i="2"/>
  <c r="D24" i="2" s="1"/>
  <c r="E19" i="2"/>
  <c r="E24" i="2" s="1"/>
  <c r="D13" i="2"/>
  <c r="E8" i="2"/>
  <c r="E13" i="2" s="1"/>
  <c r="E12" i="1"/>
  <c r="D12" i="1"/>
  <c r="C12" i="1"/>
  <c r="D7" i="1"/>
  <c r="D20" i="10" s="1"/>
  <c r="E7" i="1"/>
  <c r="E20" i="10" s="1"/>
  <c r="J20" i="10" l="1"/>
  <c r="H20" i="10"/>
  <c r="F20" i="10"/>
  <c r="G20" i="10"/>
  <c r="I20" i="10"/>
  <c r="G10" i="1"/>
  <c r="I13" i="10"/>
  <c r="I5" i="10"/>
  <c r="H5" i="1"/>
  <c r="D31" i="2"/>
  <c r="E31" i="2"/>
  <c r="D14" i="1"/>
  <c r="D15" i="1" s="1"/>
  <c r="E14" i="1"/>
  <c r="E15" i="1" s="1"/>
  <c r="C14" i="1"/>
  <c r="C15" i="1" s="1"/>
  <c r="H10" i="1" l="1"/>
  <c r="J13" i="10"/>
  <c r="J5" i="10"/>
  <c r="J5" i="1" s="1"/>
  <c r="I5" i="1"/>
  <c r="E20" i="1"/>
  <c r="E24" i="1" s="1"/>
  <c r="D20" i="1"/>
  <c r="D24" i="1" s="1"/>
  <c r="C20" i="1"/>
  <c r="C24" i="1" s="1"/>
  <c r="C22" i="10" s="1"/>
  <c r="J10" i="1" l="1"/>
  <c r="I10" i="1"/>
  <c r="D27" i="1"/>
  <c r="D22" i="10"/>
  <c r="E27" i="1"/>
  <c r="E22" i="10"/>
  <c r="C27" i="1"/>
  <c r="D30" i="1" l="1"/>
  <c r="D24" i="10"/>
  <c r="C30" i="1"/>
  <c r="C24" i="10"/>
  <c r="G22" i="10"/>
  <c r="F22" i="10"/>
  <c r="J22" i="10"/>
  <c r="I22" i="10"/>
  <c r="H22" i="10"/>
  <c r="E30" i="1"/>
  <c r="E24" i="10"/>
  <c r="J24" i="10" l="1"/>
  <c r="H24" i="10"/>
  <c r="G24" i="10"/>
  <c r="I24" i="10"/>
  <c r="F24" i="10"/>
  <c r="F10" i="10" l="1"/>
  <c r="G10" i="10" l="1"/>
  <c r="F6" i="1"/>
  <c r="F11" i="1" l="1"/>
  <c r="F12" i="1" s="1"/>
  <c r="F7" i="1"/>
  <c r="H10" i="10"/>
  <c r="G6" i="1"/>
  <c r="F6" i="2" l="1"/>
  <c r="F25" i="3"/>
  <c r="F8" i="3"/>
  <c r="F12" i="2" s="1"/>
  <c r="F13" i="3"/>
  <c r="F7" i="3"/>
  <c r="F16" i="2"/>
  <c r="F7" i="2"/>
  <c r="G11" i="1"/>
  <c r="G12" i="1" s="1"/>
  <c r="G7" i="1"/>
  <c r="I10" i="10"/>
  <c r="H6" i="1"/>
  <c r="F14" i="1"/>
  <c r="F17" i="1"/>
  <c r="F11" i="2" s="1"/>
  <c r="G6" i="2" l="1"/>
  <c r="G25" i="3"/>
  <c r="G13" i="3"/>
  <c r="G15" i="3" s="1"/>
  <c r="G8" i="3"/>
  <c r="G12" i="2" s="1"/>
  <c r="G7" i="3"/>
  <c r="F15" i="3"/>
  <c r="F10" i="2"/>
  <c r="G10" i="2" s="1"/>
  <c r="F18" i="2"/>
  <c r="G16" i="2"/>
  <c r="G7" i="2"/>
  <c r="F17" i="2"/>
  <c r="F23" i="2"/>
  <c r="F22" i="2"/>
  <c r="H11" i="1"/>
  <c r="H12" i="1" s="1"/>
  <c r="H7" i="1"/>
  <c r="J10" i="10"/>
  <c r="J6" i="1" s="1"/>
  <c r="I6" i="1"/>
  <c r="G17" i="1"/>
  <c r="G11" i="2" s="1"/>
  <c r="G14" i="1"/>
  <c r="F15" i="1"/>
  <c r="F20" i="1"/>
  <c r="F24" i="1" s="1"/>
  <c r="F26" i="1" s="1"/>
  <c r="F27" i="1" s="1"/>
  <c r="H6" i="2" l="1"/>
  <c r="H7" i="3"/>
  <c r="H8" i="3"/>
  <c r="H12" i="2" s="1"/>
  <c r="H13" i="3"/>
  <c r="H15" i="3" s="1"/>
  <c r="H25" i="3"/>
  <c r="F19" i="3"/>
  <c r="F29" i="1"/>
  <c r="F9" i="3"/>
  <c r="F19" i="2"/>
  <c r="G17" i="2"/>
  <c r="G22" i="2"/>
  <c r="G23" i="2"/>
  <c r="H7" i="2"/>
  <c r="H16" i="2"/>
  <c r="G18" i="2"/>
  <c r="I11" i="1"/>
  <c r="I12" i="1" s="1"/>
  <c r="I7" i="1"/>
  <c r="J11" i="1"/>
  <c r="J12" i="1" s="1"/>
  <c r="J7" i="1"/>
  <c r="G20" i="1"/>
  <c r="G15" i="1"/>
  <c r="H14" i="1"/>
  <c r="H17" i="1"/>
  <c r="H11" i="2" s="1"/>
  <c r="G9" i="3" l="1"/>
  <c r="F6" i="3"/>
  <c r="F21" i="3"/>
  <c r="F30" i="1"/>
  <c r="F5" i="3" s="1"/>
  <c r="J6" i="2"/>
  <c r="J8" i="3"/>
  <c r="J13" i="3"/>
  <c r="J15" i="3" s="1"/>
  <c r="J25" i="3"/>
  <c r="J7" i="3"/>
  <c r="I6" i="2"/>
  <c r="I7" i="3"/>
  <c r="I13" i="3"/>
  <c r="I15" i="3" s="1"/>
  <c r="I25" i="3"/>
  <c r="I8" i="3"/>
  <c r="I12" i="2" s="1"/>
  <c r="H10" i="2"/>
  <c r="H18" i="2"/>
  <c r="H23" i="2"/>
  <c r="H17" i="2"/>
  <c r="G19" i="2"/>
  <c r="J7" i="2"/>
  <c r="J16" i="2"/>
  <c r="I16" i="2"/>
  <c r="I7" i="2"/>
  <c r="H22" i="2"/>
  <c r="H15" i="1"/>
  <c r="H20" i="1"/>
  <c r="I14" i="1"/>
  <c r="I17" i="1"/>
  <c r="I11" i="2" s="1"/>
  <c r="J14" i="1"/>
  <c r="J17" i="1"/>
  <c r="J11" i="2" s="1"/>
  <c r="H9" i="3" l="1"/>
  <c r="F10" i="3"/>
  <c r="I10" i="2"/>
  <c r="J10" i="2" s="1"/>
  <c r="F28" i="2"/>
  <c r="J12" i="2"/>
  <c r="H19" i="2"/>
  <c r="J18" i="2"/>
  <c r="J23" i="2"/>
  <c r="I18" i="2"/>
  <c r="J17" i="2"/>
  <c r="I17" i="2"/>
  <c r="I23" i="2"/>
  <c r="I22" i="2"/>
  <c r="J15" i="1"/>
  <c r="J20" i="1"/>
  <c r="I15" i="1"/>
  <c r="I20" i="1"/>
  <c r="I9" i="3" l="1"/>
  <c r="F47" i="10"/>
  <c r="I19" i="2"/>
  <c r="J19" i="2"/>
  <c r="J22" i="2"/>
  <c r="F55" i="10" l="1"/>
  <c r="F20" i="3" s="1"/>
  <c r="F52" i="10"/>
  <c r="F18" i="3" s="1"/>
  <c r="J9" i="3"/>
  <c r="F22" i="3" l="1"/>
  <c r="F27" i="2" s="1"/>
  <c r="F29" i="2" s="1"/>
  <c r="F21" i="2"/>
  <c r="F24" i="2" l="1"/>
  <c r="G23" i="1"/>
  <c r="G24" i="1" s="1"/>
  <c r="G26" i="1" s="1"/>
  <c r="G27" i="1" s="1"/>
  <c r="F23" i="3"/>
  <c r="F27" i="3" s="1"/>
  <c r="F5" i="2" s="1"/>
  <c r="G29" i="1" l="1"/>
  <c r="G19" i="3"/>
  <c r="F8" i="2"/>
  <c r="F13" i="2" s="1"/>
  <c r="F31" i="2" s="1"/>
  <c r="G6" i="3" l="1"/>
  <c r="G21" i="3"/>
  <c r="G30" i="1"/>
  <c r="G5" i="3" s="1"/>
  <c r="G10" i="3" s="1"/>
  <c r="G47" i="10" s="1"/>
  <c r="G55" i="10" s="1"/>
  <c r="G20" i="3" s="1"/>
  <c r="G52" i="10" l="1"/>
  <c r="G18" i="3" s="1"/>
  <c r="G28" i="2"/>
  <c r="G22" i="3"/>
  <c r="G27" i="2" s="1"/>
  <c r="G29" i="2" s="1"/>
  <c r="G21" i="2"/>
  <c r="H23" i="1" s="1"/>
  <c r="H24" i="1" s="1"/>
  <c r="H26" i="1" s="1"/>
  <c r="H27" i="1" s="1"/>
  <c r="H29" i="1" l="1"/>
  <c r="H19" i="3"/>
  <c r="H30" i="1"/>
  <c r="H5" i="3" s="1"/>
  <c r="G23" i="3"/>
  <c r="G27" i="3" s="1"/>
  <c r="G5" i="2" s="1"/>
  <c r="G24" i="2"/>
  <c r="H6" i="3" l="1"/>
  <c r="H21" i="3"/>
  <c r="G8" i="2"/>
  <c r="G13" i="2" s="1"/>
  <c r="G31" i="2" s="1"/>
  <c r="H28" i="2" l="1"/>
  <c r="H10" i="3"/>
  <c r="H47" i="10" s="1"/>
  <c r="H55" i="10" l="1"/>
  <c r="H20" i="3" s="1"/>
  <c r="H52" i="10"/>
  <c r="H18" i="3" s="1"/>
  <c r="H21" i="2" l="1"/>
  <c r="H22" i="3"/>
  <c r="H27" i="2" s="1"/>
  <c r="H29" i="2" s="1"/>
  <c r="H23" i="3"/>
  <c r="H27" i="3" s="1"/>
  <c r="H5" i="2" s="1"/>
  <c r="H8" i="2" s="1"/>
  <c r="H13" i="2" s="1"/>
  <c r="I23" i="1" l="1"/>
  <c r="I24" i="1" s="1"/>
  <c r="I26" i="1" s="1"/>
  <c r="I27" i="1" s="1"/>
  <c r="H24" i="2"/>
  <c r="H31" i="2" s="1"/>
  <c r="I29" i="1" l="1"/>
  <c r="I19" i="3"/>
  <c r="I30" i="1"/>
  <c r="I5" i="3" s="1"/>
  <c r="I10" i="3" l="1"/>
  <c r="I47" i="10" s="1"/>
  <c r="I6" i="3"/>
  <c r="I28" i="2" s="1"/>
  <c r="I21" i="3"/>
  <c r="I52" i="10" l="1"/>
  <c r="I18" i="3" s="1"/>
  <c r="I55" i="10"/>
  <c r="I20" i="3" s="1"/>
  <c r="I22" i="3" l="1"/>
  <c r="I27" i="2" s="1"/>
  <c r="I29" i="2" s="1"/>
  <c r="I21" i="2"/>
  <c r="I23" i="3"/>
  <c r="I27" i="3" s="1"/>
  <c r="I5" i="2" s="1"/>
  <c r="I8" i="2" l="1"/>
  <c r="I13" i="2" s="1"/>
  <c r="I31" i="2" s="1"/>
  <c r="J23" i="1"/>
  <c r="J24" i="1" s="1"/>
  <c r="J26" i="1" s="1"/>
  <c r="J27" i="1" s="1"/>
  <c r="I24" i="2"/>
  <c r="J19" i="3" l="1"/>
  <c r="J29" i="1"/>
  <c r="J30" i="1"/>
  <c r="J5" i="3" s="1"/>
  <c r="J6" i="3" l="1"/>
  <c r="J28" i="2" s="1"/>
  <c r="J21" i="3"/>
  <c r="J10" i="3"/>
  <c r="J47" i="10" s="1"/>
  <c r="J55" i="10" l="1"/>
  <c r="J20" i="3" s="1"/>
  <c r="J52" i="10"/>
  <c r="J18" i="3" s="1"/>
  <c r="J22" i="3" l="1"/>
  <c r="J27" i="2" s="1"/>
  <c r="J29" i="2" s="1"/>
  <c r="J23" i="3"/>
  <c r="J27" i="3" s="1"/>
  <c r="J5" i="2" s="1"/>
  <c r="J8" i="2" s="1"/>
  <c r="J13" i="2" s="1"/>
  <c r="J21" i="2"/>
  <c r="J24" i="2" s="1"/>
  <c r="J31" i="2" l="1"/>
</calcChain>
</file>

<file path=xl/sharedStrings.xml><?xml version="1.0" encoding="utf-8"?>
<sst xmlns="http://schemas.openxmlformats.org/spreadsheetml/2006/main" count="245" uniqueCount="186">
  <si>
    <t>Otis</t>
  </si>
  <si>
    <t>Revenue</t>
  </si>
  <si>
    <t>Income Statement</t>
  </si>
  <si>
    <t>COGS</t>
  </si>
  <si>
    <t>Taxes</t>
  </si>
  <si>
    <t>Net Income</t>
  </si>
  <si>
    <t>Assets</t>
  </si>
  <si>
    <t>Liabilities</t>
  </si>
  <si>
    <t>Equity</t>
  </si>
  <si>
    <t>Operating Activities</t>
  </si>
  <si>
    <t>Investing Activities</t>
  </si>
  <si>
    <t>Financing Activities</t>
  </si>
  <si>
    <t>Product sales</t>
  </si>
  <si>
    <t>Service sales</t>
  </si>
  <si>
    <t>Total Sales</t>
  </si>
  <si>
    <t>Total COGS</t>
  </si>
  <si>
    <t>Cost of products sold</t>
  </si>
  <si>
    <t>Cost of services sold</t>
  </si>
  <si>
    <t>Research and development</t>
  </si>
  <si>
    <t>Selling, general and administrative</t>
  </si>
  <si>
    <t>Total OPEX</t>
  </si>
  <si>
    <t>Gross Margin</t>
  </si>
  <si>
    <t>Other (Non-operating)</t>
  </si>
  <si>
    <t>Non-service pension cost (benefit)</t>
  </si>
  <si>
    <t>Less: Noncontrolling interest</t>
  </si>
  <si>
    <t>Net income attributable to Otis Worldwide Corporation</t>
  </si>
  <si>
    <t>Cash and cash equivalents</t>
  </si>
  <si>
    <t>Restricted cash</t>
  </si>
  <si>
    <t>Accounts receivable (net of allowance for expected credit losses of $175 and $161)</t>
  </si>
  <si>
    <t>Contract assets</t>
  </si>
  <si>
    <t>Inventories, net</t>
  </si>
  <si>
    <t>Other current assets</t>
  </si>
  <si>
    <t>Total Current Assets</t>
  </si>
  <si>
    <t>Future income tax benefits</t>
  </si>
  <si>
    <t>Fixed assets, net</t>
  </si>
  <si>
    <t>Operating lease right-of-use assets</t>
  </si>
  <si>
    <t>Intangible assets, net</t>
  </si>
  <si>
    <t>Goodwill</t>
  </si>
  <si>
    <t>Other assets</t>
  </si>
  <si>
    <t>Total Assets</t>
  </si>
  <si>
    <t>Short-term borrowings</t>
  </si>
  <si>
    <t>Accounts payable</t>
  </si>
  <si>
    <t>Accrued liabilities</t>
  </si>
  <si>
    <t>Contract liabilities</t>
  </si>
  <si>
    <t>Total Current Liabilities</t>
  </si>
  <si>
    <t>Long-term debt</t>
  </si>
  <si>
    <t>Future pension and postretirement benefit obligations</t>
  </si>
  <si>
    <t>Operating lease liabilities</t>
  </si>
  <si>
    <t>Future income tax obligations</t>
  </si>
  <si>
    <t>Other long-term liabilities</t>
  </si>
  <si>
    <t>Total Liabilities</t>
  </si>
  <si>
    <t>Redeemable noncontrolling interest</t>
  </si>
  <si>
    <t>Common Stock and additional paid-in-capital</t>
  </si>
  <si>
    <t>Treasury Stock</t>
  </si>
  <si>
    <t>Accumulated deficit</t>
  </si>
  <si>
    <t>Accumulated other comprehensive income (loss)</t>
  </si>
  <si>
    <t>Total Shareholders' (Deficit) Equity</t>
  </si>
  <si>
    <t>Noncontrolling interest</t>
  </si>
  <si>
    <t>Balance Check</t>
  </si>
  <si>
    <t>—</t>
  </si>
  <si>
    <t>Total (Deficit) Equity</t>
  </si>
  <si>
    <t>Accounts receivable, net</t>
  </si>
  <si>
    <t>Contract assets and liabilities, current</t>
  </si>
  <si>
    <t>Pension contributions</t>
  </si>
  <si>
    <t>Other operating activities, net</t>
  </si>
  <si>
    <t>Adjustments to reconcile net income to net cash flows provided by operating activities, net of acquisitions:</t>
  </si>
  <si>
    <t>Depreciation and amortization</t>
  </si>
  <si>
    <t>Deferred income tax expense (benefit)</t>
  </si>
  <si>
    <t>Stock compensation cost</t>
  </si>
  <si>
    <t>Losses on fixed asset impairment or disposal of business</t>
  </si>
  <si>
    <t>Capital expenditures</t>
  </si>
  <si>
    <t>Investments in businesses and intangible assets, net of cash acquired (Note 9)</t>
  </si>
  <si>
    <t>Proceeds from sale of (investments in) equity securities</t>
  </si>
  <si>
    <t>Receipts (payments) on settlements of derivative contracts</t>
  </si>
  <si>
    <t>Other investing activities, net</t>
  </si>
  <si>
    <t>Effect of foreign exchange rate changes on cash and cash equivalents</t>
  </si>
  <si>
    <t>Net increase in cash and cash equivalents</t>
  </si>
  <si>
    <t>Cash, cash equivalents and restricted cash, beginning of year</t>
  </si>
  <si>
    <t>Cash, cash equivalents and restricted cash, end of year</t>
  </si>
  <si>
    <t>Less: Restricted cash</t>
  </si>
  <si>
    <t>Cash and cash equivalents, end of period</t>
  </si>
  <si>
    <t>Supplemental cash flow information:</t>
  </si>
  <si>
    <t>Interest paid (including related party interest of $0, $0 and $18)</t>
  </si>
  <si>
    <t>Income taxes paid, net of (refunds) (including related party of $0, $(15) and $255)</t>
  </si>
  <si>
    <t>Net proceeds from (repayments of) borrowings (maturities of 90 days or less)</t>
  </si>
  <si>
    <t>Proceeds from borrowings (maturities longer than 90 days)</t>
  </si>
  <si>
    <t>Repayments of borrowings (maturities longer than 90 days)</t>
  </si>
  <si>
    <t>Proceeds from issuance of long-term debt</t>
  </si>
  <si>
    <t>Payment of debt issuance costs</t>
  </si>
  <si>
    <t>Repayment of long-term debt</t>
  </si>
  <si>
    <t>Dividends paid on Common Stock</t>
  </si>
  <si>
    <t>Repurchases of Common Stock</t>
  </si>
  <si>
    <t>Dividends paid to noncontrolling interest</t>
  </si>
  <si>
    <t>Net transfers to UTC</t>
  </si>
  <si>
    <t>Other financing activities, net</t>
  </si>
  <si>
    <t>Net cash flows provided by (used in) financing activities</t>
  </si>
  <si>
    <t>Net Cash Flow</t>
  </si>
  <si>
    <t>Net cash flows by (used in) investing activities</t>
  </si>
  <si>
    <t>Net cash flows by (used in) operating activities</t>
  </si>
  <si>
    <t>Net income before taxes</t>
  </si>
  <si>
    <t>Operating profit</t>
  </si>
  <si>
    <t>Interest expense (income)</t>
  </si>
  <si>
    <t>CONSOLIDATED STATEMENTS OF OPERATIONS</t>
  </si>
  <si>
    <t>(dollars in millions, except per share amounts)</t>
  </si>
  <si>
    <t>2021</t>
  </si>
  <si>
    <t>2020</t>
  </si>
  <si>
    <t>2019</t>
  </si>
  <si>
    <t>Net sales:</t>
  </si>
  <si>
    <t>Costs and expenses:</t>
  </si>
  <si>
    <t>Other income (expense), net</t>
  </si>
  <si>
    <t>Interest expense (income), net</t>
  </si>
  <si>
    <t>Net income before income taxes</t>
  </si>
  <si>
    <t>Income tax expense</t>
  </si>
  <si>
    <t>Net income</t>
  </si>
  <si>
    <t>Less: Noncontrolling interest in subsidiaries' earnings</t>
  </si>
  <si>
    <t>Earnings per share (Note 3):</t>
  </si>
  <si>
    <t>Basic</t>
  </si>
  <si>
    <t>Diluted</t>
  </si>
  <si>
    <t>Weighted average number of shares outstanding</t>
  </si>
  <si>
    <t>Basic shares</t>
  </si>
  <si>
    <t>Diluted shares</t>
  </si>
  <si>
    <t>CONSOLIDATED BALANCE SHEETS</t>
  </si>
  <si>
    <t>(dollars in millions)</t>
  </si>
  <si>
    <t>Liabilities and (Deficit) Equity</t>
  </si>
  <si>
    <t>Commitments and contingent liabilities (Note 22)</t>
  </si>
  <si>
    <t>Shareholders' (Deficit) Equity:</t>
  </si>
  <si>
    <t>Total Liabilities and (Deficit) Equity</t>
  </si>
  <si>
    <t>Inventory &amp; Other</t>
  </si>
  <si>
    <t>Net PP&amp;E, Goodwill &amp; Intangibles</t>
  </si>
  <si>
    <t>CONSOLIDATED STATEMENTS OF CASH FLOWS</t>
  </si>
  <si>
    <t>Operating Activities:</t>
  </si>
  <si>
    <t>Change in:</t>
  </si>
  <si>
    <t>Net cash flows provided by operating activities</t>
  </si>
  <si>
    <t>Investing Activities:</t>
  </si>
  <si>
    <t>Net cash flows used in investing activities</t>
  </si>
  <si>
    <t>Financing Activities:</t>
  </si>
  <si>
    <t>(+/-) Reversal of NCI Net income</t>
  </si>
  <si>
    <t>(+) D&amp;A</t>
  </si>
  <si>
    <t>(+/-) Pensions/Other Items</t>
  </si>
  <si>
    <t>(+/-) Change in WC &amp; Leases</t>
  </si>
  <si>
    <t>(-) CapEx</t>
  </si>
  <si>
    <t>(+/-) Other Items</t>
  </si>
  <si>
    <t>(+/-) Change in Debt</t>
  </si>
  <si>
    <t>(-) Repurchase of common stock</t>
  </si>
  <si>
    <t>(-) Dividends paid on Common Stock</t>
  </si>
  <si>
    <t>(-) Dividends paid to noncontrolling interest</t>
  </si>
  <si>
    <t>Balance Sheet</t>
  </si>
  <si>
    <t>Cash Flow Statement</t>
  </si>
  <si>
    <t>FX rate effect on cash and cash equivalents</t>
  </si>
  <si>
    <t>Service Units</t>
  </si>
  <si>
    <t>Growth Rate</t>
  </si>
  <si>
    <t>New Equipment Market Share</t>
  </si>
  <si>
    <t>New Equipment Market Size</t>
  </si>
  <si>
    <t>Revenue per Service Unit</t>
  </si>
  <si>
    <t>Service Units (millions)</t>
  </si>
  <si>
    <t>Publicly available case created by breakingintowallstreet.com</t>
  </si>
  <si>
    <t>New Equipment</t>
  </si>
  <si>
    <t>Tax Rate</t>
  </si>
  <si>
    <t>NCI Net Income % of Total</t>
  </si>
  <si>
    <t>COGS (% of Sales)</t>
  </si>
  <si>
    <t>OPEX (% of Sales)</t>
  </si>
  <si>
    <t>Projections</t>
  </si>
  <si>
    <t>Accounts receivable (% Sales)</t>
  </si>
  <si>
    <t>Inventory &amp; Other (% COGS)</t>
  </si>
  <si>
    <t>Operating lease right-of-use assets (% OPEX)</t>
  </si>
  <si>
    <t>Accounts payable (% COGS)</t>
  </si>
  <si>
    <t>Accrued liabilities (% Total Expenses)</t>
  </si>
  <si>
    <t>Contract liabilities (% Total Expenses)</t>
  </si>
  <si>
    <t>Other liabilities (% Total Expenses)</t>
  </si>
  <si>
    <t>CapEx (% Revenue)</t>
  </si>
  <si>
    <t>D&amp;A (% Revenue)</t>
  </si>
  <si>
    <t>Common Dividends (% Net Income)</t>
  </si>
  <si>
    <t>Acquisitions &amp; Other</t>
  </si>
  <si>
    <t>Change in Debt</t>
  </si>
  <si>
    <t>Stock Repurchases</t>
  </si>
  <si>
    <t>Dividends to NCI (% NCI Net Income)</t>
  </si>
  <si>
    <t>FX Rate Effects (% Revenue)</t>
  </si>
  <si>
    <t>-</t>
  </si>
  <si>
    <t>Pensions/Other Items (% Revenue)</t>
  </si>
  <si>
    <t>(+/-) Acquisitions &amp; Other Items</t>
  </si>
  <si>
    <t>Total Debt</t>
  </si>
  <si>
    <t>Excess Cash Flow</t>
  </si>
  <si>
    <t>% Stock Repurchase</t>
  </si>
  <si>
    <t>% Debt Repayment</t>
  </si>
  <si>
    <t>Other Items (% Debt Issuances)</t>
  </si>
  <si>
    <t>Interest expense (% Debt)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</si>
</sst>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_ ;_ * \(#,##0.00\)_ ;_ * &quot;-&quot;??_)_ ;_ @_ "/>
    <numFmt numFmtId="164" formatCode="_(\$* #,##0_);_(\$* \(#,##0\);_(\$* \-_);_(@_)"/>
    <numFmt numFmtId="165" formatCode="\(#,##0_);[Red]\(#,##0\)"/>
    <numFmt numFmtId="166" formatCode="0.0%"/>
    <numFmt numFmtId="167" formatCode="_ * #,##0_)_ ;_ * \(#,##0\)_ ;_ * &quot;-&quot;??_)_ ;_ @_ "/>
    <numFmt numFmtId="168" formatCode="[$$-409]#,##0_);\([$$-409]#,##0\)"/>
    <numFmt numFmtId="169" formatCode="&quot;FY&quot;\ yy"/>
    <numFmt numFmtId="170" formatCode="_(\$* #,##0.00_);_(\$* \(#,##0.00\);_(\$* \-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i/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653FE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9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3" fontId="4" fillId="0" borderId="0" xfId="3" applyNumberFormat="1"/>
    <xf numFmtId="0" fontId="4" fillId="0" borderId="0" xfId="3"/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5" fillId="0" borderId="0" xfId="0" applyNumberFormat="1" applyFont="1"/>
    <xf numFmtId="167" fontId="0" fillId="0" borderId="0" xfId="0" applyNumberFormat="1"/>
    <xf numFmtId="165" fontId="0" fillId="0" borderId="0" xfId="0" applyNumberFormat="1"/>
    <xf numFmtId="168" fontId="8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9" fillId="0" borderId="0" xfId="0" applyFont="1"/>
    <xf numFmtId="37" fontId="2" fillId="0" borderId="0" xfId="1" applyNumberFormat="1" applyFont="1" applyAlignment="1">
      <alignment horizontal="center"/>
    </xf>
    <xf numFmtId="37" fontId="1" fillId="0" borderId="0" xfId="1" applyNumberFormat="1" applyFont="1" applyAlignment="1">
      <alignment horizontal="center"/>
    </xf>
    <xf numFmtId="164" fontId="4" fillId="0" borderId="0" xfId="3" applyNumberFormat="1"/>
    <xf numFmtId="164" fontId="2" fillId="0" borderId="1" xfId="0" applyNumberFormat="1" applyFont="1" applyBorder="1"/>
    <xf numFmtId="164" fontId="2" fillId="0" borderId="2" xfId="0" applyNumberFormat="1" applyFont="1" applyBorder="1"/>
    <xf numFmtId="166" fontId="7" fillId="0" borderId="0" xfId="2" applyNumberFormat="1" applyFont="1" applyAlignment="1"/>
    <xf numFmtId="164" fontId="8" fillId="0" borderId="2" xfId="3" applyNumberFormat="1" applyFont="1" applyBorder="1"/>
    <xf numFmtId="164" fontId="2" fillId="0" borderId="3" xfId="0" applyNumberFormat="1" applyFont="1" applyBorder="1"/>
    <xf numFmtId="0" fontId="10" fillId="0" borderId="0" xfId="0" applyFont="1"/>
    <xf numFmtId="170" fontId="5" fillId="0" borderId="0" xfId="0" applyNumberFormat="1" applyFont="1"/>
    <xf numFmtId="170" fontId="0" fillId="0" borderId="0" xfId="0" applyNumberFormat="1"/>
    <xf numFmtId="4" fontId="5" fillId="0" borderId="0" xfId="0" applyNumberFormat="1" applyFont="1"/>
    <xf numFmtId="4" fontId="0" fillId="0" borderId="0" xfId="0" applyNumberFormat="1"/>
    <xf numFmtId="0" fontId="0" fillId="0" borderId="0" xfId="0" applyAlignment="1">
      <alignment horizontal="left" indent="1"/>
    </xf>
    <xf numFmtId="168" fontId="8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5" fillId="4" borderId="0" xfId="0" applyFont="1" applyFill="1"/>
    <xf numFmtId="3" fontId="0" fillId="0" borderId="0" xfId="0" applyNumberFormat="1" applyAlignment="1"/>
    <xf numFmtId="0" fontId="0" fillId="0" borderId="0" xfId="0" applyAlignment="1"/>
    <xf numFmtId="3" fontId="5" fillId="0" borderId="0" xfId="0" applyNumberFormat="1" applyFont="1" applyAlignment="1"/>
    <xf numFmtId="164" fontId="5" fillId="0" borderId="0" xfId="0" applyNumberFormat="1" applyFont="1" applyAlignment="1"/>
    <xf numFmtId="164" fontId="0" fillId="0" borderId="0" xfId="0" applyNumberFormat="1" applyAlignment="1"/>
    <xf numFmtId="0" fontId="6" fillId="0" borderId="0" xfId="0" applyFont="1" applyAlignment="1"/>
    <xf numFmtId="165" fontId="0" fillId="0" borderId="0" xfId="0" applyNumberFormat="1" applyAlignment="1"/>
    <xf numFmtId="165" fontId="5" fillId="0" borderId="0" xfId="0" applyNumberFormat="1" applyFont="1" applyAlignment="1"/>
    <xf numFmtId="0" fontId="5" fillId="0" borderId="0" xfId="0" applyFont="1" applyAlignment="1"/>
    <xf numFmtId="0" fontId="10" fillId="0" borderId="0" xfId="0" applyFont="1" applyAlignment="1"/>
    <xf numFmtId="0" fontId="5" fillId="4" borderId="0" xfId="0" applyFont="1" applyFill="1" applyAlignment="1"/>
    <xf numFmtId="169" fontId="2" fillId="0" borderId="0" xfId="0" applyNumberFormat="1" applyFont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0" fontId="0" fillId="0" borderId="0" xfId="0" applyAlignment="1">
      <alignment horizontal="left" indent="2"/>
    </xf>
    <xf numFmtId="37" fontId="2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/>
    <xf numFmtId="0" fontId="2" fillId="0" borderId="4" xfId="0" applyFont="1" applyBorder="1"/>
    <xf numFmtId="169" fontId="2" fillId="0" borderId="4" xfId="0" applyNumberFormat="1" applyFont="1" applyBorder="1" applyAlignment="1">
      <alignment horizontal="center"/>
    </xf>
    <xf numFmtId="169" fontId="2" fillId="5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6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164" fontId="2" fillId="0" borderId="0" xfId="0" applyNumberFormat="1" applyFont="1" applyBorder="1"/>
    <xf numFmtId="37" fontId="0" fillId="0" borderId="0" xfId="0" applyNumberFormat="1" applyAlignment="1">
      <alignment horizontal="center"/>
    </xf>
    <xf numFmtId="37" fontId="12" fillId="0" borderId="0" xfId="0" applyNumberFormat="1" applyFont="1" applyAlignment="1">
      <alignment horizontal="center"/>
    </xf>
    <xf numFmtId="164" fontId="4" fillId="3" borderId="0" xfId="3" applyNumberFormat="1" applyFill="1"/>
    <xf numFmtId="164" fontId="2" fillId="3" borderId="1" xfId="0" applyNumberFormat="1" applyFont="1" applyFill="1" applyBorder="1"/>
    <xf numFmtId="0" fontId="0" fillId="3" borderId="0" xfId="0" applyFill="1"/>
    <xf numFmtId="3" fontId="4" fillId="3" borderId="0" xfId="3" applyNumberForma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3" borderId="0" xfId="3" applyFill="1"/>
    <xf numFmtId="164" fontId="2" fillId="3" borderId="2" xfId="0" applyNumberFormat="1" applyFont="1" applyFill="1" applyBorder="1"/>
    <xf numFmtId="166" fontId="7" fillId="3" borderId="0" xfId="2" applyNumberFormat="1" applyFont="1" applyFill="1" applyAlignment="1"/>
    <xf numFmtId="164" fontId="2" fillId="3" borderId="0" xfId="0" applyNumberFormat="1" applyFont="1" applyFill="1" applyBorder="1"/>
    <xf numFmtId="164" fontId="8" fillId="3" borderId="2" xfId="3" applyNumberFormat="1" applyFont="1" applyFill="1" applyBorder="1"/>
    <xf numFmtId="164" fontId="0" fillId="3" borderId="0" xfId="0" applyNumberFormat="1" applyFill="1"/>
    <xf numFmtId="164" fontId="2" fillId="3" borderId="3" xfId="0" applyNumberFormat="1" applyFont="1" applyFill="1" applyBorder="1"/>
    <xf numFmtId="168" fontId="0" fillId="3" borderId="0" xfId="0" applyNumberFormat="1" applyFill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3" fontId="5" fillId="3" borderId="0" xfId="0" applyNumberFormat="1" applyFont="1" applyFill="1"/>
    <xf numFmtId="3" fontId="0" fillId="3" borderId="0" xfId="0" applyNumberFormat="1" applyFill="1"/>
    <xf numFmtId="168" fontId="8" fillId="3" borderId="0" xfId="0" applyNumberFormat="1" applyFont="1" applyFill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5" fontId="0" fillId="3" borderId="0" xfId="0" applyNumberFormat="1" applyFill="1"/>
    <xf numFmtId="167" fontId="0" fillId="3" borderId="0" xfId="0" applyNumberFormat="1" applyFill="1"/>
    <xf numFmtId="37" fontId="2" fillId="3" borderId="0" xfId="1" applyNumberFormat="1" applyFont="1" applyFill="1" applyAlignment="1">
      <alignment horizontal="center"/>
    </xf>
    <xf numFmtId="37" fontId="1" fillId="3" borderId="0" xfId="1" applyNumberFormat="1" applyFont="1" applyFill="1" applyAlignment="1">
      <alignment horizontal="center"/>
    </xf>
    <xf numFmtId="37" fontId="2" fillId="3" borderId="1" xfId="1" applyNumberFormat="1" applyFont="1" applyFill="1" applyBorder="1" applyAlignment="1">
      <alignment horizontal="center"/>
    </xf>
    <xf numFmtId="37" fontId="8" fillId="3" borderId="1" xfId="1" applyNumberFormat="1" applyFont="1" applyFill="1" applyBorder="1" applyAlignment="1">
      <alignment horizontal="center"/>
    </xf>
    <xf numFmtId="37" fontId="8" fillId="3" borderId="0" xfId="1" applyNumberFormat="1" applyFont="1" applyFill="1" applyBorder="1" applyAlignment="1">
      <alignment horizontal="center"/>
    </xf>
    <xf numFmtId="37" fontId="1" fillId="0" borderId="0" xfId="1" applyNumberFormat="1" applyFont="1" applyFill="1" applyAlignment="1">
      <alignment horizontal="center"/>
    </xf>
    <xf numFmtId="166" fontId="11" fillId="0" borderId="0" xfId="0" applyNumberFormat="1" applyFont="1" applyAlignment="1">
      <alignment horizontal="center"/>
    </xf>
  </cellXfs>
  <cellStyles count="4">
    <cellStyle name="Comma" xfId="1" builtinId="3"/>
    <cellStyle name="Normal" xfId="0" builtinId="0"/>
    <cellStyle name="Normal 2" xfId="3" xr:uid="{3734485B-D2E5-49A4-8E9F-881712F6A0E9}"/>
    <cellStyle name="Percent" xfId="2" builtinId="5"/>
  </cellStyles>
  <dxfs count="0"/>
  <tableStyles count="0" defaultTableStyle="TableStyleMedium2" defaultPivotStyle="PivotStyleLight16"/>
  <colors>
    <mruColors>
      <color rgb="FF0653FE"/>
      <color rgb="FF1E6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28575</xdr:rowOff>
    </xdr:from>
    <xdr:to>
      <xdr:col>10</xdr:col>
      <xdr:colOff>353286</xdr:colOff>
      <xdr:row>42</xdr:row>
      <xdr:rowOff>105876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B5C748-F398-2EE6-EBC5-1C897800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19075"/>
          <a:ext cx="6173061" cy="7887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3</xdr:row>
      <xdr:rowOff>133350</xdr:rowOff>
    </xdr:from>
    <xdr:to>
      <xdr:col>18</xdr:col>
      <xdr:colOff>276224</xdr:colOff>
      <xdr:row>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8899F-E3B8-83A0-FC37-153425D21508}"/>
            </a:ext>
          </a:extLst>
        </xdr:cNvPr>
        <xdr:cNvSpPr txBox="1"/>
      </xdr:nvSpPr>
      <xdr:spPr>
        <a:xfrm>
          <a:off x="8048624" y="704850"/>
          <a:ext cx="4714875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Otis predicted that Service sales would reach $10b</a:t>
          </a:r>
          <a:r>
            <a:rPr lang="en-US" sz="1100" baseline="0"/>
            <a:t> by 2026 -&gt; current projections might be a bit optimistic</a:t>
          </a:r>
        </a:p>
        <a:p>
          <a:r>
            <a:rPr lang="en-US" sz="1100" baseline="0"/>
            <a:t>However, annual percentage growth in line with expected range</a:t>
          </a:r>
        </a:p>
      </xdr:txBody>
    </xdr:sp>
    <xdr:clientData/>
  </xdr:twoCellAnchor>
  <xdr:twoCellAnchor>
    <xdr:from>
      <xdr:col>10</xdr:col>
      <xdr:colOff>247649</xdr:colOff>
      <xdr:row>18</xdr:row>
      <xdr:rowOff>19050</xdr:rowOff>
    </xdr:from>
    <xdr:to>
      <xdr:col>18</xdr:col>
      <xdr:colOff>361950</xdr:colOff>
      <xdr:row>21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C9E47F-C27D-442F-BC4A-B187413F97FB}"/>
            </a:ext>
          </a:extLst>
        </xdr:cNvPr>
        <xdr:cNvSpPr txBox="1"/>
      </xdr:nvSpPr>
      <xdr:spPr>
        <a:xfrm>
          <a:off x="8020049" y="3448050"/>
          <a:ext cx="4991101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Keep</a:t>
          </a:r>
          <a:r>
            <a:rPr lang="en-US" sz="1100" baseline="0"/>
            <a:t> "Other" constant as it only accounts for a small proportion + hard to predict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20</xdr:row>
      <xdr:rowOff>95250</xdr:rowOff>
    </xdr:from>
    <xdr:to>
      <xdr:col>18</xdr:col>
      <xdr:colOff>66675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2B3592-24C6-CB72-D523-16AF91A1F642}"/>
            </a:ext>
          </a:extLst>
        </xdr:cNvPr>
        <xdr:cNvSpPr txBox="1"/>
      </xdr:nvSpPr>
      <xdr:spPr>
        <a:xfrm>
          <a:off x="7543800" y="4095750"/>
          <a:ext cx="48482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Operating lease right-of-use liabilities,</a:t>
          </a:r>
          <a:r>
            <a:rPr lang="en-US" sz="1100" baseline="0"/>
            <a:t> you can scale it with the difference in operating lease right-of-use assets (under GAAP, unde IFRS you cannot)</a:t>
          </a:r>
          <a:endParaRPr lang="LID4096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6</xdr:row>
      <xdr:rowOff>0</xdr:rowOff>
    </xdr:from>
    <xdr:to>
      <xdr:col>18</xdr:col>
      <xdr:colOff>371475</xdr:colOff>
      <xdr:row>10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F14043-78AE-33DD-79C9-DB8D06B48827}"/>
            </a:ext>
          </a:extLst>
        </xdr:cNvPr>
        <xdr:cNvSpPr txBox="1"/>
      </xdr:nvSpPr>
      <xdr:spPr>
        <a:xfrm>
          <a:off x="8848725" y="1143000"/>
          <a:ext cx="49720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assets,</a:t>
          </a:r>
          <a:r>
            <a:rPr lang="en-US" sz="1100" baseline="0"/>
            <a:t> take current year - next year, but for liabilities take next year - this year. If next year assets are higher, cash outflow, but if liabilities are higher, cash inflow.</a:t>
          </a:r>
        </a:p>
        <a:p>
          <a:r>
            <a:rPr lang="en-US" sz="1100"/>
            <a:t>FY22 higher,</a:t>
          </a:r>
          <a:r>
            <a:rPr lang="en-US" sz="1100" baseline="0"/>
            <a:t> but everything afterwards seems fine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LID4096" sz="1100"/>
        </a:p>
      </xdr:txBody>
    </xdr:sp>
    <xdr:clientData/>
  </xdr:twoCellAnchor>
  <xdr:twoCellAnchor>
    <xdr:from>
      <xdr:col>10</xdr:col>
      <xdr:colOff>228600</xdr:colOff>
      <xdr:row>19</xdr:row>
      <xdr:rowOff>57149</xdr:rowOff>
    </xdr:from>
    <xdr:to>
      <xdr:col>18</xdr:col>
      <xdr:colOff>323850</xdr:colOff>
      <xdr:row>27</xdr:row>
      <xdr:rowOff>142874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873ECE-573E-4199-BB5F-F29D3489E985}"/>
            </a:ext>
          </a:extLst>
        </xdr:cNvPr>
        <xdr:cNvSpPr txBox="1"/>
      </xdr:nvSpPr>
      <xdr:spPr>
        <a:xfrm>
          <a:off x="8801100" y="3686174"/>
          <a:ext cx="497205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Case mentioned to assume a $3 billion minimun cash balance</a:t>
          </a:r>
          <a:r>
            <a:rPr lang="en-US" sz="1100" baseline="0"/>
            <a:t>. From the powerpoint, Otis mentioned that excess cash would go to repaying debt and repurchasing shares.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why net cash flow after 2022 is 0 as all excess cash is used -&gt; this is not really the case but for this case we assume so.</a:t>
          </a:r>
        </a:p>
        <a:p>
          <a:endParaRPr lang="LID4096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</xdr:row>
      <xdr:rowOff>0</xdr:rowOff>
    </xdr:from>
    <xdr:to>
      <xdr:col>18</xdr:col>
      <xdr:colOff>504825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4F961A-3BC4-4447-3F8E-B3B075853E89}"/>
            </a:ext>
          </a:extLst>
        </xdr:cNvPr>
        <xdr:cNvSpPr txBox="1"/>
      </xdr:nvSpPr>
      <xdr:spPr>
        <a:xfrm>
          <a:off x="8963025" y="571500"/>
          <a:ext cx="502920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Medium outlook expected</a:t>
          </a:r>
          <a:r>
            <a:rPr lang="en-US" sz="1100" baseline="0"/>
            <a:t> growth "low single digts"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baseline="0"/>
            <a:t>Keeping the proportion of market share constant, slight growth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Mentioned in the powerpoint an expected 4%-6% growth in 2022, 3% in 2026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Growth roughly in line with inflation </a:t>
          </a:r>
          <a:endParaRPr lang="LID4096" sz="1100"/>
        </a:p>
      </xdr:txBody>
    </xdr:sp>
    <xdr:clientData/>
  </xdr:twoCellAnchor>
  <xdr:twoCellAnchor>
    <xdr:from>
      <xdr:col>10</xdr:col>
      <xdr:colOff>342900</xdr:colOff>
      <xdr:row>15</xdr:row>
      <xdr:rowOff>28575</xdr:rowOff>
    </xdr:from>
    <xdr:to>
      <xdr:col>18</xdr:col>
      <xdr:colOff>495300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626EF3-6C64-43C2-890E-AB6DBECA5482}"/>
            </a:ext>
          </a:extLst>
        </xdr:cNvPr>
        <xdr:cNvSpPr txBox="1"/>
      </xdr:nvSpPr>
      <xdr:spPr>
        <a:xfrm>
          <a:off x="8953500" y="2886075"/>
          <a:ext cx="502920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As</a:t>
          </a:r>
          <a:r>
            <a:rPr lang="en-US" sz="1100" baseline="0"/>
            <a:t> COGS for both new equipment and service units and OPEX are within a certain range, can take average as a quick projection</a:t>
          </a:r>
        </a:p>
        <a:p>
          <a:endParaRPr lang="LID4096" sz="1100"/>
        </a:p>
      </xdr:txBody>
    </xdr:sp>
    <xdr:clientData/>
  </xdr:twoCellAnchor>
  <xdr:twoCellAnchor>
    <xdr:from>
      <xdr:col>10</xdr:col>
      <xdr:colOff>285750</xdr:colOff>
      <xdr:row>37</xdr:row>
      <xdr:rowOff>19050</xdr:rowOff>
    </xdr:from>
    <xdr:to>
      <xdr:col>17</xdr:col>
      <xdr:colOff>428625</xdr:colOff>
      <xdr:row>60</xdr:row>
      <xdr:rowOff>104776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BEED27-CB80-5E03-B712-2EB7AB9C1220}"/>
            </a:ext>
          </a:extLst>
        </xdr:cNvPr>
        <xdr:cNvSpPr txBox="1"/>
      </xdr:nvSpPr>
      <xdr:spPr>
        <a:xfrm>
          <a:off x="8896350" y="7067550"/>
          <a:ext cx="4410075" cy="446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powerpoint, Otis gave a $50-$100M "bolt on" M&amp;A capital allocation -&gt; taking middle of the range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Dividend ratio of around 35-40%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Excess cash goes to share repurchasing 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Assume</a:t>
          </a:r>
          <a:r>
            <a:rPr lang="en-US" sz="1100" baseline="0"/>
            <a:t> a slight increase in interest rates as the current rates are relatively low -&gt; looking at the maturing debts, most debt are far from maturing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According</a:t>
          </a:r>
          <a:r>
            <a:rPr lang="en-US" sz="1100" baseline="0"/>
            <a:t> to Otis powerpoint, we assume an 85/15 split of stock repurchase/debt repayment with excess cash past $3 billion. No actual number was given, simply an assumption. Could easily be 80/20 or 75/25 based on visualization given.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For</a:t>
          </a:r>
          <a:r>
            <a:rPr lang="en-US" sz="1100" baseline="0"/>
            <a:t> Other Items (% Debt Issuances), since so many values were consolidated, the percentages don't make sense -&gt; only use most recent percentage as reference (2021)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29B-6563-4AD9-8243-4F7CE6E428E9}">
  <dimension ref="A6:B44"/>
  <sheetViews>
    <sheetView showGridLines="0" workbookViewId="0">
      <selection activeCell="B44" sqref="B44"/>
    </sheetView>
  </sheetViews>
  <sheetFormatPr defaultRowHeight="15" x14ac:dyDescent="0.25"/>
  <sheetData>
    <row r="6" spans="1:1" x14ac:dyDescent="0.25">
      <c r="A6" s="2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44" spans="2:2" x14ac:dyDescent="0.25">
      <c r="B44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FF3B-2C47-41CF-843E-D692AE5B3EA5}">
  <dimension ref="A2:U139"/>
  <sheetViews>
    <sheetView topLeftCell="A49" workbookViewId="0">
      <selection activeCell="A132" sqref="A132"/>
    </sheetView>
  </sheetViews>
  <sheetFormatPr defaultColWidth="8.7109375" defaultRowHeight="15" x14ac:dyDescent="0.25"/>
  <cols>
    <col min="1" max="1" width="49.5703125" customWidth="1"/>
  </cols>
  <sheetData>
    <row r="2" spans="1:21" x14ac:dyDescent="0.25">
      <c r="A2" s="34" t="s">
        <v>102</v>
      </c>
      <c r="B2" s="34"/>
      <c r="C2" s="34"/>
      <c r="D2" s="34"/>
      <c r="E2" s="7"/>
      <c r="F2" s="7"/>
    </row>
    <row r="4" spans="1:21" x14ac:dyDescent="0.25">
      <c r="A4" s="26" t="s">
        <v>103</v>
      </c>
      <c r="B4" s="7" t="s">
        <v>106</v>
      </c>
      <c r="C4" s="7" t="s">
        <v>105</v>
      </c>
      <c r="D4" s="7" t="s">
        <v>104</v>
      </c>
      <c r="N4" s="7"/>
      <c r="O4" s="7"/>
      <c r="T4" s="7"/>
      <c r="U4" s="7"/>
    </row>
    <row r="5" spans="1:21" x14ac:dyDescent="0.25">
      <c r="A5" t="s">
        <v>107</v>
      </c>
    </row>
    <row r="6" spans="1:21" x14ac:dyDescent="0.25">
      <c r="A6" t="s">
        <v>12</v>
      </c>
      <c r="B6" s="11">
        <v>5648</v>
      </c>
      <c r="C6" s="11">
        <v>5371</v>
      </c>
      <c r="D6" s="9">
        <v>6428</v>
      </c>
      <c r="N6" s="11"/>
      <c r="T6" s="11"/>
    </row>
    <row r="7" spans="1:21" x14ac:dyDescent="0.25">
      <c r="A7" t="s">
        <v>13</v>
      </c>
      <c r="B7" s="10">
        <v>7470</v>
      </c>
      <c r="C7" s="10">
        <v>7385</v>
      </c>
      <c r="D7" s="8">
        <v>7870</v>
      </c>
      <c r="N7" s="10"/>
      <c r="T7" s="10"/>
    </row>
    <row r="8" spans="1:21" x14ac:dyDescent="0.25">
      <c r="B8" s="10">
        <v>13118</v>
      </c>
      <c r="C8" s="10">
        <v>12756</v>
      </c>
      <c r="D8" s="8">
        <v>14298</v>
      </c>
      <c r="N8" s="10"/>
      <c r="T8" s="10"/>
    </row>
    <row r="9" spans="1:21" x14ac:dyDescent="0.25">
      <c r="A9" t="s">
        <v>108</v>
      </c>
    </row>
    <row r="10" spans="1:21" x14ac:dyDescent="0.25">
      <c r="A10" t="s">
        <v>16</v>
      </c>
      <c r="B10" s="10">
        <v>4640</v>
      </c>
      <c r="C10" s="10">
        <v>4439</v>
      </c>
      <c r="D10" s="8">
        <v>5293</v>
      </c>
      <c r="N10" s="10"/>
      <c r="T10" s="10"/>
    </row>
    <row r="11" spans="1:21" x14ac:dyDescent="0.25">
      <c r="A11" t="s">
        <v>17</v>
      </c>
      <c r="B11" s="10">
        <v>4652</v>
      </c>
      <c r="C11" s="10">
        <v>4538</v>
      </c>
      <c r="D11" s="8">
        <v>4812</v>
      </c>
      <c r="N11" s="10"/>
      <c r="T11" s="10"/>
    </row>
    <row r="12" spans="1:21" x14ac:dyDescent="0.25">
      <c r="A12" t="s">
        <v>18</v>
      </c>
      <c r="B12" s="10">
        <v>163</v>
      </c>
      <c r="C12" s="10">
        <v>152</v>
      </c>
      <c r="D12" s="8">
        <v>159</v>
      </c>
      <c r="N12" s="10"/>
      <c r="T12" s="10"/>
    </row>
    <row r="13" spans="1:21" x14ac:dyDescent="0.25">
      <c r="A13" t="s">
        <v>19</v>
      </c>
      <c r="B13" s="10">
        <v>1810</v>
      </c>
      <c r="C13" s="10">
        <v>1924</v>
      </c>
      <c r="D13" s="8">
        <v>1948</v>
      </c>
      <c r="N13" s="10"/>
      <c r="T13" s="10"/>
    </row>
    <row r="14" spans="1:21" x14ac:dyDescent="0.25">
      <c r="B14" s="10">
        <v>11265</v>
      </c>
      <c r="C14" s="10">
        <v>11053</v>
      </c>
      <c r="D14" s="8">
        <v>12212</v>
      </c>
      <c r="N14" s="10"/>
      <c r="T14" s="10"/>
    </row>
    <row r="15" spans="1:21" x14ac:dyDescent="0.25">
      <c r="A15" t="s">
        <v>109</v>
      </c>
      <c r="B15" s="14">
        <v>-39</v>
      </c>
      <c r="C15" s="14">
        <v>-64</v>
      </c>
      <c r="D15" s="8">
        <v>22</v>
      </c>
      <c r="N15" s="14"/>
      <c r="T15" s="14"/>
    </row>
    <row r="16" spans="1:21" x14ac:dyDescent="0.25">
      <c r="A16" t="s">
        <v>100</v>
      </c>
      <c r="B16" s="10">
        <v>1814</v>
      </c>
      <c r="C16" s="10">
        <v>1639</v>
      </c>
      <c r="D16" s="8">
        <v>2108</v>
      </c>
      <c r="N16" s="10"/>
      <c r="T16" s="10"/>
    </row>
    <row r="17" spans="1:20" x14ac:dyDescent="0.25">
      <c r="A17" t="s">
        <v>23</v>
      </c>
      <c r="B17" s="14">
        <v>-33</v>
      </c>
      <c r="C17" s="10">
        <v>6</v>
      </c>
      <c r="D17" s="8">
        <v>11</v>
      </c>
      <c r="N17" s="10"/>
      <c r="T17" s="14"/>
    </row>
    <row r="18" spans="1:20" x14ac:dyDescent="0.25">
      <c r="A18" t="s">
        <v>110</v>
      </c>
      <c r="B18" s="14">
        <v>-14</v>
      </c>
      <c r="C18" s="10">
        <v>122</v>
      </c>
      <c r="D18" s="8">
        <v>136</v>
      </c>
      <c r="N18" s="10"/>
      <c r="T18" s="14"/>
    </row>
    <row r="19" spans="1:20" x14ac:dyDescent="0.25">
      <c r="A19" t="s">
        <v>111</v>
      </c>
      <c r="B19" s="10">
        <v>1861</v>
      </c>
      <c r="C19" s="10">
        <v>1511</v>
      </c>
      <c r="D19" s="8">
        <v>1961</v>
      </c>
      <c r="N19" s="10"/>
      <c r="T19" s="10"/>
    </row>
    <row r="20" spans="1:20" x14ac:dyDescent="0.25">
      <c r="A20" t="s">
        <v>112</v>
      </c>
      <c r="B20" s="10">
        <v>594</v>
      </c>
      <c r="C20" s="10">
        <v>455</v>
      </c>
      <c r="D20" s="8">
        <v>541</v>
      </c>
      <c r="N20" s="10"/>
      <c r="T20" s="10"/>
    </row>
    <row r="21" spans="1:20" x14ac:dyDescent="0.25">
      <c r="A21" t="s">
        <v>113</v>
      </c>
      <c r="B21" s="10">
        <v>1267</v>
      </c>
      <c r="C21" s="10">
        <v>1056</v>
      </c>
      <c r="D21" s="8">
        <v>1420</v>
      </c>
      <c r="N21" s="10"/>
      <c r="T21" s="10"/>
    </row>
    <row r="22" spans="1:20" x14ac:dyDescent="0.25">
      <c r="A22" t="s">
        <v>114</v>
      </c>
      <c r="B22" s="10">
        <v>151</v>
      </c>
      <c r="C22" s="10">
        <v>150</v>
      </c>
      <c r="D22" s="8">
        <v>174</v>
      </c>
      <c r="N22" s="10"/>
      <c r="T22" s="10"/>
    </row>
    <row r="25" spans="1:20" x14ac:dyDescent="0.25">
      <c r="A25" s="7" t="s">
        <v>25</v>
      </c>
      <c r="B25" s="11">
        <v>1116</v>
      </c>
      <c r="C25" s="11">
        <v>906</v>
      </c>
      <c r="D25" s="9">
        <v>1246</v>
      </c>
      <c r="N25" s="11"/>
      <c r="T25" s="11"/>
    </row>
    <row r="27" spans="1:20" x14ac:dyDescent="0.25">
      <c r="A27" s="7" t="s">
        <v>115</v>
      </c>
    </row>
    <row r="29" spans="1:20" x14ac:dyDescent="0.25">
      <c r="A29" t="s">
        <v>116</v>
      </c>
      <c r="B29" s="28">
        <v>2.5499999999999998</v>
      </c>
      <c r="C29" s="28">
        <v>2.09</v>
      </c>
      <c r="D29" s="27">
        <v>2.91</v>
      </c>
      <c r="N29" s="28"/>
      <c r="T29" s="28"/>
    </row>
    <row r="30" spans="1:20" x14ac:dyDescent="0.25">
      <c r="A30" t="s">
        <v>117</v>
      </c>
      <c r="B30" s="28">
        <v>2.5499999999999998</v>
      </c>
      <c r="C30" s="28">
        <v>2.08</v>
      </c>
      <c r="D30" s="27">
        <v>2.89</v>
      </c>
      <c r="N30" s="28"/>
      <c r="T30" s="28"/>
    </row>
    <row r="31" spans="1:20" x14ac:dyDescent="0.25">
      <c r="A31" t="s">
        <v>118</v>
      </c>
    </row>
    <row r="32" spans="1:20" x14ac:dyDescent="0.25">
      <c r="A32" t="s">
        <v>119</v>
      </c>
      <c r="B32" s="30">
        <v>433.1</v>
      </c>
      <c r="C32" s="30">
        <v>433.2</v>
      </c>
      <c r="D32" s="29">
        <v>427.7</v>
      </c>
      <c r="N32" s="30"/>
      <c r="T32" s="30"/>
    </row>
    <row r="33" spans="1:20" x14ac:dyDescent="0.25">
      <c r="A33" t="s">
        <v>120</v>
      </c>
      <c r="B33" s="30">
        <v>433.1</v>
      </c>
      <c r="C33" s="30">
        <v>434.6</v>
      </c>
      <c r="D33" s="29">
        <v>431.4</v>
      </c>
      <c r="N33" s="30"/>
      <c r="T33" s="30"/>
    </row>
    <row r="35" spans="1:20" x14ac:dyDescent="0.25">
      <c r="A35" s="34" t="s">
        <v>121</v>
      </c>
      <c r="B35" s="34"/>
      <c r="C35" s="34"/>
      <c r="D35" s="34"/>
      <c r="E35" s="7"/>
      <c r="F35" s="7"/>
    </row>
    <row r="37" spans="1:20" x14ac:dyDescent="0.25">
      <c r="A37" s="26" t="s">
        <v>122</v>
      </c>
      <c r="B37" s="26"/>
      <c r="C37" s="7" t="s">
        <v>105</v>
      </c>
      <c r="D37" s="7" t="s">
        <v>104</v>
      </c>
      <c r="N37" s="7"/>
      <c r="O37" s="7"/>
    </row>
    <row r="38" spans="1:20" x14ac:dyDescent="0.25">
      <c r="A38" s="7" t="s">
        <v>6</v>
      </c>
      <c r="B38" s="7"/>
    </row>
    <row r="39" spans="1:20" x14ac:dyDescent="0.25">
      <c r="A39" t="s">
        <v>26</v>
      </c>
      <c r="C39" s="11">
        <v>1782</v>
      </c>
      <c r="D39" s="9">
        <v>1565</v>
      </c>
      <c r="N39" s="11"/>
    </row>
    <row r="40" spans="1:20" x14ac:dyDescent="0.25">
      <c r="A40" t="s">
        <v>27</v>
      </c>
      <c r="C40" s="10">
        <v>17</v>
      </c>
      <c r="D40" s="8">
        <v>1910</v>
      </c>
      <c r="N40" s="10"/>
    </row>
    <row r="41" spans="1:20" x14ac:dyDescent="0.25">
      <c r="A41" t="s">
        <v>28</v>
      </c>
      <c r="C41" s="10">
        <v>3148</v>
      </c>
      <c r="D41" s="8">
        <v>3232</v>
      </c>
      <c r="N41" s="10"/>
    </row>
    <row r="42" spans="1:20" x14ac:dyDescent="0.25">
      <c r="A42" t="s">
        <v>29</v>
      </c>
      <c r="C42" s="10">
        <v>458</v>
      </c>
      <c r="D42" s="8">
        <v>550</v>
      </c>
      <c r="N42" s="10"/>
    </row>
    <row r="43" spans="1:20" x14ac:dyDescent="0.25">
      <c r="A43" t="s">
        <v>30</v>
      </c>
      <c r="C43" s="10">
        <v>659</v>
      </c>
      <c r="D43" s="8">
        <v>622</v>
      </c>
      <c r="N43" s="10"/>
    </row>
    <row r="44" spans="1:20" x14ac:dyDescent="0.25">
      <c r="A44" t="s">
        <v>31</v>
      </c>
      <c r="C44" s="10">
        <v>429</v>
      </c>
      <c r="D44" s="8">
        <v>382</v>
      </c>
      <c r="N44" s="10"/>
    </row>
    <row r="45" spans="1:20" x14ac:dyDescent="0.25">
      <c r="A45" s="7" t="s">
        <v>32</v>
      </c>
      <c r="B45" s="7"/>
      <c r="C45" s="10">
        <v>6493</v>
      </c>
      <c r="D45" s="8">
        <v>8261</v>
      </c>
      <c r="N45" s="10"/>
    </row>
    <row r="46" spans="1:20" x14ac:dyDescent="0.25">
      <c r="A46" t="s">
        <v>33</v>
      </c>
      <c r="C46" s="10">
        <v>334</v>
      </c>
      <c r="D46" s="8">
        <v>335</v>
      </c>
      <c r="N46" s="10"/>
    </row>
    <row r="47" spans="1:20" x14ac:dyDescent="0.25">
      <c r="A47" t="s">
        <v>34</v>
      </c>
      <c r="C47" s="10">
        <v>774</v>
      </c>
      <c r="D47" s="8">
        <v>774</v>
      </c>
      <c r="N47" s="10"/>
    </row>
    <row r="48" spans="1:20" x14ac:dyDescent="0.25">
      <c r="A48" t="s">
        <v>35</v>
      </c>
      <c r="C48" s="10">
        <v>542</v>
      </c>
      <c r="D48" s="8">
        <v>526</v>
      </c>
      <c r="N48" s="10"/>
    </row>
    <row r="49" spans="1:14" x14ac:dyDescent="0.25">
      <c r="A49" t="s">
        <v>36</v>
      </c>
      <c r="C49" s="10">
        <v>484</v>
      </c>
      <c r="D49" s="8">
        <v>419</v>
      </c>
      <c r="N49" s="10"/>
    </row>
    <row r="50" spans="1:14" x14ac:dyDescent="0.25">
      <c r="A50" t="s">
        <v>37</v>
      </c>
      <c r="C50" s="10">
        <v>1773</v>
      </c>
      <c r="D50" s="8">
        <v>1667</v>
      </c>
      <c r="N50" s="10"/>
    </row>
    <row r="51" spans="1:14" x14ac:dyDescent="0.25">
      <c r="A51" t="s">
        <v>38</v>
      </c>
      <c r="C51" s="10">
        <v>310</v>
      </c>
      <c r="D51" s="8">
        <v>297</v>
      </c>
      <c r="N51" s="10"/>
    </row>
    <row r="52" spans="1:14" x14ac:dyDescent="0.25">
      <c r="A52" s="7" t="s">
        <v>39</v>
      </c>
      <c r="B52" s="7"/>
      <c r="C52" s="11">
        <v>10710</v>
      </c>
      <c r="D52" s="9">
        <v>12279</v>
      </c>
      <c r="N52" s="11"/>
    </row>
    <row r="53" spans="1:14" x14ac:dyDescent="0.25">
      <c r="A53" s="7" t="s">
        <v>123</v>
      </c>
      <c r="B53" s="7"/>
    </row>
    <row r="54" spans="1:14" x14ac:dyDescent="0.25">
      <c r="A54" t="s">
        <v>40</v>
      </c>
      <c r="C54" s="11">
        <v>701</v>
      </c>
      <c r="D54" s="9">
        <v>24</v>
      </c>
      <c r="N54" s="11"/>
    </row>
    <row r="55" spans="1:14" x14ac:dyDescent="0.25">
      <c r="A55" t="s">
        <v>41</v>
      </c>
      <c r="C55" s="10">
        <v>1453</v>
      </c>
      <c r="D55" s="8">
        <v>1556</v>
      </c>
      <c r="N55" s="10"/>
    </row>
    <row r="56" spans="1:14" x14ac:dyDescent="0.25">
      <c r="A56" t="s">
        <v>42</v>
      </c>
      <c r="C56" s="10">
        <v>1977</v>
      </c>
      <c r="D56" s="8">
        <v>1993</v>
      </c>
      <c r="N56" s="10"/>
    </row>
    <row r="57" spans="1:14" x14ac:dyDescent="0.25">
      <c r="A57" t="s">
        <v>43</v>
      </c>
      <c r="C57" s="10">
        <v>2542</v>
      </c>
      <c r="D57" s="8">
        <v>2674</v>
      </c>
      <c r="N57" s="10"/>
    </row>
    <row r="59" spans="1:14" x14ac:dyDescent="0.25">
      <c r="A59" s="7" t="s">
        <v>44</v>
      </c>
      <c r="B59" s="7"/>
      <c r="C59" s="10">
        <v>6673</v>
      </c>
      <c r="D59" s="8">
        <v>6247</v>
      </c>
      <c r="N59" s="10"/>
    </row>
    <row r="60" spans="1:14" x14ac:dyDescent="0.25">
      <c r="A60" t="s">
        <v>45</v>
      </c>
      <c r="C60" s="10">
        <v>5262</v>
      </c>
      <c r="D60" s="8">
        <v>7249</v>
      </c>
      <c r="N60" s="10"/>
    </row>
    <row r="61" spans="1:14" x14ac:dyDescent="0.25">
      <c r="A61" t="s">
        <v>46</v>
      </c>
      <c r="C61" s="10">
        <v>654</v>
      </c>
      <c r="D61" s="8">
        <v>558</v>
      </c>
      <c r="N61" s="10"/>
    </row>
    <row r="62" spans="1:14" x14ac:dyDescent="0.25">
      <c r="A62" t="s">
        <v>47</v>
      </c>
      <c r="C62" s="10">
        <v>367</v>
      </c>
      <c r="D62" s="8">
        <v>336</v>
      </c>
      <c r="N62" s="10"/>
    </row>
    <row r="63" spans="1:14" x14ac:dyDescent="0.25">
      <c r="A63" t="s">
        <v>48</v>
      </c>
      <c r="C63" s="10">
        <v>321</v>
      </c>
      <c r="D63" s="8">
        <v>267</v>
      </c>
      <c r="N63" s="10"/>
    </row>
    <row r="64" spans="1:14" x14ac:dyDescent="0.25">
      <c r="A64" t="s">
        <v>49</v>
      </c>
      <c r="C64" s="10">
        <v>634</v>
      </c>
      <c r="D64" s="8">
        <v>606</v>
      </c>
      <c r="N64" s="10"/>
    </row>
    <row r="65" spans="1:14" x14ac:dyDescent="0.25">
      <c r="A65" s="7" t="s">
        <v>50</v>
      </c>
      <c r="B65" s="7"/>
      <c r="C65" s="10">
        <v>13911</v>
      </c>
      <c r="D65" s="8">
        <v>15263</v>
      </c>
      <c r="N65" s="10"/>
    </row>
    <row r="66" spans="1:14" x14ac:dyDescent="0.25">
      <c r="A66" t="s">
        <v>124</v>
      </c>
    </row>
    <row r="67" spans="1:14" x14ac:dyDescent="0.25">
      <c r="A67" t="s">
        <v>51</v>
      </c>
      <c r="C67" s="10">
        <v>194</v>
      </c>
      <c r="D67" s="8">
        <v>160</v>
      </c>
      <c r="N67" s="10"/>
    </row>
    <row r="68" spans="1:14" x14ac:dyDescent="0.25">
      <c r="A68" t="s">
        <v>125</v>
      </c>
    </row>
    <row r="69" spans="1:14" x14ac:dyDescent="0.25">
      <c r="A69" t="s">
        <v>52</v>
      </c>
      <c r="C69" s="10">
        <v>59</v>
      </c>
      <c r="D69" s="8">
        <v>119</v>
      </c>
      <c r="N69" s="10"/>
    </row>
    <row r="70" spans="1:14" x14ac:dyDescent="0.25">
      <c r="A70" t="s">
        <v>53</v>
      </c>
      <c r="C70" t="s">
        <v>59</v>
      </c>
      <c r="D70" s="12">
        <v>-725</v>
      </c>
    </row>
    <row r="72" spans="1:14" x14ac:dyDescent="0.25">
      <c r="A72" t="s">
        <v>54</v>
      </c>
      <c r="C72" s="14">
        <v>-3106</v>
      </c>
      <c r="D72" s="12">
        <v>-2256</v>
      </c>
      <c r="N72" s="14"/>
    </row>
    <row r="74" spans="1:14" x14ac:dyDescent="0.25">
      <c r="A74" t="s">
        <v>55</v>
      </c>
      <c r="C74" s="14">
        <v>-815</v>
      </c>
      <c r="D74" s="12">
        <v>-763</v>
      </c>
      <c r="N74" s="14"/>
    </row>
    <row r="75" spans="1:14" x14ac:dyDescent="0.25">
      <c r="A75" s="7" t="s">
        <v>56</v>
      </c>
      <c r="B75" s="7"/>
      <c r="C75" s="14">
        <v>-3862</v>
      </c>
      <c r="D75" s="12">
        <v>-3625</v>
      </c>
      <c r="N75" s="14"/>
    </row>
    <row r="76" spans="1:14" x14ac:dyDescent="0.25">
      <c r="A76" t="s">
        <v>57</v>
      </c>
      <c r="C76" s="10">
        <v>467</v>
      </c>
      <c r="D76" s="8">
        <v>481</v>
      </c>
      <c r="N76" s="10"/>
    </row>
    <row r="77" spans="1:14" x14ac:dyDescent="0.25">
      <c r="A77" s="7" t="s">
        <v>60</v>
      </c>
      <c r="B77" s="7"/>
      <c r="C77" s="14">
        <v>-3395</v>
      </c>
      <c r="D77" s="12">
        <v>-3144</v>
      </c>
      <c r="N77" s="14"/>
    </row>
    <row r="78" spans="1:14" x14ac:dyDescent="0.25">
      <c r="A78" s="7" t="s">
        <v>126</v>
      </c>
      <c r="B78" s="7"/>
      <c r="C78" s="11">
        <v>10710</v>
      </c>
      <c r="D78" s="9">
        <v>12279</v>
      </c>
      <c r="N78" s="11"/>
    </row>
    <row r="80" spans="1:14" x14ac:dyDescent="0.25">
      <c r="A80" s="45" t="s">
        <v>129</v>
      </c>
      <c r="B80" s="45"/>
      <c r="C80" s="45"/>
      <c r="D80" s="45"/>
      <c r="E80" s="43"/>
      <c r="F80" s="43"/>
    </row>
    <row r="82" spans="1:21" x14ac:dyDescent="0.25">
      <c r="A82" s="44" t="s">
        <v>122</v>
      </c>
      <c r="B82" s="43" t="s">
        <v>106</v>
      </c>
      <c r="C82" s="43" t="s">
        <v>105</v>
      </c>
      <c r="D82" s="43" t="s">
        <v>104</v>
      </c>
      <c r="E82" s="36"/>
      <c r="F82" s="36"/>
      <c r="H82" s="43"/>
      <c r="I82" s="43"/>
      <c r="J82" s="36"/>
      <c r="K82" s="36"/>
      <c r="O82" s="43"/>
      <c r="P82" s="36"/>
      <c r="Q82" s="36"/>
      <c r="R82" s="36"/>
      <c r="T82" s="43"/>
      <c r="U82" s="43"/>
    </row>
    <row r="83" spans="1:21" x14ac:dyDescent="0.25">
      <c r="A83" s="36" t="s">
        <v>130</v>
      </c>
      <c r="B83" s="36"/>
      <c r="C83" s="36"/>
      <c r="D83" s="36"/>
      <c r="E83" s="36"/>
      <c r="F83" s="36"/>
      <c r="H83" s="36"/>
      <c r="I83" s="36"/>
      <c r="J83" s="36"/>
      <c r="K83" s="36"/>
      <c r="O83" s="36"/>
      <c r="P83" s="36"/>
      <c r="Q83" s="36"/>
      <c r="R83" s="36"/>
      <c r="T83" s="36"/>
      <c r="U83" s="36"/>
    </row>
    <row r="84" spans="1:21" x14ac:dyDescent="0.25">
      <c r="A84" s="36" t="s">
        <v>113</v>
      </c>
      <c r="B84" s="39">
        <v>1267</v>
      </c>
      <c r="C84" s="39">
        <v>1056</v>
      </c>
      <c r="D84" s="38">
        <v>1420</v>
      </c>
      <c r="E84" s="36"/>
      <c r="F84" s="36"/>
      <c r="H84" s="38"/>
      <c r="J84" s="36"/>
      <c r="K84" s="36"/>
      <c r="P84" s="36"/>
      <c r="Q84" s="36"/>
      <c r="R84" s="36"/>
      <c r="T84" s="39"/>
    </row>
    <row r="85" spans="1:21" x14ac:dyDescent="0.25">
      <c r="A85" s="36" t="s">
        <v>65</v>
      </c>
      <c r="B85" s="36"/>
      <c r="C85" s="36"/>
      <c r="D85" s="36"/>
      <c r="E85" s="36"/>
      <c r="F85" s="36"/>
      <c r="H85" s="36"/>
      <c r="I85" s="36"/>
      <c r="J85" s="36"/>
      <c r="K85" s="36"/>
      <c r="O85" s="36"/>
      <c r="P85" s="36"/>
      <c r="Q85" s="36"/>
      <c r="R85" s="36"/>
      <c r="T85" s="36"/>
      <c r="U85" s="36"/>
    </row>
    <row r="86" spans="1:21" x14ac:dyDescent="0.25">
      <c r="A86" s="36" t="s">
        <v>66</v>
      </c>
      <c r="B86" s="35">
        <v>180</v>
      </c>
      <c r="C86" s="35">
        <v>191</v>
      </c>
      <c r="D86" s="37">
        <v>203</v>
      </c>
      <c r="E86" s="36"/>
      <c r="F86" s="36"/>
      <c r="H86" s="37"/>
      <c r="J86" s="36"/>
      <c r="K86" s="36"/>
      <c r="P86" s="36"/>
      <c r="Q86" s="36"/>
      <c r="R86" s="36"/>
      <c r="T86" s="35"/>
    </row>
    <row r="87" spans="1:21" x14ac:dyDescent="0.25">
      <c r="A87" s="36" t="s">
        <v>67</v>
      </c>
      <c r="B87" s="41">
        <v>-8</v>
      </c>
      <c r="C87" s="41">
        <v>-51</v>
      </c>
      <c r="D87" s="42">
        <v>-92</v>
      </c>
      <c r="E87" s="36"/>
      <c r="F87" s="36"/>
      <c r="H87" s="42"/>
      <c r="J87" s="36"/>
      <c r="K87" s="36"/>
      <c r="P87" s="36"/>
      <c r="Q87" s="36"/>
      <c r="R87" s="36"/>
      <c r="T87" s="41"/>
    </row>
    <row r="88" spans="1:21" x14ac:dyDescent="0.25">
      <c r="A88" s="36" t="s">
        <v>68</v>
      </c>
      <c r="B88" s="35">
        <v>37</v>
      </c>
      <c r="C88" s="35">
        <v>63</v>
      </c>
      <c r="D88" s="37">
        <v>65</v>
      </c>
      <c r="E88" s="36"/>
      <c r="F88" s="36"/>
      <c r="H88" s="37"/>
      <c r="J88" s="36"/>
      <c r="K88" s="36"/>
      <c r="P88" s="36"/>
      <c r="Q88" s="36"/>
      <c r="R88" s="36"/>
      <c r="T88" s="35"/>
    </row>
    <row r="89" spans="1:21" x14ac:dyDescent="0.25">
      <c r="A89" s="36" t="s">
        <v>69</v>
      </c>
      <c r="B89" s="35">
        <v>26</v>
      </c>
      <c r="C89" s="35">
        <v>71</v>
      </c>
      <c r="D89" s="43" t="s">
        <v>59</v>
      </c>
      <c r="E89" s="36"/>
      <c r="F89" s="36"/>
      <c r="H89" s="43"/>
      <c r="J89" s="36"/>
      <c r="K89" s="36"/>
      <c r="P89" s="36"/>
      <c r="Q89" s="36"/>
      <c r="R89" s="36"/>
      <c r="T89" s="35"/>
    </row>
    <row r="92" spans="1:21" x14ac:dyDescent="0.25">
      <c r="A92" s="36" t="s">
        <v>131</v>
      </c>
      <c r="B92" s="36"/>
      <c r="C92" s="36"/>
      <c r="D92" s="36"/>
      <c r="E92" s="36"/>
      <c r="F92" s="36"/>
      <c r="H92" s="36"/>
      <c r="I92" s="36"/>
      <c r="J92" s="36"/>
      <c r="K92" s="36"/>
      <c r="O92" s="36"/>
      <c r="P92" s="36"/>
      <c r="Q92" s="36"/>
      <c r="R92" s="36"/>
      <c r="T92" s="36"/>
      <c r="U92" s="36"/>
    </row>
    <row r="93" spans="1:21" x14ac:dyDescent="0.25">
      <c r="A93" s="36" t="s">
        <v>61</v>
      </c>
      <c r="B93" s="41">
        <v>-191</v>
      </c>
      <c r="C93" s="41">
        <v>-163</v>
      </c>
      <c r="D93" s="42">
        <v>-152</v>
      </c>
      <c r="E93" s="36"/>
      <c r="F93" s="36"/>
      <c r="H93" s="42"/>
      <c r="J93" s="36"/>
      <c r="K93" s="36"/>
      <c r="P93" s="36"/>
      <c r="Q93" s="36"/>
      <c r="R93" s="36"/>
      <c r="T93" s="41"/>
    </row>
    <row r="94" spans="1:21" x14ac:dyDescent="0.25">
      <c r="A94" s="36" t="s">
        <v>62</v>
      </c>
      <c r="B94" s="35">
        <v>97</v>
      </c>
      <c r="C94" s="35">
        <v>282</v>
      </c>
      <c r="D94" s="37">
        <v>53</v>
      </c>
      <c r="E94" s="36"/>
      <c r="F94" s="36"/>
      <c r="H94" s="37"/>
      <c r="J94" s="36"/>
      <c r="K94" s="36"/>
      <c r="P94" s="36"/>
      <c r="Q94" s="36"/>
      <c r="R94" s="36"/>
      <c r="T94" s="35"/>
    </row>
    <row r="95" spans="1:21" x14ac:dyDescent="0.25">
      <c r="A95" s="36" t="s">
        <v>30</v>
      </c>
      <c r="B95" s="35">
        <v>60</v>
      </c>
      <c r="C95" s="41">
        <v>-76</v>
      </c>
      <c r="D95" s="37">
        <v>14</v>
      </c>
      <c r="E95" s="36"/>
      <c r="F95" s="36"/>
      <c r="H95" s="37"/>
      <c r="J95" s="36"/>
      <c r="K95" s="36"/>
      <c r="P95" s="36"/>
      <c r="Q95" s="36"/>
      <c r="R95" s="36"/>
      <c r="T95" s="35"/>
    </row>
    <row r="96" spans="1:21" x14ac:dyDescent="0.25">
      <c r="A96" s="36" t="s">
        <v>31</v>
      </c>
      <c r="B96" s="35">
        <v>30</v>
      </c>
      <c r="C96" s="35">
        <v>28</v>
      </c>
      <c r="D96" s="37">
        <v>43</v>
      </c>
      <c r="E96" s="36"/>
      <c r="F96" s="36"/>
      <c r="H96" s="37"/>
      <c r="J96" s="36"/>
      <c r="K96" s="36"/>
      <c r="P96" s="36"/>
      <c r="Q96" s="36"/>
      <c r="R96" s="36"/>
      <c r="T96" s="35"/>
    </row>
    <row r="97" spans="1:21" x14ac:dyDescent="0.25">
      <c r="A97" s="36" t="s">
        <v>41</v>
      </c>
      <c r="B97" s="35">
        <v>6</v>
      </c>
      <c r="C97" s="35">
        <v>20</v>
      </c>
      <c r="D97" s="37">
        <v>130</v>
      </c>
      <c r="E97" s="36"/>
      <c r="F97" s="36"/>
      <c r="H97" s="37"/>
      <c r="J97" s="36"/>
      <c r="K97" s="36"/>
      <c r="P97" s="36"/>
      <c r="Q97" s="36"/>
      <c r="R97" s="36"/>
      <c r="T97" s="35"/>
    </row>
    <row r="98" spans="1:21" x14ac:dyDescent="0.25">
      <c r="A98" s="36" t="s">
        <v>42</v>
      </c>
      <c r="B98" s="41">
        <v>-34</v>
      </c>
      <c r="C98" s="41">
        <v>-14</v>
      </c>
      <c r="D98" s="37">
        <v>72</v>
      </c>
      <c r="E98" s="36"/>
      <c r="F98" s="36"/>
      <c r="H98" s="37"/>
      <c r="J98" s="36"/>
      <c r="K98" s="36"/>
      <c r="P98" s="36"/>
      <c r="Q98" s="36"/>
      <c r="R98" s="36"/>
      <c r="T98" s="41"/>
    </row>
    <row r="101" spans="1:21" x14ac:dyDescent="0.25">
      <c r="A101" s="36" t="s">
        <v>63</v>
      </c>
      <c r="B101" s="41">
        <v>-32</v>
      </c>
      <c r="C101" s="41">
        <v>-64</v>
      </c>
      <c r="D101" s="42">
        <v>-37</v>
      </c>
      <c r="E101" s="36"/>
      <c r="F101" s="36"/>
      <c r="H101" s="42"/>
      <c r="J101" s="36"/>
      <c r="K101" s="36"/>
      <c r="P101" s="36"/>
      <c r="Q101" s="36"/>
      <c r="R101" s="36"/>
      <c r="T101" s="41"/>
    </row>
    <row r="102" spans="1:21" x14ac:dyDescent="0.25">
      <c r="A102" s="36" t="s">
        <v>64</v>
      </c>
      <c r="B102" s="35">
        <v>31</v>
      </c>
      <c r="C102" s="35">
        <v>137</v>
      </c>
      <c r="D102" s="37">
        <v>31</v>
      </c>
      <c r="E102" s="36"/>
      <c r="F102" s="36"/>
      <c r="H102" s="37"/>
      <c r="J102" s="36"/>
      <c r="K102" s="36"/>
      <c r="P102" s="36"/>
      <c r="Q102" s="36"/>
      <c r="R102" s="36"/>
      <c r="T102" s="35"/>
    </row>
    <row r="103" spans="1:21" x14ac:dyDescent="0.25">
      <c r="A103" s="36" t="s">
        <v>132</v>
      </c>
      <c r="B103" s="35">
        <v>1469</v>
      </c>
      <c r="C103" s="35">
        <v>1480</v>
      </c>
      <c r="D103" s="37">
        <v>1750</v>
      </c>
      <c r="E103" s="36"/>
      <c r="F103" s="36"/>
      <c r="H103" s="37"/>
      <c r="J103" s="36"/>
      <c r="K103" s="36"/>
      <c r="P103" s="36"/>
      <c r="Q103" s="36"/>
      <c r="R103" s="36"/>
      <c r="T103" s="35"/>
    </row>
    <row r="104" spans="1:21" x14ac:dyDescent="0.25">
      <c r="A104" s="36" t="s">
        <v>133</v>
      </c>
      <c r="B104" s="36"/>
      <c r="C104" s="36"/>
      <c r="D104" s="36"/>
      <c r="E104" s="36"/>
      <c r="F104" s="36"/>
      <c r="H104" s="36"/>
      <c r="I104" s="36"/>
      <c r="J104" s="36"/>
      <c r="K104" s="36"/>
      <c r="O104" s="36"/>
      <c r="P104" s="36"/>
      <c r="Q104" s="36"/>
      <c r="R104" s="36"/>
      <c r="T104" s="36"/>
      <c r="U104" s="36"/>
    </row>
    <row r="105" spans="1:21" x14ac:dyDescent="0.25">
      <c r="A105" s="36" t="s">
        <v>70</v>
      </c>
      <c r="B105" s="41">
        <v>-145</v>
      </c>
      <c r="C105" s="41">
        <v>-183</v>
      </c>
      <c r="D105" s="42">
        <v>-156</v>
      </c>
      <c r="E105" s="36"/>
      <c r="F105" s="36"/>
      <c r="H105" s="42"/>
      <c r="J105" s="36"/>
      <c r="K105" s="36"/>
      <c r="P105" s="36"/>
      <c r="Q105" s="36"/>
      <c r="R105" s="36"/>
      <c r="T105" s="41"/>
    </row>
    <row r="106" spans="1:21" x14ac:dyDescent="0.25">
      <c r="A106" s="36" t="s">
        <v>71</v>
      </c>
      <c r="B106" s="41">
        <v>-47</v>
      </c>
      <c r="C106" s="41">
        <v>-53</v>
      </c>
      <c r="D106" s="42">
        <v>-80</v>
      </c>
      <c r="E106" s="36"/>
      <c r="F106" s="36"/>
      <c r="H106" s="42"/>
      <c r="J106" s="36"/>
      <c r="K106" s="36"/>
      <c r="P106" s="36"/>
      <c r="Q106" s="36"/>
      <c r="R106" s="36"/>
      <c r="T106" s="41"/>
    </row>
    <row r="107" spans="1:21" x14ac:dyDescent="0.25">
      <c r="A107" s="36" t="s">
        <v>72</v>
      </c>
      <c r="B107" s="36" t="s">
        <v>59</v>
      </c>
      <c r="C107" s="41">
        <v>-51</v>
      </c>
      <c r="D107" s="37">
        <v>40</v>
      </c>
      <c r="E107" s="36"/>
      <c r="F107" s="36"/>
      <c r="H107" s="37"/>
      <c r="J107" s="36"/>
      <c r="K107" s="36"/>
      <c r="P107" s="36"/>
      <c r="Q107" s="36"/>
      <c r="R107" s="36"/>
      <c r="T107" s="36"/>
    </row>
    <row r="109" spans="1:21" x14ac:dyDescent="0.25">
      <c r="A109" s="36" t="s">
        <v>73</v>
      </c>
      <c r="B109" s="41">
        <v>-5</v>
      </c>
      <c r="C109" s="41">
        <v>-69</v>
      </c>
      <c r="D109" s="37">
        <v>73</v>
      </c>
      <c r="E109" s="36"/>
      <c r="F109" s="36"/>
      <c r="H109" s="37"/>
      <c r="J109" s="36"/>
      <c r="K109" s="36"/>
      <c r="P109" s="36"/>
      <c r="Q109" s="36"/>
      <c r="R109" s="36"/>
      <c r="T109" s="41"/>
    </row>
    <row r="110" spans="1:21" x14ac:dyDescent="0.25">
      <c r="A110" s="36" t="s">
        <v>74</v>
      </c>
      <c r="B110" s="41">
        <v>-6</v>
      </c>
      <c r="C110" s="35">
        <v>3</v>
      </c>
      <c r="D110" s="37">
        <v>34</v>
      </c>
      <c r="E110" s="36"/>
      <c r="F110" s="36"/>
      <c r="H110" s="37"/>
      <c r="J110" s="36"/>
      <c r="K110" s="36"/>
      <c r="P110" s="36"/>
      <c r="Q110" s="36"/>
      <c r="R110" s="36"/>
      <c r="T110" s="41"/>
    </row>
    <row r="111" spans="1:21" x14ac:dyDescent="0.25">
      <c r="A111" s="36" t="s">
        <v>134</v>
      </c>
      <c r="B111" s="41">
        <v>-203</v>
      </c>
      <c r="C111" s="41">
        <v>-353</v>
      </c>
      <c r="D111" s="42">
        <v>-89</v>
      </c>
      <c r="E111" s="36"/>
      <c r="F111" s="36"/>
      <c r="H111" s="42"/>
      <c r="J111" s="36"/>
      <c r="K111" s="36"/>
      <c r="P111" s="36"/>
      <c r="Q111" s="36"/>
      <c r="R111" s="36"/>
      <c r="T111" s="41"/>
    </row>
    <row r="112" spans="1:21" x14ac:dyDescent="0.25">
      <c r="A112" s="36" t="s">
        <v>135</v>
      </c>
      <c r="B112" s="36"/>
      <c r="C112" s="36"/>
      <c r="D112" s="36"/>
      <c r="E112" s="36"/>
      <c r="F112" s="36"/>
      <c r="H112" s="36"/>
      <c r="I112" s="36"/>
      <c r="J112" s="36"/>
      <c r="K112" s="36"/>
      <c r="O112" s="36"/>
      <c r="P112" s="36"/>
      <c r="Q112" s="36"/>
      <c r="R112" s="36"/>
      <c r="T112" s="36"/>
      <c r="U112" s="36"/>
    </row>
    <row r="113" spans="1:20" x14ac:dyDescent="0.25">
      <c r="A113" s="36" t="s">
        <v>84</v>
      </c>
      <c r="B113" s="35">
        <v>6</v>
      </c>
      <c r="C113" s="35">
        <v>647</v>
      </c>
      <c r="D113" s="42">
        <v>-304</v>
      </c>
      <c r="E113" s="36"/>
      <c r="F113" s="36"/>
      <c r="H113" s="42"/>
      <c r="J113" s="36"/>
      <c r="K113" s="36"/>
      <c r="P113" s="36"/>
      <c r="Q113" s="36"/>
      <c r="R113" s="36"/>
      <c r="T113" s="35"/>
    </row>
    <row r="114" spans="1:20" x14ac:dyDescent="0.25">
      <c r="A114" s="36" t="s">
        <v>85</v>
      </c>
      <c r="B114" s="36" t="s">
        <v>59</v>
      </c>
      <c r="C114" s="36" t="s">
        <v>59</v>
      </c>
      <c r="D114" s="37">
        <v>152</v>
      </c>
      <c r="E114" s="36"/>
      <c r="F114" s="36"/>
      <c r="H114" s="37"/>
      <c r="J114" s="36"/>
      <c r="K114" s="36"/>
      <c r="P114" s="36"/>
      <c r="Q114" s="36"/>
      <c r="R114" s="36"/>
      <c r="T114" s="36"/>
    </row>
    <row r="115" spans="1:20" x14ac:dyDescent="0.25">
      <c r="A115" s="36" t="s">
        <v>86</v>
      </c>
      <c r="B115" s="36" t="s">
        <v>59</v>
      </c>
      <c r="C115" s="36" t="s">
        <v>59</v>
      </c>
      <c r="D115" s="42">
        <v>-503</v>
      </c>
      <c r="E115" s="36"/>
      <c r="F115" s="36"/>
      <c r="H115" s="42"/>
      <c r="J115" s="36"/>
      <c r="K115" s="36"/>
      <c r="P115" s="36"/>
      <c r="Q115" s="36"/>
      <c r="R115" s="36"/>
      <c r="T115" s="36"/>
    </row>
    <row r="116" spans="1:20" x14ac:dyDescent="0.25">
      <c r="A116" s="36" t="s">
        <v>87</v>
      </c>
      <c r="B116" s="36" t="s">
        <v>59</v>
      </c>
      <c r="C116" s="35">
        <v>6300</v>
      </c>
      <c r="D116" s="37">
        <v>2030</v>
      </c>
      <c r="E116" s="36"/>
      <c r="F116" s="36"/>
      <c r="H116" s="37"/>
      <c r="J116" s="36"/>
      <c r="K116" s="36"/>
      <c r="P116" s="36"/>
      <c r="Q116" s="36"/>
      <c r="R116" s="36"/>
      <c r="T116" s="36"/>
    </row>
    <row r="117" spans="1:20" x14ac:dyDescent="0.25">
      <c r="A117" s="36" t="s">
        <v>88</v>
      </c>
      <c r="B117" s="36" t="s">
        <v>59</v>
      </c>
      <c r="C117" s="41">
        <v>-43</v>
      </c>
      <c r="D117" s="42">
        <v>-25</v>
      </c>
      <c r="E117" s="36"/>
      <c r="F117" s="36"/>
      <c r="H117" s="42"/>
      <c r="J117" s="36"/>
      <c r="K117" s="36"/>
      <c r="P117" s="36"/>
      <c r="Q117" s="36"/>
      <c r="R117" s="36"/>
      <c r="T117" s="36"/>
    </row>
    <row r="118" spans="1:20" x14ac:dyDescent="0.25">
      <c r="A118" s="36" t="s">
        <v>89</v>
      </c>
      <c r="B118" s="36" t="s">
        <v>59</v>
      </c>
      <c r="C118" s="41">
        <v>-1000</v>
      </c>
      <c r="D118" s="43" t="s">
        <v>59</v>
      </c>
      <c r="E118" s="36"/>
      <c r="F118" s="36"/>
      <c r="H118" s="43"/>
      <c r="J118" s="36"/>
      <c r="K118" s="36"/>
      <c r="P118" s="36"/>
      <c r="Q118" s="36"/>
      <c r="R118" s="36"/>
      <c r="T118" s="36"/>
    </row>
    <row r="120" spans="1:20" x14ac:dyDescent="0.25">
      <c r="A120" s="36" t="s">
        <v>90</v>
      </c>
      <c r="B120" s="36" t="s">
        <v>59</v>
      </c>
      <c r="C120" s="41">
        <v>-260</v>
      </c>
      <c r="D120" s="42">
        <v>-393</v>
      </c>
      <c r="E120" s="36"/>
      <c r="F120" s="36"/>
      <c r="H120" s="42"/>
      <c r="J120" s="36"/>
      <c r="K120" s="36"/>
      <c r="P120" s="36"/>
      <c r="Q120" s="36"/>
      <c r="R120" s="36"/>
      <c r="T120" s="36"/>
    </row>
    <row r="121" spans="1:20" x14ac:dyDescent="0.25">
      <c r="A121" s="36" t="s">
        <v>91</v>
      </c>
      <c r="B121" s="36" t="s">
        <v>59</v>
      </c>
      <c r="C121" s="36" t="s">
        <v>59</v>
      </c>
      <c r="D121" s="42">
        <v>-725</v>
      </c>
      <c r="E121" s="36"/>
      <c r="F121" s="36"/>
      <c r="H121" s="42"/>
      <c r="J121" s="36"/>
      <c r="K121" s="36"/>
      <c r="P121" s="36"/>
      <c r="Q121" s="36"/>
      <c r="R121" s="36"/>
      <c r="T121" s="36"/>
    </row>
    <row r="122" spans="1:20" x14ac:dyDescent="0.25">
      <c r="A122" s="36" t="s">
        <v>92</v>
      </c>
      <c r="B122" s="41">
        <v>-163</v>
      </c>
      <c r="C122" s="41">
        <v>-149</v>
      </c>
      <c r="D122" s="42">
        <v>-155</v>
      </c>
      <c r="E122" s="36"/>
      <c r="F122" s="36"/>
      <c r="H122" s="42"/>
      <c r="J122" s="36"/>
      <c r="K122" s="36"/>
      <c r="P122" s="36"/>
      <c r="Q122" s="36"/>
      <c r="R122" s="36"/>
      <c r="T122" s="41"/>
    </row>
    <row r="123" spans="1:20" x14ac:dyDescent="0.25">
      <c r="A123" s="36" t="s">
        <v>93</v>
      </c>
      <c r="B123" s="41">
        <v>-972</v>
      </c>
      <c r="C123" s="41">
        <v>-6330</v>
      </c>
      <c r="D123" s="43" t="s">
        <v>59</v>
      </c>
      <c r="E123" s="36"/>
      <c r="F123" s="36"/>
      <c r="H123" s="43"/>
      <c r="J123" s="36"/>
      <c r="K123" s="36"/>
      <c r="P123" s="36"/>
      <c r="Q123" s="36"/>
      <c r="R123" s="36"/>
      <c r="T123" s="41"/>
    </row>
    <row r="124" spans="1:20" x14ac:dyDescent="0.25">
      <c r="A124" s="36" t="s">
        <v>94</v>
      </c>
      <c r="B124" s="41">
        <v>-4</v>
      </c>
      <c r="C124" s="41">
        <v>-9</v>
      </c>
      <c r="D124" s="42">
        <v>-19</v>
      </c>
      <c r="E124" s="36"/>
      <c r="F124" s="36"/>
      <c r="H124" s="42"/>
      <c r="J124" s="36"/>
      <c r="K124" s="36"/>
      <c r="P124" s="36"/>
      <c r="Q124" s="36"/>
      <c r="R124" s="36"/>
      <c r="T124" s="41"/>
    </row>
    <row r="125" spans="1:20" x14ac:dyDescent="0.25">
      <c r="A125" s="36" t="s">
        <v>95</v>
      </c>
      <c r="B125" s="41">
        <v>-1133</v>
      </c>
      <c r="C125" s="41">
        <v>-844</v>
      </c>
      <c r="D125" s="37">
        <v>58</v>
      </c>
      <c r="E125" s="36"/>
      <c r="F125" s="36"/>
      <c r="H125" s="37"/>
      <c r="J125" s="36"/>
      <c r="K125" s="36"/>
      <c r="P125" s="36"/>
      <c r="Q125" s="36"/>
      <c r="R125" s="36"/>
      <c r="T125" s="41"/>
    </row>
    <row r="131" spans="1:21" x14ac:dyDescent="0.25">
      <c r="A131" s="36" t="s">
        <v>75</v>
      </c>
      <c r="B131" s="41">
        <v>-20</v>
      </c>
      <c r="C131" s="35">
        <v>59</v>
      </c>
      <c r="D131" s="42">
        <v>-43</v>
      </c>
      <c r="E131" s="36"/>
      <c r="F131" s="36"/>
      <c r="H131" s="42"/>
      <c r="J131" s="36"/>
      <c r="K131" s="36"/>
      <c r="P131" s="36"/>
      <c r="Q131" s="36"/>
      <c r="R131" s="36"/>
      <c r="T131" s="41"/>
    </row>
    <row r="132" spans="1:21" x14ac:dyDescent="0.25">
      <c r="A132" s="36" t="s">
        <v>76</v>
      </c>
      <c r="B132" s="35">
        <v>113</v>
      </c>
      <c r="C132" s="35">
        <v>342</v>
      </c>
      <c r="D132" s="37">
        <v>1676</v>
      </c>
      <c r="E132" s="36"/>
      <c r="F132" s="36"/>
      <c r="H132" s="37"/>
      <c r="J132" s="36"/>
      <c r="K132" s="36"/>
      <c r="P132" s="36"/>
      <c r="Q132" s="36"/>
      <c r="R132" s="36"/>
      <c r="T132" s="35"/>
    </row>
    <row r="133" spans="1:21" x14ac:dyDescent="0.25">
      <c r="A133" s="36" t="s">
        <v>77</v>
      </c>
      <c r="B133" s="35">
        <v>1346</v>
      </c>
      <c r="C133" s="35">
        <v>1459</v>
      </c>
      <c r="D133" s="37">
        <v>1801</v>
      </c>
      <c r="E133" s="36"/>
      <c r="F133" s="36"/>
      <c r="H133" s="37"/>
      <c r="J133" s="36"/>
      <c r="K133" s="36"/>
      <c r="P133" s="36"/>
      <c r="Q133" s="36"/>
      <c r="R133" s="36"/>
      <c r="T133" s="35"/>
    </row>
    <row r="134" spans="1:21" x14ac:dyDescent="0.25">
      <c r="A134" s="36" t="s">
        <v>78</v>
      </c>
      <c r="B134" s="35">
        <v>1459</v>
      </c>
      <c r="C134" s="35">
        <v>1801</v>
      </c>
      <c r="D134" s="37">
        <v>3477</v>
      </c>
      <c r="E134" s="36"/>
      <c r="F134" s="36"/>
      <c r="H134" s="37"/>
      <c r="J134" s="36"/>
      <c r="K134" s="36"/>
      <c r="P134" s="36"/>
      <c r="Q134" s="36"/>
      <c r="R134" s="36"/>
      <c r="T134" s="35"/>
    </row>
    <row r="135" spans="1:21" x14ac:dyDescent="0.25">
      <c r="A135" s="36" t="s">
        <v>79</v>
      </c>
      <c r="B135" s="35">
        <v>13</v>
      </c>
      <c r="C135" s="35">
        <v>19</v>
      </c>
      <c r="D135" s="37">
        <v>1912</v>
      </c>
      <c r="E135" s="36"/>
      <c r="F135" s="36"/>
      <c r="H135" s="37"/>
      <c r="J135" s="36"/>
      <c r="K135" s="36"/>
      <c r="P135" s="36"/>
      <c r="Q135" s="36"/>
      <c r="R135" s="36"/>
      <c r="T135" s="35"/>
    </row>
    <row r="136" spans="1:21" x14ac:dyDescent="0.25">
      <c r="A136" s="36" t="s">
        <v>80</v>
      </c>
      <c r="B136" s="39">
        <v>1446</v>
      </c>
      <c r="C136" s="39">
        <v>1782</v>
      </c>
      <c r="D136" s="38">
        <v>1565</v>
      </c>
      <c r="E136" s="36"/>
      <c r="F136" s="36"/>
      <c r="H136" s="38"/>
      <c r="J136" s="36"/>
      <c r="K136" s="36"/>
      <c r="P136" s="36"/>
      <c r="Q136" s="36"/>
      <c r="R136" s="36"/>
      <c r="T136" s="39"/>
    </row>
    <row r="137" spans="1:21" x14ac:dyDescent="0.25">
      <c r="A137" s="40" t="s">
        <v>81</v>
      </c>
      <c r="B137" s="36"/>
      <c r="C137" s="36"/>
      <c r="D137" s="36"/>
      <c r="E137" s="36"/>
      <c r="F137" s="36"/>
      <c r="H137" s="36"/>
      <c r="I137" s="36"/>
      <c r="J137" s="36"/>
      <c r="K137" s="36"/>
      <c r="O137" s="36"/>
      <c r="P137" s="36"/>
      <c r="Q137" s="36"/>
      <c r="R137" s="36"/>
      <c r="T137" s="36"/>
      <c r="U137" s="36"/>
    </row>
    <row r="138" spans="1:21" x14ac:dyDescent="0.25">
      <c r="A138" s="36" t="s">
        <v>82</v>
      </c>
      <c r="B138" s="39">
        <v>18</v>
      </c>
      <c r="C138" s="39">
        <v>81</v>
      </c>
      <c r="D138" s="38">
        <v>129</v>
      </c>
      <c r="E138" s="36"/>
      <c r="F138" s="36"/>
      <c r="H138" s="38"/>
      <c r="J138" s="36"/>
      <c r="K138" s="36"/>
      <c r="P138" s="36"/>
      <c r="Q138" s="36"/>
      <c r="R138" s="36"/>
      <c r="T138" s="39"/>
    </row>
    <row r="139" spans="1:21" x14ac:dyDescent="0.25">
      <c r="A139" s="36" t="s">
        <v>83</v>
      </c>
      <c r="B139" s="35">
        <v>632</v>
      </c>
      <c r="C139" s="35">
        <v>561</v>
      </c>
      <c r="D139" s="37">
        <v>552</v>
      </c>
      <c r="E139" s="36"/>
      <c r="F139" s="36"/>
      <c r="H139" s="37"/>
      <c r="J139" s="36"/>
      <c r="K139" s="36"/>
      <c r="P139" s="36"/>
      <c r="Q139" s="36"/>
      <c r="R139" s="36"/>
      <c r="T139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P15" sqref="P15"/>
    </sheetView>
  </sheetViews>
  <sheetFormatPr defaultRowHeight="15" x14ac:dyDescent="0.25"/>
  <cols>
    <col min="1" max="1" width="2.42578125" customWidth="1"/>
    <col min="2" max="2" width="31.85546875" customWidth="1"/>
    <col min="3" max="10" width="10.28515625" customWidth="1"/>
  </cols>
  <sheetData>
    <row r="1" spans="2:10" x14ac:dyDescent="0.25">
      <c r="B1" s="4" t="s">
        <v>0</v>
      </c>
    </row>
    <row r="2" spans="2:10" x14ac:dyDescent="0.25">
      <c r="B2" s="2" t="s">
        <v>2</v>
      </c>
      <c r="C2" s="46">
        <v>43830</v>
      </c>
      <c r="D2" s="46">
        <f>EOMONTH(C2,12)</f>
        <v>44196</v>
      </c>
      <c r="E2" s="46">
        <f t="shared" ref="E2:J2" si="0">EOMONTH(D2,12)</f>
        <v>44561</v>
      </c>
      <c r="F2" s="47">
        <f t="shared" si="0"/>
        <v>44926</v>
      </c>
      <c r="G2" s="47">
        <f t="shared" si="0"/>
        <v>45291</v>
      </c>
      <c r="H2" s="47">
        <f t="shared" si="0"/>
        <v>45657</v>
      </c>
      <c r="I2" s="47">
        <f t="shared" si="0"/>
        <v>46022</v>
      </c>
      <c r="J2" s="47">
        <f t="shared" si="0"/>
        <v>46387</v>
      </c>
    </row>
    <row r="4" spans="2:10" x14ac:dyDescent="0.25">
      <c r="B4" s="3" t="s">
        <v>1</v>
      </c>
    </row>
    <row r="5" spans="2:10" x14ac:dyDescent="0.25">
      <c r="B5" s="6" t="s">
        <v>12</v>
      </c>
      <c r="C5" s="20">
        <f>'Raw data'!B6</f>
        <v>5648</v>
      </c>
      <c r="D5" s="20">
        <f>'Raw data'!C6</f>
        <v>5371</v>
      </c>
      <c r="E5" s="20">
        <f>'Raw data'!D6</f>
        <v>6428</v>
      </c>
      <c r="F5" s="70">
        <f>Projections!F5*Projections!F8</f>
        <v>6685.12</v>
      </c>
      <c r="G5" s="70">
        <f>Projections!G5*Projections!G8</f>
        <v>7029.7750755555562</v>
      </c>
      <c r="H5" s="70">
        <f>Projections!H5*Projections!H8</f>
        <v>7391.3063651555567</v>
      </c>
      <c r="I5" s="70">
        <f>Projections!I5*Projections!I8</f>
        <v>7654.4208036977789</v>
      </c>
      <c r="J5" s="70">
        <f>Projections!J5*Projections!J8</f>
        <v>7884.0534278087125</v>
      </c>
    </row>
    <row r="6" spans="2:10" x14ac:dyDescent="0.25">
      <c r="B6" s="6" t="s">
        <v>13</v>
      </c>
      <c r="C6" s="20">
        <f>'Raw data'!B7</f>
        <v>7470</v>
      </c>
      <c r="D6" s="20">
        <f>'Raw data'!C7</f>
        <v>7385</v>
      </c>
      <c r="E6" s="20">
        <f>'Raw data'!D7</f>
        <v>7870</v>
      </c>
      <c r="F6" s="70">
        <f>Projections!F10*Projections!F13</f>
        <v>8470.0874999999996</v>
      </c>
      <c r="G6" s="70">
        <f>Projections!G10*Projections!G13</f>
        <v>9072.5224734374988</v>
      </c>
      <c r="H6" s="70">
        <f>Projections!H10*Projections!H13</f>
        <v>9671.3089566843737</v>
      </c>
      <c r="I6" s="70">
        <f>Projections!I10*Projections!I13</f>
        <v>10260.049889422533</v>
      </c>
      <c r="J6" s="70">
        <f>Projections!J10*Projections!J13</f>
        <v>10832.047670757838</v>
      </c>
    </row>
    <row r="7" spans="2:10" x14ac:dyDescent="0.25">
      <c r="B7" s="2" t="s">
        <v>14</v>
      </c>
      <c r="C7" s="21">
        <f>SUM(C5:C6)</f>
        <v>13118</v>
      </c>
      <c r="D7" s="21">
        <f>SUM(D5:D6)</f>
        <v>12756</v>
      </c>
      <c r="E7" s="21">
        <f>SUM(E5:E6)</f>
        <v>14298</v>
      </c>
      <c r="F7" s="71">
        <f t="shared" ref="F7:J7" si="1">SUM(F5:F6)</f>
        <v>15155.2075</v>
      </c>
      <c r="G7" s="71">
        <f t="shared" si="1"/>
        <v>16102.297548993054</v>
      </c>
      <c r="H7" s="71">
        <f t="shared" si="1"/>
        <v>17062.61532183993</v>
      </c>
      <c r="I7" s="71">
        <f t="shared" si="1"/>
        <v>17914.470693120311</v>
      </c>
      <c r="J7" s="71">
        <f t="shared" si="1"/>
        <v>18716.101098566549</v>
      </c>
    </row>
    <row r="8" spans="2:10" x14ac:dyDescent="0.25">
      <c r="F8" s="72"/>
      <c r="G8" s="72"/>
      <c r="H8" s="72"/>
      <c r="I8" s="72"/>
      <c r="J8" s="72"/>
    </row>
    <row r="9" spans="2:10" x14ac:dyDescent="0.25">
      <c r="B9" s="3" t="s">
        <v>3</v>
      </c>
      <c r="F9" s="72"/>
      <c r="G9" s="72"/>
      <c r="H9" s="72"/>
      <c r="I9" s="72"/>
      <c r="J9" s="72"/>
    </row>
    <row r="10" spans="2:10" x14ac:dyDescent="0.25">
      <c r="B10" s="6" t="s">
        <v>16</v>
      </c>
      <c r="C10" s="5">
        <f>'Raw data'!B10</f>
        <v>4640</v>
      </c>
      <c r="D10" s="5">
        <f>'Raw data'!C10</f>
        <v>4439</v>
      </c>
      <c r="E10" s="5">
        <f>'Raw data'!D10</f>
        <v>5293</v>
      </c>
      <c r="F10" s="73">
        <f>F5*Projections!F17</f>
        <v>5507.2776450454639</v>
      </c>
      <c r="G10" s="73">
        <f>G5*Projections!G17</f>
        <v>5791.208403634475</v>
      </c>
      <c r="H10" s="73">
        <f>H5*Projections!H17</f>
        <v>6089.0419786785342</v>
      </c>
      <c r="I10" s="73">
        <f>I5*Projections!I17</f>
        <v>6305.7986360717096</v>
      </c>
      <c r="J10" s="73">
        <f>J5*Projections!J17</f>
        <v>6494.9725951538612</v>
      </c>
    </row>
    <row r="11" spans="2:10" x14ac:dyDescent="0.25">
      <c r="B11" s="6" t="s">
        <v>17</v>
      </c>
      <c r="C11" s="5">
        <f>'Raw data'!B11</f>
        <v>4652</v>
      </c>
      <c r="D11" s="5">
        <f>'Raw data'!C11</f>
        <v>4538</v>
      </c>
      <c r="E11" s="5">
        <f>'Raw data'!D11</f>
        <v>4812</v>
      </c>
      <c r="F11" s="73">
        <f>F6*Projections!F18</f>
        <v>5219.5004452248168</v>
      </c>
      <c r="G11" s="73">
        <f>G6*Projections!G18</f>
        <v>5590.7374143914312</v>
      </c>
      <c r="H11" s="73">
        <f>H6*Projections!H18</f>
        <v>5959.7260837412659</v>
      </c>
      <c r="I11" s="73">
        <f>I6*Projections!I18</f>
        <v>6322.5244090890146</v>
      </c>
      <c r="J11" s="73">
        <f>J6*Projections!J18</f>
        <v>6675.0051448957265</v>
      </c>
    </row>
    <row r="12" spans="2:10" x14ac:dyDescent="0.25">
      <c r="B12" s="2" t="s">
        <v>15</v>
      </c>
      <c r="C12" s="21">
        <f>SUM(C10:C11)</f>
        <v>9292</v>
      </c>
      <c r="D12" s="21">
        <f>SUM(D10:D11)</f>
        <v>8977</v>
      </c>
      <c r="E12" s="21">
        <f>SUM(E10:E11)</f>
        <v>10105</v>
      </c>
      <c r="F12" s="74">
        <f>SUM(F10:F11)</f>
        <v>10726.77809027028</v>
      </c>
      <c r="G12" s="74">
        <f t="shared" ref="G12:J12" si="2">SUM(G10:G11)</f>
        <v>11381.945818025906</v>
      </c>
      <c r="H12" s="74">
        <f t="shared" si="2"/>
        <v>12048.7680624198</v>
      </c>
      <c r="I12" s="74">
        <f t="shared" si="2"/>
        <v>12628.323045160723</v>
      </c>
      <c r="J12" s="74">
        <f t="shared" si="2"/>
        <v>13169.977740049588</v>
      </c>
    </row>
    <row r="13" spans="2:10" x14ac:dyDescent="0.25">
      <c r="F13" s="72"/>
      <c r="G13" s="72"/>
      <c r="H13" s="75"/>
      <c r="I13" s="72"/>
      <c r="J13" s="72"/>
    </row>
    <row r="14" spans="2:10" x14ac:dyDescent="0.25">
      <c r="B14" s="2" t="s">
        <v>21</v>
      </c>
      <c r="C14" s="22">
        <f>C7-C12</f>
        <v>3826</v>
      </c>
      <c r="D14" s="22">
        <f t="shared" ref="D14:E14" si="3">D7-D12</f>
        <v>3779</v>
      </c>
      <c r="E14" s="22">
        <f t="shared" si="3"/>
        <v>4193</v>
      </c>
      <c r="F14" s="76">
        <f>F7-F12</f>
        <v>4428.4294097297206</v>
      </c>
      <c r="G14" s="76">
        <f t="shared" ref="G14:J14" si="4">G7-G12</f>
        <v>4720.3517309671479</v>
      </c>
      <c r="H14" s="76">
        <f t="shared" si="4"/>
        <v>5013.8472594201303</v>
      </c>
      <c r="I14" s="76">
        <f t="shared" si="4"/>
        <v>5286.1476479595876</v>
      </c>
      <c r="J14" s="76">
        <f t="shared" si="4"/>
        <v>5546.1233585169612</v>
      </c>
    </row>
    <row r="15" spans="2:10" x14ac:dyDescent="0.25">
      <c r="C15" s="23">
        <f>C14/C7</f>
        <v>0.29166031407226711</v>
      </c>
      <c r="D15" s="23">
        <f t="shared" ref="D15:E15" si="5">D14/D7</f>
        <v>0.29625274380683597</v>
      </c>
      <c r="E15" s="23">
        <f t="shared" si="5"/>
        <v>0.2932577982934676</v>
      </c>
      <c r="F15" s="77">
        <f t="shared" ref="F15:J15" si="6">F14/F7</f>
        <v>0.29220513211249138</v>
      </c>
      <c r="G15" s="77">
        <f t="shared" si="6"/>
        <v>0.29314771489006125</v>
      </c>
      <c r="H15" s="77">
        <f t="shared" si="6"/>
        <v>0.29384986796264873</v>
      </c>
      <c r="I15" s="77">
        <f t="shared" si="6"/>
        <v>0.2950769653490028</v>
      </c>
      <c r="J15" s="77">
        <f t="shared" si="6"/>
        <v>0.29632899124175677</v>
      </c>
    </row>
    <row r="16" spans="2:10" x14ac:dyDescent="0.25">
      <c r="F16" s="72"/>
      <c r="G16" s="72"/>
      <c r="H16" s="72"/>
      <c r="I16" s="72"/>
      <c r="J16" s="72"/>
    </row>
    <row r="17" spans="2:10" x14ac:dyDescent="0.25">
      <c r="B17" s="2" t="s">
        <v>20</v>
      </c>
      <c r="C17" s="67">
        <f>SUM('Raw data'!B12:B13)</f>
        <v>1973</v>
      </c>
      <c r="D17" s="67">
        <f>SUM('Raw data'!C12:C13)</f>
        <v>2076</v>
      </c>
      <c r="E17" s="67">
        <f>SUM('Raw data'!D12:D13)</f>
        <v>2107</v>
      </c>
      <c r="F17" s="78">
        <f>F7*Projections!F20</f>
        <v>2326.3962637650175</v>
      </c>
      <c r="G17" s="78">
        <f>G7*Projections!G20</f>
        <v>2471.7790802936902</v>
      </c>
      <c r="H17" s="78">
        <f>H7*Projections!H20</f>
        <v>2619.1924152003958</v>
      </c>
      <c r="I17" s="78">
        <f>I7*Projections!I20</f>
        <v>2749.9562568049955</v>
      </c>
      <c r="J17" s="78">
        <f>J7*Projections!J20</f>
        <v>2873.0103278330935</v>
      </c>
    </row>
    <row r="18" spans="2:10" x14ac:dyDescent="0.25">
      <c r="F18" s="72"/>
      <c r="G18" s="72"/>
      <c r="H18" s="72"/>
      <c r="I18" s="72"/>
      <c r="J18" s="72"/>
    </row>
    <row r="19" spans="2:10" x14ac:dyDescent="0.25">
      <c r="B19" s="2" t="s">
        <v>22</v>
      </c>
      <c r="C19" s="20">
        <f>'Raw data'!B15</f>
        <v>-39</v>
      </c>
      <c r="D19" s="20">
        <f>'Raw data'!C15</f>
        <v>-64</v>
      </c>
      <c r="E19" s="20">
        <f>'Raw data'!D15</f>
        <v>22</v>
      </c>
      <c r="F19" s="70">
        <f>$E$19</f>
        <v>22</v>
      </c>
      <c r="G19" s="70">
        <f t="shared" ref="G19:J19" si="7">$E$19</f>
        <v>22</v>
      </c>
      <c r="H19" s="70">
        <f t="shared" si="7"/>
        <v>22</v>
      </c>
      <c r="I19" s="70">
        <f t="shared" si="7"/>
        <v>22</v>
      </c>
      <c r="J19" s="70">
        <f t="shared" si="7"/>
        <v>22</v>
      </c>
    </row>
    <row r="20" spans="2:10" x14ac:dyDescent="0.25">
      <c r="B20" s="2" t="s">
        <v>100</v>
      </c>
      <c r="C20" s="24">
        <f>C14-C17+C19</f>
        <v>1814</v>
      </c>
      <c r="D20" s="24">
        <f>D14-D17+D19</f>
        <v>1639</v>
      </c>
      <c r="E20" s="24">
        <f>E14-E17+E19</f>
        <v>2108</v>
      </c>
      <c r="F20" s="79">
        <f>F14-F17+F19</f>
        <v>2124.0331459647032</v>
      </c>
      <c r="G20" s="79">
        <f t="shared" ref="G20:I20" si="8">G14-G17+G19</f>
        <v>2270.5726506734577</v>
      </c>
      <c r="H20" s="79">
        <f>H14-H17+H19</f>
        <v>2416.6548442197345</v>
      </c>
      <c r="I20" s="79">
        <f t="shared" si="8"/>
        <v>2558.1913911545921</v>
      </c>
      <c r="J20" s="79">
        <f>J14-J17+J19</f>
        <v>2695.1130306838677</v>
      </c>
    </row>
    <row r="21" spans="2:10" x14ac:dyDescent="0.25">
      <c r="D21" s="6"/>
      <c r="E21" s="6"/>
      <c r="F21" s="72"/>
      <c r="G21" s="72"/>
      <c r="H21" s="72"/>
      <c r="I21" s="72"/>
      <c r="J21" s="72"/>
    </row>
    <row r="22" spans="2:10" x14ac:dyDescent="0.25">
      <c r="B22" t="s">
        <v>23</v>
      </c>
      <c r="C22" s="20">
        <f>'Raw data'!B17</f>
        <v>-33</v>
      </c>
      <c r="D22" s="20">
        <f>'Raw data'!C17</f>
        <v>6</v>
      </c>
      <c r="E22" s="20">
        <f>'Raw data'!D17</f>
        <v>11</v>
      </c>
      <c r="F22" s="80">
        <f>$E$22</f>
        <v>11</v>
      </c>
      <c r="G22" s="80">
        <f t="shared" ref="G22:J22" si="9">$E$22</f>
        <v>11</v>
      </c>
      <c r="H22" s="80">
        <f t="shared" si="9"/>
        <v>11</v>
      </c>
      <c r="I22" s="80">
        <f t="shared" si="9"/>
        <v>11</v>
      </c>
      <c r="J22" s="80">
        <f t="shared" si="9"/>
        <v>11</v>
      </c>
    </row>
    <row r="23" spans="2:10" x14ac:dyDescent="0.25">
      <c r="B23" t="s">
        <v>101</v>
      </c>
      <c r="C23" s="20">
        <f>'Raw data'!B18</f>
        <v>-14</v>
      </c>
      <c r="D23" s="20">
        <f>'Raw data'!C18</f>
        <v>122</v>
      </c>
      <c r="E23" s="20">
        <f>'Raw data'!D18</f>
        <v>136</v>
      </c>
      <c r="F23" s="80">
        <f>Projections!$F$45*'Balance Sheet'!E21</f>
        <v>181.82500000000002</v>
      </c>
      <c r="G23" s="80">
        <f>Projections!$F$45*'Balance Sheet'!F21</f>
        <v>176.00503191502415</v>
      </c>
      <c r="H23" s="80">
        <f>Projections!$F$45*'Balance Sheet'!G21</f>
        <v>172.40760993249717</v>
      </c>
      <c r="I23" s="80">
        <f>Projections!$F$45*'Balance Sheet'!H21</f>
        <v>168.57396097823275</v>
      </c>
      <c r="J23" s="80">
        <f>Projections!$F$45*'Balance Sheet'!I21</f>
        <v>164.63513258114051</v>
      </c>
    </row>
    <row r="24" spans="2:10" ht="15.75" thickBot="1" x14ac:dyDescent="0.3">
      <c r="B24" s="2" t="s">
        <v>99</v>
      </c>
      <c r="C24" s="25">
        <f>C20-C22-C23</f>
        <v>1861</v>
      </c>
      <c r="D24" s="25">
        <f>D20-D22-D23</f>
        <v>1511</v>
      </c>
      <c r="E24" s="25">
        <f>E20-E22-E23</f>
        <v>1961</v>
      </c>
      <c r="F24" s="81">
        <f t="shared" ref="F24:J24" si="10">F20-F22-F23</f>
        <v>1931.2081459647031</v>
      </c>
      <c r="G24" s="81">
        <f t="shared" si="10"/>
        <v>2083.5676187584336</v>
      </c>
      <c r="H24" s="81">
        <f t="shared" si="10"/>
        <v>2233.2472342872375</v>
      </c>
      <c r="I24" s="81">
        <f t="shared" si="10"/>
        <v>2378.6174301763594</v>
      </c>
      <c r="J24" s="81">
        <f t="shared" si="10"/>
        <v>2519.4778981027271</v>
      </c>
    </row>
    <row r="25" spans="2:10" x14ac:dyDescent="0.25">
      <c r="F25" s="72"/>
      <c r="G25" s="72"/>
      <c r="H25" s="72"/>
      <c r="I25" s="72"/>
      <c r="J25" s="72"/>
    </row>
    <row r="26" spans="2:10" x14ac:dyDescent="0.25">
      <c r="B26" t="s">
        <v>4</v>
      </c>
      <c r="C26" s="20">
        <f>'Raw data'!B20</f>
        <v>594</v>
      </c>
      <c r="D26" s="20">
        <f>'Raw data'!C20</f>
        <v>455</v>
      </c>
      <c r="E26" s="20">
        <f>'Raw data'!D20</f>
        <v>541</v>
      </c>
      <c r="F26" s="70">
        <f>Projections!F22*'Income Statement'!F24</f>
        <v>576.90850316506373</v>
      </c>
      <c r="G26" s="70">
        <f>Projections!G22*'Income Statement'!G24</f>
        <v>622.42274541601569</v>
      </c>
      <c r="H26" s="70">
        <f>Projections!H22*'Income Statement'!H24</f>
        <v>667.13643571888508</v>
      </c>
      <c r="I26" s="70">
        <f>Projections!I22*'Income Statement'!I24</f>
        <v>710.56277600770568</v>
      </c>
      <c r="J26" s="70">
        <f>Projections!J22*'Income Statement'!J24</f>
        <v>752.64192831261551</v>
      </c>
    </row>
    <row r="27" spans="2:10" x14ac:dyDescent="0.25">
      <c r="B27" s="2" t="s">
        <v>5</v>
      </c>
      <c r="C27" s="21">
        <f>C24-C26</f>
        <v>1267</v>
      </c>
      <c r="D27" s="21">
        <f>D24-D26</f>
        <v>1056</v>
      </c>
      <c r="E27" s="21">
        <f>E24-E26</f>
        <v>1420</v>
      </c>
      <c r="F27" s="71">
        <f t="shared" ref="F27:J27" si="11">F24-F26</f>
        <v>1354.2996427996395</v>
      </c>
      <c r="G27" s="71">
        <f t="shared" si="11"/>
        <v>1461.1448733424179</v>
      </c>
      <c r="H27" s="71">
        <f t="shared" si="11"/>
        <v>1566.1107985683525</v>
      </c>
      <c r="I27" s="71">
        <f t="shared" si="11"/>
        <v>1668.0546541686538</v>
      </c>
      <c r="J27" s="71">
        <f t="shared" si="11"/>
        <v>1766.8359697901114</v>
      </c>
    </row>
    <row r="28" spans="2:10" x14ac:dyDescent="0.25">
      <c r="F28" s="72"/>
      <c r="G28" s="72"/>
      <c r="H28" s="72"/>
      <c r="I28" s="72"/>
      <c r="J28" s="72"/>
    </row>
    <row r="29" spans="2:10" x14ac:dyDescent="0.25">
      <c r="B29" t="s">
        <v>24</v>
      </c>
      <c r="C29" s="20">
        <f>'Raw data'!B22</f>
        <v>151</v>
      </c>
      <c r="D29" s="20">
        <f>'Raw data'!C22</f>
        <v>150</v>
      </c>
      <c r="E29" s="20">
        <f>'Raw data'!D22</f>
        <v>174</v>
      </c>
      <c r="F29" s="70">
        <f>Projections!F24*'Income Statement'!F27</f>
        <v>173.24193319812755</v>
      </c>
      <c r="G29" s="70">
        <f>Projections!G24*'Income Statement'!G27</f>
        <v>186.90956900578831</v>
      </c>
      <c r="H29" s="70">
        <f>Projections!H24*'Income Statement'!H27</f>
        <v>200.33680418431913</v>
      </c>
      <c r="I29" s="70">
        <f>Projections!I24*'Income Statement'!I27</f>
        <v>213.37745638840434</v>
      </c>
      <c r="J29" s="70">
        <f>Projections!J24*'Income Statement'!J27</f>
        <v>226.01355665845921</v>
      </c>
    </row>
    <row r="30" spans="2:10" x14ac:dyDescent="0.25">
      <c r="B30" s="2" t="s">
        <v>25</v>
      </c>
      <c r="C30" s="21">
        <f>C27-C29</f>
        <v>1116</v>
      </c>
      <c r="D30" s="21">
        <f>D27-D29</f>
        <v>906</v>
      </c>
      <c r="E30" s="21">
        <f>E27-E29</f>
        <v>1246</v>
      </c>
      <c r="F30" s="71">
        <f t="shared" ref="F30:J30" si="12">F27-F29</f>
        <v>1181.057709601512</v>
      </c>
      <c r="G30" s="71">
        <f t="shared" si="12"/>
        <v>1274.2353043366295</v>
      </c>
      <c r="H30" s="71">
        <f t="shared" si="12"/>
        <v>1365.7739943840334</v>
      </c>
      <c r="I30" s="71">
        <f t="shared" si="12"/>
        <v>1454.6771977802493</v>
      </c>
      <c r="J30" s="71">
        <f t="shared" si="12"/>
        <v>1540.8224131316522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2057-89A6-47F0-A7DF-EF4011C1351F}">
  <dimension ref="B1:J32"/>
  <sheetViews>
    <sheetView showGridLines="0" workbookViewId="0">
      <selection activeCell="J15" sqref="J15"/>
    </sheetView>
  </sheetViews>
  <sheetFormatPr defaultRowHeight="15" x14ac:dyDescent="0.25"/>
  <cols>
    <col min="1" max="1" width="2.85546875" customWidth="1"/>
    <col min="2" max="2" width="31.42578125" customWidth="1"/>
    <col min="4" max="5" width="11.28515625" bestFit="1" customWidth="1"/>
  </cols>
  <sheetData>
    <row r="1" spans="2:10" x14ac:dyDescent="0.25">
      <c r="B1" s="4" t="s">
        <v>0</v>
      </c>
    </row>
    <row r="2" spans="2:10" x14ac:dyDescent="0.25">
      <c r="B2" s="2" t="s">
        <v>146</v>
      </c>
      <c r="C2" s="46">
        <v>43830</v>
      </c>
      <c r="D2" s="46">
        <f>EOMONTH(C2,12)</f>
        <v>44196</v>
      </c>
      <c r="E2" s="46">
        <f t="shared" ref="E2:J2" si="0">EOMONTH(D2,12)</f>
        <v>44561</v>
      </c>
      <c r="F2" s="47">
        <f t="shared" si="0"/>
        <v>44926</v>
      </c>
      <c r="G2" s="47">
        <f t="shared" si="0"/>
        <v>45291</v>
      </c>
      <c r="H2" s="47">
        <f t="shared" si="0"/>
        <v>45657</v>
      </c>
      <c r="I2" s="47">
        <f t="shared" si="0"/>
        <v>46022</v>
      </c>
      <c r="J2" s="47">
        <f t="shared" si="0"/>
        <v>46387</v>
      </c>
    </row>
    <row r="4" spans="2:10" x14ac:dyDescent="0.25">
      <c r="B4" s="3" t="s">
        <v>6</v>
      </c>
    </row>
    <row r="5" spans="2:10" x14ac:dyDescent="0.25">
      <c r="B5" s="31" t="s">
        <v>26</v>
      </c>
      <c r="D5" s="16">
        <f>SUM('Raw data'!C39:C40)</f>
        <v>1799</v>
      </c>
      <c r="E5" s="16">
        <f>SUM('Raw data'!D39:D40)</f>
        <v>3475</v>
      </c>
      <c r="F5" s="82">
        <f>E5+'Cash Flow'!F27</f>
        <v>3000.0000000000005</v>
      </c>
      <c r="G5" s="82">
        <f>F5+'Cash Flow'!G27</f>
        <v>3000</v>
      </c>
      <c r="H5" s="82">
        <f>G5+'Cash Flow'!H27</f>
        <v>3000.0000000000009</v>
      </c>
      <c r="I5" s="82">
        <f>H5+'Cash Flow'!I27</f>
        <v>3000</v>
      </c>
      <c r="J5" s="82">
        <f>I5+'Cash Flow'!J27</f>
        <v>3000</v>
      </c>
    </row>
    <row r="6" spans="2:10" x14ac:dyDescent="0.25">
      <c r="B6" s="31" t="s">
        <v>28</v>
      </c>
      <c r="D6" s="16">
        <f>'Raw data'!C41</f>
        <v>3148</v>
      </c>
      <c r="E6" s="16">
        <f>'Raw data'!D41</f>
        <v>3232</v>
      </c>
      <c r="F6" s="82">
        <f>Projections!F28*'Income Statement'!F7</f>
        <v>3582.92919481647</v>
      </c>
      <c r="G6" s="82">
        <f>Projections!G28*'Income Statement'!G7</f>
        <v>3806.8361645268733</v>
      </c>
      <c r="H6" s="82">
        <f>Projections!H28*'Income Statement'!H7</f>
        <v>4033.8703760105632</v>
      </c>
      <c r="I6" s="82">
        <f>Projections!I28*'Income Statement'!I7</f>
        <v>4235.26237143667</v>
      </c>
      <c r="J6" s="82">
        <f>Projections!J28*'Income Statement'!J7</f>
        <v>4424.7803957280494</v>
      </c>
    </row>
    <row r="7" spans="2:10" x14ac:dyDescent="0.25">
      <c r="B7" s="31" t="s">
        <v>127</v>
      </c>
      <c r="D7" s="16">
        <f>SUM('Raw data'!C42:C44)</f>
        <v>1546</v>
      </c>
      <c r="E7" s="16">
        <f>SUM('Raw data'!D42:D44)</f>
        <v>1554</v>
      </c>
      <c r="F7" s="82">
        <f>Projections!F29*'Income Statement'!F12</f>
        <v>1748.4816965087578</v>
      </c>
      <c r="G7" s="82">
        <f>Projections!G29*'Income Statement'!G12</f>
        <v>1855.2750663802772</v>
      </c>
      <c r="H7" s="82">
        <f>Projections!H29*'Income Statement'!H12</f>
        <v>1963.9681407904925</v>
      </c>
      <c r="I7" s="82">
        <f>Projections!I29*'Income Statement'!I12</f>
        <v>2058.4365143240238</v>
      </c>
      <c r="J7" s="82">
        <f>Projections!J29*'Income Statement'!J12</f>
        <v>2146.7270813396926</v>
      </c>
    </row>
    <row r="8" spans="2:10" x14ac:dyDescent="0.25">
      <c r="B8" s="7" t="s">
        <v>32</v>
      </c>
      <c r="C8" s="7"/>
      <c r="D8" s="32">
        <f>SUM(D5:D7)</f>
        <v>6493</v>
      </c>
      <c r="E8" s="32">
        <f>SUM(E5:E7)</f>
        <v>8261</v>
      </c>
      <c r="F8" s="83">
        <f t="shared" ref="F8:J8" si="1">SUM(F5:F7)</f>
        <v>8331.4108913252276</v>
      </c>
      <c r="G8" s="83">
        <f t="shared" si="1"/>
        <v>8662.1112309071505</v>
      </c>
      <c r="H8" s="83">
        <f t="shared" si="1"/>
        <v>8997.8385168010554</v>
      </c>
      <c r="I8" s="83">
        <f t="shared" si="1"/>
        <v>9293.6988857606939</v>
      </c>
      <c r="J8" s="83">
        <f t="shared" si="1"/>
        <v>9571.507477067742</v>
      </c>
    </row>
    <row r="9" spans="2:10" x14ac:dyDescent="0.25">
      <c r="D9" s="16"/>
      <c r="E9" s="16"/>
      <c r="F9" s="84"/>
      <c r="G9" s="72"/>
      <c r="H9" s="72"/>
      <c r="I9" s="72"/>
      <c r="J9" s="72"/>
    </row>
    <row r="10" spans="2:10" x14ac:dyDescent="0.25">
      <c r="B10" s="31" t="s">
        <v>128</v>
      </c>
      <c r="D10" s="16">
        <f>'Raw data'!C47+'Raw data'!C49+'Raw data'!C50</f>
        <v>3031</v>
      </c>
      <c r="E10" s="16">
        <f>'Raw data'!D47+'Raw data'!D49+'Raw data'!D50</f>
        <v>2860</v>
      </c>
      <c r="F10" s="82">
        <f>E10-'Cash Flow'!F13-'Cash Flow'!F7</f>
        <v>2826.7473604559768</v>
      </c>
      <c r="G10" s="82">
        <f>F10-'Cash Flow'!G13-'Cash Flow'!G7</f>
        <v>2791.4166732168032</v>
      </c>
      <c r="H10" s="82">
        <f>G10-'Cash Flow'!H13-'Cash Flow'!H7</f>
        <v>2753.9789148109567</v>
      </c>
      <c r="I10" s="82">
        <f>H10-'Cash Flow'!I13-'Cash Flow'!I7</f>
        <v>2714.6720668789635</v>
      </c>
      <c r="J10" s="82">
        <f>I10-'Cash Flow'!J13-'Cash Flow'!J7</f>
        <v>2673.6063300027026</v>
      </c>
    </row>
    <row r="11" spans="2:10" x14ac:dyDescent="0.25">
      <c r="B11" s="31" t="s">
        <v>35</v>
      </c>
      <c r="D11" s="16">
        <f>'Raw data'!C48</f>
        <v>542</v>
      </c>
      <c r="E11" s="16">
        <f>'Raw data'!D48</f>
        <v>526</v>
      </c>
      <c r="F11" s="82">
        <f>Projections!F30*'Income Statement'!F17</f>
        <v>594.07208805805772</v>
      </c>
      <c r="G11" s="82">
        <f>Projections!G30*'Income Statement'!G17</f>
        <v>631.19726519497988</v>
      </c>
      <c r="H11" s="82">
        <f>Projections!H30*'Income Statement'!H17</f>
        <v>668.84095859306808</v>
      </c>
      <c r="I11" s="82">
        <f>Projections!I30*'Income Statement'!I17</f>
        <v>702.2330120598391</v>
      </c>
      <c r="J11" s="82">
        <f>Projections!J30*'Income Statement'!J17</f>
        <v>733.65628678664655</v>
      </c>
    </row>
    <row r="12" spans="2:10" x14ac:dyDescent="0.25">
      <c r="B12" s="31" t="s">
        <v>38</v>
      </c>
      <c r="D12" s="16">
        <f>'Raw data'!C46+'Raw data'!C51</f>
        <v>644</v>
      </c>
      <c r="E12" s="16">
        <f>'Raw data'!D46+'Raw data'!D51</f>
        <v>632</v>
      </c>
      <c r="F12" s="82">
        <f>E12-'Cash Flow'!F8-'Cash Flow'!F14</f>
        <v>636.08370658581975</v>
      </c>
      <c r="G12" s="82">
        <f>F12-'Cash Flow'!G8-'Cash Flow'!G14</f>
        <v>635.73566152429044</v>
      </c>
      <c r="H12" s="82">
        <f>G12-'Cash Flow'!H8-'Cash Flow'!H14</f>
        <v>630.89396786375244</v>
      </c>
      <c r="I12" s="82">
        <f>H12-'Cash Flow'!I8-'Cash Flow'!I14</f>
        <v>622.06615751981269</v>
      </c>
      <c r="J12" s="82">
        <f>I12-'Cash Flow'!J8-'Cash Flow'!J14</f>
        <v>609.48724993471978</v>
      </c>
    </row>
    <row r="13" spans="2:10" x14ac:dyDescent="0.25">
      <c r="B13" s="7" t="s">
        <v>39</v>
      </c>
      <c r="C13" s="7"/>
      <c r="D13" s="32">
        <f>SUM(D10:D12)+D8</f>
        <v>10710</v>
      </c>
      <c r="E13" s="32">
        <f>SUM(E10:E12)+E8</f>
        <v>12279</v>
      </c>
      <c r="F13" s="83">
        <f t="shared" ref="F13:J13" si="2">SUM(F10:F12)+F8</f>
        <v>12388.314046425083</v>
      </c>
      <c r="G13" s="83">
        <f t="shared" si="2"/>
        <v>12720.460830843225</v>
      </c>
      <c r="H13" s="83">
        <f t="shared" si="2"/>
        <v>13051.552358068833</v>
      </c>
      <c r="I13" s="83">
        <f t="shared" si="2"/>
        <v>13332.67012221931</v>
      </c>
      <c r="J13" s="83">
        <f t="shared" si="2"/>
        <v>13588.257343791811</v>
      </c>
    </row>
    <row r="14" spans="2:10" x14ac:dyDescent="0.25">
      <c r="D14" s="16"/>
      <c r="E14" s="16"/>
      <c r="F14" s="84"/>
      <c r="G14" s="72"/>
      <c r="H14" s="72"/>
      <c r="I14" s="85"/>
      <c r="J14" s="72"/>
    </row>
    <row r="15" spans="2:10" x14ac:dyDescent="0.25">
      <c r="B15" s="3" t="s">
        <v>7</v>
      </c>
      <c r="D15" s="16"/>
      <c r="E15" s="16"/>
      <c r="F15" s="84"/>
      <c r="G15" s="72"/>
      <c r="H15" s="72"/>
      <c r="I15" s="85"/>
      <c r="J15" s="72"/>
    </row>
    <row r="16" spans="2:10" x14ac:dyDescent="0.25">
      <c r="B16" s="31" t="s">
        <v>41</v>
      </c>
      <c r="D16" s="16">
        <f>'Raw data'!C55</f>
        <v>1453</v>
      </c>
      <c r="E16" s="16">
        <f>'Raw data'!D55</f>
        <v>1556</v>
      </c>
      <c r="F16" s="82">
        <f>Projections!F32*'Income Statement'!F12</f>
        <v>1693.9795453564666</v>
      </c>
      <c r="G16" s="82">
        <f>Projections!G32*'Income Statement'!G12</f>
        <v>1797.4440451583582</v>
      </c>
      <c r="H16" s="82">
        <f>Projections!H32*'Income Statement'!H12</f>
        <v>1902.7490335608436</v>
      </c>
      <c r="I16" s="82">
        <f>Projections!I32*'Income Statement'!I12</f>
        <v>1994.2727210941061</v>
      </c>
      <c r="J16" s="82">
        <f>Projections!J32*'Income Statement'!J12</f>
        <v>2079.8111713227258</v>
      </c>
    </row>
    <row r="17" spans="2:10" x14ac:dyDescent="0.25">
      <c r="B17" s="31" t="s">
        <v>42</v>
      </c>
      <c r="D17" s="16">
        <f>'Raw data'!C56</f>
        <v>1977</v>
      </c>
      <c r="E17" s="16">
        <f>'Raw data'!D56</f>
        <v>1993</v>
      </c>
      <c r="F17" s="82">
        <f>Projections!F33*('Income Statement'!F$12+'Income Statement'!F$17)</f>
        <v>2232.5209417411888</v>
      </c>
      <c r="G17" s="82">
        <f>Projections!G33*('Income Statement'!G$12+'Income Statement'!G$17)</f>
        <v>2369.4413418340973</v>
      </c>
      <c r="H17" s="82">
        <f>Projections!H33*('Income Statement'!H$12+'Income Statement'!H$17)</f>
        <v>2508.7023317662051</v>
      </c>
      <c r="I17" s="82">
        <f>Projections!I33*('Income Statement'!I$12+'Income Statement'!I$17)</f>
        <v>2630.1901482661142</v>
      </c>
      <c r="J17" s="82">
        <f>Projections!J33*('Income Statement'!J$12+'Income Statement'!J$17)</f>
        <v>2743.8771488239363</v>
      </c>
    </row>
    <row r="18" spans="2:10" x14ac:dyDescent="0.25">
      <c r="B18" s="31" t="s">
        <v>43</v>
      </c>
      <c r="D18" s="16">
        <f>'Raw data'!C57</f>
        <v>2542</v>
      </c>
      <c r="E18" s="16">
        <f>'Raw data'!D57</f>
        <v>2674</v>
      </c>
      <c r="F18" s="82">
        <f>Projections!F34*('Income Statement'!F$12+'Income Statement'!F$17)</f>
        <v>2930.0967105524901</v>
      </c>
      <c r="G18" s="82">
        <f>Projections!G34*('Income Statement'!G$12+'Income Statement'!G$17)</f>
        <v>3109.7993984058303</v>
      </c>
      <c r="H18" s="82">
        <f>Projections!H34*('Income Statement'!H$12+'Income Statement'!H$17)</f>
        <v>3292.5740191850232</v>
      </c>
      <c r="I18" s="82">
        <f>Projections!I34*('Income Statement'!I$12+'Income Statement'!I$17)</f>
        <v>3452.0220426472169</v>
      </c>
      <c r="J18" s="82">
        <f>Projections!J34*('Income Statement'!J$12+'Income Statement'!J$17)</f>
        <v>3601.2317992675744</v>
      </c>
    </row>
    <row r="19" spans="2:10" x14ac:dyDescent="0.25">
      <c r="B19" s="7" t="s">
        <v>44</v>
      </c>
      <c r="C19" s="7"/>
      <c r="D19" s="32">
        <f>SUM(D16:D18)</f>
        <v>5972</v>
      </c>
      <c r="E19" s="32">
        <f>SUM(E16:E18)</f>
        <v>6223</v>
      </c>
      <c r="F19" s="83">
        <f>SUM(F16:F18)</f>
        <v>6856.597197650146</v>
      </c>
      <c r="G19" s="83">
        <f>SUM(G16:G18)</f>
        <v>7276.6847853982854</v>
      </c>
      <c r="H19" s="83">
        <f>SUM(H16:H18)</f>
        <v>7704.0253845120715</v>
      </c>
      <c r="I19" s="83">
        <f>SUM(I16:I18)</f>
        <v>8076.4849120074377</v>
      </c>
      <c r="J19" s="83">
        <f>SUM(J16:J18)</f>
        <v>8424.920119414237</v>
      </c>
    </row>
    <row r="20" spans="2:10" x14ac:dyDescent="0.25">
      <c r="D20" s="16"/>
      <c r="E20" s="16"/>
      <c r="F20" s="84"/>
      <c r="G20" s="72"/>
      <c r="H20" s="72"/>
      <c r="I20" s="85"/>
      <c r="J20" s="72"/>
    </row>
    <row r="21" spans="2:10" x14ac:dyDescent="0.25">
      <c r="B21" s="31" t="s">
        <v>180</v>
      </c>
      <c r="D21" s="16">
        <f>'Raw data'!C54+'Raw data'!C60</f>
        <v>5963</v>
      </c>
      <c r="E21" s="16">
        <f>'Raw data'!D54+'Raw data'!D60</f>
        <v>7273</v>
      </c>
      <c r="F21" s="82">
        <f>E21+'Cash Flow'!F18</f>
        <v>7040.2012766009657</v>
      </c>
      <c r="G21" s="82">
        <f>F21+'Cash Flow'!G18</f>
        <v>6896.3043972998857</v>
      </c>
      <c r="H21" s="82">
        <f>G21+'Cash Flow'!H18</f>
        <v>6742.9584391293092</v>
      </c>
      <c r="I21" s="82">
        <f>H21+'Cash Flow'!I18</f>
        <v>6585.4053032456195</v>
      </c>
      <c r="J21" s="82">
        <f>I21+'Cash Flow'!J18</f>
        <v>6421.4282949957615</v>
      </c>
    </row>
    <row r="22" spans="2:10" x14ac:dyDescent="0.25">
      <c r="B22" s="31" t="s">
        <v>47</v>
      </c>
      <c r="D22" s="16">
        <f>'Raw data'!C62</f>
        <v>367</v>
      </c>
      <c r="E22" s="16">
        <f>'Raw data'!D62</f>
        <v>336</v>
      </c>
      <c r="F22" s="82">
        <f>E22+(F11-E11)</f>
        <v>404.07208805805772</v>
      </c>
      <c r="G22" s="82">
        <f>F22+(G11-F11)</f>
        <v>441.19726519497988</v>
      </c>
      <c r="H22" s="82">
        <f>G22+(H11-G11)</f>
        <v>478.84095859306808</v>
      </c>
      <c r="I22" s="82">
        <f>H22+(I11-H11)</f>
        <v>512.2330120598391</v>
      </c>
      <c r="J22" s="82">
        <f>I22+(J11-I11)</f>
        <v>543.65628678664655</v>
      </c>
    </row>
    <row r="23" spans="2:10" x14ac:dyDescent="0.25">
      <c r="B23" s="31" t="s">
        <v>49</v>
      </c>
      <c r="D23" s="16">
        <f>'Raw data'!C61+'Raw data'!C63+'Raw data'!C64</f>
        <v>1609</v>
      </c>
      <c r="E23" s="16">
        <f>'Raw data'!D61+'Raw data'!D63+'Raw data'!D64</f>
        <v>1431</v>
      </c>
      <c r="F23" s="82">
        <f>Projections!F35*('Income Statement'!F$12+'Income Statement'!F$17)</f>
        <v>1714.8683595848495</v>
      </c>
      <c r="G23" s="82">
        <f>Projections!G35*('Income Statement'!G$12+'Income Statement'!G$17)</f>
        <v>1820.0411521490712</v>
      </c>
      <c r="H23" s="82">
        <f>Projections!H35*('Income Statement'!H$12+'Income Statement'!H$17)</f>
        <v>1927.0118241342486</v>
      </c>
      <c r="I23" s="82">
        <f>Projections!I35*('Income Statement'!I$12+'Income Statement'!I$17)</f>
        <v>2020.330372101937</v>
      </c>
      <c r="J23" s="82">
        <f>Projections!J35*('Income Statement'!J$12+'Income Statement'!J$17)</f>
        <v>2107.6568721618482</v>
      </c>
    </row>
    <row r="24" spans="2:10" x14ac:dyDescent="0.25">
      <c r="B24" s="7" t="s">
        <v>50</v>
      </c>
      <c r="C24" s="7"/>
      <c r="D24" s="32">
        <f>SUM(D21:D23)+D19</f>
        <v>13911</v>
      </c>
      <c r="E24" s="32">
        <f>SUM(E21:E23)+E19</f>
        <v>15263</v>
      </c>
      <c r="F24" s="83">
        <f t="shared" ref="F24:J24" si="3">SUM(F21:F23)+F19</f>
        <v>16015.738921894019</v>
      </c>
      <c r="G24" s="83">
        <f t="shared" si="3"/>
        <v>16434.227600042221</v>
      </c>
      <c r="H24" s="83">
        <f t="shared" si="3"/>
        <v>16852.836606368699</v>
      </c>
      <c r="I24" s="83">
        <f t="shared" si="3"/>
        <v>17194.453599414832</v>
      </c>
      <c r="J24" s="83">
        <f t="shared" si="3"/>
        <v>17497.661573358491</v>
      </c>
    </row>
    <row r="25" spans="2:10" x14ac:dyDescent="0.25">
      <c r="D25" s="16"/>
      <c r="E25" s="16"/>
      <c r="F25" s="72"/>
      <c r="G25" s="72"/>
      <c r="H25" s="85"/>
      <c r="I25" s="72"/>
      <c r="J25" s="72"/>
    </row>
    <row r="26" spans="2:10" x14ac:dyDescent="0.25">
      <c r="B26" s="3" t="s">
        <v>8</v>
      </c>
      <c r="D26" s="16"/>
      <c r="E26" s="16"/>
      <c r="F26" s="72"/>
      <c r="G26" s="72"/>
      <c r="H26" s="85"/>
      <c r="I26" s="72"/>
      <c r="J26" s="72"/>
    </row>
    <row r="27" spans="2:10" x14ac:dyDescent="0.25">
      <c r="B27" s="7" t="s">
        <v>56</v>
      </c>
      <c r="C27" s="7"/>
      <c r="D27" s="15">
        <f>'Raw data'!C75</f>
        <v>-3862</v>
      </c>
      <c r="E27" s="15">
        <f>'Raw data'!D75</f>
        <v>-3625</v>
      </c>
      <c r="F27" s="86">
        <f>E27+'Cash Flow'!F5+'Cash Flow'!F19+'Cash Flow'!F20+'Cash Flow'!F22+'Cash Flow'!F25</f>
        <v>-4270.5264081228479</v>
      </c>
      <c r="G27" s="86">
        <f>F27+'Cash Flow'!G5+'Cash Flow'!G19+'Cash Flow'!G20+'Cash Flow'!G22+'Cash Flow'!G25</f>
        <v>-4359.1356314499853</v>
      </c>
      <c r="H27" s="86">
        <f>G27+'Cash Flow'!H5+'Cash Flow'!H19+'Cash Flow'!H20+'Cash Flow'!H22+'Cash Flow'!H25</f>
        <v>-4449.0833208815829</v>
      </c>
      <c r="I27" s="86">
        <f>H27+'Cash Flow'!I5+'Cash Flow'!I19+'Cash Flow'!I20+'Cash Flow'!I22+'Cash Flow'!I25</f>
        <v>-4512.1709513491442</v>
      </c>
      <c r="J27" s="86">
        <f>I27+'Cash Flow'!J5+'Cash Flow'!J19+'Cash Flow'!J20+'Cash Flow'!J22+'Cash Flow'!J25</f>
        <v>-4562.5333890662005</v>
      </c>
    </row>
    <row r="28" spans="2:10" x14ac:dyDescent="0.25">
      <c r="B28" t="s">
        <v>57</v>
      </c>
      <c r="D28" s="16">
        <f>SUM('Raw data'!C67+'Raw data'!C76)</f>
        <v>661</v>
      </c>
      <c r="E28" s="16">
        <f>SUM('Raw data'!D67+'Raw data'!D76)</f>
        <v>641</v>
      </c>
      <c r="F28" s="82">
        <f>E28+'Cash Flow'!F6+'Cash Flow'!F21</f>
        <v>643.10153265391284</v>
      </c>
      <c r="G28" s="82">
        <f>F28+'Cash Flow'!G6+'Cash Flow'!G21</f>
        <v>645.36886225098692</v>
      </c>
      <c r="H28" s="82">
        <f>G28+'Cash Flow'!H6+'Cash Flow'!H21</f>
        <v>647.79907258171795</v>
      </c>
      <c r="I28" s="82">
        <f>H28+'Cash Flow'!I6+'Cash Flow'!I21</f>
        <v>650.38747415361831</v>
      </c>
      <c r="J28" s="82">
        <f>I28+'Cash Flow'!J6+'Cash Flow'!J21</f>
        <v>653.12915949951866</v>
      </c>
    </row>
    <row r="29" spans="2:10" x14ac:dyDescent="0.25">
      <c r="B29" s="7" t="s">
        <v>60</v>
      </c>
      <c r="D29" s="33">
        <f>SUM(D27:D28)</f>
        <v>-3201</v>
      </c>
      <c r="E29" s="33">
        <f t="shared" ref="E29:J29" si="4">SUM(E27:E28)</f>
        <v>-2984</v>
      </c>
      <c r="F29" s="87">
        <f t="shared" si="4"/>
        <v>-3627.4248754689352</v>
      </c>
      <c r="G29" s="87">
        <f t="shared" si="4"/>
        <v>-3713.7667691989982</v>
      </c>
      <c r="H29" s="87">
        <f t="shared" si="4"/>
        <v>-3801.2842482998649</v>
      </c>
      <c r="I29" s="87">
        <f t="shared" si="4"/>
        <v>-3861.7834771955258</v>
      </c>
      <c r="J29" s="87">
        <f t="shared" si="4"/>
        <v>-3909.4042295666818</v>
      </c>
    </row>
    <row r="30" spans="2:10" x14ac:dyDescent="0.25">
      <c r="F30" s="72"/>
      <c r="G30" s="72"/>
      <c r="H30" s="72"/>
      <c r="I30" s="88"/>
      <c r="J30" s="72"/>
    </row>
    <row r="31" spans="2:10" x14ac:dyDescent="0.25">
      <c r="B31" s="2" t="s">
        <v>58</v>
      </c>
      <c r="C31" s="13">
        <f>C13-(C24+C29)</f>
        <v>0</v>
      </c>
      <c r="D31" s="13">
        <f>D13-(D24+D29)</f>
        <v>0</v>
      </c>
      <c r="E31" s="13">
        <f>E13-(E24+E29)</f>
        <v>0</v>
      </c>
      <c r="F31" s="89">
        <f>F13-(F24+F29)</f>
        <v>0</v>
      </c>
      <c r="G31" s="89">
        <f>G13-(G24+G29)</f>
        <v>0</v>
      </c>
      <c r="H31" s="89">
        <f>H13-(H24+H29)</f>
        <v>0</v>
      </c>
      <c r="I31" s="89">
        <f>I13-(I24+I29)</f>
        <v>0</v>
      </c>
      <c r="J31" s="89">
        <f>J13-(J24+J29)</f>
        <v>0</v>
      </c>
    </row>
    <row r="32" spans="2:10" x14ac:dyDescent="0.25">
      <c r="I32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2479-77BF-4C7E-9E3A-BC3EEF1A7DB4}">
  <dimension ref="B1:T28"/>
  <sheetViews>
    <sheetView showGridLines="0" workbookViewId="0">
      <selection activeCell="L24" sqref="L24"/>
    </sheetView>
  </sheetViews>
  <sheetFormatPr defaultRowHeight="15" x14ac:dyDescent="0.25"/>
  <cols>
    <col min="1" max="1" width="2.28515625" customWidth="1"/>
    <col min="2" max="2" width="50" customWidth="1"/>
    <col min="3" max="4" width="10.42578125" bestFit="1" customWidth="1"/>
    <col min="5" max="5" width="9.7109375" bestFit="1" customWidth="1"/>
  </cols>
  <sheetData>
    <row r="1" spans="2:20" x14ac:dyDescent="0.25">
      <c r="B1" s="4" t="s">
        <v>0</v>
      </c>
    </row>
    <row r="2" spans="2:20" x14ac:dyDescent="0.25">
      <c r="B2" s="2" t="s">
        <v>147</v>
      </c>
      <c r="C2" s="46">
        <v>43830</v>
      </c>
      <c r="D2" s="46">
        <f>EOMONTH(C2,12)</f>
        <v>44196</v>
      </c>
      <c r="E2" s="46">
        <f t="shared" ref="E2:J2" si="0">EOMONTH(D2,12)</f>
        <v>44561</v>
      </c>
      <c r="F2" s="47">
        <f t="shared" si="0"/>
        <v>44926</v>
      </c>
      <c r="G2" s="47">
        <f t="shared" si="0"/>
        <v>45291</v>
      </c>
      <c r="H2" s="47">
        <f t="shared" si="0"/>
        <v>45657</v>
      </c>
      <c r="I2" s="47">
        <f t="shared" si="0"/>
        <v>46022</v>
      </c>
      <c r="J2" s="47">
        <f t="shared" si="0"/>
        <v>46387</v>
      </c>
    </row>
    <row r="3" spans="2:20" x14ac:dyDescent="0.25">
      <c r="C3" s="18"/>
      <c r="D3" s="18"/>
      <c r="E3" s="18"/>
      <c r="F3" s="48"/>
      <c r="G3" s="48"/>
      <c r="H3" s="48"/>
      <c r="I3" s="48"/>
      <c r="J3" s="48"/>
    </row>
    <row r="4" spans="2:20" x14ac:dyDescent="0.25">
      <c r="B4" s="3" t="s">
        <v>9</v>
      </c>
      <c r="C4" s="18"/>
      <c r="D4" s="18"/>
      <c r="E4" s="18"/>
      <c r="F4" s="48"/>
      <c r="G4" s="48"/>
      <c r="H4" s="48"/>
      <c r="I4" s="48"/>
      <c r="J4" s="48"/>
    </row>
    <row r="5" spans="2:20" x14ac:dyDescent="0.25">
      <c r="B5" s="2" t="s">
        <v>25</v>
      </c>
      <c r="C5" s="18">
        <f>'Raw data'!B25</f>
        <v>1116</v>
      </c>
      <c r="D5" s="18">
        <f>'Raw data'!C25</f>
        <v>906</v>
      </c>
      <c r="E5" s="18">
        <f>'Raw data'!D25</f>
        <v>1246</v>
      </c>
      <c r="F5" s="90">
        <f>'Income Statement'!F30</f>
        <v>1181.057709601512</v>
      </c>
      <c r="G5" s="90">
        <f>'Income Statement'!G30</f>
        <v>1274.2353043366295</v>
      </c>
      <c r="H5" s="90">
        <f>'Income Statement'!H30</f>
        <v>1365.7739943840334</v>
      </c>
      <c r="I5" s="90">
        <f>'Income Statement'!I30</f>
        <v>1454.6771977802493</v>
      </c>
      <c r="J5" s="90">
        <f>'Income Statement'!J30</f>
        <v>1540.8224131316522</v>
      </c>
    </row>
    <row r="6" spans="2:20" x14ac:dyDescent="0.25">
      <c r="B6" s="49" t="s">
        <v>136</v>
      </c>
      <c r="C6" s="19">
        <f>'Raw data'!B22</f>
        <v>151</v>
      </c>
      <c r="D6" s="19">
        <f>'Raw data'!C22</f>
        <v>150</v>
      </c>
      <c r="E6" s="19">
        <f>'Raw data'!D22</f>
        <v>174</v>
      </c>
      <c r="F6" s="91">
        <f>'Income Statement'!F29</f>
        <v>173.24193319812755</v>
      </c>
      <c r="G6" s="91">
        <f>'Income Statement'!G29</f>
        <v>186.90956900578831</v>
      </c>
      <c r="H6" s="91">
        <f>'Income Statement'!H29</f>
        <v>200.33680418431913</v>
      </c>
      <c r="I6" s="91">
        <f>'Income Statement'!I29</f>
        <v>213.37745638840434</v>
      </c>
      <c r="J6" s="91">
        <f>'Income Statement'!J29</f>
        <v>226.01355665845921</v>
      </c>
    </row>
    <row r="7" spans="2:20" x14ac:dyDescent="0.25">
      <c r="B7" s="49" t="s">
        <v>137</v>
      </c>
      <c r="C7" s="19">
        <f>'Raw data'!B86</f>
        <v>180</v>
      </c>
      <c r="D7" s="19">
        <f>'Raw data'!C86</f>
        <v>191</v>
      </c>
      <c r="E7" s="19">
        <f>'Raw data'!D86</f>
        <v>203</v>
      </c>
      <c r="F7" s="91">
        <f>Projections!F40*'Income Statement'!F7</f>
        <v>216.68279003215187</v>
      </c>
      <c r="G7" s="91">
        <f>Projections!G40*'Income Statement'!G7</f>
        <v>230.2238856738646</v>
      </c>
      <c r="H7" s="91">
        <f>Projections!H40*'Income Statement'!H7</f>
        <v>243.95410575418509</v>
      </c>
      <c r="I7" s="91">
        <f>Projections!I40*'Income Statement'!I7</f>
        <v>256.13357598267964</v>
      </c>
      <c r="J7" s="91">
        <f>Projections!J40*'Income Statement'!J7</f>
        <v>267.59495074951775</v>
      </c>
    </row>
    <row r="8" spans="2:20" x14ac:dyDescent="0.25">
      <c r="B8" s="49" t="s">
        <v>138</v>
      </c>
      <c r="C8" s="19">
        <f>SUM('Raw data'!B87:B89,'Raw data'!B101:B102)</f>
        <v>54</v>
      </c>
      <c r="D8" s="19">
        <f>SUM('Raw data'!C87:C89,'Raw data'!C101:C102)</f>
        <v>156</v>
      </c>
      <c r="E8" s="19">
        <f>SUM('Raw data'!D87:D89,'Raw data'!D101:D102)</f>
        <v>-33</v>
      </c>
      <c r="F8" s="91">
        <f>Projections!F41*'Income Statement'!F7</f>
        <v>70.916293414180231</v>
      </c>
      <c r="G8" s="91">
        <f>Projections!G41*'Income Statement'!G7</f>
        <v>75.348045061529291</v>
      </c>
      <c r="H8" s="91">
        <f>Projections!H41*'Income Statement'!H7</f>
        <v>79.841693660537985</v>
      </c>
      <c r="I8" s="91">
        <f>Projections!I41*'Income Statement'!I7</f>
        <v>83.827810343939703</v>
      </c>
      <c r="J8" s="91">
        <f>Projections!J41*'Income Statement'!J7</f>
        <v>87.578907585092864</v>
      </c>
    </row>
    <row r="9" spans="2:20" x14ac:dyDescent="0.25">
      <c r="B9" s="49" t="s">
        <v>139</v>
      </c>
      <c r="C9" s="19">
        <f>SUM('Raw data'!B93:B98)</f>
        <v>-32</v>
      </c>
      <c r="D9" s="19">
        <f>SUM('Raw data'!C93:C98)</f>
        <v>77</v>
      </c>
      <c r="E9" s="19">
        <f>SUM('Raw data'!D93:D98)</f>
        <v>160</v>
      </c>
      <c r="F9" s="91">
        <f>SUM('Balance Sheet'!E6:E7,'Balance Sheet'!E11,'Balance Sheet'!F16:F18,'Balance Sheet'!F22:F23)-SUM('Balance Sheet'!F6:F7,'Balance Sheet'!F11,'Balance Sheet'!E16:E18,'Balance Sheet'!E22:E23)</f>
        <v>372.05466590976721</v>
      </c>
      <c r="G9" s="91">
        <f>SUM('Balance Sheet'!F6:F7,'Balance Sheet'!F11,'Balance Sheet'!G16:G18,'Balance Sheet'!G22:G23)-SUM('Balance Sheet'!G6:G7,'Balance Sheet'!G11,'Balance Sheet'!F16:F18,'Balance Sheet'!F22:F23)</f>
        <v>194.56004073043914</v>
      </c>
      <c r="H9" s="91">
        <f>SUM('Balance Sheet'!G6:G7,'Balance Sheet'!G11,'Balance Sheet'!H16:H18,'Balance Sheet'!H22:H23)-SUM('Balance Sheet'!H6:H7,'Balance Sheet'!H11,'Balance Sheet'!G16:G18,'Balance Sheet'!G22:G23)</f>
        <v>198.58398520505943</v>
      </c>
      <c r="I9" s="91">
        <f>SUM('Balance Sheet'!H6:H7,'Balance Sheet'!H11,'Balance Sheet'!I16:I18,'Balance Sheet'!I22:I23)-SUM('Balance Sheet'!I6:I7,'Balance Sheet'!I11,'Balance Sheet'!H16:H18,'Balance Sheet'!H22:H23)</f>
        <v>169.91770650341641</v>
      </c>
      <c r="J9" s="91">
        <f>SUM('Balance Sheet'!I6:I7,'Balance Sheet'!I11,'Balance Sheet'!J16:J18,'Balance Sheet'!J22:J23)-SUM('Balance Sheet'!J6:J7,'Balance Sheet'!J11,'Balance Sheet'!I16:I18,'Balance Sheet'!I22:I23)</f>
        <v>157.95311615966057</v>
      </c>
    </row>
    <row r="10" spans="2:20" x14ac:dyDescent="0.25">
      <c r="B10" s="2" t="s">
        <v>98</v>
      </c>
      <c r="C10" s="50">
        <f>SUM(C5:C9)</f>
        <v>1469</v>
      </c>
      <c r="D10" s="50">
        <f t="shared" ref="D10:E10" si="1">SUM(D5:D9)</f>
        <v>1480</v>
      </c>
      <c r="E10" s="50">
        <f t="shared" si="1"/>
        <v>1750</v>
      </c>
      <c r="F10" s="92">
        <f t="shared" ref="F10" si="2">SUM(F5:F9)</f>
        <v>2013.9533921557388</v>
      </c>
      <c r="G10" s="92">
        <f t="shared" ref="G10" si="3">SUM(G5:G9)</f>
        <v>1961.2768448082509</v>
      </c>
      <c r="H10" s="92">
        <f t="shared" ref="H10" si="4">SUM(H5:H9)</f>
        <v>2088.4905831881351</v>
      </c>
      <c r="I10" s="92">
        <f t="shared" ref="I10" si="5">SUM(I5:I9)</f>
        <v>2177.9337469986895</v>
      </c>
      <c r="J10" s="92">
        <f t="shared" ref="J10" si="6">SUM(J5:J9)</f>
        <v>2279.9629442843825</v>
      </c>
      <c r="K10" s="10"/>
      <c r="Q10" s="10"/>
    </row>
    <row r="11" spans="2:20" x14ac:dyDescent="0.25">
      <c r="C11" s="19"/>
      <c r="D11" s="19"/>
      <c r="E11" s="19"/>
      <c r="F11" s="72"/>
      <c r="G11" s="72"/>
      <c r="H11" s="72"/>
      <c r="I11" s="72"/>
      <c r="J11" s="72"/>
      <c r="K11" s="14"/>
      <c r="Q11" s="14"/>
    </row>
    <row r="12" spans="2:20" x14ac:dyDescent="0.25">
      <c r="B12" s="3" t="s">
        <v>10</v>
      </c>
      <c r="C12" s="19"/>
      <c r="D12" s="19"/>
      <c r="E12" s="19"/>
      <c r="F12" s="72"/>
      <c r="G12" s="72"/>
      <c r="H12" s="72"/>
      <c r="I12" s="72"/>
      <c r="J12" s="72"/>
    </row>
    <row r="13" spans="2:20" x14ac:dyDescent="0.25">
      <c r="B13" s="49" t="s">
        <v>140</v>
      </c>
      <c r="C13" s="19">
        <f>'Raw data'!B105</f>
        <v>-145</v>
      </c>
      <c r="D13" s="19">
        <f>'Raw data'!C105</f>
        <v>-183</v>
      </c>
      <c r="E13" s="19">
        <f>'Raw data'!D105</f>
        <v>-156</v>
      </c>
      <c r="F13" s="91">
        <f>Projections!F39*'Income Statement'!F7</f>
        <v>-183.43015048812853</v>
      </c>
      <c r="G13" s="91">
        <f>Projections!G39*'Income Statement'!G7</f>
        <v>-194.89319843469113</v>
      </c>
      <c r="H13" s="91">
        <f>Projections!H39*'Income Statement'!H7</f>
        <v>-206.5163473483386</v>
      </c>
      <c r="I13" s="91">
        <f>Projections!I39*'Income Statement'!I7</f>
        <v>-216.82672805068665</v>
      </c>
      <c r="J13" s="91">
        <f>Projections!J39*'Income Statement'!J7</f>
        <v>-226.52921387325708</v>
      </c>
    </row>
    <row r="14" spans="2:20" x14ac:dyDescent="0.25">
      <c r="B14" s="49" t="s">
        <v>179</v>
      </c>
      <c r="C14" s="19">
        <f>SUM('Raw data'!B106,'Raw data'!B107,'Raw data'!B109,'Raw data'!B110)</f>
        <v>-58</v>
      </c>
      <c r="D14" s="19">
        <f>SUM('Raw data'!C106,'Raw data'!C107,'Raw data'!C109,'Raw data'!C110)</f>
        <v>-170</v>
      </c>
      <c r="E14" s="19">
        <f>SUM('Raw data'!D106,'Raw data'!D107,'Raw data'!D109,'Raw data'!D110)</f>
        <v>67</v>
      </c>
      <c r="F14" s="91">
        <f>Projections!F43</f>
        <v>-75</v>
      </c>
      <c r="G14" s="91">
        <f>Projections!G43</f>
        <v>-75</v>
      </c>
      <c r="H14" s="91">
        <f>Projections!H43</f>
        <v>-75</v>
      </c>
      <c r="I14" s="91">
        <f>Projections!I43</f>
        <v>-75</v>
      </c>
      <c r="J14" s="91">
        <f>Projections!J43</f>
        <v>-75</v>
      </c>
      <c r="K14" s="14"/>
      <c r="Q14" s="14"/>
    </row>
    <row r="15" spans="2:20" x14ac:dyDescent="0.25">
      <c r="B15" s="2" t="s">
        <v>97</v>
      </c>
      <c r="C15" s="50">
        <f>SUM(C13:C14)</f>
        <v>-203</v>
      </c>
      <c r="D15" s="50">
        <f>SUM(D13:D14)</f>
        <v>-353</v>
      </c>
      <c r="E15" s="50">
        <f>SUM(E13:E14)</f>
        <v>-89</v>
      </c>
      <c r="F15" s="92">
        <f t="shared" ref="F15:J15" si="7">SUM(F13:F14)</f>
        <v>-258.43015048812856</v>
      </c>
      <c r="G15" s="92">
        <f t="shared" si="7"/>
        <v>-269.89319843469116</v>
      </c>
      <c r="H15" s="92">
        <f t="shared" si="7"/>
        <v>-281.51634734833863</v>
      </c>
      <c r="I15" s="92">
        <f t="shared" si="7"/>
        <v>-291.82672805068665</v>
      </c>
      <c r="J15" s="92">
        <f t="shared" si="7"/>
        <v>-301.52921387325705</v>
      </c>
      <c r="N15" s="14"/>
      <c r="T15" s="14"/>
    </row>
    <row r="16" spans="2:20" ht="15.75" x14ac:dyDescent="0.25">
      <c r="B16" s="17"/>
      <c r="C16" s="19"/>
      <c r="D16" s="19"/>
      <c r="E16" s="19"/>
      <c r="F16" s="91"/>
      <c r="G16" s="91"/>
      <c r="H16" s="91"/>
      <c r="I16" s="91"/>
      <c r="J16" s="91"/>
      <c r="N16" s="14"/>
      <c r="T16" s="14"/>
    </row>
    <row r="17" spans="2:20" x14ac:dyDescent="0.25">
      <c r="B17" s="3" t="s">
        <v>11</v>
      </c>
      <c r="C17" s="19"/>
      <c r="D17" s="19"/>
      <c r="E17" s="19"/>
      <c r="F17" s="91"/>
      <c r="G17" s="91"/>
      <c r="H17" s="91"/>
      <c r="I17" s="91"/>
      <c r="J17" s="91"/>
      <c r="N17" s="10"/>
      <c r="T17" s="14"/>
    </row>
    <row r="18" spans="2:20" x14ac:dyDescent="0.25">
      <c r="B18" s="49" t="s">
        <v>142</v>
      </c>
      <c r="C18" s="19">
        <f>SUM('Raw data'!B113,'Raw data'!B114,'Raw data'!B115,'Raw data'!B116,'Raw data'!B118)</f>
        <v>6</v>
      </c>
      <c r="D18" s="19">
        <f>SUM('Raw data'!C113,'Raw data'!C114,'Raw data'!C115,'Raw data'!C116,'Raw data'!C118)</f>
        <v>5947</v>
      </c>
      <c r="E18" s="19">
        <f>SUM('Raw data'!D113,'Raw data'!D114,'Raw data'!D115,'Raw data'!D116,'Raw data'!D118)</f>
        <v>1375</v>
      </c>
      <c r="F18" s="91">
        <f>Projections!F52</f>
        <v>-232.79872339903466</v>
      </c>
      <c r="G18" s="91">
        <f>Projections!G52</f>
        <v>-143.89687930107988</v>
      </c>
      <c r="H18" s="91">
        <f>Projections!H52</f>
        <v>-153.34595817057649</v>
      </c>
      <c r="I18" s="91">
        <f>Projections!I52</f>
        <v>-157.55313588368963</v>
      </c>
      <c r="J18" s="91">
        <f>Projections!J52</f>
        <v>-163.9770082498583</v>
      </c>
      <c r="N18" s="14"/>
      <c r="T18" s="14"/>
    </row>
    <row r="19" spans="2:20" x14ac:dyDescent="0.25">
      <c r="B19" s="49" t="s">
        <v>144</v>
      </c>
      <c r="C19" s="19" t="str">
        <f>'Raw data'!B120</f>
        <v>—</v>
      </c>
      <c r="D19" s="19">
        <f>'Raw data'!C120</f>
        <v>-260</v>
      </c>
      <c r="E19" s="19">
        <f>'Raw data'!D120</f>
        <v>-393</v>
      </c>
      <c r="F19" s="91">
        <f>-Projections!F54*'Income Statement'!F27</f>
        <v>-507.86236604986482</v>
      </c>
      <c r="G19" s="91">
        <f>-Projections!G54*'Income Statement'!G27</f>
        <v>-547.92932750340674</v>
      </c>
      <c r="H19" s="91">
        <f>-Projections!H54*'Income Statement'!H27</f>
        <v>-587.29154946313224</v>
      </c>
      <c r="I19" s="91">
        <f>-Projections!I54*'Income Statement'!I27</f>
        <v>-625.52049531324519</v>
      </c>
      <c r="J19" s="91">
        <f>-Projections!J54*'Income Statement'!J27</f>
        <v>-662.56348867129179</v>
      </c>
      <c r="T19" s="14"/>
    </row>
    <row r="20" spans="2:20" x14ac:dyDescent="0.25">
      <c r="B20" s="49" t="s">
        <v>143</v>
      </c>
      <c r="C20" s="19" t="str">
        <f>'Raw data'!B121</f>
        <v>—</v>
      </c>
      <c r="D20" s="19" t="str">
        <f>'Raw data'!C121</f>
        <v>—</v>
      </c>
      <c r="E20" s="19">
        <f>'Raw data'!D121</f>
        <v>-725</v>
      </c>
      <c r="F20" s="91">
        <f>Projections!F55</f>
        <v>-1319.1927659278631</v>
      </c>
      <c r="G20" s="91">
        <f>Projections!G55</f>
        <v>-815.41564937278599</v>
      </c>
      <c r="H20" s="91">
        <f>Projections!H55</f>
        <v>-868.96042963326681</v>
      </c>
      <c r="I20" s="91">
        <f>Projections!I55</f>
        <v>-892.80110334090796</v>
      </c>
      <c r="J20" s="91">
        <f>Projections!J55</f>
        <v>-929.20304674919703</v>
      </c>
      <c r="T20" s="14"/>
    </row>
    <row r="21" spans="2:20" x14ac:dyDescent="0.25">
      <c r="B21" s="49" t="s">
        <v>145</v>
      </c>
      <c r="C21" s="19">
        <f>'Raw data'!B122</f>
        <v>-163</v>
      </c>
      <c r="D21" s="19">
        <f>'Raw data'!C122</f>
        <v>-149</v>
      </c>
      <c r="E21" s="19">
        <f>'Raw data'!D122</f>
        <v>-155</v>
      </c>
      <c r="F21" s="91">
        <f>-Projections!F56*'Income Statement'!F29</f>
        <v>-171.14040054421469</v>
      </c>
      <c r="G21" s="91">
        <f>-Projections!G56*'Income Statement'!G29</f>
        <v>-184.64223940871423</v>
      </c>
      <c r="H21" s="91">
        <f>-Projections!H56*'Income Statement'!H29</f>
        <v>-197.90659385358813</v>
      </c>
      <c r="I21" s="91">
        <f>-Projections!I56*'Income Statement'!I29</f>
        <v>-210.78905481650389</v>
      </c>
      <c r="J21" s="91">
        <f>-Projections!J56*'Income Statement'!J29</f>
        <v>-223.27187131255894</v>
      </c>
      <c r="T21" s="14"/>
    </row>
    <row r="22" spans="2:20" x14ac:dyDescent="0.25">
      <c r="B22" s="49" t="s">
        <v>141</v>
      </c>
      <c r="C22" s="19">
        <f>SUM('Raw data'!B117,'Raw data'!B123,'Raw data'!B124)</f>
        <v>-976</v>
      </c>
      <c r="D22" s="19">
        <f>SUM('Raw data'!C117,'Raw data'!C123,'Raw data'!C124)</f>
        <v>-6382</v>
      </c>
      <c r="E22" s="19">
        <f>SUM('Raw data'!D117,'Raw data'!D123,'Raw data'!D124)</f>
        <v>-44</v>
      </c>
      <c r="F22" s="91">
        <f>IF(F18&gt;0,Projections!F58*'Cash Flow'!F18,0)</f>
        <v>0</v>
      </c>
      <c r="G22" s="91">
        <f>IF(G18&gt;0,Projections!G58*'Cash Flow'!G18,0)</f>
        <v>0</v>
      </c>
      <c r="H22" s="91">
        <f>IF(H18&gt;0,Projections!H58*'Cash Flow'!H18,0)</f>
        <v>0</v>
      </c>
      <c r="I22" s="91">
        <f>IF(I18&gt;0,Projections!I58*'Cash Flow'!I18,0)</f>
        <v>0</v>
      </c>
      <c r="J22" s="91">
        <f>IF(J18&gt;0,Projections!J58*'Cash Flow'!J18,0)</f>
        <v>0</v>
      </c>
      <c r="T22" s="14"/>
    </row>
    <row r="23" spans="2:20" x14ac:dyDescent="0.25">
      <c r="B23" s="2" t="s">
        <v>95</v>
      </c>
      <c r="C23" s="51">
        <f>SUM(C18:C22)</f>
        <v>-1133</v>
      </c>
      <c r="D23" s="51">
        <f t="shared" ref="D23:E23" si="8">SUM(D18:D22)</f>
        <v>-844</v>
      </c>
      <c r="E23" s="51">
        <f t="shared" si="8"/>
        <v>58</v>
      </c>
      <c r="F23" s="93">
        <f>SUM(F18:F22)</f>
        <v>-2230.9942559209771</v>
      </c>
      <c r="G23" s="93">
        <f t="shared" ref="G23" si="9">SUM(G18:G22)</f>
        <v>-1691.8840955859869</v>
      </c>
      <c r="H23" s="93">
        <f t="shared" ref="H23" si="10">SUM(H18:H22)</f>
        <v>-1807.5045311205638</v>
      </c>
      <c r="I23" s="93">
        <f t="shared" ref="I23" si="11">SUM(I18:I22)</f>
        <v>-1886.6637893543468</v>
      </c>
      <c r="J23" s="93">
        <f t="shared" ref="J23" si="12">SUM(J18:J22)</f>
        <v>-1979.0154149829061</v>
      </c>
      <c r="M23" s="14"/>
    </row>
    <row r="24" spans="2:20" x14ac:dyDescent="0.25">
      <c r="B24" s="2"/>
      <c r="C24" s="52"/>
      <c r="D24" s="52"/>
      <c r="E24" s="52"/>
      <c r="F24" s="94"/>
      <c r="G24" s="94"/>
      <c r="H24" s="94"/>
      <c r="I24" s="94"/>
      <c r="J24" s="94"/>
      <c r="M24" s="14"/>
    </row>
    <row r="25" spans="2:20" x14ac:dyDescent="0.25">
      <c r="B25" s="2" t="s">
        <v>148</v>
      </c>
      <c r="C25" s="52">
        <f>'Raw data'!B131</f>
        <v>-20</v>
      </c>
      <c r="D25" s="52">
        <f>'Raw data'!C131</f>
        <v>59</v>
      </c>
      <c r="E25" s="52">
        <f>'Raw data'!D131</f>
        <v>-43</v>
      </c>
      <c r="F25" s="94">
        <f>Projections!F59*'Income Statement'!F7</f>
        <v>0.47101425336727276</v>
      </c>
      <c r="G25" s="94">
        <f>Projections!G59*'Income Statement'!G7</f>
        <v>0.50044921242659524</v>
      </c>
      <c r="H25" s="94">
        <f>Projections!H59*'Income Statement'!H7</f>
        <v>0.53029528076797516</v>
      </c>
      <c r="I25" s="94">
        <f>Projections!I59*'Income Statement'!I7</f>
        <v>0.55677040634316299</v>
      </c>
      <c r="J25" s="94">
        <f>Projections!J59*'Income Statement'!J7</f>
        <v>0.58168457178086908</v>
      </c>
      <c r="M25" s="14"/>
    </row>
    <row r="26" spans="2:20" x14ac:dyDescent="0.25">
      <c r="C26" s="19"/>
      <c r="D26" s="19"/>
      <c r="E26" s="19"/>
      <c r="F26" s="91"/>
      <c r="G26" s="91"/>
      <c r="H26" s="91"/>
      <c r="I26" s="91"/>
      <c r="J26" s="91"/>
      <c r="M26" s="14"/>
      <c r="S26" s="14"/>
    </row>
    <row r="27" spans="2:20" x14ac:dyDescent="0.25">
      <c r="B27" s="2" t="s">
        <v>96</v>
      </c>
      <c r="C27" s="18">
        <f>C10+C15+C23+C25</f>
        <v>113</v>
      </c>
      <c r="D27" s="18">
        <f>D10+D15+D23+D25</f>
        <v>342</v>
      </c>
      <c r="E27" s="18">
        <f>E10+E15+E23+E25</f>
        <v>1676</v>
      </c>
      <c r="F27" s="90">
        <f t="shared" ref="F27:J27" si="13">F10+F15+F23+F25</f>
        <v>-474.99999999999949</v>
      </c>
      <c r="G27" s="90">
        <f t="shared" si="13"/>
        <v>-5.6121773894801663E-13</v>
      </c>
      <c r="H27" s="90">
        <f t="shared" si="13"/>
        <v>7.9791728779810001E-13</v>
      </c>
      <c r="I27" s="90">
        <f t="shared" si="13"/>
        <v>-7.9480866332914957E-13</v>
      </c>
      <c r="J27" s="90">
        <f t="shared" si="13"/>
        <v>1.9906298831529057E-13</v>
      </c>
      <c r="M27" s="14"/>
      <c r="S27" s="14"/>
    </row>
    <row r="28" spans="2:20" x14ac:dyDescent="0.25">
      <c r="C28" s="19"/>
      <c r="D28" s="19"/>
      <c r="E28" s="19"/>
      <c r="F28" s="95"/>
      <c r="G28" s="95"/>
      <c r="H28" s="95"/>
      <c r="I28" s="95"/>
      <c r="J28" s="95"/>
      <c r="M28" s="14"/>
      <c r="S28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A034-F498-4C72-B266-C00EBB1C29CA}">
  <dimension ref="B1:J60"/>
  <sheetViews>
    <sheetView showGridLines="0" topLeftCell="B34" workbookViewId="0">
      <selection activeCell="M39" sqref="M39"/>
    </sheetView>
  </sheetViews>
  <sheetFormatPr defaultRowHeight="15" x14ac:dyDescent="0.25"/>
  <cols>
    <col min="1" max="1" width="2.42578125" customWidth="1"/>
    <col min="2" max="2" width="36.42578125" customWidth="1"/>
    <col min="3" max="10" width="11.28515625" customWidth="1"/>
  </cols>
  <sheetData>
    <row r="1" spans="2:10" x14ac:dyDescent="0.25">
      <c r="B1" s="4" t="s">
        <v>0</v>
      </c>
    </row>
    <row r="2" spans="2:10" x14ac:dyDescent="0.25">
      <c r="B2" s="60" t="s">
        <v>161</v>
      </c>
      <c r="C2" s="61">
        <v>43830</v>
      </c>
      <c r="D2" s="61">
        <f>EOMONTH(C2,12)</f>
        <v>44196</v>
      </c>
      <c r="E2" s="61">
        <f t="shared" ref="E2:J2" si="0">EOMONTH(D2,12)</f>
        <v>44561</v>
      </c>
      <c r="F2" s="62">
        <f t="shared" si="0"/>
        <v>44926</v>
      </c>
      <c r="G2" s="62">
        <f t="shared" si="0"/>
        <v>45291</v>
      </c>
      <c r="H2" s="62">
        <f t="shared" si="0"/>
        <v>45657</v>
      </c>
      <c r="I2" s="62">
        <f t="shared" si="0"/>
        <v>46022</v>
      </c>
      <c r="J2" s="62">
        <f t="shared" si="0"/>
        <v>46387</v>
      </c>
    </row>
    <row r="4" spans="2:10" x14ac:dyDescent="0.25">
      <c r="B4" s="2" t="s">
        <v>2</v>
      </c>
    </row>
    <row r="5" spans="2:10" x14ac:dyDescent="0.25">
      <c r="B5" s="63" t="s">
        <v>152</v>
      </c>
      <c r="C5" s="16">
        <f>'Income Statement'!C5/C8</f>
        <v>35300</v>
      </c>
      <c r="D5" s="16">
        <f>'Income Statement'!D5/D8</f>
        <v>31594.117647058822</v>
      </c>
      <c r="E5" s="16">
        <f>'Income Statement'!E5/E8</f>
        <v>35711.111111111109</v>
      </c>
      <c r="F5" s="16">
        <f>E5*(1+F6)</f>
        <v>37139.555555555555</v>
      </c>
      <c r="G5" s="16">
        <f t="shared" ref="G5:J5" si="1">F5*(1+G6)</f>
        <v>38625.137777777782</v>
      </c>
      <c r="H5" s="16">
        <f t="shared" si="1"/>
        <v>40170.143288888896</v>
      </c>
      <c r="I5" s="16">
        <f t="shared" si="1"/>
        <v>41375.247587555561</v>
      </c>
      <c r="J5" s="16">
        <f t="shared" si="1"/>
        <v>42616.505015182229</v>
      </c>
    </row>
    <row r="6" spans="2:10" x14ac:dyDescent="0.25">
      <c r="B6" s="31" t="s">
        <v>150</v>
      </c>
      <c r="C6" s="16"/>
      <c r="D6" s="57">
        <f>D5/C5-1</f>
        <v>-0.10498250291618072</v>
      </c>
      <c r="E6" s="57">
        <f t="shared" ref="E6" si="2">E5/D5-1</f>
        <v>0.13030886034051181</v>
      </c>
      <c r="F6" s="58">
        <f>0.04</f>
        <v>0.04</v>
      </c>
      <c r="G6" s="58">
        <f>0.04</f>
        <v>0.04</v>
      </c>
      <c r="H6" s="58">
        <f>0.04</f>
        <v>0.04</v>
      </c>
      <c r="I6" s="58">
        <f>0.03</f>
        <v>0.03</v>
      </c>
      <c r="J6" s="58">
        <f>0.03</f>
        <v>0.03</v>
      </c>
    </row>
    <row r="7" spans="2:10" x14ac:dyDescent="0.25">
      <c r="B7" s="49"/>
      <c r="C7" s="54"/>
      <c r="D7" s="16"/>
      <c r="E7" s="16"/>
      <c r="F7" s="54"/>
      <c r="G7" s="54"/>
      <c r="H7" s="54"/>
      <c r="I7" s="54"/>
      <c r="J7" s="54"/>
    </row>
    <row r="8" spans="2:10" x14ac:dyDescent="0.25">
      <c r="B8" s="63" t="s">
        <v>151</v>
      </c>
      <c r="C8" s="64">
        <v>0.16</v>
      </c>
      <c r="D8" s="64">
        <v>0.17</v>
      </c>
      <c r="E8" s="64">
        <v>0.18</v>
      </c>
      <c r="F8" s="58">
        <v>0.18</v>
      </c>
      <c r="G8" s="58">
        <v>0.182</v>
      </c>
      <c r="H8" s="58">
        <v>0.184</v>
      </c>
      <c r="I8" s="58">
        <v>0.185</v>
      </c>
      <c r="J8" s="58">
        <v>0.185</v>
      </c>
    </row>
    <row r="9" spans="2:10" x14ac:dyDescent="0.25">
      <c r="B9" s="7"/>
      <c r="C9" s="55"/>
      <c r="D9" s="53"/>
      <c r="E9" s="53"/>
      <c r="F9" s="56"/>
      <c r="G9" s="54"/>
      <c r="H9" s="54"/>
      <c r="I9" s="54"/>
      <c r="J9" s="54"/>
    </row>
    <row r="10" spans="2:10" x14ac:dyDescent="0.25">
      <c r="B10" t="s">
        <v>154</v>
      </c>
      <c r="C10" s="65">
        <v>2</v>
      </c>
      <c r="D10" s="65">
        <v>2.1</v>
      </c>
      <c r="E10" s="65">
        <v>2.15</v>
      </c>
      <c r="F10" s="65">
        <f>E10*(1+F11)</f>
        <v>2.2574999999999998</v>
      </c>
      <c r="G10" s="65">
        <f t="shared" ref="G10:J10" si="3">F10*(1+G11)</f>
        <v>2.3590874999999998</v>
      </c>
      <c r="H10" s="65">
        <f t="shared" si="3"/>
        <v>2.4534509999999998</v>
      </c>
      <c r="I10" s="65">
        <f t="shared" si="3"/>
        <v>2.5393217849999998</v>
      </c>
      <c r="J10" s="65">
        <f t="shared" si="3"/>
        <v>2.6155014385499999</v>
      </c>
    </row>
    <row r="11" spans="2:10" x14ac:dyDescent="0.25">
      <c r="B11" s="31" t="s">
        <v>150</v>
      </c>
      <c r="C11" s="54"/>
      <c r="D11" s="57">
        <f>D10/C10-1</f>
        <v>5.0000000000000044E-2</v>
      </c>
      <c r="E11" s="57">
        <f t="shared" ref="E11" si="4">E10/D10-1</f>
        <v>2.3809523809523725E-2</v>
      </c>
      <c r="F11" s="58">
        <f>0.05</f>
        <v>0.05</v>
      </c>
      <c r="G11" s="58">
        <f>0.045</f>
        <v>4.4999999999999998E-2</v>
      </c>
      <c r="H11" s="58">
        <f>0.04</f>
        <v>0.04</v>
      </c>
      <c r="I11" s="58">
        <f>0.035</f>
        <v>3.5000000000000003E-2</v>
      </c>
      <c r="J11" s="58">
        <f t="shared" ref="J11" si="5">0.03</f>
        <v>0.03</v>
      </c>
    </row>
    <row r="12" spans="2:10" x14ac:dyDescent="0.25">
      <c r="C12" s="54"/>
      <c r="D12" s="54"/>
      <c r="E12" s="54"/>
      <c r="F12" s="54"/>
      <c r="G12" s="54"/>
      <c r="H12" s="54"/>
      <c r="I12" s="54"/>
      <c r="J12" s="54"/>
    </row>
    <row r="13" spans="2:10" x14ac:dyDescent="0.25">
      <c r="B13" t="s">
        <v>153</v>
      </c>
      <c r="C13" s="16">
        <f>'Income Statement'!C6/Projections!C10</f>
        <v>3735</v>
      </c>
      <c r="D13" s="16">
        <f>'Income Statement'!D6/Projections!D10</f>
        <v>3516.6666666666665</v>
      </c>
      <c r="E13" s="16">
        <f>'Income Statement'!E6/Projections!E10</f>
        <v>3660.4651162790701</v>
      </c>
      <c r="F13" s="16">
        <f>E13*(1+F14)</f>
        <v>3751.9767441860467</v>
      </c>
      <c r="G13" s="16">
        <f t="shared" ref="G13:J13" si="6">F13*(1+G14)</f>
        <v>3845.7761627906975</v>
      </c>
      <c r="H13" s="16">
        <f t="shared" si="6"/>
        <v>3941.9205668604645</v>
      </c>
      <c r="I13" s="16">
        <f t="shared" si="6"/>
        <v>4040.4685810319756</v>
      </c>
      <c r="J13" s="16">
        <f t="shared" si="6"/>
        <v>4141.4802955577743</v>
      </c>
    </row>
    <row r="14" spans="2:10" x14ac:dyDescent="0.25">
      <c r="B14" s="31" t="s">
        <v>150</v>
      </c>
      <c r="C14" s="54"/>
      <c r="D14" s="57">
        <f>D13/C13-1</f>
        <v>-5.8456046407853623E-2</v>
      </c>
      <c r="E14" s="57">
        <f t="shared" ref="E14" si="7">E13/D13-1</f>
        <v>4.0890554392152723E-2</v>
      </c>
      <c r="F14" s="58">
        <f>0.025</f>
        <v>2.5000000000000001E-2</v>
      </c>
      <c r="G14" s="58">
        <f>0.025</f>
        <v>2.5000000000000001E-2</v>
      </c>
      <c r="H14" s="58">
        <f t="shared" ref="H14:J14" si="8">0.025</f>
        <v>2.5000000000000001E-2</v>
      </c>
      <c r="I14" s="58">
        <f t="shared" si="8"/>
        <v>2.5000000000000001E-2</v>
      </c>
      <c r="J14" s="58">
        <f t="shared" si="8"/>
        <v>2.5000000000000001E-2</v>
      </c>
    </row>
    <row r="15" spans="2:10" x14ac:dyDescent="0.25">
      <c r="C15" s="54"/>
      <c r="D15" s="54"/>
      <c r="E15" s="54"/>
      <c r="F15" s="54"/>
      <c r="G15" s="54"/>
      <c r="H15" s="54"/>
      <c r="I15" s="54"/>
      <c r="J15" s="54"/>
    </row>
    <row r="16" spans="2:10" x14ac:dyDescent="0.25">
      <c r="B16" t="s">
        <v>159</v>
      </c>
      <c r="C16" s="54"/>
      <c r="D16" s="54"/>
      <c r="E16" s="54"/>
      <c r="F16" s="54"/>
      <c r="G16" s="54"/>
      <c r="H16" s="54"/>
      <c r="I16" s="54"/>
      <c r="J16" s="54"/>
    </row>
    <row r="17" spans="2:10" x14ac:dyDescent="0.25">
      <c r="B17" s="31" t="s">
        <v>156</v>
      </c>
      <c r="C17" s="64">
        <f>'Income Statement'!C10/'Income Statement'!C5</f>
        <v>0.82152974504249288</v>
      </c>
      <c r="D17" s="64">
        <f>'Income Statement'!D10/'Income Statement'!D5</f>
        <v>0.82647551666356356</v>
      </c>
      <c r="E17" s="64">
        <f>'Income Statement'!E10/'Income Statement'!E5</f>
        <v>0.82342874922215303</v>
      </c>
      <c r="F17" s="58">
        <f>AVERAGE($C$17:$E$17)</f>
        <v>0.82381133697606979</v>
      </c>
      <c r="G17" s="58">
        <f t="shared" ref="G17:J17" si="9">AVERAGE($C$17:$E$17)</f>
        <v>0.82381133697606979</v>
      </c>
      <c r="H17" s="58">
        <f t="shared" si="9"/>
        <v>0.82381133697606979</v>
      </c>
      <c r="I17" s="58">
        <f t="shared" si="9"/>
        <v>0.82381133697606979</v>
      </c>
      <c r="J17" s="58">
        <f t="shared" si="9"/>
        <v>0.82381133697606979</v>
      </c>
    </row>
    <row r="18" spans="2:10" x14ac:dyDescent="0.25">
      <c r="B18" s="31" t="s">
        <v>149</v>
      </c>
      <c r="C18" s="64">
        <f>'Income Statement'!C11/'Income Statement'!C6</f>
        <v>0.62275769745649268</v>
      </c>
      <c r="D18" s="64">
        <f>'Income Statement'!D11/'Income Statement'!D6</f>
        <v>0.61448882870683819</v>
      </c>
      <c r="E18" s="64">
        <f>'Income Statement'!E11/'Income Statement'!E6</f>
        <v>0.61143583227445997</v>
      </c>
      <c r="F18" s="58">
        <f>AVERAGE($C$18:$E$18)</f>
        <v>0.61622745281259694</v>
      </c>
      <c r="G18" s="58">
        <f t="shared" ref="G18:J18" si="10">AVERAGE($C$18:$E$18)</f>
        <v>0.61622745281259694</v>
      </c>
      <c r="H18" s="58">
        <f t="shared" si="10"/>
        <v>0.61622745281259694</v>
      </c>
      <c r="I18" s="58">
        <f t="shared" si="10"/>
        <v>0.61622745281259694</v>
      </c>
      <c r="J18" s="58">
        <f t="shared" si="10"/>
        <v>0.61622745281259694</v>
      </c>
    </row>
    <row r="19" spans="2:10" x14ac:dyDescent="0.25">
      <c r="C19" s="64"/>
      <c r="D19" s="64"/>
      <c r="E19" s="64"/>
      <c r="F19" s="66"/>
      <c r="G19" s="66"/>
      <c r="H19" s="66"/>
      <c r="I19" s="66"/>
      <c r="J19" s="66"/>
    </row>
    <row r="20" spans="2:10" x14ac:dyDescent="0.25">
      <c r="B20" t="s">
        <v>160</v>
      </c>
      <c r="C20" s="64">
        <f>'Income Statement'!C17/'Income Statement'!C7</f>
        <v>0.15040402500381156</v>
      </c>
      <c r="D20" s="64">
        <f>'Income Statement'!D17/'Income Statement'!D7</f>
        <v>0.16274694261523989</v>
      </c>
      <c r="E20" s="64">
        <f>'Income Statement'!E17/'Income Statement'!E7</f>
        <v>0.1473632675898727</v>
      </c>
      <c r="F20" s="58">
        <f>AVERAGE($C$20:$E$20)</f>
        <v>0.1535047450696414</v>
      </c>
      <c r="G20" s="58">
        <f>AVERAGE($C$20:$E$20)</f>
        <v>0.1535047450696414</v>
      </c>
      <c r="H20" s="58">
        <f>AVERAGE($C$20:$E$20)</f>
        <v>0.1535047450696414</v>
      </c>
      <c r="I20" s="58">
        <f>AVERAGE($C$20:$E$20)</f>
        <v>0.1535047450696414</v>
      </c>
      <c r="J20" s="58">
        <f>AVERAGE($C$20:$E$20)</f>
        <v>0.1535047450696414</v>
      </c>
    </row>
    <row r="21" spans="2:10" x14ac:dyDescent="0.25">
      <c r="C21" s="64"/>
      <c r="D21" s="64"/>
      <c r="E21" s="64"/>
      <c r="F21" s="66"/>
      <c r="G21" s="66"/>
      <c r="H21" s="66"/>
      <c r="I21" s="66"/>
      <c r="J21" s="66"/>
    </row>
    <row r="22" spans="2:10" x14ac:dyDescent="0.25">
      <c r="B22" t="s">
        <v>157</v>
      </c>
      <c r="C22" s="64">
        <f>'Income Statement'!C26/'Income Statement'!C24</f>
        <v>0.31918323481998923</v>
      </c>
      <c r="D22" s="64">
        <f>'Income Statement'!D26/'Income Statement'!D24</f>
        <v>0.3011250827266711</v>
      </c>
      <c r="E22" s="64">
        <f>'Income Statement'!E26/'Income Statement'!E24</f>
        <v>0.27587965323814378</v>
      </c>
      <c r="F22" s="58">
        <f>AVERAGE($C$22:$E$22)</f>
        <v>0.2987293235949347</v>
      </c>
      <c r="G22" s="58">
        <f t="shared" ref="G22:J22" si="11">AVERAGE($C$22:$E$22)</f>
        <v>0.2987293235949347</v>
      </c>
      <c r="H22" s="58">
        <f t="shared" si="11"/>
        <v>0.2987293235949347</v>
      </c>
      <c r="I22" s="58">
        <f t="shared" si="11"/>
        <v>0.2987293235949347</v>
      </c>
      <c r="J22" s="58">
        <f t="shared" si="11"/>
        <v>0.2987293235949347</v>
      </c>
    </row>
    <row r="23" spans="2:10" x14ac:dyDescent="0.25">
      <c r="C23" s="54"/>
      <c r="D23" s="54"/>
      <c r="E23" s="54"/>
      <c r="F23" s="66"/>
      <c r="G23" s="66"/>
      <c r="H23" s="66"/>
      <c r="I23" s="66"/>
      <c r="J23" s="66"/>
    </row>
    <row r="24" spans="2:10" x14ac:dyDescent="0.25">
      <c r="B24" t="s">
        <v>158</v>
      </c>
      <c r="C24" s="64">
        <f>'Income Statement'!C29/'Income Statement'!C27</f>
        <v>0.11917916337805841</v>
      </c>
      <c r="D24" s="64">
        <f>'Income Statement'!D29/'Income Statement'!D27</f>
        <v>0.14204545454545456</v>
      </c>
      <c r="E24" s="64">
        <f>'Income Statement'!E29/'Income Statement'!E27</f>
        <v>0.12253521126760564</v>
      </c>
      <c r="F24" s="58">
        <f>AVERAGE($C$24:$E$24)</f>
        <v>0.12791994306370622</v>
      </c>
      <c r="G24" s="58">
        <f t="shared" ref="G24:J24" si="12">AVERAGE($C$24:$E$24)</f>
        <v>0.12791994306370622</v>
      </c>
      <c r="H24" s="58">
        <f t="shared" si="12"/>
        <v>0.12791994306370622</v>
      </c>
      <c r="I24" s="58">
        <f t="shared" si="12"/>
        <v>0.12791994306370622</v>
      </c>
      <c r="J24" s="58">
        <f t="shared" si="12"/>
        <v>0.12791994306370622</v>
      </c>
    </row>
    <row r="25" spans="2:10" x14ac:dyDescent="0.25">
      <c r="C25" s="64"/>
      <c r="D25" s="64"/>
      <c r="E25" s="64"/>
      <c r="F25" s="58"/>
      <c r="G25" s="58"/>
      <c r="H25" s="58"/>
      <c r="I25" s="58"/>
      <c r="J25" s="58"/>
    </row>
    <row r="26" spans="2:10" x14ac:dyDescent="0.25">
      <c r="B26" s="2" t="s">
        <v>146</v>
      </c>
    </row>
    <row r="28" spans="2:10" x14ac:dyDescent="0.25">
      <c r="B28" s="31" t="s">
        <v>162</v>
      </c>
      <c r="D28" s="64">
        <f>'Balance Sheet'!D6/'Income Statement'!D7</f>
        <v>0.24678582627783005</v>
      </c>
      <c r="E28" s="64">
        <f>'Balance Sheet'!E6/'Income Statement'!E7</f>
        <v>0.22604560078332633</v>
      </c>
      <c r="F28" s="58">
        <f>AVERAGE($C28:$E28)</f>
        <v>0.23641571353057819</v>
      </c>
      <c r="G28" s="58">
        <f t="shared" ref="G28:J30" si="13">AVERAGE($C28:$E28)</f>
        <v>0.23641571353057819</v>
      </c>
      <c r="H28" s="58">
        <f t="shared" si="13"/>
        <v>0.23641571353057819</v>
      </c>
      <c r="I28" s="58">
        <f t="shared" si="13"/>
        <v>0.23641571353057819</v>
      </c>
      <c r="J28" s="58">
        <f t="shared" si="13"/>
        <v>0.23641571353057819</v>
      </c>
    </row>
    <row r="29" spans="2:10" x14ac:dyDescent="0.25">
      <c r="B29" s="31" t="s">
        <v>163</v>
      </c>
      <c r="D29" s="64">
        <f>'Balance Sheet'!D7/'Income Statement'!D12</f>
        <v>0.1722178901637518</v>
      </c>
      <c r="E29" s="64">
        <f>'Balance Sheet'!E7/'Income Statement'!E12</f>
        <v>0.15378525482434438</v>
      </c>
      <c r="F29" s="58">
        <f t="shared" ref="F29:J30" si="14">AVERAGE($C29:$E29)</f>
        <v>0.16300157249404809</v>
      </c>
      <c r="G29" s="58">
        <f t="shared" si="13"/>
        <v>0.16300157249404809</v>
      </c>
      <c r="H29" s="58">
        <f t="shared" si="13"/>
        <v>0.16300157249404809</v>
      </c>
      <c r="I29" s="58">
        <f t="shared" si="13"/>
        <v>0.16300157249404809</v>
      </c>
      <c r="J29" s="58">
        <f t="shared" si="13"/>
        <v>0.16300157249404809</v>
      </c>
    </row>
    <row r="30" spans="2:10" x14ac:dyDescent="0.25">
      <c r="B30" s="31" t="s">
        <v>164</v>
      </c>
      <c r="D30" s="64">
        <f>'Balance Sheet'!D11/'Income Statement'!D17</f>
        <v>0.26107899807321772</v>
      </c>
      <c r="E30" s="64">
        <f>'Balance Sheet'!E11/'Income Statement'!E17</f>
        <v>0.24964404366397722</v>
      </c>
      <c r="F30" s="58">
        <f t="shared" si="14"/>
        <v>0.25536152086859748</v>
      </c>
      <c r="G30" s="58">
        <f t="shared" si="13"/>
        <v>0.25536152086859748</v>
      </c>
      <c r="H30" s="58">
        <f t="shared" si="13"/>
        <v>0.25536152086859748</v>
      </c>
      <c r="I30" s="58">
        <f t="shared" si="13"/>
        <v>0.25536152086859748</v>
      </c>
      <c r="J30" s="58">
        <f t="shared" si="13"/>
        <v>0.25536152086859748</v>
      </c>
    </row>
    <row r="31" spans="2:10" x14ac:dyDescent="0.25">
      <c r="B31" s="31"/>
    </row>
    <row r="32" spans="2:10" x14ac:dyDescent="0.25">
      <c r="B32" s="31" t="s">
        <v>165</v>
      </c>
      <c r="D32" s="64">
        <f>'Balance Sheet'!D16/'Income Statement'!D12</f>
        <v>0.1618580817645093</v>
      </c>
      <c r="E32" s="64">
        <f>'Balance Sheet'!E16/'Income Statement'!E12</f>
        <v>0.15398317664522512</v>
      </c>
      <c r="F32" s="58">
        <f t="shared" ref="F32:J35" si="15">AVERAGE($C32:$E32)</f>
        <v>0.15792062920486721</v>
      </c>
      <c r="G32" s="58">
        <f t="shared" si="15"/>
        <v>0.15792062920486721</v>
      </c>
      <c r="H32" s="58">
        <f t="shared" si="15"/>
        <v>0.15792062920486721</v>
      </c>
      <c r="I32" s="58">
        <f t="shared" si="15"/>
        <v>0.15792062920486721</v>
      </c>
      <c r="J32" s="58">
        <f t="shared" si="15"/>
        <v>0.15792062920486721</v>
      </c>
    </row>
    <row r="33" spans="2:10" x14ac:dyDescent="0.25">
      <c r="B33" s="31" t="s">
        <v>166</v>
      </c>
      <c r="D33" s="64">
        <f>'Balance Sheet'!D17/SUM('Income Statement'!D$10:D$11,'Income Statement'!D$17)</f>
        <v>0.1788654663892156</v>
      </c>
      <c r="E33" s="64">
        <f>'Balance Sheet'!E17/SUM('Income Statement'!E$10:E$11,'Income Statement'!E$17)</f>
        <v>0.16320013101867015</v>
      </c>
      <c r="F33" s="58">
        <f t="shared" si="15"/>
        <v>0.17103279870394289</v>
      </c>
      <c r="G33" s="58">
        <f t="shared" si="15"/>
        <v>0.17103279870394289</v>
      </c>
      <c r="H33" s="58">
        <f t="shared" si="15"/>
        <v>0.17103279870394289</v>
      </c>
      <c r="I33" s="58">
        <f t="shared" si="15"/>
        <v>0.17103279870394289</v>
      </c>
      <c r="J33" s="58">
        <f t="shared" si="15"/>
        <v>0.17103279870394289</v>
      </c>
    </row>
    <row r="34" spans="2:10" x14ac:dyDescent="0.25">
      <c r="B34" s="31" t="s">
        <v>167</v>
      </c>
      <c r="D34" s="64">
        <f>'Balance Sheet'!D18/SUM('Income Statement'!D$10:D$11,'Income Statement'!D$17)</f>
        <v>0.22998281009680629</v>
      </c>
      <c r="E34" s="64">
        <f>'Balance Sheet'!E18/SUM('Income Statement'!E$10:E$11,'Income Statement'!E$17)</f>
        <v>0.21896495250573206</v>
      </c>
      <c r="F34" s="58">
        <f t="shared" si="15"/>
        <v>0.22447388130126916</v>
      </c>
      <c r="G34" s="58">
        <f t="shared" si="15"/>
        <v>0.22447388130126916</v>
      </c>
      <c r="H34" s="58">
        <f t="shared" si="15"/>
        <v>0.22447388130126916</v>
      </c>
      <c r="I34" s="58">
        <f t="shared" si="15"/>
        <v>0.22447388130126916</v>
      </c>
      <c r="J34" s="58">
        <f t="shared" si="15"/>
        <v>0.22447388130126916</v>
      </c>
    </row>
    <row r="35" spans="2:10" x14ac:dyDescent="0.25">
      <c r="B35" s="31" t="s">
        <v>168</v>
      </c>
      <c r="D35" s="64">
        <f>'Balance Sheet'!D23/SUM('Income Statement'!D$10:D$11,'Income Statement'!D$17)</f>
        <v>0.14557133809825387</v>
      </c>
      <c r="E35" s="64">
        <f>'Balance Sheet'!E23/SUM('Income Statement'!E$10:E$11,'Income Statement'!E$17)</f>
        <v>0.11717982312479529</v>
      </c>
      <c r="F35" s="58">
        <f t="shared" si="15"/>
        <v>0.13137558061152457</v>
      </c>
      <c r="G35" s="58">
        <f t="shared" si="15"/>
        <v>0.13137558061152457</v>
      </c>
      <c r="H35" s="58">
        <f t="shared" si="15"/>
        <v>0.13137558061152457</v>
      </c>
      <c r="I35" s="58">
        <f t="shared" si="15"/>
        <v>0.13137558061152457</v>
      </c>
      <c r="J35" s="58">
        <f t="shared" si="15"/>
        <v>0.13137558061152457</v>
      </c>
    </row>
    <row r="37" spans="2:10" x14ac:dyDescent="0.25">
      <c r="B37" s="2" t="s">
        <v>147</v>
      </c>
    </row>
    <row r="38" spans="2:10" x14ac:dyDescent="0.25">
      <c r="B38" s="2"/>
    </row>
    <row r="39" spans="2:10" x14ac:dyDescent="0.25">
      <c r="B39" s="31" t="s">
        <v>169</v>
      </c>
      <c r="C39" s="64">
        <f>'Cash Flow'!C13/'Income Statement'!C7</f>
        <v>-1.1053514255221832E-2</v>
      </c>
      <c r="D39" s="64">
        <f>'Cash Flow'!D13/'Income Statement'!D7</f>
        <v>-1.4346190028222013E-2</v>
      </c>
      <c r="E39" s="64">
        <f>'Cash Flow'!E13/'Income Statement'!E7</f>
        <v>-1.0910616869492237E-2</v>
      </c>
      <c r="F39" s="58">
        <f t="shared" ref="F39:J41" si="16">AVERAGE($C39:$E39)</f>
        <v>-1.2103440384312028E-2</v>
      </c>
      <c r="G39" s="58">
        <f t="shared" si="16"/>
        <v>-1.2103440384312028E-2</v>
      </c>
      <c r="H39" s="58">
        <f t="shared" si="16"/>
        <v>-1.2103440384312028E-2</v>
      </c>
      <c r="I39" s="58">
        <f t="shared" si="16"/>
        <v>-1.2103440384312028E-2</v>
      </c>
      <c r="J39" s="58">
        <f t="shared" si="16"/>
        <v>-1.2103440384312028E-2</v>
      </c>
    </row>
    <row r="40" spans="2:10" x14ac:dyDescent="0.25">
      <c r="B40" s="31" t="s">
        <v>170</v>
      </c>
      <c r="C40" s="64">
        <f>'Cash Flow'!C7/'Income Statement'!C7</f>
        <v>1.3721603903033999E-2</v>
      </c>
      <c r="D40" s="64">
        <f>'Cash Flow'!D7/'Income Statement'!D7</f>
        <v>1.4973345876450299E-2</v>
      </c>
      <c r="E40" s="64">
        <f>'Cash Flow'!E7/'Income Statement'!E7</f>
        <v>1.4197789900685411E-2</v>
      </c>
      <c r="F40" s="58">
        <f t="shared" si="16"/>
        <v>1.4297579893389903E-2</v>
      </c>
      <c r="G40" s="58">
        <f t="shared" si="16"/>
        <v>1.4297579893389903E-2</v>
      </c>
      <c r="H40" s="58">
        <f t="shared" si="16"/>
        <v>1.4297579893389903E-2</v>
      </c>
      <c r="I40" s="58">
        <f t="shared" si="16"/>
        <v>1.4297579893389903E-2</v>
      </c>
      <c r="J40" s="58">
        <f t="shared" si="16"/>
        <v>1.4297579893389903E-2</v>
      </c>
    </row>
    <row r="41" spans="2:10" x14ac:dyDescent="0.25">
      <c r="B41" s="31" t="s">
        <v>178</v>
      </c>
      <c r="C41" s="64">
        <f>'Cash Flow'!C8/'Income Statement'!C7</f>
        <v>4.1164811709102E-3</v>
      </c>
      <c r="D41" s="64">
        <f>'Cash Flow'!D8/'Income Statement'!D7</f>
        <v>1.2229539040451553E-2</v>
      </c>
      <c r="E41" s="64">
        <f>'Cash Flow'!E8/'Income Statement'!E7</f>
        <v>-2.3080151070079733E-3</v>
      </c>
      <c r="F41" s="58">
        <f t="shared" si="16"/>
        <v>4.6793350347845934E-3</v>
      </c>
      <c r="G41" s="58">
        <f t="shared" si="16"/>
        <v>4.6793350347845934E-3</v>
      </c>
      <c r="H41" s="58">
        <f t="shared" si="16"/>
        <v>4.6793350347845934E-3</v>
      </c>
      <c r="I41" s="58">
        <f t="shared" si="16"/>
        <v>4.6793350347845934E-3</v>
      </c>
      <c r="J41" s="58">
        <f t="shared" si="16"/>
        <v>4.6793350347845934E-3</v>
      </c>
    </row>
    <row r="42" spans="2:10" x14ac:dyDescent="0.25">
      <c r="D42" s="64"/>
      <c r="E42" s="64"/>
      <c r="F42" s="59"/>
      <c r="G42" s="59"/>
      <c r="H42" s="59"/>
      <c r="I42" s="59"/>
      <c r="J42" s="59"/>
    </row>
    <row r="43" spans="2:10" x14ac:dyDescent="0.25">
      <c r="B43" s="31" t="s">
        <v>172</v>
      </c>
      <c r="C43" s="68">
        <f>'Cash Flow'!C14</f>
        <v>-58</v>
      </c>
      <c r="D43" s="68">
        <f>'Cash Flow'!D14</f>
        <v>-170</v>
      </c>
      <c r="E43" s="68">
        <f>'Cash Flow'!E14</f>
        <v>67</v>
      </c>
      <c r="F43" s="69">
        <f>-75</f>
        <v>-75</v>
      </c>
      <c r="G43" s="69">
        <f t="shared" ref="G43:J43" si="17">-75</f>
        <v>-75</v>
      </c>
      <c r="H43" s="69">
        <f t="shared" si="17"/>
        <v>-75</v>
      </c>
      <c r="I43" s="69">
        <f t="shared" si="17"/>
        <v>-75</v>
      </c>
      <c r="J43" s="69">
        <f t="shared" si="17"/>
        <v>-75</v>
      </c>
    </row>
    <row r="44" spans="2:10" x14ac:dyDescent="0.25">
      <c r="B44" s="31"/>
      <c r="C44" s="68"/>
      <c r="D44" s="68"/>
      <c r="E44" s="68"/>
      <c r="F44" s="69"/>
      <c r="G44" s="69"/>
      <c r="H44" s="69"/>
      <c r="I44" s="69"/>
      <c r="J44" s="69"/>
    </row>
    <row r="45" spans="2:10" x14ac:dyDescent="0.25">
      <c r="B45" s="31" t="s">
        <v>185</v>
      </c>
      <c r="C45" s="68"/>
      <c r="D45" s="64">
        <f>'Income Statement'!D23/'Balance Sheet'!D21</f>
        <v>2.0459500251551233E-2</v>
      </c>
      <c r="E45" s="64">
        <f>'Income Statement'!E23/'Balance Sheet'!E21</f>
        <v>1.8699298776295888E-2</v>
      </c>
      <c r="F45" s="58">
        <v>2.5000000000000001E-2</v>
      </c>
      <c r="G45" s="58">
        <v>0.03</v>
      </c>
      <c r="H45" s="58">
        <v>0.03</v>
      </c>
      <c r="I45" s="58">
        <v>3.5000000000000003E-2</v>
      </c>
      <c r="J45" s="58">
        <v>3.5000000000000003E-2</v>
      </c>
    </row>
    <row r="46" spans="2:10" x14ac:dyDescent="0.25">
      <c r="B46" s="31"/>
      <c r="C46" s="68"/>
      <c r="D46" s="68"/>
      <c r="E46" s="68"/>
      <c r="F46" s="69"/>
      <c r="G46" s="69"/>
      <c r="H46" s="69"/>
      <c r="I46" s="69"/>
      <c r="J46" s="69"/>
    </row>
    <row r="47" spans="2:10" x14ac:dyDescent="0.25">
      <c r="B47" s="31" t="s">
        <v>181</v>
      </c>
      <c r="C47" s="68"/>
      <c r="D47" s="68"/>
      <c r="E47" s="68"/>
      <c r="F47" s="69">
        <f>'Balance Sheet'!E5+'Cash Flow'!F10+'Cash Flow'!F15+'Cash Flow'!F19+'Cash Flow'!F21+'Cash Flow'!F25-3000</f>
        <v>1551.9914893268979</v>
      </c>
      <c r="G47" s="69">
        <f>'Balance Sheet'!F5+'Cash Flow'!G10+'Cash Flow'!G15+'Cash Flow'!G19+'Cash Flow'!G21+'Cash Flow'!G25-3000</f>
        <v>959.31252867386593</v>
      </c>
      <c r="H47" s="69">
        <f>'Balance Sheet'!G5+'Cash Flow'!H10+'Cash Flow'!H15+'Cash Flow'!H19+'Cash Flow'!H21+'Cash Flow'!H25-3000</f>
        <v>1022.3063878038433</v>
      </c>
      <c r="I47" s="69">
        <f>'Balance Sheet'!H5+'Cash Flow'!I10+'Cash Flow'!I15+'Cash Flow'!I19+'Cash Flow'!I21+'Cash Flow'!I25-3000</f>
        <v>1050.3542392245977</v>
      </c>
      <c r="J47" s="69">
        <f>'Balance Sheet'!I5+'Cash Flow'!J10+'Cash Flow'!J15+'Cash Flow'!J19+'Cash Flow'!J21+'Cash Flow'!J25-3000</f>
        <v>1093.1800549990553</v>
      </c>
    </row>
    <row r="48" spans="2:10" x14ac:dyDescent="0.25">
      <c r="B48" s="31" t="s">
        <v>182</v>
      </c>
      <c r="C48" s="68"/>
      <c r="D48" s="68"/>
      <c r="E48" s="68"/>
      <c r="F48" s="58">
        <v>0.85</v>
      </c>
      <c r="G48" s="58">
        <v>0.85</v>
      </c>
      <c r="H48" s="58">
        <v>0.85</v>
      </c>
      <c r="I48" s="58">
        <v>0.85</v>
      </c>
      <c r="J48" s="58">
        <v>0.85</v>
      </c>
    </row>
    <row r="49" spans="2:10" x14ac:dyDescent="0.25">
      <c r="B49" s="31" t="s">
        <v>183</v>
      </c>
      <c r="C49" s="68"/>
      <c r="D49" s="68"/>
      <c r="E49" s="68"/>
      <c r="F49" s="58">
        <v>0.15</v>
      </c>
      <c r="G49" s="58">
        <v>0.15</v>
      </c>
      <c r="H49" s="58">
        <v>0.15</v>
      </c>
      <c r="I49" s="58">
        <v>0.15</v>
      </c>
      <c r="J49" s="58">
        <v>0.15</v>
      </c>
    </row>
    <row r="50" spans="2:10" x14ac:dyDescent="0.25">
      <c r="B50" s="31"/>
      <c r="C50" s="68"/>
      <c r="D50" s="68"/>
      <c r="E50" s="68"/>
      <c r="F50" s="69"/>
      <c r="G50" s="69"/>
      <c r="H50" s="69"/>
      <c r="I50" s="69"/>
      <c r="J50" s="69"/>
    </row>
    <row r="51" spans="2:10" x14ac:dyDescent="0.25">
      <c r="D51" s="64"/>
      <c r="E51" s="64"/>
      <c r="F51" s="59"/>
      <c r="G51" s="59"/>
      <c r="H51" s="59"/>
      <c r="I51" s="59"/>
      <c r="J51" s="59"/>
    </row>
    <row r="52" spans="2:10" x14ac:dyDescent="0.25">
      <c r="B52" s="31" t="s">
        <v>173</v>
      </c>
      <c r="D52" s="64"/>
      <c r="E52" s="64"/>
      <c r="F52" s="69">
        <f>IF(F47&gt;0,-F47*F49,0)</f>
        <v>-232.79872339903466</v>
      </c>
      <c r="G52" s="69">
        <f t="shared" ref="G52:J52" si="18">IF(G47&gt;0,-G47*G49,0)</f>
        <v>-143.89687930107988</v>
      </c>
      <c r="H52" s="69">
        <f t="shared" si="18"/>
        <v>-153.34595817057649</v>
      </c>
      <c r="I52" s="69">
        <f t="shared" si="18"/>
        <v>-157.55313588368963</v>
      </c>
      <c r="J52" s="69">
        <f t="shared" si="18"/>
        <v>-163.9770082498583</v>
      </c>
    </row>
    <row r="53" spans="2:10" x14ac:dyDescent="0.25">
      <c r="D53" s="64"/>
      <c r="E53" s="64"/>
      <c r="F53" s="59"/>
      <c r="G53" s="59"/>
      <c r="H53" s="59"/>
      <c r="I53" s="59"/>
      <c r="J53" s="59"/>
    </row>
    <row r="54" spans="2:10" x14ac:dyDescent="0.25">
      <c r="B54" s="31" t="s">
        <v>171</v>
      </c>
      <c r="C54" s="64" t="s">
        <v>177</v>
      </c>
      <c r="D54" s="64">
        <f>-'Cash Flow'!D19/'Income Statement'!D27</f>
        <v>0.24621212121212122</v>
      </c>
      <c r="E54" s="64">
        <f>-'Cash Flow'!E19/'Income Statement'!E27</f>
        <v>0.27676056338028171</v>
      </c>
      <c r="F54" s="58">
        <f>0.375</f>
        <v>0.375</v>
      </c>
      <c r="G54" s="58">
        <f t="shared" ref="G54:J54" si="19">0.375</f>
        <v>0.375</v>
      </c>
      <c r="H54" s="58">
        <f t="shared" si="19"/>
        <v>0.375</v>
      </c>
      <c r="I54" s="58">
        <f t="shared" si="19"/>
        <v>0.375</v>
      </c>
      <c r="J54" s="58">
        <f t="shared" si="19"/>
        <v>0.375</v>
      </c>
    </row>
    <row r="55" spans="2:10" x14ac:dyDescent="0.25">
      <c r="B55" s="31" t="s">
        <v>174</v>
      </c>
      <c r="C55" s="64"/>
      <c r="D55" s="64"/>
      <c r="E55" s="64"/>
      <c r="F55" s="69">
        <f>IF(F47&gt;0,-F47*F48,0)</f>
        <v>-1319.1927659278631</v>
      </c>
      <c r="G55" s="69">
        <f t="shared" ref="G55:J55" si="20">IF(G47&gt;0,-G47*G48,0)</f>
        <v>-815.41564937278599</v>
      </c>
      <c r="H55" s="69">
        <f t="shared" si="20"/>
        <v>-868.96042963326681</v>
      </c>
      <c r="I55" s="69">
        <f t="shared" si="20"/>
        <v>-892.80110334090796</v>
      </c>
      <c r="J55" s="69">
        <f t="shared" si="20"/>
        <v>-929.20304674919703</v>
      </c>
    </row>
    <row r="56" spans="2:10" x14ac:dyDescent="0.25">
      <c r="B56" s="31" t="s">
        <v>175</v>
      </c>
      <c r="C56" s="64">
        <f>-'Cash Flow'!C21/'Income Statement'!C29</f>
        <v>1.0794701986754967</v>
      </c>
      <c r="D56" s="64">
        <f>-'Cash Flow'!D21/'Income Statement'!D29</f>
        <v>0.99333333333333329</v>
      </c>
      <c r="E56" s="64">
        <f>-'Cash Flow'!E21/'Income Statement'!E29</f>
        <v>0.89080459770114939</v>
      </c>
      <c r="F56" s="58">
        <f t="shared" ref="F56:J56" si="21">AVERAGE($C56:$E56)</f>
        <v>0.98786937656999319</v>
      </c>
      <c r="G56" s="58">
        <f t="shared" si="21"/>
        <v>0.98786937656999319</v>
      </c>
      <c r="H56" s="58">
        <f t="shared" si="21"/>
        <v>0.98786937656999319</v>
      </c>
      <c r="I56" s="58">
        <f t="shared" si="21"/>
        <v>0.98786937656999319</v>
      </c>
      <c r="J56" s="58">
        <f t="shared" si="21"/>
        <v>0.98786937656999319</v>
      </c>
    </row>
    <row r="57" spans="2:10" x14ac:dyDescent="0.25">
      <c r="C57" s="64"/>
      <c r="D57" s="64"/>
      <c r="E57" s="64"/>
      <c r="F57" s="59"/>
      <c r="G57" s="59"/>
      <c r="H57" s="59"/>
      <c r="I57" s="59"/>
      <c r="J57" s="59"/>
    </row>
    <row r="58" spans="2:10" x14ac:dyDescent="0.25">
      <c r="B58" s="31" t="s">
        <v>184</v>
      </c>
      <c r="C58" s="96">
        <f>-'Cash Flow'!C22/'Cash Flow'!C18</f>
        <v>162.66666666666666</v>
      </c>
      <c r="D58" s="96">
        <f>-'Cash Flow'!D22/'Cash Flow'!D18</f>
        <v>1.073146124096183</v>
      </c>
      <c r="E58" s="64">
        <f>-'Cash Flow'!E22/'Cash Flow'!E18</f>
        <v>3.2000000000000001E-2</v>
      </c>
      <c r="F58" s="58">
        <f>0.02</f>
        <v>0.02</v>
      </c>
      <c r="G58" s="58">
        <f t="shared" ref="G58:J58" si="22">0.02</f>
        <v>0.02</v>
      </c>
      <c r="H58" s="58">
        <f t="shared" si="22"/>
        <v>0.02</v>
      </c>
      <c r="I58" s="58">
        <f t="shared" si="22"/>
        <v>0.02</v>
      </c>
      <c r="J58" s="58">
        <f t="shared" si="22"/>
        <v>0.02</v>
      </c>
    </row>
    <row r="59" spans="2:10" x14ac:dyDescent="0.25">
      <c r="B59" s="31" t="s">
        <v>176</v>
      </c>
      <c r="C59" s="64">
        <f>'Cash Flow'!C25/'Income Statement'!C7</f>
        <v>-1.5246226558926666E-3</v>
      </c>
      <c r="D59" s="64">
        <f>'Cash Flow'!D25/'Income Statement'!D7</f>
        <v>4.6252743806835996E-3</v>
      </c>
      <c r="E59" s="64">
        <f>'Cash Flow'!E25/'Income Statement'!E7</f>
        <v>-3.0074136242831165E-3</v>
      </c>
      <c r="F59" s="58">
        <f t="shared" ref="F59:J59" si="23">AVERAGE($C59:$E59)</f>
        <v>3.1079366835938916E-5</v>
      </c>
      <c r="G59" s="58">
        <f t="shared" si="23"/>
        <v>3.1079366835938916E-5</v>
      </c>
      <c r="H59" s="58">
        <f t="shared" si="23"/>
        <v>3.1079366835938916E-5</v>
      </c>
      <c r="I59" s="58">
        <f t="shared" si="23"/>
        <v>3.1079366835938916E-5</v>
      </c>
      <c r="J59" s="58">
        <f t="shared" si="23"/>
        <v>3.1079366835938916E-5</v>
      </c>
    </row>
    <row r="60" spans="2:10" x14ac:dyDescent="0.25">
      <c r="C60" s="64"/>
      <c r="D60" s="64"/>
      <c r="E60" s="64"/>
      <c r="F60" s="59"/>
      <c r="G60" s="59"/>
      <c r="H60" s="59"/>
      <c r="I60" s="59"/>
      <c r="J60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</vt:lpstr>
      <vt:lpstr>Raw data</vt:lpstr>
      <vt:lpstr>Income Statement</vt:lpstr>
      <vt:lpstr>Balance Sheet</vt:lpstr>
      <vt:lpstr>Cash Flow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Mattsson</dc:creator>
  <cp:lastModifiedBy>Martin Mattsson</cp:lastModifiedBy>
  <dcterms:created xsi:type="dcterms:W3CDTF">2015-06-05T18:17:20Z</dcterms:created>
  <dcterms:modified xsi:type="dcterms:W3CDTF">2024-03-17T19:34:44Z</dcterms:modified>
</cp:coreProperties>
</file>